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86AB0872-81D5-488D-A109-DB461AFBA676}" xr6:coauthVersionLast="47" xr6:coauthVersionMax="47" xr10:uidLastSave="{00000000-0000-0000-0000-000000000000}"/>
  <bookViews>
    <workbookView xWindow="28680" yWindow="-120" windowWidth="20730" windowHeight="11040" xr2:uid="{60DFAFB3-47F7-43D5-B9FB-20836BD5EC08}"/>
  </bookViews>
  <sheets>
    <sheet name="sdrascd7-IENOMKE15510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012" i="1" l="1"/>
  <c r="E5012" i="1"/>
  <c r="P5011" i="1"/>
  <c r="E5011" i="1"/>
  <c r="P5010" i="1"/>
  <c r="E5010" i="1"/>
  <c r="P5009" i="1"/>
  <c r="E5009" i="1"/>
  <c r="P5008" i="1"/>
  <c r="E5008" i="1"/>
  <c r="P5007" i="1"/>
  <c r="E5007" i="1"/>
  <c r="P5006" i="1"/>
  <c r="E5006" i="1"/>
  <c r="P5005" i="1"/>
  <c r="E5005" i="1"/>
  <c r="P5004" i="1"/>
  <c r="E5004" i="1"/>
  <c r="P5003" i="1"/>
  <c r="E5003" i="1"/>
  <c r="P5002" i="1"/>
  <c r="E5002" i="1"/>
  <c r="P5001" i="1"/>
  <c r="E5001" i="1"/>
  <c r="P5000" i="1"/>
  <c r="E5000" i="1"/>
  <c r="P4999" i="1"/>
  <c r="E4999" i="1"/>
  <c r="P4998" i="1"/>
  <c r="E4998" i="1"/>
  <c r="P4997" i="1"/>
  <c r="E4997" i="1"/>
  <c r="P4996" i="1"/>
  <c r="E4996" i="1"/>
  <c r="P4995" i="1"/>
  <c r="E4995" i="1"/>
  <c r="P4994" i="1"/>
  <c r="E4994" i="1"/>
  <c r="P4993" i="1"/>
  <c r="E4993" i="1"/>
  <c r="P4992" i="1"/>
  <c r="E4992" i="1"/>
  <c r="P4991" i="1"/>
  <c r="E4991" i="1"/>
  <c r="P4990" i="1"/>
  <c r="E4990" i="1"/>
  <c r="P4989" i="1"/>
  <c r="E4989" i="1"/>
  <c r="P4988" i="1"/>
  <c r="E4988" i="1"/>
  <c r="P4987" i="1"/>
  <c r="E4987" i="1"/>
  <c r="P4986" i="1"/>
  <c r="E4986" i="1"/>
  <c r="P4985" i="1"/>
  <c r="E4985" i="1"/>
  <c r="P4984" i="1"/>
  <c r="E4984" i="1"/>
  <c r="P4983" i="1"/>
  <c r="E4983" i="1"/>
  <c r="P4982" i="1"/>
  <c r="E4982" i="1"/>
  <c r="P4981" i="1"/>
  <c r="E4981" i="1"/>
  <c r="P4980" i="1"/>
  <c r="E4980" i="1"/>
  <c r="P4979" i="1"/>
  <c r="E4979" i="1"/>
  <c r="P4978" i="1"/>
  <c r="E4978" i="1"/>
  <c r="P4977" i="1"/>
  <c r="E4977" i="1"/>
  <c r="P4976" i="1"/>
  <c r="E4976" i="1"/>
  <c r="P4975" i="1"/>
  <c r="E4975" i="1"/>
  <c r="P4974" i="1"/>
  <c r="E4974" i="1"/>
  <c r="P4973" i="1"/>
  <c r="E4973" i="1"/>
  <c r="P4972" i="1"/>
  <c r="E4972" i="1"/>
  <c r="P4971" i="1"/>
  <c r="E4971" i="1"/>
  <c r="P4970" i="1"/>
  <c r="E4970" i="1"/>
  <c r="P4969" i="1"/>
  <c r="E4969" i="1"/>
  <c r="P4968" i="1"/>
  <c r="E4968" i="1"/>
  <c r="P4967" i="1"/>
  <c r="E4967" i="1"/>
  <c r="P4966" i="1"/>
  <c r="E4966" i="1"/>
  <c r="P4965" i="1"/>
  <c r="E4965" i="1"/>
  <c r="P4964" i="1"/>
  <c r="E4964" i="1"/>
  <c r="P4963" i="1"/>
  <c r="E4963" i="1"/>
  <c r="P4962" i="1"/>
  <c r="E4962" i="1"/>
  <c r="P4961" i="1"/>
  <c r="E4961" i="1"/>
  <c r="P4960" i="1"/>
  <c r="E4960" i="1"/>
  <c r="P4959" i="1"/>
  <c r="E4959" i="1"/>
  <c r="P4958" i="1"/>
  <c r="E4958" i="1"/>
  <c r="P4957" i="1"/>
  <c r="E4957" i="1"/>
  <c r="P4956" i="1"/>
  <c r="E4956" i="1"/>
  <c r="P4955" i="1"/>
  <c r="E4955" i="1"/>
  <c r="P4954" i="1"/>
  <c r="E4954" i="1"/>
  <c r="P4953" i="1"/>
  <c r="E4953" i="1"/>
  <c r="P4952" i="1"/>
  <c r="E4952" i="1"/>
  <c r="P4951" i="1"/>
  <c r="E4951" i="1"/>
  <c r="P4950" i="1"/>
  <c r="E4950" i="1"/>
  <c r="P4949" i="1"/>
  <c r="E4949" i="1"/>
  <c r="P4948" i="1"/>
  <c r="E4948" i="1"/>
  <c r="P4947" i="1"/>
  <c r="E4947" i="1"/>
  <c r="P4946" i="1"/>
  <c r="E4946" i="1"/>
  <c r="P4945" i="1"/>
  <c r="E4945" i="1"/>
  <c r="P4944" i="1"/>
  <c r="E4944" i="1"/>
  <c r="P4943" i="1"/>
  <c r="E4943" i="1"/>
  <c r="P4942" i="1"/>
  <c r="E4942" i="1"/>
  <c r="P4941" i="1"/>
  <c r="E4941" i="1"/>
  <c r="P4940" i="1"/>
  <c r="E4940" i="1"/>
  <c r="P4939" i="1"/>
  <c r="E4939" i="1"/>
  <c r="P4938" i="1"/>
  <c r="E4938" i="1"/>
  <c r="P4937" i="1"/>
  <c r="E4937" i="1"/>
  <c r="P4936" i="1"/>
  <c r="E4936" i="1"/>
  <c r="P4935" i="1"/>
  <c r="E4935" i="1"/>
  <c r="P4934" i="1"/>
  <c r="E4934" i="1"/>
  <c r="P4933" i="1"/>
  <c r="E4933" i="1"/>
  <c r="P4932" i="1"/>
  <c r="E4932" i="1"/>
  <c r="P4931" i="1"/>
  <c r="E4931" i="1"/>
  <c r="P4930" i="1"/>
  <c r="E4930" i="1"/>
  <c r="P4929" i="1"/>
  <c r="E4929" i="1"/>
  <c r="P4928" i="1"/>
  <c r="E4928" i="1"/>
  <c r="P4927" i="1"/>
  <c r="E4927" i="1"/>
  <c r="P4926" i="1"/>
  <c r="E4926" i="1"/>
  <c r="P4925" i="1"/>
  <c r="E4925" i="1"/>
  <c r="P4924" i="1"/>
  <c r="E4924" i="1"/>
  <c r="P4923" i="1"/>
  <c r="E4923" i="1"/>
  <c r="P4922" i="1"/>
  <c r="E4922" i="1"/>
  <c r="P4921" i="1"/>
  <c r="E4921" i="1"/>
  <c r="P4920" i="1"/>
  <c r="E4920" i="1"/>
  <c r="P4919" i="1"/>
  <c r="E4919" i="1"/>
  <c r="P4918" i="1"/>
  <c r="E4918" i="1"/>
  <c r="P4917" i="1"/>
  <c r="E4917" i="1"/>
  <c r="P4916" i="1"/>
  <c r="E4916" i="1"/>
  <c r="P4915" i="1"/>
  <c r="E4915" i="1"/>
  <c r="P4914" i="1"/>
  <c r="E4914" i="1"/>
  <c r="P4913" i="1"/>
  <c r="E4913" i="1"/>
  <c r="P4912" i="1"/>
  <c r="E4912" i="1"/>
  <c r="P4911" i="1"/>
  <c r="E4911" i="1"/>
  <c r="P4910" i="1"/>
  <c r="E4910" i="1"/>
  <c r="P4909" i="1"/>
  <c r="E4909" i="1"/>
  <c r="P4908" i="1"/>
  <c r="E4908" i="1"/>
  <c r="P4907" i="1"/>
  <c r="E4907" i="1"/>
  <c r="P4906" i="1"/>
  <c r="E4906" i="1"/>
  <c r="P4905" i="1"/>
  <c r="E4905" i="1"/>
  <c r="P4904" i="1"/>
  <c r="E4904" i="1"/>
  <c r="P4903" i="1"/>
  <c r="E4903" i="1"/>
  <c r="P4902" i="1"/>
  <c r="E4902" i="1"/>
  <c r="P4901" i="1"/>
  <c r="E4901" i="1"/>
  <c r="P4900" i="1"/>
  <c r="E4900" i="1"/>
  <c r="P4899" i="1"/>
  <c r="E4899" i="1"/>
  <c r="P4898" i="1"/>
  <c r="E4898" i="1"/>
  <c r="P4897" i="1"/>
  <c r="E4897" i="1"/>
  <c r="P4896" i="1"/>
  <c r="E4896" i="1"/>
  <c r="P4895" i="1"/>
  <c r="E4895" i="1"/>
  <c r="P4894" i="1"/>
  <c r="E4894" i="1"/>
  <c r="P4893" i="1"/>
  <c r="E4893" i="1"/>
  <c r="P4892" i="1"/>
  <c r="E4892" i="1"/>
  <c r="P4891" i="1"/>
  <c r="E4891" i="1"/>
  <c r="P4890" i="1"/>
  <c r="E4890" i="1"/>
  <c r="P4889" i="1"/>
  <c r="E4889" i="1"/>
  <c r="P4888" i="1"/>
  <c r="E4888" i="1"/>
  <c r="P4887" i="1"/>
  <c r="E4887" i="1"/>
  <c r="P4886" i="1"/>
  <c r="E4886" i="1"/>
  <c r="P4885" i="1"/>
  <c r="E4885" i="1"/>
  <c r="P4884" i="1"/>
  <c r="E4884" i="1"/>
  <c r="P4883" i="1"/>
  <c r="E4883" i="1"/>
  <c r="P4882" i="1"/>
  <c r="E4882" i="1"/>
  <c r="P4881" i="1"/>
  <c r="E4881" i="1"/>
  <c r="P4880" i="1"/>
  <c r="E4880" i="1"/>
  <c r="P4879" i="1"/>
  <c r="E4879" i="1"/>
  <c r="P4878" i="1"/>
  <c r="E4878" i="1"/>
  <c r="P4877" i="1"/>
  <c r="E4877" i="1"/>
  <c r="P4876" i="1"/>
  <c r="E4876" i="1"/>
  <c r="P4875" i="1"/>
  <c r="E4875" i="1"/>
  <c r="P4874" i="1"/>
  <c r="E4874" i="1"/>
  <c r="P4873" i="1"/>
  <c r="E4873" i="1"/>
  <c r="P4872" i="1"/>
  <c r="E4872" i="1"/>
  <c r="P4871" i="1"/>
  <c r="E4871" i="1"/>
  <c r="P4870" i="1"/>
  <c r="E4870" i="1"/>
  <c r="P4869" i="1"/>
  <c r="E4869" i="1"/>
  <c r="P4868" i="1"/>
  <c r="E4868" i="1"/>
  <c r="P4867" i="1"/>
  <c r="E4867" i="1"/>
  <c r="P4866" i="1"/>
  <c r="E4866" i="1"/>
  <c r="P4865" i="1"/>
  <c r="E4865" i="1"/>
  <c r="P4864" i="1"/>
  <c r="E4864" i="1"/>
  <c r="P4863" i="1"/>
  <c r="E4863" i="1"/>
  <c r="P4862" i="1"/>
  <c r="E4862" i="1"/>
  <c r="P4861" i="1"/>
  <c r="E4861" i="1"/>
  <c r="P4860" i="1"/>
  <c r="E4860" i="1"/>
  <c r="P4859" i="1"/>
  <c r="E4859" i="1"/>
  <c r="P4858" i="1"/>
  <c r="E4858" i="1"/>
  <c r="P4857" i="1"/>
  <c r="E4857" i="1"/>
  <c r="P4856" i="1"/>
  <c r="E4856" i="1"/>
  <c r="P4855" i="1"/>
  <c r="E4855" i="1"/>
  <c r="P4854" i="1"/>
  <c r="E4854" i="1"/>
  <c r="P4853" i="1"/>
  <c r="E4853" i="1"/>
  <c r="P4852" i="1"/>
  <c r="E4852" i="1"/>
  <c r="P4851" i="1"/>
  <c r="E4851" i="1"/>
  <c r="P4850" i="1"/>
  <c r="E4850" i="1"/>
  <c r="P4849" i="1"/>
  <c r="E4849" i="1"/>
  <c r="P4848" i="1"/>
  <c r="E4848" i="1"/>
  <c r="P4847" i="1"/>
  <c r="E4847" i="1"/>
  <c r="P4846" i="1"/>
  <c r="E4846" i="1"/>
  <c r="P4845" i="1"/>
  <c r="E4845" i="1"/>
  <c r="P4844" i="1"/>
  <c r="E4844" i="1"/>
  <c r="P4843" i="1"/>
  <c r="E4843" i="1"/>
  <c r="P4842" i="1"/>
  <c r="E4842" i="1"/>
  <c r="P4841" i="1"/>
  <c r="E4841" i="1"/>
  <c r="P4840" i="1"/>
  <c r="E4840" i="1"/>
  <c r="P4839" i="1"/>
  <c r="E4839" i="1"/>
  <c r="P4838" i="1"/>
  <c r="E4838" i="1"/>
  <c r="P4837" i="1"/>
  <c r="E4837" i="1"/>
  <c r="P4836" i="1"/>
  <c r="E4836" i="1"/>
  <c r="P4835" i="1"/>
  <c r="E4835" i="1"/>
  <c r="P4834" i="1"/>
  <c r="E4834" i="1"/>
  <c r="P4833" i="1"/>
  <c r="E4833" i="1"/>
  <c r="P4832" i="1"/>
  <c r="E4832" i="1"/>
  <c r="P4831" i="1"/>
  <c r="E4831" i="1"/>
  <c r="P4830" i="1"/>
  <c r="E4830" i="1"/>
  <c r="P4829" i="1"/>
  <c r="E4829" i="1"/>
  <c r="P4828" i="1"/>
  <c r="E4828" i="1"/>
  <c r="P4827" i="1"/>
  <c r="E4827" i="1"/>
  <c r="P4826" i="1"/>
  <c r="E4826" i="1"/>
  <c r="P4825" i="1"/>
  <c r="E4825" i="1"/>
  <c r="P4824" i="1"/>
  <c r="E4824" i="1"/>
  <c r="P4823" i="1"/>
  <c r="E4823" i="1"/>
  <c r="P4822" i="1"/>
  <c r="E4822" i="1"/>
  <c r="P4821" i="1"/>
  <c r="E4821" i="1"/>
  <c r="P4820" i="1"/>
  <c r="E4820" i="1"/>
  <c r="P4819" i="1"/>
  <c r="E4819" i="1"/>
  <c r="P4818" i="1"/>
  <c r="E4818" i="1"/>
  <c r="P4817" i="1"/>
  <c r="E4817" i="1"/>
  <c r="P4816" i="1"/>
  <c r="E4816" i="1"/>
  <c r="P4815" i="1"/>
  <c r="E4815" i="1"/>
  <c r="P4814" i="1"/>
  <c r="E4814" i="1"/>
  <c r="P4813" i="1"/>
  <c r="E4813" i="1"/>
  <c r="P4812" i="1"/>
  <c r="E4812" i="1"/>
  <c r="P4811" i="1"/>
  <c r="E4811" i="1"/>
  <c r="P4810" i="1"/>
  <c r="E4810" i="1"/>
  <c r="P4809" i="1"/>
  <c r="E4809" i="1"/>
  <c r="P4808" i="1"/>
  <c r="E4808" i="1"/>
  <c r="P4807" i="1"/>
  <c r="E4807" i="1"/>
  <c r="P4806" i="1"/>
  <c r="E4806" i="1"/>
  <c r="P4805" i="1"/>
  <c r="E4805" i="1"/>
  <c r="P4804" i="1"/>
  <c r="E4804" i="1"/>
  <c r="P4803" i="1"/>
  <c r="E4803" i="1"/>
  <c r="P4802" i="1"/>
  <c r="E4802" i="1"/>
  <c r="P4801" i="1"/>
  <c r="E4801" i="1"/>
  <c r="P4800" i="1"/>
  <c r="E4800" i="1"/>
  <c r="P4799" i="1"/>
  <c r="E4799" i="1"/>
  <c r="P4798" i="1"/>
  <c r="E4798" i="1"/>
  <c r="P4797" i="1"/>
  <c r="E4797" i="1"/>
  <c r="P4796" i="1"/>
  <c r="E4796" i="1"/>
  <c r="P4795" i="1"/>
  <c r="E4795" i="1"/>
  <c r="P4794" i="1"/>
  <c r="E4794" i="1"/>
  <c r="P4793" i="1"/>
  <c r="E4793" i="1"/>
  <c r="P4792" i="1"/>
  <c r="E4792" i="1"/>
  <c r="P4791" i="1"/>
  <c r="E4791" i="1"/>
  <c r="P4790" i="1"/>
  <c r="E4790" i="1"/>
  <c r="P4789" i="1"/>
  <c r="E4789" i="1"/>
  <c r="P4788" i="1"/>
  <c r="E4788" i="1"/>
  <c r="P4787" i="1"/>
  <c r="E4787" i="1"/>
  <c r="P4786" i="1"/>
  <c r="E4786" i="1"/>
  <c r="P4785" i="1"/>
  <c r="E4785" i="1"/>
  <c r="P4784" i="1"/>
  <c r="E4784" i="1"/>
  <c r="P4783" i="1"/>
  <c r="E4783" i="1"/>
  <c r="P4782" i="1"/>
  <c r="E4782" i="1"/>
  <c r="P4781" i="1"/>
  <c r="E4781" i="1"/>
  <c r="P4780" i="1"/>
  <c r="E4780" i="1"/>
  <c r="P4779" i="1"/>
  <c r="E4779" i="1"/>
  <c r="P4778" i="1"/>
  <c r="E4778" i="1"/>
  <c r="P4777" i="1"/>
  <c r="E4777" i="1"/>
  <c r="P4776" i="1"/>
  <c r="E4776" i="1"/>
  <c r="P4775" i="1"/>
  <c r="E4775" i="1"/>
  <c r="P4774" i="1"/>
  <c r="E4774" i="1"/>
  <c r="P4773" i="1"/>
  <c r="E4773" i="1"/>
  <c r="P4772" i="1"/>
  <c r="E4772" i="1"/>
  <c r="P4771" i="1"/>
  <c r="E4771" i="1"/>
  <c r="P4770" i="1"/>
  <c r="E4770" i="1"/>
  <c r="P4769" i="1"/>
  <c r="E4769" i="1"/>
  <c r="P4768" i="1"/>
  <c r="E4768" i="1"/>
  <c r="P4767" i="1"/>
  <c r="E4767" i="1"/>
  <c r="P4766" i="1"/>
  <c r="E4766" i="1"/>
  <c r="P4765" i="1"/>
  <c r="E4765" i="1"/>
  <c r="P4764" i="1"/>
  <c r="E4764" i="1"/>
  <c r="P4763" i="1"/>
  <c r="E4763" i="1"/>
  <c r="P4762" i="1"/>
  <c r="E4762" i="1"/>
  <c r="P4761" i="1"/>
  <c r="E4761" i="1"/>
  <c r="P4760" i="1"/>
  <c r="E4760" i="1"/>
  <c r="P4759" i="1"/>
  <c r="E4759" i="1"/>
  <c r="P4758" i="1"/>
  <c r="E4758" i="1"/>
  <c r="P4757" i="1"/>
  <c r="E4757" i="1"/>
  <c r="P4756" i="1"/>
  <c r="E4756" i="1"/>
  <c r="P4755" i="1"/>
  <c r="E4755" i="1"/>
  <c r="P4754" i="1"/>
  <c r="E4754" i="1"/>
  <c r="P4753" i="1"/>
  <c r="E4753" i="1"/>
  <c r="P4752" i="1"/>
  <c r="E4752" i="1"/>
  <c r="P4751" i="1"/>
  <c r="E4751" i="1"/>
  <c r="P4750" i="1"/>
  <c r="E4750" i="1"/>
  <c r="P4749" i="1"/>
  <c r="E4749" i="1"/>
  <c r="P4748" i="1"/>
  <c r="E4748" i="1"/>
  <c r="P4747" i="1"/>
  <c r="E4747" i="1"/>
  <c r="P4746" i="1"/>
  <c r="E4746" i="1"/>
  <c r="P4745" i="1"/>
  <c r="E4745" i="1"/>
  <c r="P4744" i="1"/>
  <c r="E4744" i="1"/>
  <c r="P4743" i="1"/>
  <c r="E4743" i="1"/>
  <c r="P4742" i="1"/>
  <c r="E4742" i="1"/>
  <c r="P4741" i="1"/>
  <c r="E4741" i="1"/>
  <c r="P4740" i="1"/>
  <c r="E4740" i="1"/>
  <c r="P4739" i="1"/>
  <c r="E4739" i="1"/>
  <c r="P4738" i="1"/>
  <c r="E4738" i="1"/>
  <c r="P4737" i="1"/>
  <c r="E4737" i="1"/>
  <c r="P4736" i="1"/>
  <c r="E4736" i="1"/>
  <c r="P4735" i="1"/>
  <c r="E4735" i="1"/>
  <c r="P4734" i="1"/>
  <c r="E4734" i="1"/>
  <c r="P4733" i="1"/>
  <c r="E4733" i="1"/>
  <c r="P4732" i="1"/>
  <c r="E4732" i="1"/>
  <c r="P4731" i="1"/>
  <c r="E4731" i="1"/>
  <c r="P4730" i="1"/>
  <c r="E4730" i="1"/>
  <c r="P4729" i="1"/>
  <c r="E4729" i="1"/>
  <c r="P4728" i="1"/>
  <c r="E4728" i="1"/>
  <c r="P4727" i="1"/>
  <c r="E4727" i="1"/>
  <c r="P4726" i="1"/>
  <c r="E4726" i="1"/>
  <c r="P4725" i="1"/>
  <c r="E4725" i="1"/>
  <c r="P4724" i="1"/>
  <c r="E4724" i="1"/>
  <c r="P4723" i="1"/>
  <c r="E4723" i="1"/>
  <c r="P4722" i="1"/>
  <c r="E4722" i="1"/>
  <c r="P4721" i="1"/>
  <c r="E4721" i="1"/>
  <c r="P4720" i="1"/>
  <c r="E4720" i="1"/>
  <c r="P4719" i="1"/>
  <c r="E4719" i="1"/>
  <c r="P4718" i="1"/>
  <c r="E4718" i="1"/>
  <c r="P4717" i="1"/>
  <c r="E4717" i="1"/>
  <c r="P4716" i="1"/>
  <c r="E4716" i="1"/>
  <c r="P4715" i="1"/>
  <c r="E4715" i="1"/>
  <c r="P4714" i="1"/>
  <c r="E4714" i="1"/>
  <c r="P4713" i="1"/>
  <c r="E4713" i="1"/>
  <c r="P4712" i="1"/>
  <c r="E4712" i="1"/>
  <c r="P4711" i="1"/>
  <c r="E4711" i="1"/>
  <c r="P4710" i="1"/>
  <c r="E4710" i="1"/>
  <c r="P4709" i="1"/>
  <c r="E4709" i="1"/>
  <c r="P4708" i="1"/>
  <c r="E4708" i="1"/>
  <c r="P4707" i="1"/>
  <c r="E4707" i="1"/>
  <c r="P4706" i="1"/>
  <c r="E4706" i="1"/>
  <c r="P4705" i="1"/>
  <c r="E4705" i="1"/>
  <c r="P4704" i="1"/>
  <c r="E4704" i="1"/>
  <c r="P4703" i="1"/>
  <c r="E4703" i="1"/>
  <c r="P4702" i="1"/>
  <c r="E4702" i="1"/>
  <c r="P4701" i="1"/>
  <c r="E4701" i="1"/>
  <c r="P4700" i="1"/>
  <c r="E4700" i="1"/>
  <c r="P4699" i="1"/>
  <c r="E4699" i="1"/>
  <c r="P4698" i="1"/>
  <c r="E4698" i="1"/>
  <c r="P4697" i="1"/>
  <c r="E4697" i="1"/>
  <c r="P4696" i="1"/>
  <c r="E4696" i="1"/>
  <c r="P4695" i="1"/>
  <c r="E4695" i="1"/>
  <c r="P4694" i="1"/>
  <c r="E4694" i="1"/>
  <c r="P4693" i="1"/>
  <c r="E4693" i="1"/>
  <c r="P4692" i="1"/>
  <c r="E4692" i="1"/>
  <c r="P4691" i="1"/>
  <c r="E4691" i="1"/>
  <c r="P4690" i="1"/>
  <c r="E4690" i="1"/>
  <c r="P4689" i="1"/>
  <c r="E4689" i="1"/>
  <c r="P4688" i="1"/>
  <c r="E4688" i="1"/>
  <c r="P4687" i="1"/>
  <c r="E4687" i="1"/>
  <c r="P4686" i="1"/>
  <c r="E4686" i="1"/>
  <c r="P4685" i="1"/>
  <c r="E4685" i="1"/>
  <c r="P4684" i="1"/>
  <c r="E4684" i="1"/>
  <c r="P4683" i="1"/>
  <c r="E4683" i="1"/>
  <c r="P4682" i="1"/>
  <c r="E4682" i="1"/>
  <c r="P4681" i="1"/>
  <c r="E4681" i="1"/>
  <c r="P4680" i="1"/>
  <c r="E4680" i="1"/>
  <c r="P4679" i="1"/>
  <c r="E4679" i="1"/>
  <c r="P4678" i="1"/>
  <c r="E4678" i="1"/>
  <c r="P4677" i="1"/>
  <c r="E4677" i="1"/>
  <c r="P4676" i="1"/>
  <c r="E4676" i="1"/>
  <c r="P4675" i="1"/>
  <c r="E4675" i="1"/>
  <c r="P4674" i="1"/>
  <c r="E4674" i="1"/>
  <c r="P4673" i="1"/>
  <c r="E4673" i="1"/>
  <c r="P4672" i="1"/>
  <c r="E4672" i="1"/>
  <c r="P4671" i="1"/>
  <c r="E4671" i="1"/>
  <c r="P4670" i="1"/>
  <c r="E4670" i="1"/>
  <c r="P4669" i="1"/>
  <c r="E4669" i="1"/>
  <c r="P4668" i="1"/>
  <c r="E4668" i="1"/>
  <c r="P4667" i="1"/>
  <c r="E4667" i="1"/>
  <c r="P4666" i="1"/>
  <c r="E4666" i="1"/>
  <c r="P4665" i="1"/>
  <c r="E4665" i="1"/>
  <c r="P4664" i="1"/>
  <c r="E4664" i="1"/>
  <c r="P4663" i="1"/>
  <c r="E4663" i="1"/>
  <c r="P4662" i="1"/>
  <c r="E4662" i="1"/>
  <c r="P4661" i="1"/>
  <c r="E4661" i="1"/>
  <c r="P4660" i="1"/>
  <c r="E4660" i="1"/>
  <c r="P4659" i="1"/>
  <c r="E4659" i="1"/>
  <c r="P4658" i="1"/>
  <c r="E4658" i="1"/>
  <c r="P4657" i="1"/>
  <c r="E4657" i="1"/>
  <c r="P4656" i="1"/>
  <c r="E4656" i="1"/>
  <c r="P4655" i="1"/>
  <c r="E4655" i="1"/>
  <c r="P4654" i="1"/>
  <c r="E4654" i="1"/>
  <c r="P4653" i="1"/>
  <c r="E4653" i="1"/>
  <c r="P4652" i="1"/>
  <c r="E4652" i="1"/>
  <c r="P4651" i="1"/>
  <c r="E4651" i="1"/>
  <c r="P4650" i="1"/>
  <c r="E4650" i="1"/>
  <c r="P4649" i="1"/>
  <c r="E4649" i="1"/>
  <c r="P4648" i="1"/>
  <c r="E4648" i="1"/>
  <c r="P4647" i="1"/>
  <c r="E4647" i="1"/>
  <c r="P4646" i="1"/>
  <c r="E4646" i="1"/>
  <c r="P4645" i="1"/>
  <c r="E4645" i="1"/>
  <c r="P4644" i="1"/>
  <c r="E4644" i="1"/>
  <c r="P4643" i="1"/>
  <c r="E4643" i="1"/>
  <c r="P4642" i="1"/>
  <c r="E4642" i="1"/>
  <c r="P4641" i="1"/>
  <c r="E4641" i="1"/>
  <c r="P4640" i="1"/>
  <c r="E4640" i="1"/>
  <c r="P4639" i="1"/>
  <c r="E4639" i="1"/>
  <c r="P4638" i="1"/>
  <c r="E4638" i="1"/>
  <c r="P4637" i="1"/>
  <c r="E4637" i="1"/>
  <c r="P4636" i="1"/>
  <c r="E4636" i="1"/>
  <c r="P4635" i="1"/>
  <c r="E4635" i="1"/>
  <c r="P4634" i="1"/>
  <c r="E4634" i="1"/>
  <c r="P4633" i="1"/>
  <c r="E4633" i="1"/>
  <c r="P4632" i="1"/>
  <c r="E4632" i="1"/>
  <c r="P4631" i="1"/>
  <c r="E4631" i="1"/>
  <c r="P4630" i="1"/>
  <c r="E4630" i="1"/>
  <c r="P4629" i="1"/>
  <c r="E4629" i="1"/>
  <c r="P4628" i="1"/>
  <c r="E4628" i="1"/>
  <c r="P4627" i="1"/>
  <c r="E4627" i="1"/>
  <c r="P4626" i="1"/>
  <c r="E4626" i="1"/>
  <c r="P4625" i="1"/>
  <c r="E4625" i="1"/>
  <c r="P4624" i="1"/>
  <c r="E4624" i="1"/>
  <c r="P4623" i="1"/>
  <c r="E4623" i="1"/>
  <c r="P4622" i="1"/>
  <c r="E4622" i="1"/>
  <c r="P4621" i="1"/>
  <c r="E4621" i="1"/>
  <c r="P4620" i="1"/>
  <c r="E4620" i="1"/>
  <c r="P4619" i="1"/>
  <c r="E4619" i="1"/>
  <c r="P4618" i="1"/>
  <c r="E4618" i="1"/>
  <c r="P4617" i="1"/>
  <c r="E4617" i="1"/>
  <c r="P4616" i="1"/>
  <c r="E4616" i="1"/>
  <c r="P4615" i="1"/>
  <c r="E4615" i="1"/>
  <c r="P4614" i="1"/>
  <c r="E4614" i="1"/>
  <c r="P4613" i="1"/>
  <c r="E4613" i="1"/>
  <c r="P4612" i="1"/>
  <c r="E4612" i="1"/>
  <c r="P4611" i="1"/>
  <c r="E4611" i="1"/>
  <c r="P4610" i="1"/>
  <c r="E4610" i="1"/>
  <c r="P4609" i="1"/>
  <c r="E4609" i="1"/>
  <c r="P4608" i="1"/>
  <c r="E4608" i="1"/>
  <c r="P4607" i="1"/>
  <c r="E4607" i="1"/>
  <c r="P4606" i="1"/>
  <c r="E4606" i="1"/>
  <c r="P4605" i="1"/>
  <c r="E4605" i="1"/>
  <c r="P4604" i="1"/>
  <c r="E4604" i="1"/>
  <c r="P4603" i="1"/>
  <c r="E4603" i="1"/>
  <c r="P4602" i="1"/>
  <c r="E4602" i="1"/>
  <c r="P4601" i="1"/>
  <c r="E4601" i="1"/>
  <c r="P4600" i="1"/>
  <c r="E4600" i="1"/>
  <c r="P4599" i="1"/>
  <c r="E4599" i="1"/>
  <c r="P4598" i="1"/>
  <c r="E4598" i="1"/>
  <c r="P4597" i="1"/>
  <c r="E4597" i="1"/>
  <c r="P4596" i="1"/>
  <c r="E4596" i="1"/>
  <c r="P4595" i="1"/>
  <c r="E4595" i="1"/>
  <c r="P4594" i="1"/>
  <c r="E4594" i="1"/>
  <c r="P4593" i="1"/>
  <c r="E4593" i="1"/>
  <c r="P4592" i="1"/>
  <c r="E4592" i="1"/>
  <c r="P4591" i="1"/>
  <c r="E4591" i="1"/>
  <c r="P4590" i="1"/>
  <c r="E4590" i="1"/>
  <c r="P4589" i="1"/>
  <c r="E4589" i="1"/>
  <c r="P4588" i="1"/>
  <c r="E4588" i="1"/>
  <c r="P4587" i="1"/>
  <c r="E4587" i="1"/>
  <c r="P4586" i="1"/>
  <c r="E4586" i="1"/>
  <c r="P4585" i="1"/>
  <c r="E4585" i="1"/>
  <c r="P4584" i="1"/>
  <c r="E4584" i="1"/>
  <c r="P4583" i="1"/>
  <c r="E4583" i="1"/>
  <c r="P4582" i="1"/>
  <c r="E4582" i="1"/>
  <c r="P4581" i="1"/>
  <c r="E4581" i="1"/>
  <c r="P4580" i="1"/>
  <c r="E4580" i="1"/>
  <c r="P4579" i="1"/>
  <c r="E4579" i="1"/>
  <c r="P4578" i="1"/>
  <c r="E4578" i="1"/>
  <c r="P4577" i="1"/>
  <c r="E4577" i="1"/>
  <c r="P4576" i="1"/>
  <c r="E4576" i="1"/>
  <c r="P4575" i="1"/>
  <c r="E4575" i="1"/>
  <c r="P4574" i="1"/>
  <c r="E4574" i="1"/>
  <c r="P4573" i="1"/>
  <c r="E4573" i="1"/>
  <c r="P4572" i="1"/>
  <c r="E4572" i="1"/>
  <c r="P4571" i="1"/>
  <c r="E4571" i="1"/>
  <c r="P4570" i="1"/>
  <c r="E4570" i="1"/>
  <c r="P4569" i="1"/>
  <c r="E4569" i="1"/>
  <c r="P4568" i="1"/>
  <c r="E4568" i="1"/>
  <c r="P4567" i="1"/>
  <c r="E4567" i="1"/>
  <c r="P4566" i="1"/>
  <c r="E4566" i="1"/>
  <c r="P4565" i="1"/>
  <c r="E4565" i="1"/>
  <c r="P4564" i="1"/>
  <c r="E4564" i="1"/>
  <c r="P4563" i="1"/>
  <c r="E4563" i="1"/>
  <c r="P4562" i="1"/>
  <c r="E4562" i="1"/>
  <c r="P4561" i="1"/>
  <c r="E4561" i="1"/>
  <c r="P4560" i="1"/>
  <c r="E4560" i="1"/>
  <c r="P4559" i="1"/>
  <c r="E4559" i="1"/>
  <c r="P4558" i="1"/>
  <c r="E4558" i="1"/>
  <c r="P4557" i="1"/>
  <c r="E4557" i="1"/>
  <c r="P4556" i="1"/>
  <c r="E4556" i="1"/>
  <c r="P4555" i="1"/>
  <c r="E4555" i="1"/>
  <c r="P4554" i="1"/>
  <c r="E4554" i="1"/>
  <c r="P4553" i="1"/>
  <c r="E4553" i="1"/>
  <c r="P4552" i="1"/>
  <c r="E4552" i="1"/>
  <c r="P4551" i="1"/>
  <c r="E4551" i="1"/>
  <c r="P4550" i="1"/>
  <c r="E4550" i="1"/>
  <c r="P4549" i="1"/>
  <c r="E4549" i="1"/>
  <c r="P4548" i="1"/>
  <c r="E4548" i="1"/>
  <c r="P4547" i="1"/>
  <c r="E4547" i="1"/>
  <c r="P4546" i="1"/>
  <c r="E4546" i="1"/>
  <c r="P4545" i="1"/>
  <c r="E4545" i="1"/>
  <c r="P4544" i="1"/>
  <c r="E4544" i="1"/>
  <c r="P4543" i="1"/>
  <c r="E4543" i="1"/>
  <c r="P4542" i="1"/>
  <c r="E4542" i="1"/>
  <c r="P4541" i="1"/>
  <c r="E4541" i="1"/>
  <c r="P4540" i="1"/>
  <c r="E4540" i="1"/>
  <c r="P4539" i="1"/>
  <c r="E4539" i="1"/>
  <c r="P4538" i="1"/>
  <c r="E4538" i="1"/>
  <c r="P4537" i="1"/>
  <c r="E4537" i="1"/>
  <c r="P4536" i="1"/>
  <c r="E4536" i="1"/>
  <c r="P4535" i="1"/>
  <c r="E4535" i="1"/>
  <c r="P4534" i="1"/>
  <c r="E4534" i="1"/>
  <c r="P4533" i="1"/>
  <c r="E4533" i="1"/>
  <c r="P4532" i="1"/>
  <c r="E4532" i="1"/>
  <c r="P4531" i="1"/>
  <c r="E4531" i="1"/>
  <c r="P4530" i="1"/>
  <c r="E4530" i="1"/>
  <c r="P4529" i="1"/>
  <c r="E4529" i="1"/>
  <c r="P4528" i="1"/>
  <c r="E4528" i="1"/>
  <c r="P4527" i="1"/>
  <c r="E4527" i="1"/>
  <c r="P4526" i="1"/>
  <c r="E4526" i="1"/>
  <c r="P4525" i="1"/>
  <c r="E4525" i="1"/>
  <c r="P4524" i="1"/>
  <c r="E4524" i="1"/>
  <c r="P4523" i="1"/>
  <c r="E4523" i="1"/>
  <c r="P4522" i="1"/>
  <c r="E4522" i="1"/>
  <c r="P4521" i="1"/>
  <c r="E4521" i="1"/>
  <c r="P4520" i="1"/>
  <c r="E4520" i="1"/>
  <c r="P4519" i="1"/>
  <c r="E4519" i="1"/>
  <c r="P4518" i="1"/>
  <c r="E4518" i="1"/>
  <c r="P4517" i="1"/>
  <c r="E4517" i="1"/>
  <c r="P4516" i="1"/>
  <c r="E4516" i="1"/>
  <c r="P4515" i="1"/>
  <c r="E4515" i="1"/>
  <c r="P4514" i="1"/>
  <c r="E4514" i="1"/>
  <c r="P4513" i="1"/>
  <c r="E4513" i="1"/>
  <c r="P4512" i="1"/>
  <c r="E4512" i="1"/>
  <c r="P4511" i="1"/>
  <c r="E4511" i="1"/>
  <c r="P4510" i="1"/>
  <c r="E4510" i="1"/>
  <c r="P4509" i="1"/>
  <c r="E4509" i="1"/>
  <c r="P4508" i="1"/>
  <c r="E4508" i="1"/>
  <c r="P4507" i="1"/>
  <c r="E4507" i="1"/>
  <c r="P4506" i="1"/>
  <c r="E4506" i="1"/>
  <c r="P4505" i="1"/>
  <c r="E4505" i="1"/>
  <c r="P4504" i="1"/>
  <c r="E4504" i="1"/>
  <c r="P4503" i="1"/>
  <c r="E4503" i="1"/>
  <c r="P4502" i="1"/>
  <c r="E4502" i="1"/>
  <c r="P4501" i="1"/>
  <c r="E4501" i="1"/>
  <c r="P4500" i="1"/>
  <c r="E4500" i="1"/>
  <c r="P4499" i="1"/>
  <c r="E4499" i="1"/>
  <c r="P4498" i="1"/>
  <c r="E4498" i="1"/>
  <c r="P4497" i="1"/>
  <c r="E4497" i="1"/>
  <c r="P4496" i="1"/>
  <c r="E4496" i="1"/>
  <c r="P4495" i="1"/>
  <c r="E4495" i="1"/>
  <c r="P4494" i="1"/>
  <c r="E4494" i="1"/>
  <c r="P4493" i="1"/>
  <c r="E4493" i="1"/>
  <c r="P4492" i="1"/>
  <c r="E4492" i="1"/>
  <c r="P4491" i="1"/>
  <c r="E4491" i="1"/>
  <c r="P4490" i="1"/>
  <c r="E4490" i="1"/>
  <c r="P4489" i="1"/>
  <c r="E4489" i="1"/>
  <c r="P4488" i="1"/>
  <c r="E4488" i="1"/>
  <c r="P4487" i="1"/>
  <c r="E4487" i="1"/>
  <c r="P4486" i="1"/>
  <c r="E4486" i="1"/>
  <c r="P4485" i="1"/>
  <c r="E4485" i="1"/>
  <c r="P4484" i="1"/>
  <c r="E4484" i="1"/>
  <c r="P4483" i="1"/>
  <c r="E4483" i="1"/>
  <c r="P4482" i="1"/>
  <c r="E4482" i="1"/>
  <c r="P4481" i="1"/>
  <c r="E4481" i="1"/>
  <c r="P4480" i="1"/>
  <c r="E4480" i="1"/>
  <c r="P4479" i="1"/>
  <c r="E4479" i="1"/>
  <c r="P4478" i="1"/>
  <c r="E4478" i="1"/>
  <c r="P4477" i="1"/>
  <c r="E4477" i="1"/>
  <c r="P4476" i="1"/>
  <c r="E4476" i="1"/>
  <c r="P4475" i="1"/>
  <c r="E4475" i="1"/>
  <c r="P4474" i="1"/>
  <c r="E4474" i="1"/>
  <c r="P4473" i="1"/>
  <c r="E4473" i="1"/>
  <c r="P4472" i="1"/>
  <c r="E4472" i="1"/>
  <c r="P4471" i="1"/>
  <c r="E4471" i="1"/>
  <c r="P4470" i="1"/>
  <c r="E4470" i="1"/>
  <c r="P4469" i="1"/>
  <c r="E4469" i="1"/>
  <c r="P4468" i="1"/>
  <c r="E4468" i="1"/>
  <c r="P4467" i="1"/>
  <c r="E4467" i="1"/>
  <c r="P4466" i="1"/>
  <c r="E4466" i="1"/>
  <c r="P4465" i="1"/>
  <c r="E4465" i="1"/>
  <c r="P4464" i="1"/>
  <c r="E4464" i="1"/>
  <c r="P4463" i="1"/>
  <c r="E4463" i="1"/>
  <c r="P4462" i="1"/>
  <c r="E4462" i="1"/>
  <c r="P4461" i="1"/>
  <c r="E4461" i="1"/>
  <c r="P4460" i="1"/>
  <c r="E4460" i="1"/>
  <c r="P4459" i="1"/>
  <c r="E4459" i="1"/>
  <c r="P4458" i="1"/>
  <c r="E4458" i="1"/>
  <c r="P4457" i="1"/>
  <c r="E4457" i="1"/>
  <c r="P4456" i="1"/>
  <c r="E4456" i="1"/>
  <c r="P4455" i="1"/>
  <c r="E4455" i="1"/>
  <c r="P4454" i="1"/>
  <c r="E4454" i="1"/>
  <c r="P4453" i="1"/>
  <c r="E4453" i="1"/>
  <c r="P4452" i="1"/>
  <c r="E4452" i="1"/>
  <c r="P4451" i="1"/>
  <c r="E4451" i="1"/>
  <c r="P4450" i="1"/>
  <c r="E4450" i="1"/>
  <c r="P4449" i="1"/>
  <c r="E4449" i="1"/>
  <c r="P4448" i="1"/>
  <c r="E4448" i="1"/>
  <c r="P4447" i="1"/>
  <c r="E4447" i="1"/>
  <c r="P4446" i="1"/>
  <c r="E4446" i="1"/>
  <c r="P4445" i="1"/>
  <c r="E4445" i="1"/>
  <c r="P4444" i="1"/>
  <c r="E4444" i="1"/>
  <c r="P4443" i="1"/>
  <c r="E4443" i="1"/>
  <c r="P4442" i="1"/>
  <c r="E4442" i="1"/>
  <c r="P4441" i="1"/>
  <c r="E4441" i="1"/>
  <c r="P4440" i="1"/>
  <c r="E4440" i="1"/>
  <c r="P4439" i="1"/>
  <c r="E4439" i="1"/>
  <c r="P4438" i="1"/>
  <c r="E4438" i="1"/>
  <c r="P4437" i="1"/>
  <c r="E4437" i="1"/>
  <c r="P4436" i="1"/>
  <c r="E4436" i="1"/>
  <c r="P4435" i="1"/>
  <c r="E4435" i="1"/>
  <c r="P4434" i="1"/>
  <c r="E4434" i="1"/>
  <c r="P4433" i="1"/>
  <c r="E4433" i="1"/>
  <c r="P4432" i="1"/>
  <c r="E4432" i="1"/>
  <c r="P4431" i="1"/>
  <c r="E4431" i="1"/>
  <c r="P4430" i="1"/>
  <c r="E4430" i="1"/>
  <c r="P4429" i="1"/>
  <c r="E4429" i="1"/>
  <c r="P4428" i="1"/>
  <c r="E4428" i="1"/>
  <c r="P4427" i="1"/>
  <c r="E4427" i="1"/>
  <c r="P4426" i="1"/>
  <c r="E4426" i="1"/>
  <c r="P4425" i="1"/>
  <c r="E4425" i="1"/>
  <c r="P4424" i="1"/>
  <c r="E4424" i="1"/>
  <c r="P4423" i="1"/>
  <c r="E4423" i="1"/>
  <c r="P4422" i="1"/>
  <c r="E4422" i="1"/>
  <c r="P4421" i="1"/>
  <c r="E4421" i="1"/>
  <c r="P4420" i="1"/>
  <c r="E4420" i="1"/>
  <c r="P4419" i="1"/>
  <c r="E4419" i="1"/>
  <c r="P4418" i="1"/>
  <c r="E4418" i="1"/>
  <c r="P4417" i="1"/>
  <c r="E4417" i="1"/>
  <c r="P4416" i="1"/>
  <c r="E4416" i="1"/>
  <c r="P4415" i="1"/>
  <c r="E4415" i="1"/>
  <c r="P4414" i="1"/>
  <c r="E4414" i="1"/>
  <c r="P4413" i="1"/>
  <c r="E4413" i="1"/>
  <c r="P4412" i="1"/>
  <c r="E4412" i="1"/>
  <c r="P4411" i="1"/>
  <c r="E4411" i="1"/>
  <c r="P4410" i="1"/>
  <c r="E4410" i="1"/>
  <c r="P4409" i="1"/>
  <c r="E4409" i="1"/>
  <c r="P4408" i="1"/>
  <c r="E4408" i="1"/>
  <c r="P4407" i="1"/>
  <c r="E4407" i="1"/>
  <c r="P4406" i="1"/>
  <c r="E4406" i="1"/>
  <c r="P4405" i="1"/>
  <c r="E4405" i="1"/>
  <c r="P4404" i="1"/>
  <c r="E4404" i="1"/>
  <c r="P4403" i="1"/>
  <c r="E4403" i="1"/>
  <c r="P4402" i="1"/>
  <c r="E4402" i="1"/>
  <c r="P4401" i="1"/>
  <c r="E4401" i="1"/>
  <c r="P4400" i="1"/>
  <c r="E4400" i="1"/>
  <c r="P4399" i="1"/>
  <c r="E4399" i="1"/>
  <c r="P4398" i="1"/>
  <c r="E4398" i="1"/>
  <c r="P4397" i="1"/>
  <c r="E4397" i="1"/>
  <c r="P4396" i="1"/>
  <c r="E4396" i="1"/>
  <c r="P4395" i="1"/>
  <c r="E4395" i="1"/>
  <c r="P4394" i="1"/>
  <c r="E4394" i="1"/>
  <c r="P4393" i="1"/>
  <c r="E4393" i="1"/>
  <c r="P4392" i="1"/>
  <c r="E4392" i="1"/>
  <c r="P4391" i="1"/>
  <c r="E4391" i="1"/>
  <c r="P4390" i="1"/>
  <c r="E4390" i="1"/>
  <c r="P4389" i="1"/>
  <c r="E4389" i="1"/>
  <c r="P4388" i="1"/>
  <c r="E4388" i="1"/>
  <c r="P4387" i="1"/>
  <c r="E4387" i="1"/>
  <c r="P4386" i="1"/>
  <c r="E4386" i="1"/>
  <c r="P4385" i="1"/>
  <c r="E4385" i="1"/>
  <c r="P4384" i="1"/>
  <c r="E4384" i="1"/>
  <c r="P4383" i="1"/>
  <c r="E4383" i="1"/>
  <c r="P4382" i="1"/>
  <c r="E4382" i="1"/>
  <c r="P4381" i="1"/>
  <c r="E4381" i="1"/>
  <c r="P4380" i="1"/>
  <c r="E4380" i="1"/>
  <c r="P4379" i="1"/>
  <c r="E4379" i="1"/>
  <c r="P4378" i="1"/>
  <c r="E4378" i="1"/>
  <c r="P4377" i="1"/>
  <c r="E4377" i="1"/>
  <c r="P4376" i="1"/>
  <c r="E4376" i="1"/>
  <c r="P4375" i="1"/>
  <c r="E4375" i="1"/>
  <c r="P4374" i="1"/>
  <c r="E4374" i="1"/>
  <c r="P4373" i="1"/>
  <c r="E4373" i="1"/>
  <c r="P4372" i="1"/>
  <c r="E4372" i="1"/>
  <c r="P4371" i="1"/>
  <c r="E4371" i="1"/>
  <c r="P4370" i="1"/>
  <c r="E4370" i="1"/>
  <c r="P4369" i="1"/>
  <c r="E4369" i="1"/>
  <c r="P4368" i="1"/>
  <c r="E4368" i="1"/>
  <c r="P4367" i="1"/>
  <c r="E4367" i="1"/>
  <c r="P4366" i="1"/>
  <c r="E4366" i="1"/>
  <c r="P4365" i="1"/>
  <c r="E4365" i="1"/>
  <c r="P4364" i="1"/>
  <c r="E4364" i="1"/>
  <c r="P4363" i="1"/>
  <c r="E4363" i="1"/>
  <c r="P4362" i="1"/>
  <c r="E4362" i="1"/>
  <c r="P4361" i="1"/>
  <c r="E4361" i="1"/>
  <c r="P4360" i="1"/>
  <c r="E4360" i="1"/>
  <c r="P4359" i="1"/>
  <c r="E4359" i="1"/>
  <c r="P4358" i="1"/>
  <c r="E4358" i="1"/>
  <c r="P4357" i="1"/>
  <c r="E4357" i="1"/>
  <c r="P4356" i="1"/>
  <c r="E4356" i="1"/>
  <c r="P4355" i="1"/>
  <c r="E4355" i="1"/>
  <c r="P4354" i="1"/>
  <c r="E4354" i="1"/>
  <c r="P4353" i="1"/>
  <c r="E4353" i="1"/>
  <c r="P4352" i="1"/>
  <c r="E4352" i="1"/>
  <c r="P4351" i="1"/>
  <c r="E4351" i="1"/>
  <c r="P4350" i="1"/>
  <c r="E4350" i="1"/>
  <c r="P4349" i="1"/>
  <c r="E4349" i="1"/>
  <c r="P4348" i="1"/>
  <c r="E4348" i="1"/>
  <c r="P4347" i="1"/>
  <c r="E4347" i="1"/>
  <c r="P4346" i="1"/>
  <c r="E4346" i="1"/>
  <c r="P4345" i="1"/>
  <c r="E4345" i="1"/>
  <c r="P4344" i="1"/>
  <c r="E4344" i="1"/>
  <c r="P4343" i="1"/>
  <c r="E4343" i="1"/>
  <c r="P4342" i="1"/>
  <c r="E4342" i="1"/>
  <c r="P4341" i="1"/>
  <c r="E4341" i="1"/>
  <c r="P4340" i="1"/>
  <c r="E4340" i="1"/>
  <c r="P4339" i="1"/>
  <c r="E4339" i="1"/>
  <c r="P4338" i="1"/>
  <c r="E4338" i="1"/>
  <c r="P4337" i="1"/>
  <c r="E4337" i="1"/>
  <c r="P4336" i="1"/>
  <c r="E4336" i="1"/>
  <c r="P4335" i="1"/>
  <c r="E4335" i="1"/>
  <c r="P4334" i="1"/>
  <c r="E4334" i="1"/>
  <c r="P4333" i="1"/>
  <c r="E4333" i="1"/>
  <c r="P4332" i="1"/>
  <c r="E4332" i="1"/>
  <c r="P4331" i="1"/>
  <c r="E4331" i="1"/>
  <c r="P4330" i="1"/>
  <c r="E4330" i="1"/>
  <c r="P4329" i="1"/>
  <c r="E4329" i="1"/>
  <c r="P4328" i="1"/>
  <c r="E4328" i="1"/>
  <c r="P4327" i="1"/>
  <c r="E4327" i="1"/>
  <c r="P4326" i="1"/>
  <c r="E4326" i="1"/>
  <c r="P4325" i="1"/>
  <c r="E4325" i="1"/>
  <c r="P4324" i="1"/>
  <c r="E4324" i="1"/>
  <c r="P4323" i="1"/>
  <c r="E4323" i="1"/>
  <c r="P4322" i="1"/>
  <c r="E4322" i="1"/>
  <c r="P4321" i="1"/>
  <c r="E4321" i="1"/>
  <c r="P4320" i="1"/>
  <c r="E4320" i="1"/>
  <c r="P4319" i="1"/>
  <c r="E4319" i="1"/>
  <c r="P4318" i="1"/>
  <c r="E4318" i="1"/>
  <c r="P4317" i="1"/>
  <c r="E4317" i="1"/>
  <c r="P4316" i="1"/>
  <c r="E4316" i="1"/>
  <c r="P4315" i="1"/>
  <c r="E4315" i="1"/>
  <c r="P4314" i="1"/>
  <c r="E4314" i="1"/>
  <c r="P4313" i="1"/>
  <c r="E4313" i="1"/>
  <c r="P4312" i="1"/>
  <c r="E4312" i="1"/>
  <c r="P4311" i="1"/>
  <c r="E4311" i="1"/>
  <c r="P4310" i="1"/>
  <c r="E4310" i="1"/>
  <c r="P4309" i="1"/>
  <c r="E4309" i="1"/>
  <c r="P4308" i="1"/>
  <c r="E4308" i="1"/>
  <c r="P4307" i="1"/>
  <c r="E4307" i="1"/>
  <c r="P4306" i="1"/>
  <c r="E4306" i="1"/>
  <c r="P4305" i="1"/>
  <c r="E4305" i="1"/>
  <c r="P4304" i="1"/>
  <c r="E4304" i="1"/>
  <c r="P4303" i="1"/>
  <c r="E4303" i="1"/>
  <c r="P4302" i="1"/>
  <c r="E4302" i="1"/>
  <c r="P4301" i="1"/>
  <c r="E4301" i="1"/>
  <c r="P4300" i="1"/>
  <c r="E4300" i="1"/>
  <c r="P4299" i="1"/>
  <c r="E4299" i="1"/>
  <c r="P4298" i="1"/>
  <c r="E4298" i="1"/>
  <c r="P4297" i="1"/>
  <c r="E4297" i="1"/>
  <c r="P4296" i="1"/>
  <c r="E4296" i="1"/>
  <c r="P4295" i="1"/>
  <c r="E4295" i="1"/>
  <c r="P4294" i="1"/>
  <c r="E4294" i="1"/>
  <c r="P4293" i="1"/>
  <c r="E4293" i="1"/>
  <c r="P4292" i="1"/>
  <c r="E4292" i="1"/>
  <c r="P4291" i="1"/>
  <c r="E4291" i="1"/>
  <c r="P4290" i="1"/>
  <c r="E4290" i="1"/>
  <c r="P4289" i="1"/>
  <c r="E4289" i="1"/>
  <c r="P4288" i="1"/>
  <c r="E4288" i="1"/>
  <c r="P4287" i="1"/>
  <c r="E4287" i="1"/>
  <c r="P4286" i="1"/>
  <c r="E4286" i="1"/>
  <c r="P4285" i="1"/>
  <c r="E4285" i="1"/>
  <c r="P4284" i="1"/>
  <c r="E4284" i="1"/>
  <c r="P4283" i="1"/>
  <c r="E4283" i="1"/>
  <c r="P4282" i="1"/>
  <c r="E4282" i="1"/>
  <c r="P4281" i="1"/>
  <c r="E4281" i="1"/>
  <c r="P4280" i="1"/>
  <c r="E4280" i="1"/>
  <c r="P4279" i="1"/>
  <c r="E4279" i="1"/>
  <c r="P4278" i="1"/>
  <c r="E4278" i="1"/>
  <c r="P4277" i="1"/>
  <c r="E4277" i="1"/>
  <c r="P4276" i="1"/>
  <c r="E4276" i="1"/>
  <c r="P4275" i="1"/>
  <c r="E4275" i="1"/>
  <c r="P4274" i="1"/>
  <c r="E4274" i="1"/>
  <c r="P4273" i="1"/>
  <c r="E4273" i="1"/>
  <c r="P4272" i="1"/>
  <c r="E4272" i="1"/>
  <c r="P4271" i="1"/>
  <c r="E4271" i="1"/>
  <c r="P4270" i="1"/>
  <c r="E4270" i="1"/>
  <c r="P4269" i="1"/>
  <c r="E4269" i="1"/>
  <c r="P4268" i="1"/>
  <c r="E4268" i="1"/>
  <c r="P4267" i="1"/>
  <c r="E4267" i="1"/>
  <c r="P4266" i="1"/>
  <c r="E4266" i="1"/>
  <c r="P4265" i="1"/>
  <c r="E4265" i="1"/>
  <c r="P4264" i="1"/>
  <c r="E4264" i="1"/>
  <c r="P4263" i="1"/>
  <c r="E4263" i="1"/>
  <c r="P4262" i="1"/>
  <c r="E4262" i="1"/>
  <c r="P4261" i="1"/>
  <c r="E4261" i="1"/>
  <c r="P4260" i="1"/>
  <c r="E4260" i="1"/>
  <c r="P4259" i="1"/>
  <c r="E4259" i="1"/>
  <c r="P4258" i="1"/>
  <c r="E4258" i="1"/>
  <c r="P4257" i="1"/>
  <c r="E4257" i="1"/>
  <c r="P4256" i="1"/>
  <c r="E4256" i="1"/>
  <c r="P4255" i="1"/>
  <c r="E4255" i="1"/>
  <c r="P4254" i="1"/>
  <c r="E4254" i="1"/>
  <c r="P4253" i="1"/>
  <c r="E4253" i="1"/>
  <c r="P4252" i="1"/>
  <c r="E4252" i="1"/>
  <c r="P4251" i="1"/>
  <c r="E4251" i="1"/>
  <c r="P4250" i="1"/>
  <c r="E4250" i="1"/>
  <c r="P4249" i="1"/>
  <c r="E4249" i="1"/>
  <c r="P4248" i="1"/>
  <c r="E4248" i="1"/>
  <c r="P4247" i="1"/>
  <c r="E4247" i="1"/>
  <c r="P4246" i="1"/>
  <c r="E4246" i="1"/>
  <c r="P4245" i="1"/>
  <c r="E4245" i="1"/>
  <c r="P4244" i="1"/>
  <c r="E4244" i="1"/>
  <c r="P4243" i="1"/>
  <c r="E4243" i="1"/>
  <c r="P4242" i="1"/>
  <c r="E4242" i="1"/>
  <c r="P4241" i="1"/>
  <c r="E4241" i="1"/>
  <c r="P4240" i="1"/>
  <c r="E4240" i="1"/>
  <c r="P4239" i="1"/>
  <c r="E4239" i="1"/>
  <c r="P4238" i="1"/>
  <c r="E4238" i="1"/>
  <c r="P4237" i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<sst xmlns="http://schemas.openxmlformats.org/spreadsheetml/2006/main" count="98330" uniqueCount="4046">
  <si>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</si>
  <si>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</si>
  <si>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</si>
  <si>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</si>
  <si>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</si>
  <si>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</si>
  <si>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</si>
  <si>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</si>
  <si>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</si>
  <si>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</si>
  <si>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</si>
  <si>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</si>
  <si>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</si>
  <si>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</si>
  <si>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</si>
  <si>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</si>
  <si>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</si>
  <si>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</si>
  <si>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</si>
  <si>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</si>
  <si>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</si>
  <si>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</si>
  <si>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</si>
  <si>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</si>
  <si>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</si>
  <si>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</si>
  <si>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</si>
  <si>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</si>
  <si>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</si>
  <si>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</si>
  <si>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</si>
  <si>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</si>
  <si>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</si>
  <si>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</si>
  <si>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</si>
  <si>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</si>
  <si>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</si>
  <si>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</si>
  <si>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</si>
  <si>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</si>
  <si>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</si>
  <si>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</si>
  <si>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</si>
  <si>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</si>
  <si>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</si>
  <si>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</si>
  <si>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</si>
  <si>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</si>
  <si>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</si>
  <si>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</si>
  <si>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</si>
  <si>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</si>
  <si>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</si>
  <si>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</si>
  <si>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</si>
  <si>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</si>
  <si>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</si>
  <si>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</si>
  <si>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</si>
  <si>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</si>
  <si>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</si>
  <si>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</si>
  <si>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</si>
  <si>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</si>
  <si>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</si>
  <si>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</si>
  <si>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</si>
  <si>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</si>
  <si>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</si>
  <si>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</si>
  <si>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</si>
  <si>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</si>
  <si>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</si>
  <si>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</si>
  <si>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</si>
  <si>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</si>
  <si>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</si>
  <si>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</si>
  <si>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</si>
  <si>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CAPET</t>
  </si>
  <si>
    <t>CAPE TOWN</t>
  </si>
  <si>
    <t xml:space="preserve">CHW DESIGN CC DURBANVILLE          </t>
  </si>
  <si>
    <t>ON1</t>
  </si>
  <si>
    <t>CHW DESIGN CC DURBANVILLE</t>
  </si>
  <si>
    <t>Gift Masinga</t>
  </si>
  <si>
    <t>noah</t>
  </si>
  <si>
    <t>no</t>
  </si>
  <si>
    <t>Missed cutoff</t>
  </si>
  <si>
    <t>jam</t>
  </si>
  <si>
    <t>FUE / DOC</t>
  </si>
  <si>
    <t>POD received from cell 0842084217 M</t>
  </si>
  <si>
    <t xml:space="preserve">PARCEL                        </t>
  </si>
  <si>
    <t>DURBA</t>
  </si>
  <si>
    <t>DURBAN</t>
  </si>
  <si>
    <t xml:space="preserve">TIGER BRANDS ( CHOCOLATE UNIT      </t>
  </si>
  <si>
    <t>DBC</t>
  </si>
  <si>
    <t>TIGER BRANDS   CHOCOLATE UNIT</t>
  </si>
  <si>
    <t>kreola</t>
  </si>
  <si>
    <t>yes</t>
  </si>
  <si>
    <t>FUE / doc</t>
  </si>
  <si>
    <t>POD received from cell 0672223699 M</t>
  </si>
  <si>
    <t xml:space="preserve">FESTO (MOVE ANALYTICS)             </t>
  </si>
  <si>
    <t>KRUGE</t>
  </si>
  <si>
    <t>KRUGERSDORP</t>
  </si>
  <si>
    <t xml:space="preserve">KRONES SOUTH AFRICA PTY LTD LA     </t>
  </si>
  <si>
    <t>KRONES SOUTH AFRICA PTY L</t>
  </si>
  <si>
    <t>GIFT MASINGA</t>
  </si>
  <si>
    <t>Bew</t>
  </si>
  <si>
    <t>DOC / FUE</t>
  </si>
  <si>
    <t>POD received from cell 0644108519 M</t>
  </si>
  <si>
    <t>PARCEL</t>
  </si>
  <si>
    <t>VEREE</t>
  </si>
  <si>
    <t>VEREENIGING</t>
  </si>
  <si>
    <t xml:space="preserve">HEINEKEN SOUTH AFRICA (PTY) LT     </t>
  </si>
  <si>
    <t>HEINEKEN SOUTH AFRICA  PT</t>
  </si>
  <si>
    <t>Pelisa</t>
  </si>
  <si>
    <t>POD received from cell 0791970159 M</t>
  </si>
  <si>
    <t>BOX</t>
  </si>
  <si>
    <t xml:space="preserve">BMG ISANDO 0165                    </t>
  </si>
  <si>
    <t>BMG ISANDO</t>
  </si>
  <si>
    <t>EMMANUEL</t>
  </si>
  <si>
    <t xml:space="preserve">FLYER                         </t>
  </si>
  <si>
    <t>PINET</t>
  </si>
  <si>
    <t>PINETOWN</t>
  </si>
  <si>
    <t xml:space="preserve">IDWALA CARBONATES DIV -IDWALA      </t>
  </si>
  <si>
    <t>IDWALA CARBONATES DIV -IDWALA</t>
  </si>
  <si>
    <t>qurisha</t>
  </si>
  <si>
    <t>POD received from cell 0663869424 M</t>
  </si>
  <si>
    <t>RUSTE</t>
  </si>
  <si>
    <t>RUSTENBURG</t>
  </si>
  <si>
    <t xml:space="preserve">RCL FOODS CONSUMER (PTY) LTD       </t>
  </si>
  <si>
    <t>RCL FOODS CONSUMER  PTY  LTD</t>
  </si>
  <si>
    <t>mogomotsi</t>
  </si>
  <si>
    <t>POD received from cell 0647443659 M</t>
  </si>
  <si>
    <t>0299</t>
  </si>
  <si>
    <t>PIET1</t>
  </si>
  <si>
    <t>PIETERMARITZBURG</t>
  </si>
  <si>
    <t xml:space="preserve">RCL FOODS CONSUMER (PTY) LTD F     </t>
  </si>
  <si>
    <t>RCL FOODS CONSUMER  PTY  LTD F</t>
  </si>
  <si>
    <t>cassim</t>
  </si>
  <si>
    <t>POD received from cell 0814478692 M</t>
  </si>
  <si>
    <t xml:space="preserve">VICTORY ELECTRICAL CC              </t>
  </si>
  <si>
    <t>VICTORY ELECTRICAL CC</t>
  </si>
  <si>
    <t>sibusio</t>
  </si>
  <si>
    <t>POD received from cell 0738058187 M</t>
  </si>
  <si>
    <t xml:space="preserve">BOX                           </t>
  </si>
  <si>
    <t>PAARL</t>
  </si>
  <si>
    <t xml:space="preserve">H.G MOLENAAR (PTY) LTD             </t>
  </si>
  <si>
    <t>H.G MOLENAAR</t>
  </si>
  <si>
    <t>Gavin</t>
  </si>
  <si>
    <t>POD received from cell 0671392487 M</t>
  </si>
  <si>
    <t>PRETO</t>
  </si>
  <si>
    <t>PRETORIA</t>
  </si>
  <si>
    <t xml:space="preserve">CSM BEARING   PNEUMATIC SUP (P     </t>
  </si>
  <si>
    <t>CSM BEARING   PNEUMATIC SUP  P</t>
  </si>
  <si>
    <t>Mia</t>
  </si>
  <si>
    <t>POD received from cell 0826975382 M</t>
  </si>
  <si>
    <t>0002</t>
  </si>
  <si>
    <t xml:space="preserve">F                             </t>
  </si>
  <si>
    <t xml:space="preserve">PROGETTO INTERNATIONAL             </t>
  </si>
  <si>
    <t>PROGETTO INTERNATIONAL</t>
  </si>
  <si>
    <t>Nico</t>
  </si>
  <si>
    <t>POD received from cell 0736418208 M</t>
  </si>
  <si>
    <t xml:space="preserve">POLYOAK PACKAGING (PTY) LTD KZ     </t>
  </si>
  <si>
    <t>POLYOAK PACKAGING  PTY  LTD KZ</t>
  </si>
  <si>
    <t>nosipho</t>
  </si>
  <si>
    <t>POD received from cell 0812584693 M</t>
  </si>
  <si>
    <t xml:space="preserve">SML BOX:                      </t>
  </si>
  <si>
    <t>PORT3</t>
  </si>
  <si>
    <t>PORT ELIZABETH</t>
  </si>
  <si>
    <t xml:space="preserve">FORD MOTOR CO. SA MANUFACTURIN     </t>
  </si>
  <si>
    <t>FORD MOTOR CO. SA MANUFACTURIN</t>
  </si>
  <si>
    <t>kurt</t>
  </si>
  <si>
    <t>POD received from cell 0711146140 M</t>
  </si>
  <si>
    <t>DESPA</t>
  </si>
  <si>
    <t>DESPATCH</t>
  </si>
  <si>
    <t xml:space="preserve">BORBET SA PTY LTD                  </t>
  </si>
  <si>
    <t>BORBET SA PTY LTD</t>
  </si>
  <si>
    <t>Asanda</t>
  </si>
  <si>
    <t>ESTCO</t>
  </si>
  <si>
    <t>ESTCOURT</t>
  </si>
  <si>
    <t xml:space="preserve">NESTLE SOUTH AFRICA                </t>
  </si>
  <si>
    <t>NESTLE SOUTH AFRICA</t>
  </si>
  <si>
    <t>sibulile</t>
  </si>
  <si>
    <t xml:space="preserve">BAGTECH INTERNATIONAL PTY LTD      </t>
  </si>
  <si>
    <t>BAGTECH INTERNATIONAL</t>
  </si>
  <si>
    <t>Wiseman</t>
  </si>
  <si>
    <t>POD received from cell 0671865619 M</t>
  </si>
  <si>
    <t xml:space="preserve">CIM AUTOMATION PTY LTD MONTAGU     </t>
  </si>
  <si>
    <t>CIM AUTOMATION PTY LTD MONTAGU</t>
  </si>
  <si>
    <t>JARELLE</t>
  </si>
  <si>
    <t xml:space="preserve">EXCEL TOOLING                      </t>
  </si>
  <si>
    <t>EXCEL TOOLING</t>
  </si>
  <si>
    <t>gwen</t>
  </si>
  <si>
    <t>Late Linehaul Delayed Beyond Skynet Control</t>
  </si>
  <si>
    <t>UAT</t>
  </si>
  <si>
    <t>POD received from cell 0608702785 M</t>
  </si>
  <si>
    <t>GERMI</t>
  </si>
  <si>
    <t>GERMISTON</t>
  </si>
  <si>
    <t xml:space="preserve">BALLENA TRADING 31 PTY LTD T A     </t>
  </si>
  <si>
    <t>BALLENA TRADING 31 PTY LTD T A</t>
  </si>
  <si>
    <t>PIERRE</t>
  </si>
  <si>
    <t xml:space="preserve">S4 INTEGRATION PTY LTD             </t>
  </si>
  <si>
    <t>S4 INTEGRATION PTY LTD</t>
  </si>
  <si>
    <t>Ayanda</t>
  </si>
  <si>
    <t>POD received from cell 0684745132 M</t>
  </si>
  <si>
    <t xml:space="preserve">JENDAMARK AUTOMATION PTY LTD P     </t>
  </si>
  <si>
    <t>JENDAMARK AUTOMATION PTY LTD P</t>
  </si>
  <si>
    <t>shaakir</t>
  </si>
  <si>
    <t xml:space="preserve">ABACUS AUTOMATION CC               </t>
  </si>
  <si>
    <t>ABACUS AUTOMATION CC</t>
  </si>
  <si>
    <t>Ann</t>
  </si>
  <si>
    <t>Emmanuel</t>
  </si>
  <si>
    <t>POD received from cell 0837323487 M</t>
  </si>
  <si>
    <t>1FLYER</t>
  </si>
  <si>
    <t xml:space="preserve">B   E CONFERENCE                   </t>
  </si>
  <si>
    <t xml:space="preserve">SUITE 139 BLOCK 3RD FLR ISLAND     </t>
  </si>
  <si>
    <t>MEGAN</t>
  </si>
  <si>
    <t>MARK</t>
  </si>
  <si>
    <t>Driver late</t>
  </si>
  <si>
    <t>col</t>
  </si>
  <si>
    <t>LICHT</t>
  </si>
  <si>
    <t>LICHTENBURG</t>
  </si>
  <si>
    <t xml:space="preserve">JAPIE GODFREY    VESCOTECH         </t>
  </si>
  <si>
    <t>JAPIE GODFREY    VESCOTECH</t>
  </si>
  <si>
    <t>SUSARA</t>
  </si>
  <si>
    <t>CYLINDER</t>
  </si>
  <si>
    <t xml:space="preserve">Continenetal Tyre                  </t>
  </si>
  <si>
    <t xml:space="preserve">FESTO                              </t>
  </si>
  <si>
    <t>PLEASE COLLECT FROM STORES</t>
  </si>
  <si>
    <t>GIFT</t>
  </si>
  <si>
    <t>Enrico Maart</t>
  </si>
  <si>
    <t>Robby</t>
  </si>
  <si>
    <t>Box</t>
  </si>
  <si>
    <t>MIDRA</t>
  </si>
  <si>
    <t>MIDRAND</t>
  </si>
  <si>
    <t xml:space="preserve">FAMOUS BRANDS MANAGEMENT           </t>
  </si>
  <si>
    <t>FAMOUS BRANDS MANAGEMENT</t>
  </si>
  <si>
    <t>chris</t>
  </si>
  <si>
    <t>FLYER</t>
  </si>
  <si>
    <t>JOHAN</t>
  </si>
  <si>
    <t>JOHANNESBURG</t>
  </si>
  <si>
    <t xml:space="preserve">DE BEERS GROUP SERVICE PTY LTD     </t>
  </si>
  <si>
    <t>DE BEERS GROUP SERVICE PTY LTD</t>
  </si>
  <si>
    <t>Siya</t>
  </si>
  <si>
    <t>POD received from cell 0834177790 M</t>
  </si>
  <si>
    <t>HEID2</t>
  </si>
  <si>
    <t>HEIDELBERG (TVL)</t>
  </si>
  <si>
    <t xml:space="preserve">INHLE NEW OPCO PROPRIETARY LIM     </t>
  </si>
  <si>
    <t>INHLE NEW OPCO PROPRIETARY LIM</t>
  </si>
  <si>
    <t>tonder</t>
  </si>
  <si>
    <t>POD received from cell 0794504670 M</t>
  </si>
  <si>
    <t>SASOL</t>
  </si>
  <si>
    <t>SASOLBURG</t>
  </si>
  <si>
    <t xml:space="preserve">COREL INSTRUMENTATION   CONTRO     </t>
  </si>
  <si>
    <t>COREL INSTRUMENTATION   CONTRO</t>
  </si>
  <si>
    <t>BENITA</t>
  </si>
  <si>
    <t>Quinton</t>
  </si>
  <si>
    <t xml:space="preserve">1FLYER                        </t>
  </si>
  <si>
    <t xml:space="preserve">SML BOX                       </t>
  </si>
  <si>
    <t>VANDE</t>
  </si>
  <si>
    <t>VANDERBIJLPARK</t>
  </si>
  <si>
    <t xml:space="preserve">JESSOP   ASSOCIATES (PTY) LTD      </t>
  </si>
  <si>
    <t>JESSOP   ASSOCIATES  PTY  LTD</t>
  </si>
  <si>
    <t>Ruaan</t>
  </si>
  <si>
    <t>POD received from cell 0658000098 M</t>
  </si>
  <si>
    <t>SML BOX</t>
  </si>
  <si>
    <t xml:space="preserve">GENERAL  PNEUMATICS KZN            </t>
  </si>
  <si>
    <t>GENERAL PNEUMATICS</t>
  </si>
  <si>
    <t>lawzi</t>
  </si>
  <si>
    <t>POD received from cell 0832797874 M</t>
  </si>
  <si>
    <t>SML BOX;</t>
  </si>
  <si>
    <t xml:space="preserve">COCA-COLA BEVERAGES SOUTH AFRI     </t>
  </si>
  <si>
    <t>COCA-COLA BEVERAGES SOUTH AFRI</t>
  </si>
  <si>
    <t>mary</t>
  </si>
  <si>
    <t>POD received from cell 0768079810 M</t>
  </si>
  <si>
    <t>0082</t>
  </si>
  <si>
    <t>UITEN</t>
  </si>
  <si>
    <t>UITENHAGE</t>
  </si>
  <si>
    <t xml:space="preserve">BENTELER SOUTH AFRICA PTY LTD      </t>
  </si>
  <si>
    <t>BENTELER SOUTH AFRICA PTY LTD</t>
  </si>
  <si>
    <t>Ricardo</t>
  </si>
  <si>
    <t>POD received from cell 0793062989 M</t>
  </si>
  <si>
    <t xml:space="preserve">NATIONAL PACKAGING SYSTEMS         </t>
  </si>
  <si>
    <t>NATIONAL PACKAGING SYSTEMS</t>
  </si>
  <si>
    <t>Moses</t>
  </si>
  <si>
    <t xml:space="preserve">BMG BELLVILLE (PTY) LTD 0120       </t>
  </si>
  <si>
    <t>BMG BELLVILLE  PTY  LTD 0120</t>
  </si>
  <si>
    <t>Reggie</t>
  </si>
  <si>
    <t>POD received from cell 0746644640 M</t>
  </si>
  <si>
    <t>cerwin</t>
  </si>
  <si>
    <t xml:space="preserve">COMPRESSED AIR EQUIPMENT DURBA     </t>
  </si>
  <si>
    <t>COMPRESSED AIR EQUIPMENT DURBA</t>
  </si>
  <si>
    <t>Ansel</t>
  </si>
  <si>
    <t>POD received from cell 0658550146 M</t>
  </si>
  <si>
    <t>BOKSB</t>
  </si>
  <si>
    <t>BOKSBURG</t>
  </si>
  <si>
    <t xml:space="preserve">RAPID INDUSTRIAL SUPPLIES PTY      </t>
  </si>
  <si>
    <t>RAPID INDUSTRIAL</t>
  </si>
  <si>
    <t>Mahlatse</t>
  </si>
  <si>
    <t>POD received from cell 0839573774 M</t>
  </si>
  <si>
    <t xml:space="preserve">ISANDO FOODS (PTY) LTD             </t>
  </si>
  <si>
    <t>ISANDO FOODS  PTY  LTD</t>
  </si>
  <si>
    <t>Marvin</t>
  </si>
  <si>
    <t>POD received from cell 0774119086 M</t>
  </si>
  <si>
    <t>EAST</t>
  </si>
  <si>
    <t>EAST LONDON</t>
  </si>
  <si>
    <t xml:space="preserve">HACKMACK ENTERPRISES T A TECHN     </t>
  </si>
  <si>
    <t>HACKMACK ENTERPRISES</t>
  </si>
  <si>
    <t>theo</t>
  </si>
  <si>
    <t>POD received from cell 0780568122 M</t>
  </si>
  <si>
    <t>ON2</t>
  </si>
  <si>
    <t xml:space="preserve">MECHANICAL CONCEPTS CC             </t>
  </si>
  <si>
    <t>MECHANICAL CONCEPTS CC</t>
  </si>
  <si>
    <t>GARY</t>
  </si>
  <si>
    <t xml:space="preserve">ISANTI GLASS 1 (PTY) LTD           </t>
  </si>
  <si>
    <t>ISANTI GLASS 1  PTY  LTD</t>
  </si>
  <si>
    <t>Maxwell</t>
  </si>
  <si>
    <t>POD received from cell 0606746779 M</t>
  </si>
  <si>
    <t>BRONK</t>
  </si>
  <si>
    <t>BRONKHORSTSPRUIT</t>
  </si>
  <si>
    <t xml:space="preserve">PAKPAL (PTY) LTD BRONKHORSTSTP     </t>
  </si>
  <si>
    <t>PAKPAL  PTY  LTD BRONKHORSTSTP</t>
  </si>
  <si>
    <t>Thomas</t>
  </si>
  <si>
    <t>POD received from cell 0608652455 M</t>
  </si>
  <si>
    <t xml:space="preserve">ALBANY BAKERIES A DIVISION OF      </t>
  </si>
  <si>
    <t>ALBANY BAKERIES A DIVISION OF</t>
  </si>
  <si>
    <t>dorah</t>
  </si>
  <si>
    <t>POD received from cell 0781810800 M</t>
  </si>
  <si>
    <t>HUMAN</t>
  </si>
  <si>
    <t>HUMANSDORP</t>
  </si>
  <si>
    <t xml:space="preserve">WOODLANDS DAIRY PTY LTD HUMANS     </t>
  </si>
  <si>
    <t>WOODLANDS DAIRY PTY LTD HUMANS</t>
  </si>
  <si>
    <t>Alwano</t>
  </si>
  <si>
    <t xml:space="preserve">AMSN INDUSTRIAL SUPPLIES (PTY)     </t>
  </si>
  <si>
    <t>AMSN INDUSTRIAL SUPPLIES  PTY</t>
  </si>
  <si>
    <t>lolitha</t>
  </si>
  <si>
    <t>POD received from cell 0627047424 M</t>
  </si>
  <si>
    <t>jeff</t>
  </si>
  <si>
    <t xml:space="preserve">MONDI SOUTH AFRICA PROPRIETARY     </t>
  </si>
  <si>
    <t>MONDI SOUTH AFRICA PROPRIETARY</t>
  </si>
  <si>
    <t>Alvin</t>
  </si>
  <si>
    <t xml:space="preserve">FRESENIUS KABI MANUFACTURING       </t>
  </si>
  <si>
    <t>FRESENIUS KABI MANUFACTURING</t>
  </si>
  <si>
    <t>Keenan</t>
  </si>
  <si>
    <t>POD received from cell 0658421544 M</t>
  </si>
  <si>
    <t xml:space="preserve">TIGER CONSUMER BRANDS LTD T A      </t>
  </si>
  <si>
    <t>TIGER CONSUMER BRANDS LTD T A</t>
  </si>
  <si>
    <t>itumeleng</t>
  </si>
  <si>
    <t>POD received from cell 0685390657 M</t>
  </si>
  <si>
    <t>ISIPI</t>
  </si>
  <si>
    <t>ISIPINGO</t>
  </si>
  <si>
    <t xml:space="preserve">THE SOUTH AFRICAN BREWERIES LT     </t>
  </si>
  <si>
    <t>THE SOUTH AFRICAN BREWERIES LT</t>
  </si>
  <si>
    <t>themba</t>
  </si>
  <si>
    <t xml:space="preserve">parcel                        </t>
  </si>
  <si>
    <t>saban</t>
  </si>
  <si>
    <t xml:space="preserve">PAILPAC (PTY) LTD                  </t>
  </si>
  <si>
    <t>PAILPAC  PTY  LTD</t>
  </si>
  <si>
    <t>lamie</t>
  </si>
  <si>
    <t xml:space="preserve">BMG PORT ELIZABETH                 </t>
  </si>
  <si>
    <t>BMG PORT ELIZABETH</t>
  </si>
  <si>
    <t>sivu</t>
  </si>
  <si>
    <t>MALME</t>
  </si>
  <si>
    <t>MALMESBURY</t>
  </si>
  <si>
    <t xml:space="preserve">HYDROMATIC T A HEADLINE TRADIN     </t>
  </si>
  <si>
    <t>HYDROMATIC</t>
  </si>
  <si>
    <t>LOUIS</t>
  </si>
  <si>
    <t xml:space="preserve">ADCOCK INGRAM HEALTHCARE (PTY)     </t>
  </si>
  <si>
    <t>ADCOCK INGRAM HEALTHCARE  PTY</t>
  </si>
  <si>
    <t>Sipho</t>
  </si>
  <si>
    <t>POD received from cell 0814028850 M</t>
  </si>
  <si>
    <t xml:space="preserve">NALEDI RINGROLLERS PTY LTD         </t>
  </si>
  <si>
    <t>NALEDI RINGROLLERS PTY LTD</t>
  </si>
  <si>
    <t>Bonakele</t>
  </si>
  <si>
    <t>POD received from cell 0711711010 M</t>
  </si>
  <si>
    <t xml:space="preserve">ACEPAK PACKAGING SYSTEMS           </t>
  </si>
  <si>
    <t>ACEPAK PACKAGING SYSTEMS</t>
  </si>
  <si>
    <t>Warren</t>
  </si>
  <si>
    <t xml:space="preserve">EGLI PRECISION ENGINEERING PTY     </t>
  </si>
  <si>
    <t>EGLI PRECISION ENGINEERING PTY</t>
  </si>
  <si>
    <t>Kumeshan</t>
  </si>
  <si>
    <t>POD received from cell 0848417301 M</t>
  </si>
  <si>
    <t>Returned to sender on waybill</t>
  </si>
  <si>
    <t>Returned to sender on waybill number R08</t>
  </si>
  <si>
    <t xml:space="preserve">ISOWAL SA (PTY) LTD                </t>
  </si>
  <si>
    <t>ISOWAL SA  PTY  LTD</t>
  </si>
  <si>
    <t>tshego</t>
  </si>
  <si>
    <t>POD received from cell 0661618209 M</t>
  </si>
  <si>
    <t>0184</t>
  </si>
  <si>
    <t>ROODE</t>
  </si>
  <si>
    <t>ROODEPOORT</t>
  </si>
  <si>
    <t xml:space="preserve">UNIVERSAL CLIPS PTY LTD            </t>
  </si>
  <si>
    <t>UNIVERSAL CLIPS PTY LTD</t>
  </si>
  <si>
    <t>Dan</t>
  </si>
  <si>
    <t>Consignee not available)</t>
  </si>
  <si>
    <t>mmd</t>
  </si>
  <si>
    <t>POD received from cell 0817753249 M</t>
  </si>
  <si>
    <t>BENON</t>
  </si>
  <si>
    <t>BENONI</t>
  </si>
  <si>
    <t xml:space="preserve">PAMODZI UNIQUE ENGINEERING (PT     </t>
  </si>
  <si>
    <t>PAMODZI UNIQUE ENGINEERING  PT</t>
  </si>
  <si>
    <t>phindiwe</t>
  </si>
  <si>
    <t xml:space="preserve">POLYOAK PACKAGING PTY LTD AERO     </t>
  </si>
  <si>
    <t>POLYOAK PACKAGING PTY LTD AERO</t>
  </si>
  <si>
    <t>Bytel</t>
  </si>
  <si>
    <t>TONGA</t>
  </si>
  <si>
    <t>TONGAAT</t>
  </si>
  <si>
    <t xml:space="preserve">SA MACHINE DESIGN (PTY) LTD BA     </t>
  </si>
  <si>
    <t>SA MACHINE DESIGN  PTY  LTD BA</t>
  </si>
  <si>
    <t>COURONEY</t>
  </si>
  <si>
    <t>POD received from cell 0769518219 M</t>
  </si>
  <si>
    <t xml:space="preserve">CONTINENTAL TYRE SA PTY LTD SI     </t>
  </si>
  <si>
    <t>CONTINENTAL TYRE SA PTY LTD SI</t>
  </si>
  <si>
    <t>nandipha</t>
  </si>
  <si>
    <t>POD received from cell 0644881838 M</t>
  </si>
  <si>
    <t xml:space="preserve">CLIFFORD MACHINES   TECHNOLOGY     </t>
  </si>
  <si>
    <t>CLIFFORD MACHINES   TECHNOLOGY</t>
  </si>
  <si>
    <t>Sindile</t>
  </si>
  <si>
    <t>POD received from cell 0625489709 M</t>
  </si>
  <si>
    <t xml:space="preserve">CLURE PROJECTS CC                  </t>
  </si>
  <si>
    <t>CLURE PROJECTS CC</t>
  </si>
  <si>
    <t>Chris</t>
  </si>
  <si>
    <t>POD received from cell 0817078010 M</t>
  </si>
  <si>
    <t>SHIFT MANAGER</t>
  </si>
  <si>
    <t>DOC / DOC / FUE / INS</t>
  </si>
  <si>
    <t>FES CUST 20250701 51 - BACK TO CUSTOMER</t>
  </si>
  <si>
    <t>HARRI</t>
  </si>
  <si>
    <t>HARRISMITH</t>
  </si>
  <si>
    <t xml:space="preserve">NESTLE SOUTH AFRICA (PTY) LTD      </t>
  </si>
  <si>
    <t>NESTLE SOUTH AFRICA  PTY  LTD</t>
  </si>
  <si>
    <t>Thobile</t>
  </si>
  <si>
    <t>POD received from cell 0638379238 M</t>
  </si>
  <si>
    <t xml:space="preserve">SIME DARBY OILS SOUTH AFRICA (     </t>
  </si>
  <si>
    <t>SIME DARBY OILS SOUTH AFRICA</t>
  </si>
  <si>
    <t xml:space="preserve">SHIFT MANAGER                 </t>
  </si>
  <si>
    <t xml:space="preserve">FES CUST 20250701 52 - BACK TO CUSTOMER </t>
  </si>
  <si>
    <t>nany</t>
  </si>
  <si>
    <t xml:space="preserve">AUTO X PTY LTD                     </t>
  </si>
  <si>
    <t>AUTO X PTY LTD</t>
  </si>
  <si>
    <t>alex</t>
  </si>
  <si>
    <t>BOTRI</t>
  </si>
  <si>
    <t>BOTRIVIER</t>
  </si>
  <si>
    <t xml:space="preserve">NLO INFORMATION SYSTEMS (PTY)      </t>
  </si>
  <si>
    <t>NLO INFORMATION SYSTEMS  PTY</t>
  </si>
  <si>
    <t xml:space="preserve">ulrick                        </t>
  </si>
  <si>
    <t xml:space="preserve">POD received from cell 0834059114 M     </t>
  </si>
  <si>
    <t xml:space="preserve">BEARING MAN GROUP PTY LTD          </t>
  </si>
  <si>
    <t>BEARING MAN GROUP</t>
  </si>
  <si>
    <t>Lefa</t>
  </si>
  <si>
    <t>MDM</t>
  </si>
  <si>
    <t>POD received from cell 0767738416 M</t>
  </si>
  <si>
    <t>SPRI3</t>
  </si>
  <si>
    <t>SPRINGS</t>
  </si>
  <si>
    <t xml:space="preserve">AS AUTOMECH SOLUTIONS              </t>
  </si>
  <si>
    <t>AS AUTOMECH SOLUTIONS</t>
  </si>
  <si>
    <t>paulos</t>
  </si>
  <si>
    <t xml:space="preserve">DALE AUTOMATION PTY LTD            </t>
  </si>
  <si>
    <t>DALE AUTOMATION PTY LTD</t>
  </si>
  <si>
    <t>Carl</t>
  </si>
  <si>
    <t>HND / FUE / DOC</t>
  </si>
  <si>
    <t>POD received from cell 0628474552 M</t>
  </si>
  <si>
    <t xml:space="preserve">GOODYEAR SOUTH AFRICA              </t>
  </si>
  <si>
    <t>GOODYEAR SOUTH AFRICA</t>
  </si>
  <si>
    <t>keanen</t>
  </si>
  <si>
    <t xml:space="preserve">BUCKLE PACKAGING PTY LTD           </t>
  </si>
  <si>
    <t>BUCKLE PACKAGING</t>
  </si>
  <si>
    <t>FOSTER</t>
  </si>
  <si>
    <t xml:space="preserve">PSA TECHNOLOGY GRP PTY LTD         </t>
  </si>
  <si>
    <t>PSA TECHNOLOGY GRP PTY LTD</t>
  </si>
  <si>
    <t>richard</t>
  </si>
  <si>
    <t>POD received from cell 0665274072 M</t>
  </si>
  <si>
    <t xml:space="preserve">NAMPAK PRODUCTS PTY LTD            </t>
  </si>
  <si>
    <t>JACO1</t>
  </si>
  <si>
    <t>JACOBS</t>
  </si>
  <si>
    <t xml:space="preserve">Gees Nayager                       </t>
  </si>
  <si>
    <t>0732407481 0314505928</t>
  </si>
  <si>
    <t>NAMPAK PRODUCTS PTY LTD</t>
  </si>
  <si>
    <t>ramesh</t>
  </si>
  <si>
    <t xml:space="preserve">CAVALETTO 98 (PTY) LTD T A PRO     </t>
  </si>
  <si>
    <t>CAVALETTO 98  PTY  LTD T A PRO</t>
  </si>
  <si>
    <t>signed</t>
  </si>
  <si>
    <t xml:space="preserve">HULAMIN OPERATIONS (PTY) LTD       </t>
  </si>
  <si>
    <t>HULAMIN OPERATIONS  PTY  LTD</t>
  </si>
  <si>
    <t xml:space="preserve">CB PNEUMATICS PTY LTD              </t>
  </si>
  <si>
    <t>CB PNEUMATICS PTY LTD</t>
  </si>
  <si>
    <t>SIGNED</t>
  </si>
  <si>
    <t xml:space="preserve">PUREM PORT ELIZABETH               </t>
  </si>
  <si>
    <t>PUREM PORT ELIZABETH</t>
  </si>
  <si>
    <t>r roy</t>
  </si>
  <si>
    <t>LOLLITA</t>
  </si>
  <si>
    <t>POD received from cell 0661437222 M</t>
  </si>
  <si>
    <t xml:space="preserve">POLYOAK PACKAGING (PTY) LTD DI     </t>
  </si>
  <si>
    <t>POLYOAK PACKAGING  PTY  LTD DI</t>
  </si>
  <si>
    <t>Tamaryn</t>
  </si>
  <si>
    <t>POD received from cell 0792230061 M</t>
  </si>
  <si>
    <t xml:space="preserve">BLACK SHEEP INDUSTRIES PTY LTD     </t>
  </si>
  <si>
    <t>BLACK SHEEP INDUSTRIES</t>
  </si>
  <si>
    <t>Chandre</t>
  </si>
  <si>
    <t>POD received from cell 0662043149 M</t>
  </si>
  <si>
    <t xml:space="preserve">MDW PNEUMATIC TRADING PTY LTD      </t>
  </si>
  <si>
    <t>MDW PNEUMATIC TRADING PTY LTD</t>
  </si>
  <si>
    <t>gilto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</si>
  <si>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</si>
  <si>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</si>
  <si>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</si>
  <si>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</si>
  <si>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</si>
  <si>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0622930487 M</t>
  </si>
  <si>
    <t>kim</t>
  </si>
  <si>
    <t xml:space="preserve">FORD MOTORING CO OF SA SIMON V     </t>
  </si>
  <si>
    <t>FORD MOTORING CO OF SA SIMON V</t>
  </si>
  <si>
    <t>k  a  moloto</t>
  </si>
  <si>
    <t>POD received from cell 0844936893 M</t>
  </si>
  <si>
    <t>0127</t>
  </si>
  <si>
    <t xml:space="preserve">LAMBDA AUTOMATION (PTY) LTD        </t>
  </si>
  <si>
    <t>LAMBDA AUTOMATION  PTY  LTD</t>
  </si>
  <si>
    <t>Sammy</t>
  </si>
  <si>
    <t>POD received from cell 0751320604 M</t>
  </si>
  <si>
    <t xml:space="preserve">GRW COMMERCIALS (PTY) LTD T A      </t>
  </si>
  <si>
    <t>GRW COMMERCIALS  PTY  LTD T A</t>
  </si>
  <si>
    <t xml:space="preserve">PETRO                         </t>
  </si>
  <si>
    <t xml:space="preserve">                                        </t>
  </si>
  <si>
    <t xml:space="preserve">GRIPPER   CO PTY LTD               </t>
  </si>
  <si>
    <t>GRIPPER   CO</t>
  </si>
  <si>
    <t>CARMEN</t>
  </si>
  <si>
    <t>POD received from cell 0764958693 M</t>
  </si>
  <si>
    <t>William</t>
  </si>
  <si>
    <t>mdm</t>
  </si>
  <si>
    <t>POD received from cell 0837842726 M</t>
  </si>
  <si>
    <t>BRAKP</t>
  </si>
  <si>
    <t>BRAKPAN</t>
  </si>
  <si>
    <t xml:space="preserve">ERGO MINING PTY LTD                </t>
  </si>
  <si>
    <t>ERGO MINING PTY LTD</t>
  </si>
  <si>
    <t>Redirect waybill on waybill nu</t>
  </si>
  <si>
    <t>Redirect waybill on waybill number R0800</t>
  </si>
  <si>
    <t>PALLET</t>
  </si>
  <si>
    <t>HEINEKEN SOUTH AFRICA  PTY  LT</t>
  </si>
  <si>
    <t>S mlab</t>
  </si>
  <si>
    <t xml:space="preserve">SIQALO FOODS PTY LTD               </t>
  </si>
  <si>
    <t>SIQALO FOODS PTY LTD</t>
  </si>
  <si>
    <t>NANDIPHA</t>
  </si>
  <si>
    <t>ALBE2</t>
  </si>
  <si>
    <t>ALBERTON</t>
  </si>
  <si>
    <t xml:space="preserve">RA VERSPREIDERS - VESCOTECH        </t>
  </si>
  <si>
    <t>RA VERSPREIDERS - VESCOTECH</t>
  </si>
  <si>
    <t>EUGENE</t>
  </si>
  <si>
    <t>POD received from cell 0649482691 M</t>
  </si>
  <si>
    <t>GONUB</t>
  </si>
  <si>
    <t>GONUBIE</t>
  </si>
  <si>
    <t xml:space="preserve">TITUS CONSULTING CC                </t>
  </si>
  <si>
    <t>TITUS CONSULTING CC</t>
  </si>
  <si>
    <t>Tristan</t>
  </si>
  <si>
    <t>POD received from cell 0664755228 M</t>
  </si>
  <si>
    <t>VERWO</t>
  </si>
  <si>
    <t>CENTURION</t>
  </si>
  <si>
    <t xml:space="preserve">PRODUCTIVE SYSTEMS CC              </t>
  </si>
  <si>
    <t>PRODUCTIVE SYSTEMS CC</t>
  </si>
  <si>
    <t>Alfred</t>
  </si>
  <si>
    <t>POD received from cell 0698970078 M</t>
  </si>
  <si>
    <t>0157</t>
  </si>
  <si>
    <t>gulto</t>
  </si>
  <si>
    <t xml:space="preserve">ANG INDUSTRIAL SOLUTIONS PTY       </t>
  </si>
  <si>
    <t>ANG INDUSTRIAL SOLUTIONS</t>
  </si>
  <si>
    <t>Lucky</t>
  </si>
  <si>
    <t>POD received from cell 0791069864 M</t>
  </si>
  <si>
    <t>DELMA</t>
  </si>
  <si>
    <t>DELMAS</t>
  </si>
  <si>
    <t xml:space="preserve">MCCAIN FOODS SOUTH AFRICA PTY      </t>
  </si>
  <si>
    <t>MCCAIN FOODS SOUTH AFRICA PTY</t>
  </si>
  <si>
    <t>Paris</t>
  </si>
  <si>
    <t>POD received from cell 0659646054 M</t>
  </si>
  <si>
    <t xml:space="preserve">YANFENG INTERNATIONAL AUTOMOTI     </t>
  </si>
  <si>
    <t>YANFENG INTERNATIONAL AUTOMATI</t>
  </si>
  <si>
    <t>zikho</t>
  </si>
  <si>
    <t>POD received from cell 0788915943 M</t>
  </si>
  <si>
    <t xml:space="preserve">CONRO PRECISION                    </t>
  </si>
  <si>
    <t>CONRO PRECISION</t>
  </si>
  <si>
    <t>W Smith</t>
  </si>
  <si>
    <t>POD received from cell 0659386993 M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</si>
  <si>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</si>
  <si>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</si>
  <si>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</si>
  <si>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</si>
  <si>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</si>
  <si>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</si>
  <si>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 xml:space="preserve">PSA Technology                     </t>
  </si>
  <si>
    <t>?</t>
  </si>
  <si>
    <t>Nkosinathi</t>
  </si>
  <si>
    <t xml:space="preserve">CIM Automation                     </t>
  </si>
  <si>
    <t>Janelle Adams</t>
  </si>
  <si>
    <t xml:space="preserve">TIGER BRANDS SNACKS   TREATS       </t>
  </si>
  <si>
    <t>TIGER BRANDS SNACKS   TREATS</t>
  </si>
  <si>
    <t>b naidoo</t>
  </si>
  <si>
    <t xml:space="preserve">KIMBERLY-CLARK S.A VENDOR: 100     </t>
  </si>
  <si>
    <t>KIMBERLY-CLARK S.A VENDOR  100</t>
  </si>
  <si>
    <t>Mbona</t>
  </si>
  <si>
    <t>bany</t>
  </si>
  <si>
    <t>VERUL</t>
  </si>
  <si>
    <t>VERULAM</t>
  </si>
  <si>
    <t xml:space="preserve">VENK-PAC PTY LTD                   </t>
  </si>
  <si>
    <t>VENK-PACK PTY LTD</t>
  </si>
  <si>
    <t xml:space="preserve">Shanice                       </t>
  </si>
  <si>
    <t xml:space="preserve">POD received from cell 0847863055 M     </t>
  </si>
  <si>
    <t>ISITH</t>
  </si>
  <si>
    <t>ISITHEBE</t>
  </si>
  <si>
    <t xml:space="preserve">SAPPI SOUTHERN AFRICA LIMITED      </t>
  </si>
  <si>
    <t>SAPPI SOUTHERN AFRICA LIMITED</t>
  </si>
  <si>
    <t>Lairance</t>
  </si>
  <si>
    <t>POD received from cell 0762222571 M</t>
  </si>
  <si>
    <t xml:space="preserve">QUALITECHS                         </t>
  </si>
  <si>
    <t>QUALITECHS</t>
  </si>
  <si>
    <t xml:space="preserve">renny                         </t>
  </si>
  <si>
    <t xml:space="preserve">POD received from cell 0767738416 M     </t>
  </si>
  <si>
    <t xml:space="preserve">BME PACKAGING CC LONGMEADOW ED     </t>
  </si>
  <si>
    <t>BME PACKAGING CC LONGMEADOW ED</t>
  </si>
  <si>
    <t>Sarah</t>
  </si>
  <si>
    <t>POD received from cell 0766412100 M</t>
  </si>
  <si>
    <t>Sibusiso</t>
  </si>
  <si>
    <t xml:space="preserve">MESCHTEC SERVICES (PTY) LTD        </t>
  </si>
  <si>
    <t>MESCHTEC SERVICES  PTY  LTD</t>
  </si>
  <si>
    <t>Ane vd  Mescht</t>
  </si>
  <si>
    <t xml:space="preserve">NATIONAL BRANDS BIS SNK DIV BI     </t>
  </si>
  <si>
    <t>NATIONAL BRANDS BIS SNK DIV</t>
  </si>
  <si>
    <t>Stanley</t>
  </si>
  <si>
    <t xml:space="preserve">NAMPAK CLOSURES EPPING 2 CAPE      </t>
  </si>
  <si>
    <t>NAMPAK CLOSURES EPPING 2 CAPE</t>
  </si>
  <si>
    <t>Melikhaya</t>
  </si>
  <si>
    <t xml:space="preserve">ADCOCK INGRAM CRITICAL CARE PT     </t>
  </si>
  <si>
    <t>ADCOCK INGRAM CRITICAL CARE PT</t>
  </si>
  <si>
    <t>Boikie</t>
  </si>
  <si>
    <t>tshepang</t>
  </si>
  <si>
    <t>POD received from cell  27 84 825 6515 M</t>
  </si>
  <si>
    <t xml:space="preserve">FILMATIC PACKAGING SYSTEMS PTY     </t>
  </si>
  <si>
    <t>FILMATIC PACKAGING SYSTEMS</t>
  </si>
  <si>
    <t>Patrick</t>
  </si>
  <si>
    <t xml:space="preserve">HAUTES TERRES D AFRIQUE CC T A     </t>
  </si>
  <si>
    <t>HAUTES TERRES D AFRIQUE CC T A</t>
  </si>
  <si>
    <t>cr714</t>
  </si>
  <si>
    <t>Other - see RNotes</t>
  </si>
  <si>
    <t xml:space="preserve">BMG EAST LONDON                    </t>
  </si>
  <si>
    <t>BMG EAST LONDON</t>
  </si>
  <si>
    <t>alipho</t>
  </si>
  <si>
    <t xml:space="preserve">TSHEPO                        </t>
  </si>
  <si>
    <t>NELSP</t>
  </si>
  <si>
    <t>NELSPRUIT</t>
  </si>
  <si>
    <t xml:space="preserve">UGEZI AUTOMATION                   </t>
  </si>
  <si>
    <t>UGEZI AUTOMATION</t>
  </si>
  <si>
    <t>Karien</t>
  </si>
  <si>
    <t>POD received from cell 0828685814 M</t>
  </si>
  <si>
    <t>spha</t>
  </si>
  <si>
    <t xml:space="preserve">VOLKSWAGEN OF SA VC3055            </t>
  </si>
  <si>
    <t>VOLKSWAGEN OF SA VC3055</t>
  </si>
  <si>
    <t>SUDY</t>
  </si>
  <si>
    <t>NKA</t>
  </si>
  <si>
    <t xml:space="preserve">RHEINMETALL LAINSDALE (PTY) LT     </t>
  </si>
  <si>
    <t>RHEINMETALL LAINSDALE  PTY  LT</t>
  </si>
  <si>
    <t>Alfonso</t>
  </si>
  <si>
    <t>POD received from cell 0720194745 M</t>
  </si>
  <si>
    <t xml:space="preserve">DKT   PARTNERS PTY LTD             </t>
  </si>
  <si>
    <t>DKT   PARTNERS PTY LTD</t>
  </si>
  <si>
    <t>priest</t>
  </si>
  <si>
    <t xml:space="preserve">FAURECIA EMISIONS CONTROL TECH     </t>
  </si>
  <si>
    <t>FAURECIA EMISIONS CONTROL TECH</t>
  </si>
  <si>
    <t>Likho</t>
  </si>
  <si>
    <t>POD received from cell 0727759089 M</t>
  </si>
  <si>
    <t xml:space="preserve">ABF SUGAR (PTY) LTD-MEADOWDALE     </t>
  </si>
  <si>
    <t>ABF SUGAR  PTY  LTD- MEADOWDAL</t>
  </si>
  <si>
    <t>zakes</t>
  </si>
  <si>
    <t>POD received from cell 0815199139 M</t>
  </si>
  <si>
    <t>RANDB</t>
  </si>
  <si>
    <t>RANDBURG</t>
  </si>
  <si>
    <t xml:space="preserve">CBZ SOLUTIONS (PTY) LTD            </t>
  </si>
  <si>
    <t>CBZ SOLUTIONS  PTY  LTD</t>
  </si>
  <si>
    <t>Karabo</t>
  </si>
  <si>
    <t>nch</t>
  </si>
  <si>
    <t>POD received from cell 0720457394 M</t>
  </si>
  <si>
    <t xml:space="preserve">DEVCOTECH JHB - LE ROUX AVE        </t>
  </si>
  <si>
    <t>DEVCOTECH JHB - LE ROUX AVE</t>
  </si>
  <si>
    <t>theunis</t>
  </si>
  <si>
    <t xml:space="preserve">PROMAX SIVEX DISTRUBUTORS CC T     </t>
  </si>
  <si>
    <t>PROMAX SIVEX DISTRUBUTORS CC T</t>
  </si>
  <si>
    <t>Lenka</t>
  </si>
  <si>
    <t>POD received from cell 0744192385 M</t>
  </si>
  <si>
    <t>0083</t>
  </si>
  <si>
    <t>ntembeko</t>
  </si>
  <si>
    <t xml:space="preserve">QUALITEC ENGINEERING CC            </t>
  </si>
  <si>
    <t>QUALITEC ENGINEERING CC</t>
  </si>
  <si>
    <t xml:space="preserve">Gilbert                       </t>
  </si>
  <si>
    <t xml:space="preserve">BOWLER PLASTICS (PTY) LTD          </t>
  </si>
  <si>
    <t>BOWLER PLASTICS  PTY  LTD</t>
  </si>
  <si>
    <t>ALFONSO</t>
  </si>
  <si>
    <t>POD received from cell 0782833197 M</t>
  </si>
  <si>
    <t>buyi</t>
  </si>
  <si>
    <t xml:space="preserve">SCOTT BADER (PTY) LTD              </t>
  </si>
  <si>
    <t>SCOTT BADER  PTY  LTD</t>
  </si>
  <si>
    <t xml:space="preserve">nomusa                        </t>
  </si>
  <si>
    <t xml:space="preserve">POD received from cell 0764180934 M     </t>
  </si>
  <si>
    <t xml:space="preserve">ROBOTIC HANDLING SYSTEMS CC        </t>
  </si>
  <si>
    <t>ROBOTIC HANDLING SYSTEMS CC</t>
  </si>
  <si>
    <t>Demetri</t>
  </si>
  <si>
    <t xml:space="preserve">AECI MINING LTD                    </t>
  </si>
  <si>
    <t>AECI MINING LTD    STEFANIE GR</t>
  </si>
  <si>
    <t>francina</t>
  </si>
  <si>
    <t>WORCE</t>
  </si>
  <si>
    <t>WORCESTER</t>
  </si>
  <si>
    <t xml:space="preserve">A.P.L CARTONS WORCESTER            </t>
  </si>
  <si>
    <t>A.P.L CARTONS WORCESTER</t>
  </si>
  <si>
    <t xml:space="preserve">jacobs                        </t>
  </si>
  <si>
    <t xml:space="preserve">POD received from cell 0813352451 M     </t>
  </si>
  <si>
    <t xml:space="preserve">LINDE AND WIEMANN (PTY) LTD        </t>
  </si>
  <si>
    <t>LINDE AND WIEMANN  PTY  LTD</t>
  </si>
  <si>
    <t>rebecca</t>
  </si>
  <si>
    <t xml:space="preserve">LION MATCH PRODUCTS (PTY) LTD      </t>
  </si>
  <si>
    <t>LION MATCH PRODUCTS  PTY  LTD</t>
  </si>
  <si>
    <t>jeany</t>
  </si>
  <si>
    <t>POD received from cell 0674000125 M</t>
  </si>
  <si>
    <t>0200</t>
  </si>
  <si>
    <t xml:space="preserve">ATLAS ELECTRO HYDRAULIC SYSTEM     </t>
  </si>
  <si>
    <t>ATLAS ELECTRO HYDRAULIC SYSTEM</t>
  </si>
  <si>
    <t>Scott</t>
  </si>
  <si>
    <t>POD received from cell 0729061309 M</t>
  </si>
  <si>
    <t>lwazi</t>
  </si>
  <si>
    <t xml:space="preserve">BMG PINETOWN                       </t>
  </si>
  <si>
    <t>BMG PINETOWN</t>
  </si>
  <si>
    <t>randel</t>
  </si>
  <si>
    <t xml:space="preserve">SHATTERPRUFE TRADING AS A DIV      </t>
  </si>
  <si>
    <t>SHATTERPRUFE TRADING AS A DIV</t>
  </si>
  <si>
    <t>Yolanda</t>
  </si>
  <si>
    <t>ALWANO</t>
  </si>
  <si>
    <t xml:space="preserve">S.A. LITHO PRINTING   PACK. (S     </t>
  </si>
  <si>
    <t>S.A. LITHO PRINTING   PACK.  S</t>
  </si>
  <si>
    <t>N  Africa</t>
  </si>
  <si>
    <t>POD received from cell 0737996477 M</t>
  </si>
  <si>
    <t xml:space="preserve">FAIR CAPE DAIRIES (PTY) LTD        </t>
  </si>
  <si>
    <t>FAIR CAPE DAIRIES  PTY  LTD</t>
  </si>
  <si>
    <t>Grant</t>
  </si>
  <si>
    <t xml:space="preserve">SMITHS MANUFACTURING               </t>
  </si>
  <si>
    <t>SMITHS MANUFACTURING</t>
  </si>
  <si>
    <t>LEV</t>
  </si>
  <si>
    <t>POD received from cell 0735736630 M</t>
  </si>
  <si>
    <t>sibusiso</t>
  </si>
  <si>
    <t>Rico</t>
  </si>
  <si>
    <t xml:space="preserve">NANDIPHA                      </t>
  </si>
  <si>
    <t xml:space="preserve">POD received from cell 0839573774 M     </t>
  </si>
  <si>
    <t xml:space="preserve">MAXION WHEELS SOUTH AFRICA PTY     </t>
  </si>
  <si>
    <t>MAXION WHEELS SOUTH AFRICA PTY</t>
  </si>
  <si>
    <t>mbongeni</t>
  </si>
  <si>
    <t>POD received from cell 0647581272 M</t>
  </si>
  <si>
    <t xml:space="preserve">UNILEVER SOUTH AFRICA PTY NLTD     </t>
  </si>
  <si>
    <t>UNILEVER SOUTH AFRICA</t>
  </si>
  <si>
    <t>PHINDA</t>
  </si>
  <si>
    <t xml:space="preserve">TOYOTA SA MOTORS (PTY) LTD PRO     </t>
  </si>
  <si>
    <t>TOYOTA SA MOTORS  PTY  LTD PRO</t>
  </si>
  <si>
    <t>sagie</t>
  </si>
  <si>
    <t xml:space="preserve">WASSERTEC OZONE SYSTEMS            </t>
  </si>
  <si>
    <t>WASSERTEC OZONE SYSTEMS</t>
  </si>
  <si>
    <t>Martin</t>
  </si>
  <si>
    <t>POTCH</t>
  </si>
  <si>
    <t>POTCHEFSTROOM</t>
  </si>
  <si>
    <t xml:space="preserve">VESCOTECH                          </t>
  </si>
  <si>
    <t>VESCOTECH</t>
  </si>
  <si>
    <t>Trymore</t>
  </si>
  <si>
    <t>POD received from cell 0733833839 M</t>
  </si>
  <si>
    <t>H.G MOLENAAR  PTY  LTD</t>
  </si>
  <si>
    <t xml:space="preserve">MAVTECH TECHNOLOGIES (PTY) LTD     </t>
  </si>
  <si>
    <t>MAVTECH TECHNOLOGIES  PTY  LTD</t>
  </si>
  <si>
    <t>Suwellen</t>
  </si>
  <si>
    <t xml:space="preserve">Emmanuel                      </t>
  </si>
  <si>
    <t xml:space="preserve">POD received from cell 0719533928 M     </t>
  </si>
  <si>
    <t>PALLET (</t>
  </si>
  <si>
    <t xml:space="preserve">janine                        </t>
  </si>
  <si>
    <t xml:space="preserve">POD received from cell 0622930487 M     </t>
  </si>
  <si>
    <t xml:space="preserve">ASPEN SA OPERATIONS ( PTY ) LT     </t>
  </si>
  <si>
    <t>ASPEN SA OPERATIONS   PTY   LT</t>
  </si>
  <si>
    <t xml:space="preserve">PSA TECHNOLOGY GROUP PTY LTD E     </t>
  </si>
  <si>
    <t>PSA TECHNOLOGY GROUP PTY LTD E</t>
  </si>
  <si>
    <t xml:space="preserve">dirk                          </t>
  </si>
  <si>
    <t xml:space="preserve">POD received from cell 0665274072 M     </t>
  </si>
  <si>
    <t xml:space="preserve">GUTH SOUTH AFRICA (PTY) LTD NE     </t>
  </si>
  <si>
    <t>GUTH SOUTH AFRICA  PTY  LTD NE</t>
  </si>
  <si>
    <t>LUCKY</t>
  </si>
  <si>
    <t xml:space="preserve">PANDROL SA (PTY) LTD ISANDO        </t>
  </si>
  <si>
    <t>PANDROL SA  PTY  LTD ISANDO</t>
  </si>
  <si>
    <t>Dumicono</t>
  </si>
  <si>
    <t xml:space="preserve">SASOL DYNO NOBEL (PTY) LTD         </t>
  </si>
  <si>
    <t>SASOL DYNO NOBEL  PTY  LTD</t>
  </si>
  <si>
    <t>Leacky</t>
  </si>
  <si>
    <t>PIET2</t>
  </si>
  <si>
    <t>PIETERSBURG</t>
  </si>
  <si>
    <t>patience</t>
  </si>
  <si>
    <t>0700</t>
  </si>
  <si>
    <t xml:space="preserve">S.A. MINT (PTY) LTD                </t>
  </si>
  <si>
    <t>S.A. MINT  PTY  LTD</t>
  </si>
  <si>
    <t>KELETSO</t>
  </si>
  <si>
    <t>JMA</t>
  </si>
  <si>
    <t xml:space="preserve">Lucky                         </t>
  </si>
  <si>
    <t xml:space="preserve">POD received from cell 0791069864 M     </t>
  </si>
  <si>
    <t xml:space="preserve">RFG FOODS (PTY) LTD                </t>
  </si>
  <si>
    <t>RFG FOODS  PTY  LTD</t>
  </si>
  <si>
    <t>Mbhazima</t>
  </si>
  <si>
    <t xml:space="preserve">NEOPAK                             </t>
  </si>
  <si>
    <t>NEOPAK</t>
  </si>
  <si>
    <t>Willem</t>
  </si>
  <si>
    <t xml:space="preserve">HIGH FORCE HYDRAULIC PNEUMATIC     </t>
  </si>
  <si>
    <t>HIGH FORCE HYDRAULIC PNEUMATIC</t>
  </si>
  <si>
    <t>Shannon</t>
  </si>
  <si>
    <t>POD received from cell 0794043751 M</t>
  </si>
  <si>
    <t>NIGEL</t>
  </si>
  <si>
    <t xml:space="preserve">ARDAGH GLASS PACKAGING SOUTH A     </t>
  </si>
  <si>
    <t>ARDAGH GLASS PACKAGING SOUTH A</t>
  </si>
  <si>
    <t xml:space="preserve">sindiswa                      </t>
  </si>
  <si>
    <t xml:space="preserve">POD received from cell 0794504670 M     </t>
  </si>
  <si>
    <t xml:space="preserve">MONDELEZ INTERNATIONAL INC 533     </t>
  </si>
  <si>
    <t>MONDELEZ INTERNATIONAL INC 533</t>
  </si>
  <si>
    <t>gordon</t>
  </si>
  <si>
    <t>uat</t>
  </si>
  <si>
    <t>Thapelo</t>
  </si>
  <si>
    <t>Late linehaul</t>
  </si>
  <si>
    <t>ora</t>
  </si>
  <si>
    <t>POD received from cell 0734301084 M</t>
  </si>
  <si>
    <t>RANDF</t>
  </si>
  <si>
    <t>RANDFONTEIN</t>
  </si>
  <si>
    <t xml:space="preserve">TIGER CONSUMER BRANDS LTD          </t>
  </si>
  <si>
    <t>TIGER CONSUMER BRANDS LTD</t>
  </si>
  <si>
    <t>elmien</t>
  </si>
  <si>
    <t>POD received from cell 0679017498 M</t>
  </si>
  <si>
    <t xml:space="preserve">ACDC DYNAMICS CC                   </t>
  </si>
  <si>
    <t>ACDC DYNAMICS CC</t>
  </si>
  <si>
    <t xml:space="preserve">GRW ENGINEERING (PTY) LTD          </t>
  </si>
  <si>
    <t>GRW ENGINEERING  PTY  LTD</t>
  </si>
  <si>
    <t xml:space="preserve">wendy                         </t>
  </si>
  <si>
    <t>Vusi</t>
  </si>
  <si>
    <t>KRONES SOUTH AFRICA PTY LTD LA</t>
  </si>
  <si>
    <t>Oral</t>
  </si>
  <si>
    <t xml:space="preserve">PUREM PORT ELIZABETH (PTY) LTD     </t>
  </si>
  <si>
    <t>PUREM PORT ELIZABETH  PTY  LTD</t>
  </si>
  <si>
    <t>Solly</t>
  </si>
  <si>
    <t xml:space="preserve">EMENEM INDUSTRIAL CC               </t>
  </si>
  <si>
    <t>EMENEM INDUSTRIAL CC</t>
  </si>
  <si>
    <t>Leroy</t>
  </si>
  <si>
    <t xml:space="preserve">Sibusiso                      </t>
  </si>
  <si>
    <t xml:space="preserve">POD received from cell 0738058187 M     </t>
  </si>
  <si>
    <t xml:space="preserve">FESTO DURBAN  SUITE 107A           </t>
  </si>
  <si>
    <t>FESTO DURBAN  SUITE 107A</t>
  </si>
  <si>
    <t xml:space="preserve">Lawrence                      </t>
  </si>
  <si>
    <t xml:space="preserve">POD received from cell 0747980518 M     </t>
  </si>
  <si>
    <t>noma</t>
  </si>
  <si>
    <t xml:space="preserve">RCL FOODS CONSUMER (PTY) LTD M     </t>
  </si>
  <si>
    <t>RCL FOODS CONSUMER  PTY  LTD M</t>
  </si>
  <si>
    <t xml:space="preserve">jayden                        </t>
  </si>
  <si>
    <t xml:space="preserve">SNEAKER SNACKS CC                  </t>
  </si>
  <si>
    <t>SNEAKER SNACKS CC</t>
  </si>
  <si>
    <t xml:space="preserve">Llewellyn                     </t>
  </si>
  <si>
    <t>HAMMA</t>
  </si>
  <si>
    <t>HAMMANSKRAAL</t>
  </si>
  <si>
    <t xml:space="preserve">SHATTERPRUFE TRADING DIVISION      </t>
  </si>
  <si>
    <t>SHATTERPRUFE TRADING DIVISION</t>
  </si>
  <si>
    <t>khutso</t>
  </si>
  <si>
    <t>POD received from cell 0724573138 M</t>
  </si>
  <si>
    <t>0221</t>
  </si>
  <si>
    <t xml:space="preserve">GMC AUTOMATION NEWTON PARK PLZ     </t>
  </si>
  <si>
    <t>GMC AUTOMATION NEWTON PARK PLZ</t>
  </si>
  <si>
    <t>Riaan</t>
  </si>
  <si>
    <t>ROBBY</t>
  </si>
  <si>
    <t>HOTAZ</t>
  </si>
  <si>
    <t>HOTAZEL</t>
  </si>
  <si>
    <t xml:space="preserve">SISHEN IRON ORE COMPANY (PTY)      </t>
  </si>
  <si>
    <t>SISHEN IRON ORE COMPANY  PTY</t>
  </si>
  <si>
    <t>NEO</t>
  </si>
  <si>
    <t xml:space="preserve">ELEMENT SIX (PRODUCTION)           </t>
  </si>
  <si>
    <t>ELEMENT SIX</t>
  </si>
  <si>
    <t xml:space="preserve">paulos                        </t>
  </si>
  <si>
    <t xml:space="preserve">POD received from cell 0715155602 M     </t>
  </si>
  <si>
    <t>BOX (CON</t>
  </si>
  <si>
    <t>PLASTIC</t>
  </si>
  <si>
    <t xml:space="preserve">LEDA ENGINEERING SERVICES CC       </t>
  </si>
  <si>
    <t>LEDA ENGINEERING SERVICES CC</t>
  </si>
  <si>
    <t>Christian</t>
  </si>
  <si>
    <t xml:space="preserve">MARTIN   MARTIN PTY LTD            </t>
  </si>
  <si>
    <t>MARTIN   MARTIN</t>
  </si>
  <si>
    <t>Pamela</t>
  </si>
  <si>
    <t>Elijah</t>
  </si>
  <si>
    <t>POD received from cell 0833616148 M</t>
  </si>
  <si>
    <t xml:space="preserve">MAIN STREET 1310(PTY) LTD T A      </t>
  </si>
  <si>
    <t>MAIN STREET 1310 PTY  LTD T A</t>
  </si>
  <si>
    <t>katleho</t>
  </si>
  <si>
    <t xml:space="preserve">ECHO PRESTRESS PTY LTD             </t>
  </si>
  <si>
    <t>ECHO PRESTRESS</t>
  </si>
  <si>
    <t>Albert</t>
  </si>
  <si>
    <t xml:space="preserve">SUPREME PROCESSING PTY LTD         </t>
  </si>
  <si>
    <t>SUPREME PROCESSING PTY LTD</t>
  </si>
  <si>
    <t>NTOMBI</t>
  </si>
  <si>
    <t>POD received from cell 0736687669 M</t>
  </si>
  <si>
    <t xml:space="preserve">DURR AFRICA PTY LTD CORPORATE      </t>
  </si>
  <si>
    <t>DURR AFRICA</t>
  </si>
  <si>
    <t>Zanomzi</t>
  </si>
  <si>
    <t xml:space="preserve">ANDRITZ DELKOR (PTY) LTD           </t>
  </si>
  <si>
    <t>ANDRITZ DELKOR  PTY  LTD</t>
  </si>
  <si>
    <t>jabulani</t>
  </si>
  <si>
    <t>POD received from cell 0605335750 M</t>
  </si>
  <si>
    <t xml:space="preserve">Tshepo                        </t>
  </si>
  <si>
    <t xml:space="preserve">1310 MAIN STREET PYT LTD T A T     </t>
  </si>
  <si>
    <t>1310 MAIN STREET PYT LTD T A T</t>
  </si>
  <si>
    <t>Marry</t>
  </si>
  <si>
    <t>ppm</t>
  </si>
  <si>
    <t>POD received from cell 0817092867 M</t>
  </si>
  <si>
    <t>0117</t>
  </si>
  <si>
    <t xml:space="preserve">TRUDA FOODS WILLEM CRUYWAGEN L     </t>
  </si>
  <si>
    <t>TRUDA FOODS WILLEM CRUYWAGEN L</t>
  </si>
  <si>
    <t>kelebogile</t>
  </si>
  <si>
    <t>0182</t>
  </si>
  <si>
    <t xml:space="preserve">Eugene                        </t>
  </si>
  <si>
    <t xml:space="preserve">POD received from cell 0636608674 M     </t>
  </si>
  <si>
    <t xml:space="preserve">PAARL PNEUMATICS CC                </t>
  </si>
  <si>
    <t>PAARL PNEUMATICS CC</t>
  </si>
  <si>
    <t>randall</t>
  </si>
  <si>
    <t>colin</t>
  </si>
  <si>
    <t xml:space="preserve">CROWN CHICKENS (PTY) LTD T A S     </t>
  </si>
  <si>
    <t>CROWN CHICKENS  PTY  LTD T A S</t>
  </si>
  <si>
    <t>lundi</t>
  </si>
  <si>
    <t>lucal</t>
  </si>
  <si>
    <t>POD received from cell 0767994841 M</t>
  </si>
  <si>
    <t>Richard</t>
  </si>
  <si>
    <t xml:space="preserve">APEX AUTOMATION (PTY) LTD BRAS     </t>
  </si>
  <si>
    <t>APEX AUTOMATION  PTY  LTD BRAS</t>
  </si>
  <si>
    <t>b de kanub</t>
  </si>
  <si>
    <t>SUSAN</t>
  </si>
  <si>
    <t>BOX:CONT</t>
  </si>
  <si>
    <t>zolani</t>
  </si>
  <si>
    <t>POD received from cell 0739570238 M</t>
  </si>
  <si>
    <t xml:space="preserve">PRO PROJECT MACHINERY PTY LTD      </t>
  </si>
  <si>
    <t>PRO PROJECT MACHINERY PTY LTD</t>
  </si>
  <si>
    <t>Juan</t>
  </si>
  <si>
    <t>POD received from cell 0612301350 M</t>
  </si>
  <si>
    <t>NOKUKHANYA</t>
  </si>
  <si>
    <t>BMO</t>
  </si>
  <si>
    <t>ndumiso</t>
  </si>
  <si>
    <t>Gilbert</t>
  </si>
  <si>
    <t>calvin</t>
  </si>
  <si>
    <t xml:space="preserve">francina                      </t>
  </si>
  <si>
    <t xml:space="preserve">POD received from cell 0766412100 M     </t>
  </si>
  <si>
    <t xml:space="preserve">FLSMIDTH SOUTH AFRICA PTY LTD      </t>
  </si>
  <si>
    <t>FLSMIDTH SOUTH AFRICA PTY LTD</t>
  </si>
  <si>
    <t>Millicent</t>
  </si>
  <si>
    <t xml:space="preserve">ARDAGH GLASS PACKAGING  SA PTY     </t>
  </si>
  <si>
    <t>ARDAGH GLASS PACKAGING  SA PTY</t>
  </si>
  <si>
    <t xml:space="preserve">Philip                        </t>
  </si>
  <si>
    <t xml:space="preserve">POD received from cell 0606746779 M     </t>
  </si>
  <si>
    <t xml:space="preserve">WEIR MINERALS ISANDO               </t>
  </si>
  <si>
    <t>WEIR MINERALS ISANDO</t>
  </si>
  <si>
    <t>THEMBA</t>
  </si>
  <si>
    <t>POD received from cell 0683004232 M</t>
  </si>
  <si>
    <t>siya</t>
  </si>
  <si>
    <t xml:space="preserve">LEVEL PRODUCTS CC RUSTIVIA         </t>
  </si>
  <si>
    <t>LEVEL PRODUCTS CC RUSTIVIA</t>
  </si>
  <si>
    <t>LISEL</t>
  </si>
  <si>
    <t>sgi</t>
  </si>
  <si>
    <t>JONATHAN</t>
  </si>
  <si>
    <t xml:space="preserve">ASPEN PHARMACEUTICAL HOLLAND P     </t>
  </si>
  <si>
    <t>ASPEN PHARMACEUTICAL HOLLAND P</t>
  </si>
  <si>
    <t>R Marais</t>
  </si>
  <si>
    <t xml:space="preserve">REEF CONSTRUCTION MACHINERY (P     </t>
  </si>
  <si>
    <t>REEF CONSTRUCTION MACHINERY  P</t>
  </si>
  <si>
    <t xml:space="preserve">Andre   chase                 </t>
  </si>
  <si>
    <t xml:space="preserve">POD received from cell 0837842726 M     </t>
  </si>
  <si>
    <t>box</t>
  </si>
  <si>
    <t>JOHANATH</t>
  </si>
  <si>
    <t xml:space="preserve">NAMPAK PRODUCTS LTD T A BEVCAN     </t>
  </si>
  <si>
    <t>NAMPAK PRODUCTS LTD T A BEVCAN</t>
  </si>
  <si>
    <t>Noluthando</t>
  </si>
  <si>
    <t>deez</t>
  </si>
  <si>
    <t xml:space="preserve">SHIFT-ID (PTY) LTD FALCON PARK     </t>
  </si>
  <si>
    <t>SHIFT-ID  PTY  LTD FALCON PARK</t>
  </si>
  <si>
    <t>penny</t>
  </si>
  <si>
    <t>sipho</t>
  </si>
  <si>
    <t>Kathleen</t>
  </si>
  <si>
    <t xml:space="preserve">C   M HYDRAULIC SERVICES UITEN     </t>
  </si>
  <si>
    <t>C   M HYDRAULIC SERVICES UITEN</t>
  </si>
  <si>
    <t>johannes</t>
  </si>
  <si>
    <t>GEORG</t>
  </si>
  <si>
    <t>GEORGE</t>
  </si>
  <si>
    <t xml:space="preserve">SANMIK AGENCIES CC                 </t>
  </si>
  <si>
    <t>SANMIK AGENCIES CC</t>
  </si>
  <si>
    <t>CLIVE</t>
  </si>
  <si>
    <t>POD received from cell 0651236227 M</t>
  </si>
  <si>
    <t xml:space="preserve">FILMATIC PACKAGING SYSTEMS (PT     </t>
  </si>
  <si>
    <t>FILMATIC PACKAGING SYSTEMS  PT</t>
  </si>
  <si>
    <t xml:space="preserve">Gary                          </t>
  </si>
  <si>
    <t xml:space="preserve">POD received from cell 0671392487 M     </t>
  </si>
  <si>
    <t>selby</t>
  </si>
  <si>
    <t>HND / FUE / doc</t>
  </si>
  <si>
    <t>POD received from cell 0723083847 M</t>
  </si>
  <si>
    <t>0400</t>
  </si>
  <si>
    <t xml:space="preserve">AUTOMATION WORKS GAUTENG (PTY)     </t>
  </si>
  <si>
    <t>AUTOMATION WORKS GAUTENG  PTY</t>
  </si>
  <si>
    <t>senzeni</t>
  </si>
  <si>
    <t>POD received from cell 0714073863 M</t>
  </si>
  <si>
    <t xml:space="preserve">ETHICAL PRODUCTS CC                </t>
  </si>
  <si>
    <t>ETHICAL PRODUCTS CC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</si>
  <si>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</si>
  <si>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</si>
  <si>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</si>
  <si>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</si>
  <si>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</si>
  <si>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0606968550 M</t>
  </si>
  <si>
    <t xml:space="preserve">ERA STENE PTY LTD                  </t>
  </si>
  <si>
    <t>ERA STENE PTY LTD</t>
  </si>
  <si>
    <t>Gestral</t>
  </si>
  <si>
    <t xml:space="preserve">CROWN CHICKENS T A SOVEREIGHFO     </t>
  </si>
  <si>
    <t>CROWN CHICKENS</t>
  </si>
  <si>
    <t>sithole</t>
  </si>
  <si>
    <t>POD received from cell 0683083544 M</t>
  </si>
  <si>
    <t>0183</t>
  </si>
  <si>
    <t>EGLI PRECISION ENGINEERIN</t>
  </si>
  <si>
    <t>FES CUST 20250703 51 - BACK TO CUSTOMER</t>
  </si>
  <si>
    <t xml:space="preserve">POLYOAK PACKAGING PTY LTD T A      </t>
  </si>
  <si>
    <t>POLYOAK PACKAGING PTY LTD POLY</t>
  </si>
  <si>
    <t>lucunda</t>
  </si>
  <si>
    <t xml:space="preserve">RYMCO (PTY) LTD EPPING INDUSTR     </t>
  </si>
  <si>
    <t>RYMCO  PTY  LTD EPPING INDUSTR</t>
  </si>
  <si>
    <t>S Magaella</t>
  </si>
  <si>
    <t xml:space="preserve">pets                          </t>
  </si>
  <si>
    <t>NCH</t>
  </si>
  <si>
    <t>machela CT</t>
  </si>
  <si>
    <t xml:space="preserve">PYROTECHNICAL CROWN MINES JOHA     </t>
  </si>
  <si>
    <t>PYROTECHNICAL CROWN MINES JOHA</t>
  </si>
  <si>
    <t>ronald</t>
  </si>
  <si>
    <t xml:space="preserve">Louis                         </t>
  </si>
  <si>
    <t>vedrona</t>
  </si>
  <si>
    <t xml:space="preserve">PROCTER   GAMBLE MANUFACTURING     </t>
  </si>
  <si>
    <t>PROCTER   GAMBLE MANUFACTURING</t>
  </si>
  <si>
    <t>GLORIA</t>
  </si>
  <si>
    <t xml:space="preserve">CIRCUIT DISTRIBUTORS CC            </t>
  </si>
  <si>
    <t>CIRCUIT DISTRIBUTORS CC</t>
  </si>
  <si>
    <t>kuban</t>
  </si>
  <si>
    <t xml:space="preserve">APS PLASTICS KILLARNEY GARDENS     </t>
  </si>
  <si>
    <t>APS PLASTICS KILLARNEY GARDENS</t>
  </si>
  <si>
    <t>Sakkie</t>
  </si>
  <si>
    <t xml:space="preserve">TOTAL MINING CC                    </t>
  </si>
  <si>
    <t>TOTAL MINING CC</t>
  </si>
  <si>
    <t>BERNARD</t>
  </si>
  <si>
    <t>bukelwa</t>
  </si>
  <si>
    <t xml:space="preserve">LEONARD DINGLER ( PTY) LTD PRO     </t>
  </si>
  <si>
    <t>LEONARD DINGLER   PTY  LTD PRO</t>
  </si>
  <si>
    <t>Andricious</t>
  </si>
  <si>
    <t xml:space="preserve">SPIRAX SARCO SA PTY LTD            </t>
  </si>
  <si>
    <t>SPIRAX SARCO</t>
  </si>
  <si>
    <t>Joseph</t>
  </si>
  <si>
    <t>POD received from cell skynet M</t>
  </si>
  <si>
    <t xml:space="preserve">DE BEERS GROUP SERVICES (PTY)      </t>
  </si>
  <si>
    <t>DE BEERS GROUP SERVICES  PTY</t>
  </si>
  <si>
    <t xml:space="preserve">annalise                      </t>
  </si>
  <si>
    <t>Chain store delivery</t>
  </si>
  <si>
    <t>jlc</t>
  </si>
  <si>
    <t xml:space="preserve">PATERSON HUGHES ENGINEERING        </t>
  </si>
  <si>
    <t>PATERSON HUGHES ENGINEERING</t>
  </si>
  <si>
    <t>slay</t>
  </si>
  <si>
    <t>POD received from cell 0604467550 M</t>
  </si>
  <si>
    <t>keith</t>
  </si>
  <si>
    <t>NTM</t>
  </si>
  <si>
    <t>thami</t>
  </si>
  <si>
    <t xml:space="preserve">Renny                         </t>
  </si>
  <si>
    <t xml:space="preserve">UNILEVER SOUTH AFRICA PTY LTD      </t>
  </si>
  <si>
    <t>UNILEVER SOUTH AFRICA PTY LTD</t>
  </si>
  <si>
    <t>Kanyane</t>
  </si>
  <si>
    <t>prince</t>
  </si>
  <si>
    <t>Marno</t>
  </si>
  <si>
    <t>randir</t>
  </si>
  <si>
    <t xml:space="preserve">Janine has                    </t>
  </si>
  <si>
    <t xml:space="preserve">SYNC SYSTEMS                       </t>
  </si>
  <si>
    <t>SYNC SYSTEMS</t>
  </si>
  <si>
    <t>momelezi</t>
  </si>
  <si>
    <t>POD received from cell 0794524703 M</t>
  </si>
  <si>
    <t xml:space="preserve">SUNNY PACKS MANUFACTURING (PTY     </t>
  </si>
  <si>
    <t>SUNNY PACKS MANUFACTURING  PTY</t>
  </si>
  <si>
    <t xml:space="preserve">Lucille                       </t>
  </si>
  <si>
    <t xml:space="preserve">GLC BUSINESS CONSULT               </t>
  </si>
  <si>
    <t>GLC BUSINESS CONSULT</t>
  </si>
  <si>
    <t>ARTHUR</t>
  </si>
  <si>
    <t xml:space="preserve">CUBIX SUPPLY CHAIN SOLUTIONS D     </t>
  </si>
  <si>
    <t>CUBIX SUPPLY CHAIN SOLUTIONS D</t>
  </si>
  <si>
    <t xml:space="preserve">Whashiela                     </t>
  </si>
  <si>
    <t xml:space="preserve">ACEPAK PACKAGING SYSTEMS UNIT      </t>
  </si>
  <si>
    <t>ACEPAK PACKAGING SYSTEMS UNIT</t>
  </si>
  <si>
    <t>Reagan</t>
  </si>
  <si>
    <t>shantel</t>
  </si>
  <si>
    <t xml:space="preserve">Gavin                         </t>
  </si>
  <si>
    <t xml:space="preserve">TETRA PAK SOUTH AFRICA PTY LTD     </t>
  </si>
  <si>
    <t>TETRA PAK SOUTH AFRICA PTY LTD</t>
  </si>
  <si>
    <t xml:space="preserve">UNILEVER SOUTH AFRICA (PTY) LT     </t>
  </si>
  <si>
    <t>UNILEVER SOUTH AFRICA  PTY  LT</t>
  </si>
  <si>
    <t>Kevin</t>
  </si>
  <si>
    <t xml:space="preserve">DIYA VALVES INTERNATIONAL CC P     </t>
  </si>
  <si>
    <t>DIYA VALVES INTERNATIONAL CC P</t>
  </si>
  <si>
    <t xml:space="preserve">  Tim                         </t>
  </si>
  <si>
    <t xml:space="preserve">POD received from cell 0782274968 M     </t>
  </si>
  <si>
    <t>maxwell</t>
  </si>
  <si>
    <t>NAMPAK PRODUCTS</t>
  </si>
  <si>
    <t xml:space="preserve">Emin                          </t>
  </si>
  <si>
    <t xml:space="preserve">POD received from cell 0682194514 M     </t>
  </si>
  <si>
    <t xml:space="preserve">DEVCOTECH ELECTRICAL ENGINEERI     </t>
  </si>
  <si>
    <t>DEVCOTECH ELECTRICAL ENGINEERI</t>
  </si>
  <si>
    <t>Tim</t>
  </si>
  <si>
    <t>POD received from cell 0670405005 M</t>
  </si>
  <si>
    <t>keenan</t>
  </si>
  <si>
    <t>Candice</t>
  </si>
  <si>
    <t xml:space="preserve">SASOL CHEMICALS A DIVISION OF      </t>
  </si>
  <si>
    <t>STORE MANAGER</t>
  </si>
  <si>
    <t>jackie</t>
  </si>
  <si>
    <t>Tshepo</t>
  </si>
  <si>
    <t xml:space="preserve">PRAGA TECHNICAL PTY LTD PLZ        </t>
  </si>
  <si>
    <t>PRAGA TECHNICAL PTY LTD PLZ</t>
  </si>
  <si>
    <t xml:space="preserve">bronwyn                       </t>
  </si>
  <si>
    <t xml:space="preserve">POD received from cell 0817078010 M     </t>
  </si>
  <si>
    <t>Gary</t>
  </si>
  <si>
    <t>Monique</t>
  </si>
  <si>
    <t>bheki</t>
  </si>
  <si>
    <t>HYDROMATIC T A HEADLINE TRADIN</t>
  </si>
  <si>
    <t>Mary</t>
  </si>
  <si>
    <t>Company Closed</t>
  </si>
  <si>
    <t>Nathan</t>
  </si>
  <si>
    <t xml:space="preserve">DANELLE                       </t>
  </si>
  <si>
    <t>renalo</t>
  </si>
  <si>
    <t>belloana</t>
  </si>
  <si>
    <t xml:space="preserve">SCHAEFFLER SOUTH AFRICA (PTY)      </t>
  </si>
  <si>
    <t>SCHAEFFLER SOUTH AFRICA  PTY</t>
  </si>
  <si>
    <t>ayanda</t>
  </si>
  <si>
    <t>STEL2</t>
  </si>
  <si>
    <t>STELLENBOSCH</t>
  </si>
  <si>
    <t xml:space="preserve">HEINEKEN BEVERAGES SA PTY LTD      </t>
  </si>
  <si>
    <t>HEINEKEN BEVERAGES SA PTY LTD</t>
  </si>
  <si>
    <t>clifton</t>
  </si>
  <si>
    <t>POD received from cell 0678518887 M</t>
  </si>
  <si>
    <t xml:space="preserve">HYDRAQUIP BERGRIVIER HIDROLIES     </t>
  </si>
  <si>
    <t>HYDRAQUIP BERGRIVIER HIDROLIES</t>
  </si>
  <si>
    <t>L Le Riche</t>
  </si>
  <si>
    <t xml:space="preserve">UNIVERSAL TISSUE (PTY) LTD HEI     </t>
  </si>
  <si>
    <t>UNIVERSAL TISSUE  PTY  LTD HEI</t>
  </si>
  <si>
    <t>jacares</t>
  </si>
  <si>
    <t>Peter</t>
  </si>
  <si>
    <t>0001</t>
  </si>
  <si>
    <t xml:space="preserve">MAHLE BEHR SOUTH AFRICA PTY LT     </t>
  </si>
  <si>
    <t>MAHLE BEHR S.A</t>
  </si>
  <si>
    <t>nokuthula</t>
  </si>
  <si>
    <t xml:space="preserve">SMOKEHOUSE MASTERS PTY LTD         </t>
  </si>
  <si>
    <t>SMOKEHOUSE MASTERS PTY LTD</t>
  </si>
  <si>
    <t>millicent</t>
  </si>
  <si>
    <t>POD received from cell 0712942173 M</t>
  </si>
  <si>
    <t xml:space="preserve">LIPTON TEAS AND INFUSION MANUF     </t>
  </si>
  <si>
    <t>LIPTON TEAS AND INFUSION MANUF</t>
  </si>
  <si>
    <t>jades</t>
  </si>
  <si>
    <t>POD received from cell 0813352451 M</t>
  </si>
  <si>
    <t>POD received from cell 0694933966 M</t>
  </si>
  <si>
    <t xml:space="preserve">NESTLE SOUTH AFRICA PTY LTD        </t>
  </si>
  <si>
    <t>NESTLE SOUTH AFRICA PTY LTD</t>
  </si>
  <si>
    <t>noluthando</t>
  </si>
  <si>
    <t>POD received from cell 0736924422 M</t>
  </si>
  <si>
    <t xml:space="preserve">GENERAL  PNEUMATICS                </t>
  </si>
  <si>
    <t>GENERAL  PNEUMATICS</t>
  </si>
  <si>
    <t>Lion</t>
  </si>
  <si>
    <t xml:space="preserve">CNL INDUSTRIAL MINING SUPPLIES     </t>
  </si>
  <si>
    <t>CNL INDUSTRIAL MINING SUPPLIES</t>
  </si>
  <si>
    <t>FDEWALD</t>
  </si>
  <si>
    <t>SASOL CHEMICALS A DIVISION OF</t>
  </si>
  <si>
    <t xml:space="preserve">BIC SA (PTY) LTD                   </t>
  </si>
  <si>
    <t>BIC SA PTY LTD</t>
  </si>
  <si>
    <t>Eric</t>
  </si>
  <si>
    <t>Spha</t>
  </si>
  <si>
    <t>POD received from cell 0793296651 M</t>
  </si>
  <si>
    <t>FLYERT</t>
  </si>
  <si>
    <t xml:space="preserve">SIYAPHAMBILI INDUSTRIAL   TRAD     </t>
  </si>
  <si>
    <t>SIYAPHAMBILI INDUSTRIAL   TRAD</t>
  </si>
  <si>
    <t>benjamin</t>
  </si>
  <si>
    <t>lev</t>
  </si>
  <si>
    <t>POD received from cell 0698085401 M</t>
  </si>
  <si>
    <t xml:space="preserve">FEDERAL MOGUL VALVES (PTY) LTD     </t>
  </si>
  <si>
    <t>FEDERAL MOGUL VALVES  PTY  LTD</t>
  </si>
  <si>
    <t>makayla</t>
  </si>
  <si>
    <t>Andries</t>
  </si>
  <si>
    <t xml:space="preserve">KELLOGGS CO OF SA PTY LTD VEND     </t>
  </si>
  <si>
    <t>KELLOGGS CO OF SA PTY LTD VEND</t>
  </si>
  <si>
    <t>thabiso</t>
  </si>
  <si>
    <t>POD received from cell 0678197388 M</t>
  </si>
  <si>
    <t>DESMOND</t>
  </si>
  <si>
    <t>JUH</t>
  </si>
  <si>
    <t xml:space="preserve">SCHULLPAK CC                       </t>
  </si>
  <si>
    <t>SCHULLPAK CC</t>
  </si>
  <si>
    <t xml:space="preserve">Ryan                          </t>
  </si>
  <si>
    <t xml:space="preserve">POD received from cell 0736418208 M     </t>
  </si>
  <si>
    <t>alvin</t>
  </si>
  <si>
    <t>reshn</t>
  </si>
  <si>
    <t xml:space="preserve">HEINEKEN BEVERAGES SA (PTY) LT     </t>
  </si>
  <si>
    <t>HEINEKEN BEVERAGES SA  PTY  LT</t>
  </si>
  <si>
    <t>David</t>
  </si>
  <si>
    <t xml:space="preserve">PRIDE MILLING CO (PTY) LTD         </t>
  </si>
  <si>
    <t>PRIDE MILLING CO  PTY  LTD</t>
  </si>
  <si>
    <t>marlene</t>
  </si>
  <si>
    <t xml:space="preserve">MARY                          </t>
  </si>
  <si>
    <t xml:space="preserve">NOAH                          </t>
  </si>
  <si>
    <t xml:space="preserve">UNILEVER SA PHOENIX AEROSOL        </t>
  </si>
  <si>
    <t>UNILEVER SA PHOENIX AEROSOL</t>
  </si>
  <si>
    <t>myeza</t>
  </si>
  <si>
    <t xml:space="preserve">BOX:CONT                      </t>
  </si>
  <si>
    <t xml:space="preserve">AMROD COPORATE SOLUTION (PTY)      </t>
  </si>
  <si>
    <t>AMROD COPORATE SOLUTION  PTY</t>
  </si>
  <si>
    <t>ali</t>
  </si>
  <si>
    <t xml:space="preserve">FELTEX TRIM P.E                    </t>
  </si>
  <si>
    <t>FELTEX TRIM P.E</t>
  </si>
  <si>
    <t xml:space="preserve">CIRCUIT BREAKER INDUSTRIES (PT     </t>
  </si>
  <si>
    <t>CIRCUIT BREAKER INDUSTRIES  PT</t>
  </si>
  <si>
    <t>Rospley</t>
  </si>
  <si>
    <t xml:space="preserve">BMW SOUTH AFRICA                   </t>
  </si>
  <si>
    <t>BMW</t>
  </si>
  <si>
    <t>siphamandla</t>
  </si>
  <si>
    <t xml:space="preserve">rocheln                       </t>
  </si>
  <si>
    <t>Emily</t>
  </si>
  <si>
    <t xml:space="preserve">colin                         </t>
  </si>
  <si>
    <t xml:space="preserve">HOT PLATINUM PTY                   </t>
  </si>
  <si>
    <t>HOT PLATINUM PTY</t>
  </si>
  <si>
    <t xml:space="preserve">Amina                         </t>
  </si>
  <si>
    <t xml:space="preserve">POD received from cell 0833656676 M     </t>
  </si>
  <si>
    <t>Hilnar</t>
  </si>
  <si>
    <t xml:space="preserve">alex                          </t>
  </si>
  <si>
    <t xml:space="preserve">TROPIC PLASTIC   PACKAGING LTD     </t>
  </si>
  <si>
    <t>TROPIC PLASTIC   PACKAGING LTD</t>
  </si>
  <si>
    <t>abbas</t>
  </si>
  <si>
    <t>Cecil</t>
  </si>
  <si>
    <t xml:space="preserve">TRUDA FOODS (PTY) LTD              </t>
  </si>
  <si>
    <t>TRUDA FOODS  PTY  LTD</t>
  </si>
  <si>
    <t>Chledza</t>
  </si>
  <si>
    <t>BIOX</t>
  </si>
  <si>
    <t xml:space="preserve">BREWBEV                            </t>
  </si>
  <si>
    <t>BREWBEV</t>
  </si>
  <si>
    <t>constance</t>
  </si>
  <si>
    <t>janine</t>
  </si>
  <si>
    <t>PATEN</t>
  </si>
  <si>
    <t>PATENSIE</t>
  </si>
  <si>
    <t xml:space="preserve">GN PUMPS AND MOTORS (PTY) LTD      </t>
  </si>
  <si>
    <t>GN PUMPS AND MOTORS  PTY  LTD</t>
  </si>
  <si>
    <t>thomas</t>
  </si>
  <si>
    <t xml:space="preserve">UNILEVER S.A. (PTY) LTD LORDS      </t>
  </si>
  <si>
    <t>UNILEVER S.A.  PTY  LTD LORDS</t>
  </si>
  <si>
    <t>jafta</t>
  </si>
  <si>
    <t xml:space="preserve">ARCELORMITTAL STEEL SOUTH AFRI     </t>
  </si>
  <si>
    <t>ARCELORMITTAL STEEL SOUTH AFRI</t>
  </si>
  <si>
    <t xml:space="preserve">robby                         </t>
  </si>
  <si>
    <t xml:space="preserve">POD received from cell 0799684820 M     </t>
  </si>
  <si>
    <t xml:space="preserve">Rapid Industrial                   </t>
  </si>
  <si>
    <t>Nita</t>
  </si>
  <si>
    <t xml:space="preserve">MDW Pneumatic                      </t>
  </si>
  <si>
    <t>Dulton</t>
  </si>
  <si>
    <t xml:space="preserve">FESTO PORT ELIZABETH               </t>
  </si>
  <si>
    <t>Collection Calibre Life Science</t>
  </si>
  <si>
    <t xml:space="preserve">MANTHOSI                      </t>
  </si>
  <si>
    <t xml:space="preserve">AEROSUD AVIATION PTY LTD PIERR     </t>
  </si>
  <si>
    <t>AEROSUD AVIATION PTY LTD PIERR</t>
  </si>
  <si>
    <t>leany</t>
  </si>
  <si>
    <t>POD received from cell 0676452120 M</t>
  </si>
  <si>
    <t>Dick</t>
  </si>
  <si>
    <t xml:space="preserve">Air Products                       </t>
  </si>
  <si>
    <t>Nana Phuti</t>
  </si>
  <si>
    <t xml:space="preserve">DANONE SOUTHERN AFRICA PTY LTD     </t>
  </si>
  <si>
    <t>DANONE SOUTHERN AFRICA PTY LTD</t>
  </si>
  <si>
    <t xml:space="preserve">philliphine                   </t>
  </si>
  <si>
    <t xml:space="preserve">POD received from cell 0840403522 M     </t>
  </si>
  <si>
    <t xml:space="preserve">TONGAAT HULLETTS GROUP T A REF     </t>
  </si>
  <si>
    <t>TONGAAT HULLETTS GROUP T A REF</t>
  </si>
  <si>
    <t xml:space="preserve">CULINARY A DIV OF TIGER CONSUM     </t>
  </si>
  <si>
    <t>CULINARY A DIV OF TIGER CONSUM</t>
  </si>
  <si>
    <t xml:space="preserve">Abigail                       </t>
  </si>
  <si>
    <t xml:space="preserve">ISEGEN S.A (PTY) LTD               </t>
  </si>
  <si>
    <t>ISEGEN S.A  PTY  LTD</t>
  </si>
  <si>
    <t>maria</t>
  </si>
  <si>
    <t>thapelo</t>
  </si>
  <si>
    <t>FLY7ER</t>
  </si>
  <si>
    <t>A PETERSON</t>
  </si>
  <si>
    <t>ral</t>
  </si>
  <si>
    <t xml:space="preserve">ivon                          </t>
  </si>
  <si>
    <t xml:space="preserve">MECHANEER CC                       </t>
  </si>
  <si>
    <t>MECHANEER CC</t>
  </si>
  <si>
    <t>eddie</t>
  </si>
  <si>
    <t>POD received from cell 0810518321 M</t>
  </si>
  <si>
    <t xml:space="preserve">TONGAAT HULLETTS GROUP LTD T A     </t>
  </si>
  <si>
    <t>TONGAAT HULLETTS GROUP LTD T A</t>
  </si>
  <si>
    <t>Mzisi</t>
  </si>
  <si>
    <t>POD received from cell 0847863055 M</t>
  </si>
  <si>
    <t xml:space="preserve">RICH PRODUCTS CORP OF SOUTH AF     </t>
  </si>
  <si>
    <t>RICH PRODUCTS CORP OF SOUTH AF</t>
  </si>
  <si>
    <t>eneth</t>
  </si>
  <si>
    <t>POD received from cell 0834186909 M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</si>
  <si>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</si>
  <si>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</si>
  <si>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</si>
  <si>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</si>
  <si>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</si>
  <si>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0662487527 M</t>
  </si>
  <si>
    <t>Marcell</t>
  </si>
  <si>
    <t>Erick</t>
  </si>
  <si>
    <t xml:space="preserve">Bytel                         </t>
  </si>
  <si>
    <t xml:space="preserve">POD received from cell 0834177790 M     </t>
  </si>
  <si>
    <t xml:space="preserve">mpho                          </t>
  </si>
  <si>
    <t xml:space="preserve">Samuel                        </t>
  </si>
  <si>
    <t>SML BOX:</t>
  </si>
  <si>
    <t xml:space="preserve">TI GROUP AUTOMOTIVE SYSTEMS (P     </t>
  </si>
  <si>
    <t>TI GROUP AUTOMOTIVE SYSTEMS  P</t>
  </si>
  <si>
    <t xml:space="preserve">reagan                        </t>
  </si>
  <si>
    <t xml:space="preserve">POD received from cell 0788915943 M     </t>
  </si>
  <si>
    <t xml:space="preserve">TONGAAT HULETT SUGAR FELIXTON      </t>
  </si>
  <si>
    <t>TONGAAT HULETT SUGAR FELIXTON</t>
  </si>
  <si>
    <t>msizi</t>
  </si>
  <si>
    <t>lamu</t>
  </si>
  <si>
    <t>POD received from cell 0628764486 M</t>
  </si>
  <si>
    <t>D jacbs</t>
  </si>
  <si>
    <t>nokzola</t>
  </si>
  <si>
    <t xml:space="preserve">TILODI ENGINEERING PTY LTD         </t>
  </si>
  <si>
    <t>TILODI ENGINEERING PTY LTD</t>
  </si>
  <si>
    <t>Andre</t>
  </si>
  <si>
    <t xml:space="preserve">Mchaela                       </t>
  </si>
  <si>
    <t xml:space="preserve">POD received from cell 0848417301 M     </t>
  </si>
  <si>
    <t xml:space="preserve">HACKMACK ENTERPRISES               </t>
  </si>
  <si>
    <t xml:space="preserve">PFG BUILDING GLASS                 </t>
  </si>
  <si>
    <t>PFG BUILDING GLASS</t>
  </si>
  <si>
    <t xml:space="preserve">THABO                         </t>
  </si>
  <si>
    <t xml:space="preserve">AUTO INDUSTRIAL MACHINING A DI     </t>
  </si>
  <si>
    <t>AUTO INDUSTRIAL MACHINING A DI</t>
  </si>
  <si>
    <t>Oupa</t>
  </si>
  <si>
    <t xml:space="preserve">ncefiwe                       </t>
  </si>
  <si>
    <t>Busi</t>
  </si>
  <si>
    <t>NEROSHA</t>
  </si>
  <si>
    <t>FLYETR</t>
  </si>
  <si>
    <t>lonwabo</t>
  </si>
  <si>
    <t>STILF</t>
  </si>
  <si>
    <t>STILFONTEIN</t>
  </si>
  <si>
    <t xml:space="preserve">PRIME INSTRUMENTATION CC           </t>
  </si>
  <si>
    <t>PRIME INSTRUMENTATION CC</t>
  </si>
  <si>
    <t>Christiaan</t>
  </si>
  <si>
    <t>POD received from cell 0764112218 M</t>
  </si>
  <si>
    <t xml:space="preserve">EAST RAND HYDRAULIC                </t>
  </si>
  <si>
    <t>EAST RAND HYDRAULIC</t>
  </si>
  <si>
    <t xml:space="preserve">Asif                          </t>
  </si>
  <si>
    <t xml:space="preserve">TM ENGINEERING                     </t>
  </si>
  <si>
    <t>TM ENGINEERING</t>
  </si>
  <si>
    <t>Taznyn</t>
  </si>
  <si>
    <t>POD received from cell 0767510913 M</t>
  </si>
  <si>
    <t>wendy</t>
  </si>
  <si>
    <t xml:space="preserve">RG BROSE AUTOMOTIVE COMPONENTS     </t>
  </si>
  <si>
    <t>RG BROSE AUTOMOTIVE COMPONENTS</t>
  </si>
  <si>
    <t xml:space="preserve">mzoli                         </t>
  </si>
  <si>
    <t xml:space="preserve">SAR ELECTRONIC SA (PTY) LTD        </t>
  </si>
  <si>
    <t>SAR ELECTRONIC SA  PTY  LTD</t>
  </si>
  <si>
    <t>kevin</t>
  </si>
  <si>
    <t>POD received from cell 0765529777 M</t>
  </si>
  <si>
    <t xml:space="preserve">SKYNET DEPOT EAST LONDON           </t>
  </si>
  <si>
    <t>TRAVIS SWART</t>
  </si>
  <si>
    <t>TRAVIS</t>
  </si>
  <si>
    <t>Hold for Collection</t>
  </si>
  <si>
    <t>NNS</t>
  </si>
  <si>
    <t>FLYTER</t>
  </si>
  <si>
    <t xml:space="preserve">BRITISH AMERICAN TOBACCO SA        </t>
  </si>
  <si>
    <t>BRITISH AMERICAN TOBACCO SA</t>
  </si>
  <si>
    <t>bongs</t>
  </si>
  <si>
    <t>EMI G</t>
  </si>
  <si>
    <t>Moloto</t>
  </si>
  <si>
    <t>Graig</t>
  </si>
  <si>
    <t>lollitha</t>
  </si>
  <si>
    <t xml:space="preserve">PARROT PRODUCTS CLEVELAND          </t>
  </si>
  <si>
    <t>PARROT PRODUCTS CLEVELAND</t>
  </si>
  <si>
    <t>sydney</t>
  </si>
  <si>
    <t>POD received from cell 0794447355 M</t>
  </si>
  <si>
    <t>BRIT1</t>
  </si>
  <si>
    <t>BRITS</t>
  </si>
  <si>
    <t xml:space="preserve">TRANSVAAL HYDRAULICS (PTY) LTD     </t>
  </si>
  <si>
    <t>TRANSVAAL HYDRAULICS  PTY  LTD</t>
  </si>
  <si>
    <t>Macdonald</t>
  </si>
  <si>
    <t>POD received from cell 0790934153 M</t>
  </si>
  <si>
    <t>0250</t>
  </si>
  <si>
    <t>BULK TUB</t>
  </si>
  <si>
    <t>Theo</t>
  </si>
  <si>
    <t xml:space="preserve">Siya                          </t>
  </si>
  <si>
    <t>Nokzola</t>
  </si>
  <si>
    <t>d jacobs</t>
  </si>
  <si>
    <t>naw</t>
  </si>
  <si>
    <t xml:space="preserve">FOODCORP (PTY) LTD T A SUNBAKE     </t>
  </si>
  <si>
    <t>FOODCORP  PTY  LTD T A SUNBAKE</t>
  </si>
  <si>
    <t>POD received from cell 0782094127 M</t>
  </si>
  <si>
    <t>Given</t>
  </si>
  <si>
    <t xml:space="preserve">simon                         </t>
  </si>
  <si>
    <t xml:space="preserve">sipho                         </t>
  </si>
  <si>
    <t>thobile</t>
  </si>
  <si>
    <t>TZANE</t>
  </si>
  <si>
    <t>TZANEEN</t>
  </si>
  <si>
    <t xml:space="preserve">MERENSKY TIMBER PTY LTD T A NO     </t>
  </si>
  <si>
    <t>MERENSKY</t>
  </si>
  <si>
    <t>Yvonne</t>
  </si>
  <si>
    <t>Outlying delivery location</t>
  </si>
  <si>
    <t>liv</t>
  </si>
  <si>
    <t>POD received from cell 0721205889 M</t>
  </si>
  <si>
    <t>0850</t>
  </si>
  <si>
    <t>MANZELLE</t>
  </si>
  <si>
    <t>STANG</t>
  </si>
  <si>
    <t>STANGER</t>
  </si>
  <si>
    <t xml:space="preserve">SAPPI SOUTHERN AFRICA              </t>
  </si>
  <si>
    <t>SAPPI SOUTHERN AFRICA</t>
  </si>
  <si>
    <t>d  pillay</t>
  </si>
  <si>
    <t>POD received from cell 0814411638 M</t>
  </si>
  <si>
    <t xml:space="preserve">George                        </t>
  </si>
  <si>
    <t>lerato</t>
  </si>
  <si>
    <t>BETHA</t>
  </si>
  <si>
    <t>BETHAL</t>
  </si>
  <si>
    <t xml:space="preserve">QRS INDUSTRIAL GROUP BETHAL        </t>
  </si>
  <si>
    <t>QRS INDUSTRIAL GROUP BETHAL</t>
  </si>
  <si>
    <t>Nelia</t>
  </si>
  <si>
    <t>POD received from cell 0722601650 M</t>
  </si>
  <si>
    <t xml:space="preserve">SEECOR BLOW MOULDERS               </t>
  </si>
  <si>
    <t>SEECOR BLOW MOULDERS</t>
  </si>
  <si>
    <t xml:space="preserve">Puleng                        </t>
  </si>
  <si>
    <t xml:space="preserve">POD received from cell 0659386993 M     </t>
  </si>
  <si>
    <t>jason</t>
  </si>
  <si>
    <t>shida</t>
  </si>
  <si>
    <t>SYSTEM</t>
  </si>
  <si>
    <t>doc / DOC / FUE / INS</t>
  </si>
  <si>
    <t xml:space="preserve">LUVANIZE (PTY) LTD PORT ELIZAB     </t>
  </si>
  <si>
    <t>LUVANIZE  PTY  LTD PORT ELIZAB</t>
  </si>
  <si>
    <t>aston</t>
  </si>
  <si>
    <t xml:space="preserve">Demetri                       </t>
  </si>
  <si>
    <t xml:space="preserve">POD received from cell 0746644640 M     </t>
  </si>
  <si>
    <t>lovithia</t>
  </si>
  <si>
    <t>POD received from cell 0744435413 M</t>
  </si>
  <si>
    <t xml:space="preserve">KRUGER DUXBURY SOLUTION            </t>
  </si>
  <si>
    <t>KRUGER DUXBURY SOLUTION    T A</t>
  </si>
  <si>
    <t>zikhona</t>
  </si>
  <si>
    <t xml:space="preserve">Supplyrite                         </t>
  </si>
  <si>
    <t>Danae</t>
  </si>
  <si>
    <t>Cavenes</t>
  </si>
  <si>
    <t>COL</t>
  </si>
  <si>
    <t xml:space="preserve">BLISS BRANDS (PTY) LTD             </t>
  </si>
  <si>
    <t>BLISS BRANDS</t>
  </si>
  <si>
    <t>Young</t>
  </si>
  <si>
    <t>suan</t>
  </si>
  <si>
    <t xml:space="preserve">CONTROLTECH CAPE (PTY) LTD CAP     </t>
  </si>
  <si>
    <t>CONTROLTECH CAPE  PTY  LTD CAP</t>
  </si>
  <si>
    <t>nicole</t>
  </si>
  <si>
    <t>Seboko</t>
  </si>
  <si>
    <t>Llewellyn</t>
  </si>
  <si>
    <t>Taz Japhta</t>
  </si>
  <si>
    <t>ATH</t>
  </si>
  <si>
    <t>PIET</t>
  </si>
  <si>
    <t>PIET RETIEF</t>
  </si>
  <si>
    <t xml:space="preserve">HCH ELECTRIC CC                    </t>
  </si>
  <si>
    <t>HCH ELECTRIC CC</t>
  </si>
  <si>
    <t>ENOCK</t>
  </si>
  <si>
    <t>POD received from cell 0832048163 M</t>
  </si>
  <si>
    <t xml:space="preserve">HEAT AND CONTROL PTY LTD           </t>
  </si>
  <si>
    <t>HEAT AND CONTROL PTY LTD</t>
  </si>
  <si>
    <t xml:space="preserve">Shevlin                       </t>
  </si>
  <si>
    <t>murries</t>
  </si>
  <si>
    <t>created only</t>
  </si>
  <si>
    <t xml:space="preserve">box                           </t>
  </si>
  <si>
    <t xml:space="preserve">FLEXICON AFRICA PTY                </t>
  </si>
  <si>
    <t>FLEXICON AFRICA PTY</t>
  </si>
  <si>
    <t>martin</t>
  </si>
  <si>
    <t>HOWIC</t>
  </si>
  <si>
    <t>HOWICK</t>
  </si>
  <si>
    <t xml:space="preserve">FAIRFIELD DAIRY PTY LTD            </t>
  </si>
  <si>
    <t>FAIRFIELD DAIRY PTY LTD</t>
  </si>
  <si>
    <t xml:space="preserve">ndumiso                       </t>
  </si>
  <si>
    <t xml:space="preserve">POD received from cell 0633530723 M     </t>
  </si>
  <si>
    <t>BOXES</t>
  </si>
  <si>
    <t xml:space="preserve">NUKOR (PTY) LTD                    </t>
  </si>
  <si>
    <t>NUKOR  PTY  LTD</t>
  </si>
  <si>
    <t xml:space="preserve">frans                         </t>
  </si>
  <si>
    <t>onsli</t>
  </si>
  <si>
    <t xml:space="preserve">FAURECIA INTERIOR SYSTEMS SA P     </t>
  </si>
  <si>
    <t>FAURECIA INTERIOR SYSTEMS SA P</t>
  </si>
  <si>
    <t>liyema</t>
  </si>
  <si>
    <t xml:space="preserve">FEMSERVE (PTY) LTD                 </t>
  </si>
  <si>
    <t>FEMSERVE  PTY  LTD</t>
  </si>
  <si>
    <t>robin</t>
  </si>
  <si>
    <t>POD received from cell 0738022932 M</t>
  </si>
  <si>
    <t xml:space="preserve">TI GROUP AUTOMOTIVE SYSTEMS        </t>
  </si>
  <si>
    <t>TI GROUP AUTOMOTIVE SYSTEMS</t>
  </si>
  <si>
    <t>Xoliswa</t>
  </si>
  <si>
    <t>jane</t>
  </si>
  <si>
    <t xml:space="preserve">DALEIN AGRI PLAN (PTY) LTD         </t>
  </si>
  <si>
    <t>DALEIN AGRI PLAN  PTY  LTD</t>
  </si>
  <si>
    <t>POD received from cell 0684446086 M</t>
  </si>
  <si>
    <t>0186</t>
  </si>
  <si>
    <t>STAND</t>
  </si>
  <si>
    <t>STANDERTON</t>
  </si>
  <si>
    <t xml:space="preserve">GERT SIBANDE TVET COLLEGE SKIL     </t>
  </si>
  <si>
    <t>GERT SIBANDE TVET COLLEGE SKIL</t>
  </si>
  <si>
    <t>singh</t>
  </si>
  <si>
    <t>POD received from cell 0677910501 M</t>
  </si>
  <si>
    <t>DANELLE</t>
  </si>
  <si>
    <t>PARCELS</t>
  </si>
  <si>
    <t>SBONGISENI</t>
  </si>
  <si>
    <t>merlin</t>
  </si>
  <si>
    <t xml:space="preserve">KATISO                        </t>
  </si>
  <si>
    <t xml:space="preserve">POD                                     </t>
  </si>
  <si>
    <t>N  Nel</t>
  </si>
  <si>
    <t>Noluvo Mapipa</t>
  </si>
  <si>
    <t xml:space="preserve">HARVEY ROOFING PRODUCTS A DIV      </t>
  </si>
  <si>
    <t>HARVEY ROOFING PRODUCTS A DIV</t>
  </si>
  <si>
    <t>loiwethu</t>
  </si>
  <si>
    <t xml:space="preserve">CARNILINX PTY LTD                  </t>
  </si>
  <si>
    <t>CARNILINX PTY LTD</t>
  </si>
  <si>
    <t>Mimi</t>
  </si>
  <si>
    <t>POD received from cell 0723831473 M</t>
  </si>
  <si>
    <t>BFLYER</t>
  </si>
  <si>
    <t>BOX:CONA</t>
  </si>
  <si>
    <t>akhona</t>
  </si>
  <si>
    <t xml:space="preserve">Reggie                        </t>
  </si>
  <si>
    <t xml:space="preserve">VANSTONE PRECAST (PTY) LTD         </t>
  </si>
  <si>
    <t>VANSTONE PRECAST  PTY  LTD</t>
  </si>
  <si>
    <t>memory mdiba</t>
  </si>
  <si>
    <t xml:space="preserve">TELPLAST PTY LTD                   </t>
  </si>
  <si>
    <t>TELPLAST PTY LTD</t>
  </si>
  <si>
    <t>Christopher</t>
  </si>
  <si>
    <t>busi</t>
  </si>
  <si>
    <t>PORT4</t>
  </si>
  <si>
    <t>PORT SHEPSTONE</t>
  </si>
  <si>
    <t xml:space="preserve">HYDROMATIC ENTERPRISES PTY LTD     </t>
  </si>
  <si>
    <t>HYDROMATIC ENTERPRISES</t>
  </si>
  <si>
    <t>COURTH</t>
  </si>
  <si>
    <t xml:space="preserve">MORTIMER OFFSET (PTY) LTD          </t>
  </si>
  <si>
    <t>MORTIMER OFFSET  PTY  LTD</t>
  </si>
  <si>
    <t>neo</t>
  </si>
  <si>
    <t xml:space="preserve">Returned to sender on waybill </t>
  </si>
  <si>
    <t xml:space="preserve">ERA STENE (PTY) LTD OLIFANTSFO     </t>
  </si>
  <si>
    <t>ERA STENE  PTY  LTD OLIFANTSFO</t>
  </si>
  <si>
    <t>STORE MANAGE</t>
  </si>
  <si>
    <t xml:space="preserve">ENGINEERING CC                     </t>
  </si>
  <si>
    <t>IAN BROWN</t>
  </si>
  <si>
    <t>Carc</t>
  </si>
  <si>
    <t>POD received from cell 0767060165 M</t>
  </si>
  <si>
    <t xml:space="preserve">Emmanuel Emmanuel             </t>
  </si>
  <si>
    <t xml:space="preserve">POD received from cell 0837323487 M     </t>
  </si>
  <si>
    <t xml:space="preserve">MPACT OPERATIONS (PTY) LTD VEN     </t>
  </si>
  <si>
    <t>MPACT OPERATIONS  PTY  LTD VEN</t>
  </si>
  <si>
    <t>GRY nner</t>
  </si>
  <si>
    <t>POD received from cell 0715155602 M</t>
  </si>
  <si>
    <t>doris</t>
  </si>
  <si>
    <t>POD received from cell 0795637015 M</t>
  </si>
  <si>
    <t>xola</t>
  </si>
  <si>
    <t>JANSE VAN RENSBURG</t>
  </si>
  <si>
    <t>carl</t>
  </si>
  <si>
    <t>sinathi</t>
  </si>
  <si>
    <t xml:space="preserve">ABF SUGAR (PTY) LTD- NCHALO ME     </t>
  </si>
  <si>
    <t>ABF SUGAR  PTY  LTD- NCHALO ME</t>
  </si>
  <si>
    <t>Salli</t>
  </si>
  <si>
    <t xml:space="preserve">ARDAGH GLASS PACKAGING             </t>
  </si>
  <si>
    <t>ARDAGH GLASS PACKAGING</t>
  </si>
  <si>
    <t>Jason</t>
  </si>
  <si>
    <t>asley</t>
  </si>
  <si>
    <t>Linda</t>
  </si>
  <si>
    <t>POD received from cell 0813693772 M</t>
  </si>
  <si>
    <t xml:space="preserve">FESTO CAPE TOWN OFFICE             </t>
  </si>
  <si>
    <t>FESTO CAPE TOWN OFFICE</t>
  </si>
  <si>
    <t>hardus</t>
  </si>
  <si>
    <t>Ntsako</t>
  </si>
  <si>
    <t xml:space="preserve">FOXOLUTION SYSTEMS ENGINEERING     </t>
  </si>
  <si>
    <t>FOXOLUTION SYSTEMS ENGINEERING</t>
  </si>
  <si>
    <t xml:space="preserve">Arno                          </t>
  </si>
  <si>
    <t xml:space="preserve">POD received from cell 0735647467 M     </t>
  </si>
  <si>
    <t>KIM</t>
  </si>
  <si>
    <t xml:space="preserve">FUSE-A-TRON SA (PTY) LTD           </t>
  </si>
  <si>
    <t>FUSE-A-TRON SA  PTY  LTD</t>
  </si>
  <si>
    <t xml:space="preserve">FOODCORP (PTY) LTD PRESIDENT B     </t>
  </si>
  <si>
    <t>FOODCORP  PTY  LTD PRESIDENT B</t>
  </si>
  <si>
    <t>Thabo</t>
  </si>
  <si>
    <t>ansel</t>
  </si>
  <si>
    <t>NICHOLAS</t>
  </si>
  <si>
    <t xml:space="preserve">J3A CONSULTING ENGINEERING SOL     </t>
  </si>
  <si>
    <t>J3A CONSULTING ENGINEERING SOL</t>
  </si>
  <si>
    <t>A Schoombee</t>
  </si>
  <si>
    <t>POD received from cell 0726813383 M</t>
  </si>
  <si>
    <t>0084</t>
  </si>
  <si>
    <t>k   moloto</t>
  </si>
  <si>
    <t xml:space="preserve">AUTO INDUSTRIAL MACHINING  A D     </t>
  </si>
  <si>
    <t>AUTO INDUSTRIAL MACHINING  A D</t>
  </si>
  <si>
    <t xml:space="preserve">Larry                         </t>
  </si>
  <si>
    <t>KWAZI</t>
  </si>
  <si>
    <t xml:space="preserve">KARAN BEEF FARMING PTY LTD         </t>
  </si>
  <si>
    <t>KARAN BEEF FARMING PTY LTD</t>
  </si>
  <si>
    <t>Corrie</t>
  </si>
  <si>
    <t xml:space="preserve">FFLYER                        </t>
  </si>
  <si>
    <t xml:space="preserve">SOUTHERN SERVICES CC               </t>
  </si>
  <si>
    <t>SOUTHERN SERVICES CC</t>
  </si>
  <si>
    <t>Alnick</t>
  </si>
  <si>
    <t>POD received from cell 0635405678 M</t>
  </si>
  <si>
    <t xml:space="preserve">ENTYCE BEVERAGES  DIVISION OF      </t>
  </si>
  <si>
    <t>ENTYCE BEVERAGES  DIVISION OF</t>
  </si>
  <si>
    <t>VUKANI</t>
  </si>
  <si>
    <t>POD received from cell 0682690407 M</t>
  </si>
  <si>
    <t>SARAH</t>
  </si>
  <si>
    <t>POD received from cell 0763378994 M</t>
  </si>
  <si>
    <t>bongani</t>
  </si>
  <si>
    <t xml:space="preserve">Marcell                       </t>
  </si>
  <si>
    <t xml:space="preserve">POD received from cell 0826975382 M     </t>
  </si>
  <si>
    <t>nathan</t>
  </si>
  <si>
    <t>tshepo</t>
  </si>
  <si>
    <t>POD received from cell 0782274968 M</t>
  </si>
  <si>
    <t xml:space="preserve">Nico                          </t>
  </si>
  <si>
    <t>cliford</t>
  </si>
  <si>
    <t xml:space="preserve">CONTINENTAL BISCUITS PTY LTD       </t>
  </si>
  <si>
    <t>CONTINENTAL BISCUITS PTY LTD</t>
  </si>
  <si>
    <t>Nomandla</t>
  </si>
  <si>
    <t>Client refused delivery</t>
  </si>
  <si>
    <t xml:space="preserve">ACCUTECH WEIGHING SERVICES PTY     </t>
  </si>
  <si>
    <t>ACCUTECH WEIGHING SERVICES PTY</t>
  </si>
  <si>
    <t>Sandra</t>
  </si>
  <si>
    <t>andreas</t>
  </si>
  <si>
    <t>POD received from cell 0840403522 M</t>
  </si>
  <si>
    <t>nokulthule</t>
  </si>
  <si>
    <t>flyer</t>
  </si>
  <si>
    <t xml:space="preserve">ATELIER S.A (PTY) LTD              </t>
  </si>
  <si>
    <t>ATELIER S.A  PTY  LTD</t>
  </si>
  <si>
    <t xml:space="preserve">Catherine                     </t>
  </si>
  <si>
    <t>flayer</t>
  </si>
  <si>
    <t>Incorrect route allocation</t>
  </si>
  <si>
    <t xml:space="preserve">BELSIZE PRINTING WORKS (PTY) A     </t>
  </si>
  <si>
    <t>BELSIZE PRINTING WORKS  PTY  A</t>
  </si>
  <si>
    <t>Lerato</t>
  </si>
  <si>
    <t>POD received from cell 0817257646 M</t>
  </si>
  <si>
    <t xml:space="preserve">CTP PRINTERS JOHANNESBURG          </t>
  </si>
  <si>
    <t>CTP PRINTERS JOHANNESBURG</t>
  </si>
  <si>
    <t>Bens</t>
  </si>
  <si>
    <t>leevan</t>
  </si>
  <si>
    <t>Renny</t>
  </si>
  <si>
    <t xml:space="preserve">CCBSA HEIDELBERG VALPRE LAGERS     </t>
  </si>
  <si>
    <t>CCBSA HEIDELBERG VALPRE LAGERS</t>
  </si>
  <si>
    <t>katlego</t>
  </si>
  <si>
    <t xml:space="preserve">INNOVATIVE WATER CARE SA HOLDI     </t>
  </si>
  <si>
    <t>INNOVATIVE WATER CARE SA HOLDI</t>
  </si>
  <si>
    <t xml:space="preserve">Portia                        </t>
  </si>
  <si>
    <t xml:space="preserve">PREMIER FMCG PTY LTD               </t>
  </si>
  <si>
    <t>PREMIER FMCG</t>
  </si>
  <si>
    <t>AYANDA</t>
  </si>
  <si>
    <t xml:space="preserve">PROPET S.A (PTY) LTD               </t>
  </si>
  <si>
    <t>PROPET S.A  PTY  LTD</t>
  </si>
  <si>
    <t xml:space="preserve">Shireen                       </t>
  </si>
  <si>
    <t>barko</t>
  </si>
  <si>
    <t xml:space="preserve">SCHULLPAK GAUTENG (PTY) LTD        </t>
  </si>
  <si>
    <t>SCHULLPAK GAUTENG  PTY  LTD</t>
  </si>
  <si>
    <t>Mandleni</t>
  </si>
  <si>
    <t xml:space="preserve">TIGER BRANDS SNACKS  TREATS PH     </t>
  </si>
  <si>
    <t>TIGER BRANDS SNACKS  TREATS PH</t>
  </si>
  <si>
    <t>moun</t>
  </si>
  <si>
    <t>pfarelo</t>
  </si>
  <si>
    <t>Tshe</t>
  </si>
  <si>
    <t>ASHTO</t>
  </si>
  <si>
    <t>ASHTON</t>
  </si>
  <si>
    <t xml:space="preserve">CSM BEARINGS   PNEUMATICS ASHT     </t>
  </si>
  <si>
    <t>CSM BEARINGS   PNEUMATICS ASHT</t>
  </si>
  <si>
    <t>A Steffans</t>
  </si>
  <si>
    <t>POD received from cell 0608104719 M</t>
  </si>
  <si>
    <t xml:space="preserve">TRIDENT STEEL PROSPECTON           </t>
  </si>
  <si>
    <t>TRIDENT STEEL PROSPECTON</t>
  </si>
  <si>
    <t>tyson</t>
  </si>
  <si>
    <t>mzoli</t>
  </si>
  <si>
    <t>Rebecca</t>
  </si>
  <si>
    <t>George</t>
  </si>
  <si>
    <t>POD received from cell 0767548818 M</t>
  </si>
  <si>
    <t>Remile</t>
  </si>
  <si>
    <t>POD received from cell 0786786237 M</t>
  </si>
  <si>
    <t>NATASHA</t>
  </si>
  <si>
    <t>GP DE JAGER</t>
  </si>
  <si>
    <t>POD received from cell 0797182636 M</t>
  </si>
  <si>
    <t xml:space="preserve">CONTRA AUTOMATION                  </t>
  </si>
  <si>
    <t>CONTRA AUTOMATION</t>
  </si>
  <si>
    <t xml:space="preserve">Shani                         </t>
  </si>
  <si>
    <t>Minah</t>
  </si>
  <si>
    <t xml:space="preserve">REBUS INDUSTRIAL CONTROLS          </t>
  </si>
  <si>
    <t>REBUS INDUSTRIAL CONTROLS</t>
  </si>
  <si>
    <t>huagh</t>
  </si>
  <si>
    <t>Jeff</t>
  </si>
  <si>
    <t>MIDD2</t>
  </si>
  <si>
    <t>MIDDELBURG (Mpumalanga)</t>
  </si>
  <si>
    <t xml:space="preserve">SUPPLYTECH (PTY) LTD               </t>
  </si>
  <si>
    <t>SUPPLYTECH  PTY  LTD</t>
  </si>
  <si>
    <t>K robbertse</t>
  </si>
  <si>
    <t>POD received from cell 0793866786 M</t>
  </si>
  <si>
    <t xml:space="preserve">SMT INDUSTRIAL CC MONTANA          </t>
  </si>
  <si>
    <t>SMT INDUSTRIAL CC MONTANA</t>
  </si>
  <si>
    <t xml:space="preserve">tebogo                        </t>
  </si>
  <si>
    <t xml:space="preserve">POD received from cell 0765529777 M     </t>
  </si>
  <si>
    <t>0151</t>
  </si>
  <si>
    <t xml:space="preserve">d jacobs                      </t>
  </si>
  <si>
    <t>MONDI SOUTH AFRICA PROPRI</t>
  </si>
  <si>
    <t xml:space="preserve">FES CUST 20250708 54 - BACK TO CUSTOMER </t>
  </si>
  <si>
    <t>Zithembiso</t>
  </si>
  <si>
    <t>xolani</t>
  </si>
  <si>
    <t>sphamandla</t>
  </si>
  <si>
    <t>siyabonga</t>
  </si>
  <si>
    <t>POD received from cell 0747406106 M</t>
  </si>
  <si>
    <t>Louis</t>
  </si>
  <si>
    <t>aliston</t>
  </si>
  <si>
    <t>Larry</t>
  </si>
  <si>
    <t xml:space="preserve">noah                          </t>
  </si>
  <si>
    <t xml:space="preserve">POD received from cell 0842084217 M     </t>
  </si>
  <si>
    <t>Mchaela</t>
  </si>
  <si>
    <t>k a moloto</t>
  </si>
  <si>
    <t xml:space="preserve">POLAR ICE CREAM CO PTY LTD         </t>
  </si>
  <si>
    <t>POLAR ICE CREAM CO PTY LTD</t>
  </si>
  <si>
    <t>Phezintle</t>
  </si>
  <si>
    <t>POD received from cell 0730378747 M</t>
  </si>
  <si>
    <t>JAPIE</t>
  </si>
  <si>
    <t>THEO</t>
  </si>
  <si>
    <t>Evans</t>
  </si>
  <si>
    <t>siyalo</t>
  </si>
  <si>
    <t>sanjeev</t>
  </si>
  <si>
    <t>philiphile</t>
  </si>
  <si>
    <t>fanie</t>
  </si>
  <si>
    <t>sherandy</t>
  </si>
  <si>
    <t xml:space="preserve">PNEUMATIC AID                      </t>
  </si>
  <si>
    <t>PNEUMATIC AID</t>
  </si>
  <si>
    <t>hanno</t>
  </si>
  <si>
    <t>Tohmson</t>
  </si>
  <si>
    <t xml:space="preserve">TOOLS   CARBIDE PLASTICS           </t>
  </si>
  <si>
    <t>TOOLS   CARBIDE</t>
  </si>
  <si>
    <t>john</t>
  </si>
  <si>
    <t>maruschka</t>
  </si>
  <si>
    <t xml:space="preserve">STEPHENS VALVES                    </t>
  </si>
  <si>
    <t>STEPHENS VALVES</t>
  </si>
  <si>
    <t>Adele</t>
  </si>
  <si>
    <t>TSHEPO</t>
  </si>
  <si>
    <t>c  okisoly</t>
  </si>
  <si>
    <t xml:space="preserve">CEREBOS LTD                        </t>
  </si>
  <si>
    <t>CEREBOS LTD</t>
  </si>
  <si>
    <t>brenda</t>
  </si>
  <si>
    <t>POD received from cell 0692632913 M</t>
  </si>
  <si>
    <t>LAMIN</t>
  </si>
  <si>
    <t>Ruben</t>
  </si>
  <si>
    <t>godfrey</t>
  </si>
  <si>
    <t xml:space="preserve">SA BULLET RESISTANT GLASS CC       </t>
  </si>
  <si>
    <t>SA BULLET RESISTANT GLASS CC</t>
  </si>
  <si>
    <t>colleen</t>
  </si>
  <si>
    <t>POD received from cell 0825419099 M</t>
  </si>
  <si>
    <t xml:space="preserve">NON FERROUS METAL WORKS S.A        </t>
  </si>
  <si>
    <t>NON FERROUS METAL WORKS S.A</t>
  </si>
  <si>
    <t>sandile</t>
  </si>
  <si>
    <t xml:space="preserve">THE SIMBA GROUP LTD MAIN AIRPO     </t>
  </si>
  <si>
    <t>THE SIMBA GROUP LTD MAIN AIRPO</t>
  </si>
  <si>
    <t>Tebogo</t>
  </si>
  <si>
    <t xml:space="preserve">sbongiseni                    </t>
  </si>
  <si>
    <t>nondumiso</t>
  </si>
  <si>
    <t>Nonzomzi</t>
  </si>
  <si>
    <t xml:space="preserve">Patrick                       </t>
  </si>
  <si>
    <t>Yovern</t>
  </si>
  <si>
    <t>golden</t>
  </si>
  <si>
    <t xml:space="preserve">ALL SUPPLIES                       </t>
  </si>
  <si>
    <t>ALL SUPPLIES</t>
  </si>
  <si>
    <t>Jan</t>
  </si>
  <si>
    <t xml:space="preserve">ELIGIBLED                     </t>
  </si>
  <si>
    <t>NOKUTHULA</t>
  </si>
  <si>
    <t>talita</t>
  </si>
  <si>
    <t xml:space="preserve">bongi                         </t>
  </si>
  <si>
    <t>yolanda</t>
  </si>
  <si>
    <t xml:space="preserve">PROMAX SIVEX DISTRIBUTORS CC T     </t>
  </si>
  <si>
    <t>PROMAX SIVEX DISTRIBUTORS CC T</t>
  </si>
  <si>
    <t>FLYWR</t>
  </si>
  <si>
    <t>PHALA</t>
  </si>
  <si>
    <t>PHALABORWA</t>
  </si>
  <si>
    <t xml:space="preserve">PALABORA COPPER (PTY) TD           </t>
  </si>
  <si>
    <t>PALABORA COPPER  PTY  TD</t>
  </si>
  <si>
    <t>Justice</t>
  </si>
  <si>
    <t>POD received from cell 0714955146 M</t>
  </si>
  <si>
    <t>SECUN</t>
  </si>
  <si>
    <t>SECUNDA</t>
  </si>
  <si>
    <t xml:space="preserve">HMF TECHNOLOGIES (PTY) LTD         </t>
  </si>
  <si>
    <t>HMF TECHNOLOGIES  PTY  LTD</t>
  </si>
  <si>
    <t>Letisia</t>
  </si>
  <si>
    <t>POD received from cell 0603223659 M</t>
  </si>
  <si>
    <t>isaac</t>
  </si>
  <si>
    <t xml:space="preserve">PRO PROJECT MACHINERY ( PTY )      </t>
  </si>
  <si>
    <t>PRO PROJECT MACHINERY   PTY</t>
  </si>
  <si>
    <t xml:space="preserve">GRANROTH (PTY) LTD                 </t>
  </si>
  <si>
    <t>GRANROTH  PTY  LTD</t>
  </si>
  <si>
    <t>Bradley pk</t>
  </si>
  <si>
    <t xml:space="preserve">SFC SOLUTIONS CLIMATE SOUTH AF     </t>
  </si>
  <si>
    <t>SFC SOLUTIONS CLIMATE SOUTH AF</t>
  </si>
  <si>
    <t>Azyach</t>
  </si>
  <si>
    <t xml:space="preserve">FELTEX AUTOMOTIVE TRIM PE PTY      </t>
  </si>
  <si>
    <t>FELTEX AUTOMOTIVE TRIM PE PTY</t>
  </si>
  <si>
    <t>Nadia</t>
  </si>
  <si>
    <t>regsen</t>
  </si>
  <si>
    <t xml:space="preserve">NEW STYLE PORK (PTY) LTD T A L     </t>
  </si>
  <si>
    <t>NEW STYLE PORK  PTY  LTD T A L</t>
  </si>
  <si>
    <t>Mangaliso</t>
  </si>
  <si>
    <t xml:space="preserve">THEO                          </t>
  </si>
  <si>
    <t>singhiwe</t>
  </si>
  <si>
    <t xml:space="preserve">SPRINGS BEE GEE ELECT WHOLE CC     </t>
  </si>
  <si>
    <t>SPRINGS BEE GEE ELECT WHOLE CC</t>
  </si>
  <si>
    <t>kein</t>
  </si>
  <si>
    <t xml:space="preserve">AIR PRODUCTS PTY LTD               </t>
  </si>
  <si>
    <t>AIR PRODUCTS PTY LTD</t>
  </si>
  <si>
    <t>Simon</t>
  </si>
  <si>
    <t>mkhululi</t>
  </si>
  <si>
    <t>POD received from cell 0794077267 M</t>
  </si>
  <si>
    <t xml:space="preserve">Thabiso                       </t>
  </si>
  <si>
    <t xml:space="preserve">DIVFOOD A DIV OF NAMPAK PRODUC     </t>
  </si>
  <si>
    <t>DIVFOOD A DIV OF NAMPAK PRODUC</t>
  </si>
  <si>
    <t>Pancho</t>
  </si>
  <si>
    <t xml:space="preserve">FKLYER                        </t>
  </si>
  <si>
    <t xml:space="preserve">TIGER CONSUMER BRANDS T A TAST     </t>
  </si>
  <si>
    <t>TIGER CONSUMER BRANDS T A TAST</t>
  </si>
  <si>
    <t>mneni</t>
  </si>
  <si>
    <t xml:space="preserve">POLYOAK PACKAGING PTY LTD          </t>
  </si>
  <si>
    <t>POLYOAK PACKAGING PTY LTD</t>
  </si>
  <si>
    <t>BenBen</t>
  </si>
  <si>
    <t xml:space="preserve">FELTEX AUTOMOTIVE DIVISION- GR     </t>
  </si>
  <si>
    <t>FELTEX AUTOMOTIVE DIVISION- GR</t>
  </si>
  <si>
    <t>sam sam</t>
  </si>
  <si>
    <t>FLERLY</t>
  </si>
  <si>
    <t>FLOYER</t>
  </si>
  <si>
    <t xml:space="preserve">CHW DESIGN CC                      </t>
  </si>
  <si>
    <t>CHW DESIGN CC</t>
  </si>
  <si>
    <t>VUYO</t>
  </si>
  <si>
    <t>Africa</t>
  </si>
  <si>
    <t xml:space="preserve">MERCEDES BENZ SOUTH AFRICA         </t>
  </si>
  <si>
    <t>MERCEDES BENZ S.A</t>
  </si>
  <si>
    <t>CHAZ</t>
  </si>
  <si>
    <t xml:space="preserve">Nomandla                      </t>
  </si>
  <si>
    <t>asanda</t>
  </si>
  <si>
    <t xml:space="preserve">SMITHS MANUFACTURING (PTY) LTD     </t>
  </si>
  <si>
    <t>SMITHS MANUFACTURING  PTY  LTD</t>
  </si>
  <si>
    <t>MIA</t>
  </si>
  <si>
    <t xml:space="preserve">BEARINGS ON CC                     </t>
  </si>
  <si>
    <t>BEARINGS ON CC</t>
  </si>
  <si>
    <t>riaz</t>
  </si>
  <si>
    <t xml:space="preserve">MZUKULU TECHNOLOGIES (PTY) LTD     </t>
  </si>
  <si>
    <t>MZUKULU TECHNOLOGIES  PTY  LTD</t>
  </si>
  <si>
    <t>MANDY</t>
  </si>
  <si>
    <t>POD received from cell 0659825059 M</t>
  </si>
  <si>
    <t>Sam sam</t>
  </si>
  <si>
    <t>Marius</t>
  </si>
  <si>
    <t xml:space="preserve">RAPID INDUSTRIAL SUPPLIES          </t>
  </si>
  <si>
    <t>RAPID INDUSTRIAL SUPPLIES</t>
  </si>
  <si>
    <t>tarryn</t>
  </si>
  <si>
    <t xml:space="preserve">GMC AUTOMATION THEESCOMBE          </t>
  </si>
  <si>
    <t>GMC AUTOMATION THEESCOMBE</t>
  </si>
  <si>
    <t xml:space="preserve">Christiaan                    </t>
  </si>
  <si>
    <t xml:space="preserve">POD received from cell 0764112218 M     </t>
  </si>
  <si>
    <t>ashley</t>
  </si>
  <si>
    <t xml:space="preserve">PE HYDRAULICS   PNEUMATICS         </t>
  </si>
  <si>
    <t>PE HYDRAULICS   PNEUMATICS</t>
  </si>
  <si>
    <t>tony</t>
  </si>
  <si>
    <t xml:space="preserve">ISUZU MOTORS S.A                   </t>
  </si>
  <si>
    <t>ISUZU MOTORS S.A</t>
  </si>
  <si>
    <t>oyama</t>
  </si>
  <si>
    <t>FLEY</t>
  </si>
  <si>
    <t xml:space="preserve">DIYA VALVES INTERNATIONAL CC C     </t>
  </si>
  <si>
    <t>DIYA VALVES INTERNATIONAL CC C</t>
  </si>
  <si>
    <t>neville</t>
  </si>
  <si>
    <t xml:space="preserve">YNF ENGINEERING ANVIL RD ISAND     </t>
  </si>
  <si>
    <t>YNF ENGINEERING ANVIL RD ISAND</t>
  </si>
  <si>
    <t>jeraldoh</t>
  </si>
  <si>
    <t xml:space="preserve">FOODCORP (PTY) LTD  CHARLOTTE      </t>
  </si>
  <si>
    <t>FOODCORP  PTY  LTD  CHARLOTTE</t>
  </si>
  <si>
    <t>Jonathan</t>
  </si>
  <si>
    <t>MOSSE</t>
  </si>
  <si>
    <t>MOSSEL BAY</t>
  </si>
  <si>
    <t xml:space="preserve">CSM BEARINGS   PNEUMATICS MOSS     </t>
  </si>
  <si>
    <t>CSM BEARINGS   PNEUMATICS MOSS</t>
  </si>
  <si>
    <t>wessel</t>
  </si>
  <si>
    <t>POD received from cell 0781804576 M</t>
  </si>
  <si>
    <t>owen</t>
  </si>
  <si>
    <t>F</t>
  </si>
  <si>
    <t>mbali</t>
  </si>
  <si>
    <t>POD received from cell 0753791545 M</t>
  </si>
  <si>
    <t xml:space="preserve">TENNECO RIDE CONTROL SA (PTY)      </t>
  </si>
  <si>
    <t>TENNECO RIDE CONTROL SA  PTY</t>
  </si>
  <si>
    <t>Asif</t>
  </si>
  <si>
    <t>Hardus</t>
  </si>
  <si>
    <t>POD received from cell 0761265903 M</t>
  </si>
  <si>
    <t>chaz</t>
  </si>
  <si>
    <t>POD received from cell 0740914769 M</t>
  </si>
  <si>
    <t>Kurt</t>
  </si>
  <si>
    <t>Udo</t>
  </si>
  <si>
    <t>kea</t>
  </si>
  <si>
    <t>Sello</t>
  </si>
  <si>
    <t>GREYT</t>
  </si>
  <si>
    <t>GREYTOWN</t>
  </si>
  <si>
    <t xml:space="preserve">UCL COMPANY (PTY) LTD ATTN: MR     </t>
  </si>
  <si>
    <t>UCL COMPANY  PTY  LTD ATTN  MR</t>
  </si>
  <si>
    <t>Sameer</t>
  </si>
  <si>
    <t>NDC / FUE / DOC</t>
  </si>
  <si>
    <t>POD received from cell 0712723510 M</t>
  </si>
  <si>
    <t>singliwe</t>
  </si>
  <si>
    <t xml:space="preserve">SAMANCOR LIMITED T A FERROMETA     </t>
  </si>
  <si>
    <t>SAMANCOR LIMITED T A FERROMETA</t>
  </si>
  <si>
    <t>POD received from cell 0762171456 M</t>
  </si>
  <si>
    <t xml:space="preserve">PREMIER FMCG (PTY) LTD MILL        </t>
  </si>
  <si>
    <t>PREMIER FMCG  PTY  LTD MILL</t>
  </si>
  <si>
    <t>shane</t>
  </si>
  <si>
    <t>POD received from cell 0738745632 M</t>
  </si>
  <si>
    <t>NIKESH</t>
  </si>
  <si>
    <t>POD received from cell 0714692887 M</t>
  </si>
  <si>
    <t>Kavenesh</t>
  </si>
  <si>
    <t xml:space="preserve">General Pneumatic                  </t>
  </si>
  <si>
    <t>Daniel Moonsamy</t>
  </si>
  <si>
    <t>Janelle</t>
  </si>
  <si>
    <t>Boxes</t>
  </si>
  <si>
    <t>trevor</t>
  </si>
  <si>
    <t>Novan</t>
  </si>
  <si>
    <t>f</t>
  </si>
  <si>
    <t>Previn</t>
  </si>
  <si>
    <t>OBERH</t>
  </si>
  <si>
    <t>OBERHOLZER</t>
  </si>
  <si>
    <t xml:space="preserve">ANGLOGOLD ASHANTI TRADE CREDIT     </t>
  </si>
  <si>
    <t xml:space="preserve">PRECIOUS MASUVHELELE               </t>
  </si>
  <si>
    <t>PRECIOUS MASUVHELELE</t>
  </si>
  <si>
    <t>ANGLOGOLD ASHANTI TRADE CREDIT</t>
  </si>
  <si>
    <t xml:space="preserve">ngobese                       </t>
  </si>
  <si>
    <t>CSH / FUE / doc</t>
  </si>
  <si>
    <t xml:space="preserve">POD received from cell 0810518321 M     </t>
  </si>
  <si>
    <t>faeez</t>
  </si>
  <si>
    <t>Hubert</t>
  </si>
  <si>
    <t xml:space="preserve">TRUDA FOODS (PTY) LTD EPPING I     </t>
  </si>
  <si>
    <t>TRUDA FOODS  PTY  LTD EPPING I</t>
  </si>
  <si>
    <t xml:space="preserve">Clive                         </t>
  </si>
  <si>
    <t>lee</t>
  </si>
  <si>
    <t xml:space="preserve">Alfred                        </t>
  </si>
  <si>
    <t xml:space="preserve">WILLOWTON OIL   CAKE MILLS         </t>
  </si>
  <si>
    <t>WILLOWTON OIL   CAKE MILLS</t>
  </si>
  <si>
    <t>shalic</t>
  </si>
  <si>
    <t>Lebohang</t>
  </si>
  <si>
    <t xml:space="preserve">ENAEX AFRICA (PTY) LTD             </t>
  </si>
  <si>
    <t>ENAEX AFRICA  PTY  LTD</t>
  </si>
  <si>
    <t>PATRICIA</t>
  </si>
  <si>
    <t xml:space="preserve">CAXTON WORKS                       </t>
  </si>
  <si>
    <t>CAXTON WORKS</t>
  </si>
  <si>
    <t>CATHY</t>
  </si>
  <si>
    <t>RICHARD</t>
  </si>
  <si>
    <t>thabo</t>
  </si>
  <si>
    <t>Alistair</t>
  </si>
  <si>
    <t>Kenneth</t>
  </si>
  <si>
    <t>Mfundo</t>
  </si>
  <si>
    <t xml:space="preserve">FLYERT                        </t>
  </si>
  <si>
    <t xml:space="preserve">I AM AUTOMATION                    </t>
  </si>
  <si>
    <t>GERHARDT STRYDOM</t>
  </si>
  <si>
    <t>elmarie</t>
  </si>
  <si>
    <t>POD received from cell 0845040713 M</t>
  </si>
  <si>
    <t>Yivern</t>
  </si>
  <si>
    <t>frans</t>
  </si>
  <si>
    <t xml:space="preserve">ANZELLE                       </t>
  </si>
  <si>
    <t>ERA STENE (PTY) LTD OLIFANTSFO</t>
  </si>
  <si>
    <t>Tshego</t>
  </si>
  <si>
    <t xml:space="preserve">AUTOLIV S.A                        </t>
  </si>
  <si>
    <t>AUTOLIV S.A</t>
  </si>
  <si>
    <t>hazel</t>
  </si>
  <si>
    <t>POD received from cell 0740123084 M</t>
  </si>
  <si>
    <t>Goodman</t>
  </si>
  <si>
    <t>bmo</t>
  </si>
  <si>
    <t xml:space="preserve">TRIDENT STEEL AFRICA (PTY) LTD     </t>
  </si>
  <si>
    <t>TRIDENT STEEL AFRICA  PTY  LTD</t>
  </si>
  <si>
    <t xml:space="preserve">AVION EAST RAND (PTY) LTD          </t>
  </si>
  <si>
    <t>AVION EAST RAND</t>
  </si>
  <si>
    <t>Macharla</t>
  </si>
  <si>
    <t xml:space="preserve">JONATHAN                      </t>
  </si>
  <si>
    <t>siyabongp</t>
  </si>
  <si>
    <t xml:space="preserve">MACSTEEL COIL PROCESSING           </t>
  </si>
  <si>
    <t>MACSTEEL COIL PROCESSING</t>
  </si>
  <si>
    <t>alfred</t>
  </si>
  <si>
    <t>lutha</t>
  </si>
  <si>
    <t xml:space="preserve">STRIDENT ENGINEERING PTY LTD       </t>
  </si>
  <si>
    <t>STRIDENT ENGINEERING PTY LTD</t>
  </si>
  <si>
    <t xml:space="preserve">Ramiz                         </t>
  </si>
  <si>
    <t xml:space="preserve">PREMIUM IDEAS SOUTH AFRICA (PT     </t>
  </si>
  <si>
    <t>PREMIUM IDEAS SOUTH AFRICA  PT</t>
  </si>
  <si>
    <t>MAKWALE</t>
  </si>
  <si>
    <t>jma</t>
  </si>
  <si>
    <t>Themba</t>
  </si>
  <si>
    <t xml:space="preserve">JOHN THOMPSON A DIV OF ACTOM P     </t>
  </si>
  <si>
    <t>JOHN THOMPSON A DIV OF ACTOM P</t>
  </si>
  <si>
    <t>Siyavuya</t>
  </si>
  <si>
    <t xml:space="preserve">DIVFOOD A DIV OF NAMPAK            </t>
  </si>
  <si>
    <t>DIVFOOD A DIV OF NAMPAK</t>
  </si>
  <si>
    <t>RAMESH</t>
  </si>
  <si>
    <t xml:space="preserve">BOWLER PLASTICS (PTY) LTD PHIL     </t>
  </si>
  <si>
    <t>BOWLER PLASTICS  PTY  LTD PHIL</t>
  </si>
  <si>
    <t>AMANDA</t>
  </si>
  <si>
    <t xml:space="preserve">Q-SOL PHARMA (PTY) LTD             </t>
  </si>
  <si>
    <t>Q-SOL PHARMA  PTY  LTD</t>
  </si>
  <si>
    <t>Elvis</t>
  </si>
  <si>
    <t xml:space="preserve">VISTA 24 (PTY) LTD HAMMANSKRAA     </t>
  </si>
  <si>
    <t>VISTA 24  PTY  LTD HAMMANSKRAA</t>
  </si>
  <si>
    <t>vusumuzi</t>
  </si>
  <si>
    <t>0407</t>
  </si>
  <si>
    <t xml:space="preserve">HYBIRD AUTOMATION CC JHB BRNCH     </t>
  </si>
  <si>
    <t>HYBIRD AUTOMATION CC JHB BRNCH</t>
  </si>
  <si>
    <t>kapil</t>
  </si>
  <si>
    <t>MARIZELLE</t>
  </si>
  <si>
    <t>THE SOUTH AFRICAN BREWERIES</t>
  </si>
  <si>
    <t>nadine</t>
  </si>
  <si>
    <t xml:space="preserve">ASTRATEK PROJECTS (PTY) LTD MA     </t>
  </si>
  <si>
    <t>ASTRATEK PROJECTS  PTY  LTD MA</t>
  </si>
  <si>
    <t>l khan</t>
  </si>
  <si>
    <t xml:space="preserve">HUHTAMAKI DIV FLEXIBLE             </t>
  </si>
  <si>
    <t>HUHTAMAKI DIV FLEXIBLE</t>
  </si>
  <si>
    <t>Thulani</t>
  </si>
  <si>
    <t xml:space="preserve">khamatsons                    </t>
  </si>
  <si>
    <t xml:space="preserve">POD received from cell 0814478692 M     </t>
  </si>
  <si>
    <t>patrick</t>
  </si>
  <si>
    <t>SIBUSISO</t>
  </si>
  <si>
    <t>akeisha</t>
  </si>
  <si>
    <t>Ephraim</t>
  </si>
  <si>
    <t xml:space="preserve">JAPIE                         </t>
  </si>
  <si>
    <t>njabulo</t>
  </si>
  <si>
    <t>FLYUER</t>
  </si>
  <si>
    <t xml:space="preserve">MCCAIN FOODS SOUTH AFRICA          </t>
  </si>
  <si>
    <t>0113653000</t>
  </si>
  <si>
    <t xml:space="preserve">cAMPANY STAMP                 </t>
  </si>
  <si>
    <t>sbongiseni</t>
  </si>
  <si>
    <t>POD received from cell 0633530723 M</t>
  </si>
  <si>
    <t>Ann ann</t>
  </si>
  <si>
    <t>zane</t>
  </si>
  <si>
    <t>nthateng</t>
  </si>
  <si>
    <t>Machaela</t>
  </si>
  <si>
    <t xml:space="preserve">SOUTHERN PULP MACHINERY PTY LT     </t>
  </si>
  <si>
    <t>SOUTHERN PULP MACHINERY</t>
  </si>
  <si>
    <t>bronwon</t>
  </si>
  <si>
    <t>LINDELANI</t>
  </si>
  <si>
    <t>POD received from cell 0716311909 M</t>
  </si>
  <si>
    <t>Cebo</t>
  </si>
  <si>
    <t>NTOKOZO</t>
  </si>
  <si>
    <t xml:space="preserve">FREDDY HIRSCH BEZERBA SCALES       </t>
  </si>
  <si>
    <t>FREDDY HIRSCH BEZERBA SCALES</t>
  </si>
  <si>
    <t>Clement</t>
  </si>
  <si>
    <t xml:space="preserve">J MEYER ENGINEERING CC             </t>
  </si>
  <si>
    <t>J MEYER ENGINEERING CC</t>
  </si>
  <si>
    <t>elsabe</t>
  </si>
  <si>
    <t xml:space="preserve">chris                         </t>
  </si>
  <si>
    <t>george</t>
  </si>
  <si>
    <t>CAMPE</t>
  </si>
  <si>
    <t>CAMPERDOWN</t>
  </si>
  <si>
    <t>shioa</t>
  </si>
  <si>
    <t xml:space="preserve">CONTROL SYSTEMS RUSTENBURG         </t>
  </si>
  <si>
    <t>CONTROL SYSTEMS RUSTENBURG</t>
  </si>
  <si>
    <t>chrisna</t>
  </si>
  <si>
    <t>prudence</t>
  </si>
  <si>
    <t xml:space="preserve">SASOL CHEMICALS A DIV OF SASOL     </t>
  </si>
  <si>
    <t>SASOL CHEMICALS A DIV OF SASOL</t>
  </si>
  <si>
    <t>ngwena</t>
  </si>
  <si>
    <t>AMANZ</t>
  </si>
  <si>
    <t>AMANZIMTOTI</t>
  </si>
  <si>
    <t>Shane</t>
  </si>
  <si>
    <t>POD received from cell 0671711975 M</t>
  </si>
  <si>
    <t>Japie</t>
  </si>
  <si>
    <t>DAVID</t>
  </si>
  <si>
    <t>shaan</t>
  </si>
  <si>
    <t xml:space="preserve">DG IMPEX CC T A AERIAL CONCEPT     </t>
  </si>
  <si>
    <t>DG IMPEX CC</t>
  </si>
  <si>
    <t>Mdumuka</t>
  </si>
  <si>
    <t>POD received from cell 0643928899 M</t>
  </si>
  <si>
    <t xml:space="preserve">NOMSA                         </t>
  </si>
  <si>
    <t xml:space="preserve">POD received from cell 0736687669 M     </t>
  </si>
  <si>
    <t xml:space="preserve">SAR ELECTRONIC SA (PTY) LTD NO     </t>
  </si>
  <si>
    <t>SAR ELECTRONIC SA  PTY  LTD NO</t>
  </si>
  <si>
    <t>jeandre</t>
  </si>
  <si>
    <t>ELMON</t>
  </si>
  <si>
    <t>lousha</t>
  </si>
  <si>
    <t xml:space="preserve">KIMBERLY CLARK S.A                 </t>
  </si>
  <si>
    <t>KIMBERLY CLARK S.A</t>
  </si>
  <si>
    <t>D JOUBSE</t>
  </si>
  <si>
    <t xml:space="preserve">cassim                        </t>
  </si>
  <si>
    <t xml:space="preserve">BRIDGESTONE FIRESTONE              </t>
  </si>
  <si>
    <t>BRIDGESTONE FIRESTONE</t>
  </si>
  <si>
    <t>Esther</t>
  </si>
  <si>
    <t xml:space="preserve">AUTOMATION  IAM                    </t>
  </si>
  <si>
    <t>Alister</t>
  </si>
  <si>
    <t xml:space="preserve">janke                         </t>
  </si>
  <si>
    <t xml:space="preserve">POD received from cell 0797182636 M     </t>
  </si>
  <si>
    <t xml:space="preserve">caru                          </t>
  </si>
  <si>
    <t xml:space="preserve">POD received from cell 0712942173 M     </t>
  </si>
  <si>
    <t xml:space="preserve">PREMIER FMCG (PTY) LTD             </t>
  </si>
  <si>
    <t>PREMIER FMCG  PTY  LTD</t>
  </si>
  <si>
    <t xml:space="preserve">JADEC STEEL PROJECTS CC            </t>
  </si>
  <si>
    <t>JADEC STEEL PROJECTS CC</t>
  </si>
  <si>
    <t xml:space="preserve">Kyle                          </t>
  </si>
  <si>
    <t xml:space="preserve">POD received from cell 0738022932 M     </t>
  </si>
  <si>
    <t>MINI PAL</t>
  </si>
  <si>
    <t xml:space="preserve">TF DESIGN PTY LTD                  </t>
  </si>
  <si>
    <t>TF DESIGN</t>
  </si>
  <si>
    <t>eugene</t>
  </si>
  <si>
    <t>lifa</t>
  </si>
  <si>
    <t>khauhelo</t>
  </si>
  <si>
    <t xml:space="preserve">ACTUM INDUSTRIAL (PTY) LTD         </t>
  </si>
  <si>
    <t>ACTUM INDUSTRIAL  PTY  LTD</t>
  </si>
  <si>
    <t>Alex</t>
  </si>
  <si>
    <t xml:space="preserve">PRESSURE DIE CASTINGS (PTY) LT     </t>
  </si>
  <si>
    <t>PRESSURE DIE CASTINGS  PTY  LT</t>
  </si>
  <si>
    <t>ryan</t>
  </si>
  <si>
    <t xml:space="preserve">PG BISON (PTY) LTD  ORDER NUMB     </t>
  </si>
  <si>
    <t>PG BISON  PTY  LTD  ORDER NUMB</t>
  </si>
  <si>
    <t>L G</t>
  </si>
  <si>
    <t xml:space="preserve">BBF SAFETY FROUP (PTY) LTD         </t>
  </si>
  <si>
    <t>BBF SAFETY FROUP  PTY  LTD</t>
  </si>
  <si>
    <t>Sadha</t>
  </si>
  <si>
    <t xml:space="preserve">S.C JOHNSON   SON SA PTY LTD       </t>
  </si>
  <si>
    <t>S.C JOHNSON   SON SA PTY LTD</t>
  </si>
  <si>
    <t>Refilwe</t>
  </si>
  <si>
    <t>SAMMY</t>
  </si>
  <si>
    <t xml:space="preserve">BARNES FENCING INDUSTRIES (PTY     </t>
  </si>
  <si>
    <t>BARNES FENCING INDUSTRIES  PTY</t>
  </si>
  <si>
    <t>Phumezo</t>
  </si>
  <si>
    <t xml:space="preserve">INGRAIN SA (PTY) LTD  5217 GER     </t>
  </si>
  <si>
    <t>INGRAIN SA  PTY  LTD 5217 GERM</t>
  </si>
  <si>
    <t>THOBEKA</t>
  </si>
  <si>
    <t>Appointment required</t>
  </si>
  <si>
    <t>Tess</t>
  </si>
  <si>
    <t>Lauren</t>
  </si>
  <si>
    <t>1FLYERT</t>
  </si>
  <si>
    <t xml:space="preserve">SAR ELECTRONIC SA(PTY)LTD          </t>
  </si>
  <si>
    <t>PVT</t>
  </si>
  <si>
    <t>POD received from cell 0823615061 M</t>
  </si>
  <si>
    <t xml:space="preserve">Compressed Air Equipment           </t>
  </si>
  <si>
    <t>Norma</t>
  </si>
  <si>
    <t>candice</t>
  </si>
  <si>
    <t>D Jucobs</t>
  </si>
  <si>
    <t>POD received from cell 069914459 M</t>
  </si>
  <si>
    <t>barto</t>
  </si>
  <si>
    <t>kedibone</t>
  </si>
  <si>
    <t xml:space="preserve">ROBOTIC INNOVATIONS (PTY) LTD      </t>
  </si>
  <si>
    <t>ROBOTIC INNOVATIONS  PTY  LTD</t>
  </si>
  <si>
    <t>BAVEN</t>
  </si>
  <si>
    <t xml:space="preserve">dick                          </t>
  </si>
  <si>
    <t>randan</t>
  </si>
  <si>
    <t>POD received from cell 0714250117 M</t>
  </si>
  <si>
    <t xml:space="preserve">RICE   PASTA A DIVISION OF TIG     </t>
  </si>
  <si>
    <t>RICE   PASTA A DIVISION OF TIG</t>
  </si>
  <si>
    <t>Katekani</t>
  </si>
  <si>
    <t>Priest</t>
  </si>
  <si>
    <t xml:space="preserve">REFERRO SYSTEMS PTY LTD            </t>
  </si>
  <si>
    <t>REFERRO SYSTEMS PTY LTD</t>
  </si>
  <si>
    <t>shelly</t>
  </si>
  <si>
    <t>POD received from cell 0726543055 M</t>
  </si>
  <si>
    <t>0040</t>
  </si>
  <si>
    <t>shoia</t>
  </si>
  <si>
    <t>Trevor</t>
  </si>
  <si>
    <t xml:space="preserve">PIONEER FOODS (PTY) LTD T A SA     </t>
  </si>
  <si>
    <t>PIONEER FOODS  PTY  LTD T A SA</t>
  </si>
  <si>
    <t>Rethabile</t>
  </si>
  <si>
    <t>caiphus</t>
  </si>
  <si>
    <t>FAUR1</t>
  </si>
  <si>
    <t>FAURE</t>
  </si>
  <si>
    <t xml:space="preserve">INDECON CC FIRGROVE                </t>
  </si>
  <si>
    <t>INDECON CC FIRGROVE</t>
  </si>
  <si>
    <t>J  nel</t>
  </si>
  <si>
    <t>POD received from cell 0673277989 M</t>
  </si>
  <si>
    <t xml:space="preserve">ENPROTEC ENVIROMENTAL   PROCES     </t>
  </si>
  <si>
    <t>ENPROTEC ENVIROMENTAL   PROCES</t>
  </si>
  <si>
    <t>Phillip</t>
  </si>
  <si>
    <t>jonas</t>
  </si>
  <si>
    <t>Samuel</t>
  </si>
  <si>
    <t>Moya</t>
  </si>
  <si>
    <t xml:space="preserve">CONTINENTAL TYRE SA SIDWELL        </t>
  </si>
  <si>
    <t>CONTINENTAL TYRE SA SIDWELL</t>
  </si>
  <si>
    <t>sylvia</t>
  </si>
  <si>
    <t>Letlhogonolo</t>
  </si>
  <si>
    <t xml:space="preserve">Sous                          </t>
  </si>
  <si>
    <t xml:space="preserve">POD received from cell 0733833839 M     </t>
  </si>
  <si>
    <t xml:space="preserve">CSM ENGINEERING CC CENTURION       </t>
  </si>
  <si>
    <t>CSM ENGINEERING CC CENTURION</t>
  </si>
  <si>
    <t>Windy</t>
  </si>
  <si>
    <t xml:space="preserve">UNIVERSAL PAPER   PLASTIC (BOP     </t>
  </si>
  <si>
    <t>UNIVERSAL PAPER   PLASTIC  BOP</t>
  </si>
  <si>
    <t>m tsonope</t>
  </si>
  <si>
    <t>0208</t>
  </si>
  <si>
    <t xml:space="preserve">VANNPAX (PTY) LTD MAITLAND         </t>
  </si>
  <si>
    <t>VANNPAX  PTY  LTD MAITLAND</t>
  </si>
  <si>
    <t>L khan</t>
  </si>
  <si>
    <t xml:space="preserve">jonathan                      </t>
  </si>
  <si>
    <t xml:space="preserve">POD received from cell 0780568122 M     </t>
  </si>
  <si>
    <t>sammy</t>
  </si>
  <si>
    <t>POD received from cell 0607413788 M</t>
  </si>
  <si>
    <t xml:space="preserve">deez                          </t>
  </si>
  <si>
    <t xml:space="preserve">POD received from cell 0658550146 M     </t>
  </si>
  <si>
    <t>chantel</t>
  </si>
  <si>
    <t>Arthur</t>
  </si>
  <si>
    <t xml:space="preserve">MACSTEEL SERVICE CENTRES SA 20     </t>
  </si>
  <si>
    <t>MACSTEEL SERVICE CENTRES SA 20</t>
  </si>
  <si>
    <t>yivern</t>
  </si>
  <si>
    <t>desnay</t>
  </si>
  <si>
    <t xml:space="preserve">CELETTE SA PTY LTD                 </t>
  </si>
  <si>
    <t>CELETTE SA PTY LTD</t>
  </si>
  <si>
    <t>seun</t>
  </si>
  <si>
    <t xml:space="preserve">MOVE ANALYTICS CC                  </t>
  </si>
  <si>
    <t xml:space="preserve">Devcotech Electrical Eng           </t>
  </si>
  <si>
    <t>RECEIVING</t>
  </si>
  <si>
    <t>sindiswa</t>
  </si>
  <si>
    <t>sbusiso</t>
  </si>
  <si>
    <t xml:space="preserve">02AFRICA PTY LTD                   </t>
  </si>
  <si>
    <t>02AFRICA PTY LTD</t>
  </si>
  <si>
    <t>david</t>
  </si>
  <si>
    <t xml:space="preserve">DETNET SOUTH AFRICA (PTY) LTD      </t>
  </si>
  <si>
    <t>DETNET SOUTH AFRICA  PTY  LTD</t>
  </si>
  <si>
    <t>mpho</t>
  </si>
  <si>
    <t>SOME1</t>
  </si>
  <si>
    <t>SOMERSET EAST</t>
  </si>
  <si>
    <t xml:space="preserve">P.J. ENGINEERING                   </t>
  </si>
  <si>
    <t>P.J. ENGINEERING</t>
  </si>
  <si>
    <t>almore illeg</t>
  </si>
  <si>
    <t>almal</t>
  </si>
  <si>
    <t xml:space="preserve">THE SIMBA GROUP DIESEL RD ISAN     </t>
  </si>
  <si>
    <t>THE SIMBA GROUP DIESEL RD ISAN</t>
  </si>
  <si>
    <t>Sphamantla</t>
  </si>
  <si>
    <t xml:space="preserve">SOLID WEDGE SERVICES CC            </t>
  </si>
  <si>
    <t>SOLID WEDGE SERVICES CC</t>
  </si>
  <si>
    <t>atty</t>
  </si>
  <si>
    <t>chase</t>
  </si>
  <si>
    <t>POD received from cell 0680067827 M</t>
  </si>
  <si>
    <t xml:space="preserve">ALBANY BAKERS A DIV OF TIGER C     </t>
  </si>
  <si>
    <t>ALBANY BAKERS A DIV OF TIGER C</t>
  </si>
  <si>
    <t>nomto</t>
  </si>
  <si>
    <t>emmanuel</t>
  </si>
  <si>
    <t>lonwaba</t>
  </si>
  <si>
    <t>lollirha</t>
  </si>
  <si>
    <t xml:space="preserve">ORREST CONTRACTS (PTY) LTD KIE     </t>
  </si>
  <si>
    <t>ORREST CONTRACTS  PTY  LTD KIE</t>
  </si>
  <si>
    <t>VAIDA</t>
  </si>
  <si>
    <t>J lee</t>
  </si>
  <si>
    <t>POD received from cell 0679520811 M</t>
  </si>
  <si>
    <t xml:space="preserve">morne                         </t>
  </si>
  <si>
    <t xml:space="preserve">POD received from cell 0628474552 M     </t>
  </si>
  <si>
    <t xml:space="preserve">tman                          </t>
  </si>
  <si>
    <t xml:space="preserve">ADIENT SOUTH AFRICA (PTY) LTD      </t>
  </si>
  <si>
    <t>ADIENT SOUTH AFRICA  PTY  LTD</t>
  </si>
  <si>
    <t>ngwamane</t>
  </si>
  <si>
    <t>Wendy</t>
  </si>
  <si>
    <t xml:space="preserve">ALBANY BAKERIES RANDFORTEIN        </t>
  </si>
  <si>
    <t>YOLANDI ALLERSTON</t>
  </si>
  <si>
    <t>ALBANY BAKERIES RANDFORTEIN</t>
  </si>
  <si>
    <t>POD received from cell 0606520943 M</t>
  </si>
  <si>
    <t>goddess</t>
  </si>
  <si>
    <t>felicia</t>
  </si>
  <si>
    <t xml:space="preserve">SINTER PLANT SERVICE               </t>
  </si>
  <si>
    <t>SINTER PLANT SERVICE</t>
  </si>
  <si>
    <t xml:space="preserve">tasmin                        </t>
  </si>
  <si>
    <t>0216</t>
  </si>
  <si>
    <t>thalakele</t>
  </si>
  <si>
    <t xml:space="preserve">CAPE GATE (PTY) LTD                </t>
  </si>
  <si>
    <t>CAPE GATE  PTY  LTD</t>
  </si>
  <si>
    <t>X kheswa</t>
  </si>
  <si>
    <t xml:space="preserve">FES CUST 20250711 51 - BACK TO CUSTOMER </t>
  </si>
  <si>
    <t xml:space="preserve">HIP SUPPLIERS PTY LTD              </t>
  </si>
  <si>
    <t>HIP SUPPLIERS PTY LTD</t>
  </si>
  <si>
    <t>Maria</t>
  </si>
  <si>
    <t>POD received from cell 0682118246 M</t>
  </si>
  <si>
    <t xml:space="preserve">S4 INTEGRATION PTYLTD              </t>
  </si>
  <si>
    <t>S4 INTEGRATION PTYLTD</t>
  </si>
  <si>
    <t>nick</t>
  </si>
  <si>
    <t xml:space="preserve">jeff                          </t>
  </si>
  <si>
    <t>I AM AUTOMATION</t>
  </si>
  <si>
    <t>Booysen</t>
  </si>
  <si>
    <t>Athi</t>
  </si>
  <si>
    <t xml:space="preserve">WISE CRACKS TRUST                  </t>
  </si>
  <si>
    <t>WISE CRACKS TRUST</t>
  </si>
  <si>
    <t>Claire</t>
  </si>
  <si>
    <t>dumisani</t>
  </si>
  <si>
    <t xml:space="preserve">GEH SOLUTIONS (PTY) LTD            </t>
  </si>
  <si>
    <t>GEH SOLUTIONS  PTY  LTD</t>
  </si>
  <si>
    <t>E HAMILTON</t>
  </si>
  <si>
    <t>thabang</t>
  </si>
  <si>
    <t>pelisa</t>
  </si>
  <si>
    <t xml:space="preserve">reshn                         </t>
  </si>
  <si>
    <t>Mojapelo</t>
  </si>
  <si>
    <t xml:space="preserve">AMKA PRODUCTS MANUFACTURERS        </t>
  </si>
  <si>
    <t>AMKA PRODUCTS MANUFACTURERS</t>
  </si>
  <si>
    <t>sham</t>
  </si>
  <si>
    <t>POD received from cell 0735646078 M</t>
  </si>
  <si>
    <t>NOLUTHANDO</t>
  </si>
  <si>
    <t>PHILANI</t>
  </si>
  <si>
    <t>Aliston</t>
  </si>
  <si>
    <t>Amina</t>
  </si>
  <si>
    <t xml:space="preserve">RHODES FOOD GROUP (PTY) LTD        </t>
  </si>
  <si>
    <t>RHODES FOOD GROUP  PTY  LTD</t>
  </si>
  <si>
    <t>spho</t>
  </si>
  <si>
    <t>athenkosi</t>
  </si>
  <si>
    <t xml:space="preserve">AZ ARMATUREN VALVES SOUTH AFRI     </t>
  </si>
  <si>
    <t>AZ ARMATUREN VALVES SOUTH AFRI</t>
  </si>
  <si>
    <t>Hope</t>
  </si>
  <si>
    <t>Marelize</t>
  </si>
  <si>
    <t>POD received from cell 0685210458 M</t>
  </si>
  <si>
    <t xml:space="preserve">AQUAPLAN CC                        </t>
  </si>
  <si>
    <t>AQUAPLAN CC</t>
  </si>
  <si>
    <t xml:space="preserve">raymond                       </t>
  </si>
  <si>
    <t>arno</t>
  </si>
  <si>
    <t>POD received from cell 0735647467 M</t>
  </si>
  <si>
    <t xml:space="preserve">PNEUSTREAM                         </t>
  </si>
  <si>
    <t>PNEUSTREAM</t>
  </si>
  <si>
    <t>danie</t>
  </si>
  <si>
    <t xml:space="preserve">RCL GROUP SERVICES PTY LTD         </t>
  </si>
  <si>
    <t>RCL GROUP SERVICES PTY LTD</t>
  </si>
  <si>
    <t>Edith</t>
  </si>
  <si>
    <t>POD received from cell 0715414711 M</t>
  </si>
  <si>
    <t>Mokgadi</t>
  </si>
  <si>
    <t>rapelang</t>
  </si>
  <si>
    <t>080066484922</t>
  </si>
  <si>
    <t>S Van Wyk</t>
  </si>
  <si>
    <t xml:space="preserve">DR OETKER SOUTH AFRICA             </t>
  </si>
  <si>
    <t>DR OETKER SOUTH AFRICA</t>
  </si>
  <si>
    <t>matildah</t>
  </si>
  <si>
    <t xml:space="preserve">resh                          </t>
  </si>
  <si>
    <t>njilo</t>
  </si>
  <si>
    <t>bonginkosi</t>
  </si>
  <si>
    <t xml:space="preserve">Venk-Pac                           </t>
  </si>
  <si>
    <t>Candice Govender</t>
  </si>
  <si>
    <t>POD received from cell 0844433687 M</t>
  </si>
  <si>
    <t xml:space="preserve">Ulrich                        </t>
  </si>
  <si>
    <t xml:space="preserve">POD received from cell 0612301350 M     </t>
  </si>
  <si>
    <t>nhlanhla</t>
  </si>
  <si>
    <t>Athenkosi</t>
  </si>
  <si>
    <t xml:space="preserve">KW BREAD PACKAGING SYSTEMS CC      </t>
  </si>
  <si>
    <t>KW BREAD PACKAGING SYSTEMS CC</t>
  </si>
  <si>
    <t>Leanne</t>
  </si>
  <si>
    <t xml:space="preserve">spha                          </t>
  </si>
  <si>
    <t>anathi</t>
  </si>
  <si>
    <t xml:space="preserve">HEAT AND CONTROL SA (PTY) LTD      </t>
  </si>
  <si>
    <t>HEAT AND CONTROLSA   PTY  LTD</t>
  </si>
  <si>
    <t>Shevlin</t>
  </si>
  <si>
    <t>Mark</t>
  </si>
  <si>
    <t>Ruan</t>
  </si>
  <si>
    <t>farren</t>
  </si>
  <si>
    <t xml:space="preserve">ramatsela                     </t>
  </si>
  <si>
    <t>Lindy</t>
  </si>
  <si>
    <t>sonwabile</t>
  </si>
  <si>
    <t>Richman</t>
  </si>
  <si>
    <t>Charmaine</t>
  </si>
  <si>
    <t>Sean</t>
  </si>
  <si>
    <t>Roecele</t>
  </si>
  <si>
    <t>POD received from cell 0793213089 M</t>
  </si>
  <si>
    <t>philliphine</t>
  </si>
  <si>
    <t xml:space="preserve">Koos                          </t>
  </si>
  <si>
    <t xml:space="preserve">POD received from cell 0635405678 M     </t>
  </si>
  <si>
    <t>samuel</t>
  </si>
  <si>
    <t>A.P.L CARTONS</t>
  </si>
  <si>
    <t xml:space="preserve">lolltia                       </t>
  </si>
  <si>
    <t xml:space="preserve">POD received from cell 0744435413 M     </t>
  </si>
  <si>
    <t xml:space="preserve">FEDERAL MOGUL ENGINE BEARINGS      </t>
  </si>
  <si>
    <t>FEDERAL MOGUL ENGINE BEARINGS</t>
  </si>
  <si>
    <t>Makayla</t>
  </si>
  <si>
    <t xml:space="preserve">COMPRESSED AIR EQUIPMENT  JHB      </t>
  </si>
  <si>
    <t>COMPRESSED AIR EQUIPMENT</t>
  </si>
  <si>
    <t xml:space="preserve">lorenzo                       </t>
  </si>
  <si>
    <t xml:space="preserve">POD received from cell 0794077267 M     </t>
  </si>
  <si>
    <t>UMKOM</t>
  </si>
  <si>
    <t>UMKOMAAS</t>
  </si>
  <si>
    <t xml:space="preserve">SAPPI GLOBAL BUSINESS SERVICES     </t>
  </si>
  <si>
    <t>saziso</t>
  </si>
  <si>
    <t>POD received from cell 0815794165 M</t>
  </si>
  <si>
    <t>VINCENT</t>
  </si>
  <si>
    <t>Jemina</t>
  </si>
  <si>
    <t>samuel modiba</t>
  </si>
  <si>
    <t>POD received from cell 0791933005 M</t>
  </si>
  <si>
    <t xml:space="preserve">mylee                         </t>
  </si>
  <si>
    <t>Colleen</t>
  </si>
  <si>
    <t xml:space="preserve">Mduduzi                       </t>
  </si>
  <si>
    <t xml:space="preserve">POD received from cell 0659646054 M     </t>
  </si>
  <si>
    <t xml:space="preserve">patric                        </t>
  </si>
  <si>
    <t>Selwyn</t>
  </si>
  <si>
    <t>TSHOLOFELO</t>
  </si>
  <si>
    <t>ezekiel</t>
  </si>
  <si>
    <t>audrey</t>
  </si>
  <si>
    <t xml:space="preserve">C   M HYDRAULIC SERVICES           </t>
  </si>
  <si>
    <t>C   M HYDRAULIC SERVICES</t>
  </si>
  <si>
    <t>edna</t>
  </si>
  <si>
    <t>SHANE</t>
  </si>
  <si>
    <t>Yanga</t>
  </si>
  <si>
    <t>rehana</t>
  </si>
  <si>
    <t xml:space="preserve">SCOTT BRAD ENGINEERING             </t>
  </si>
  <si>
    <t>SCOTT BRAD ENGINEERING</t>
  </si>
  <si>
    <t>scott</t>
  </si>
  <si>
    <t>POD received from cell 0733906271 M</t>
  </si>
  <si>
    <t>SIBONGILE</t>
  </si>
  <si>
    <t xml:space="preserve">n janke                       </t>
  </si>
  <si>
    <t xml:space="preserve">PLASTIC OMNIUM AUTO INERGY SA      </t>
  </si>
  <si>
    <t>PLASTIC OMNIUM AUTO INERGY SA</t>
  </si>
  <si>
    <t>nolan</t>
  </si>
  <si>
    <t>QUEEN</t>
  </si>
  <si>
    <t>QUEENSTOWN</t>
  </si>
  <si>
    <t xml:space="preserve">TRUDA FOODS (PTY) LTD QUEENSTO     </t>
  </si>
  <si>
    <t>TRUDA FOODS  PTY  LTD QUEENSTO</t>
  </si>
  <si>
    <t>Christine</t>
  </si>
  <si>
    <t xml:space="preserve">METSO AOUTOTEC SOUTH AFRICA (P     </t>
  </si>
  <si>
    <t>METSO AOUTOTEC SOUTH AFRICA  P</t>
  </si>
  <si>
    <t>louise</t>
  </si>
  <si>
    <t>ruan</t>
  </si>
  <si>
    <t>jon</t>
  </si>
  <si>
    <t>Barnad</t>
  </si>
  <si>
    <t>linky</t>
  </si>
  <si>
    <t>recgcn</t>
  </si>
  <si>
    <t>Danie</t>
  </si>
  <si>
    <t xml:space="preserve">pha                           </t>
  </si>
  <si>
    <t xml:space="preserve">4 BYTES AUTOMATION CC HENNOPSP     </t>
  </si>
  <si>
    <t>4 BYTES AUTOMATION CC HENNOPSP</t>
  </si>
  <si>
    <t xml:space="preserve">AYANDA                        </t>
  </si>
  <si>
    <t xml:space="preserve">POD received from cell 0682690407 M     </t>
  </si>
  <si>
    <t>Shida</t>
  </si>
  <si>
    <t xml:space="preserve">FUEL INDUSTRY SERVICES (PTY) L     </t>
  </si>
  <si>
    <t>FUEL INDUSTRY SERVICES  PTY  L</t>
  </si>
  <si>
    <t>Kaylem</t>
  </si>
  <si>
    <t xml:space="preserve">k  a  moloto                  </t>
  </si>
  <si>
    <t xml:space="preserve">POD received from cell 0844936893 M     </t>
  </si>
  <si>
    <t xml:space="preserve">WINTERTIDE TRADING 69 T A P AN     </t>
  </si>
  <si>
    <t>WINTERTIDE TRADING 69 T A P AN</t>
  </si>
  <si>
    <t>jamie</t>
  </si>
  <si>
    <t>nokulthula</t>
  </si>
  <si>
    <t>sindisa</t>
  </si>
  <si>
    <t>santie</t>
  </si>
  <si>
    <t xml:space="preserve">RHINO VALVES (PTY) LTD BENONI      </t>
  </si>
  <si>
    <t>RHINO VALVES  PTY  LTD BENONI</t>
  </si>
  <si>
    <t>BOCX</t>
  </si>
  <si>
    <t>kezley</t>
  </si>
  <si>
    <t>nokutla</t>
  </si>
  <si>
    <t>nonto</t>
  </si>
  <si>
    <t xml:space="preserve">IL VAUGHAN INDUSTRIAL CC LIQUI     </t>
  </si>
  <si>
    <t>IL VAUGHAN INDUSTRIAL CC LIQUI</t>
  </si>
  <si>
    <t>Anton</t>
  </si>
  <si>
    <t xml:space="preserve">CYLINDER                      </t>
  </si>
  <si>
    <t>Hugo</t>
  </si>
  <si>
    <t xml:space="preserve">ACK SOLUTIONS PTY LTD              </t>
  </si>
  <si>
    <t>ACK SOLUTIONS PTY LTD</t>
  </si>
  <si>
    <t>nicolien</t>
  </si>
  <si>
    <t xml:space="preserve">BULK TECHNIK CC                    </t>
  </si>
  <si>
    <t>BULK TECHNIK CC</t>
  </si>
  <si>
    <t xml:space="preserve">Albreuht                      </t>
  </si>
  <si>
    <t xml:space="preserve">POD received from cell 0767060165 M     </t>
  </si>
  <si>
    <t>Lawrence</t>
  </si>
  <si>
    <t>POD received from cell 0747980518 M</t>
  </si>
  <si>
    <t>MARINUS</t>
  </si>
  <si>
    <t>bebecca</t>
  </si>
  <si>
    <t xml:space="preserve">mojapelo                      </t>
  </si>
  <si>
    <t xml:space="preserve">ALPLA PACKAGING SA (PTY) LTD L     </t>
  </si>
  <si>
    <t>ALPLA PACKAGING SA  PTY  LTD L</t>
  </si>
  <si>
    <t>qiyaam</t>
  </si>
  <si>
    <t>Tracy</t>
  </si>
  <si>
    <t>Sindiswa</t>
  </si>
  <si>
    <t xml:space="preserve">CLAYVILLE NUTRITIONALS (PTY) L     </t>
  </si>
  <si>
    <t>CLAYVILLE NUTRITIONALS  PTY  L</t>
  </si>
  <si>
    <t xml:space="preserve">nico fourie                   </t>
  </si>
  <si>
    <t xml:space="preserve">POD received from cell 0833616148 M     </t>
  </si>
  <si>
    <t xml:space="preserve">panson                        </t>
  </si>
  <si>
    <t xml:space="preserve">POD received from cell 0725554242 M     </t>
  </si>
  <si>
    <t>Malvern</t>
  </si>
  <si>
    <t xml:space="preserve">MARCOM PLASTICS PTY LTD            </t>
  </si>
  <si>
    <t>MARCOM PLASTICS</t>
  </si>
  <si>
    <t>respect</t>
  </si>
  <si>
    <t>Nomto</t>
  </si>
  <si>
    <t xml:space="preserve">BASF SOUTH AFRICA PTY LTD          </t>
  </si>
  <si>
    <t>BASF SOUTH AFRICA</t>
  </si>
  <si>
    <t>bruce</t>
  </si>
  <si>
    <t xml:space="preserve">SPRING MEADOW DAIRY FARM (PTY)     </t>
  </si>
  <si>
    <t>SPRING MEADOW DAIRY FARM  PTY</t>
  </si>
  <si>
    <t>namanele</t>
  </si>
  <si>
    <t xml:space="preserve">KERRY INGREDIENTS                  </t>
  </si>
  <si>
    <t>KERRY INGREDIENTS</t>
  </si>
  <si>
    <t>F P Massyn</t>
  </si>
  <si>
    <t xml:space="preserve">THUTHUKA PACKAGING (PTY) LTD       </t>
  </si>
  <si>
    <t>THUTHUKA PACKAGING  PTY  LTD</t>
  </si>
  <si>
    <t xml:space="preserve">eulanda                       </t>
  </si>
  <si>
    <t>Clint</t>
  </si>
  <si>
    <t>rinah</t>
  </si>
  <si>
    <t xml:space="preserve">POWER BREEZE                       </t>
  </si>
  <si>
    <t>POWER BREEZE</t>
  </si>
  <si>
    <t xml:space="preserve">jauise                        </t>
  </si>
  <si>
    <t>M   Schreiber</t>
  </si>
  <si>
    <t xml:space="preserve">Anelisa                       </t>
  </si>
  <si>
    <t xml:space="preserve">POD received from cell 0658421544 M     </t>
  </si>
  <si>
    <t xml:space="preserve">LÓREAL MANUFACTURING PTY LTD       </t>
  </si>
  <si>
    <t>LÓREAL MANUFACTURING</t>
  </si>
  <si>
    <t>Nthabiseng</t>
  </si>
  <si>
    <t>POD received from cell 0658308170 M</t>
  </si>
  <si>
    <t xml:space="preserve">PSA AFRICA (PTY) LTD JET PARK      </t>
  </si>
  <si>
    <t>PSA AFRICA  PTY  LTD JET PARK</t>
  </si>
  <si>
    <t>Dane</t>
  </si>
  <si>
    <t xml:space="preserve">Ann Ann                       </t>
  </si>
  <si>
    <t xml:space="preserve">DEVON                              </t>
  </si>
  <si>
    <t>0(11) 902-6735</t>
  </si>
  <si>
    <t xml:space="preserve">SIGNED                        </t>
  </si>
  <si>
    <t xml:space="preserve">VICPRO SERVICES CC NELSPRUIT       </t>
  </si>
  <si>
    <t>VICPRO SERVICES CC NELSPRUIT</t>
  </si>
  <si>
    <t>Lynette</t>
  </si>
  <si>
    <t xml:space="preserve">BAKHRESA SA PTY LTD                </t>
  </si>
  <si>
    <t>BAKHRESA SA PTY LTD</t>
  </si>
  <si>
    <t>HAFIZA</t>
  </si>
  <si>
    <t xml:space="preserve">DES GROUP PTY LTD UMBOGINTWINI     </t>
  </si>
  <si>
    <t>DES GROUP PTY LTD UMBOGINTWINI</t>
  </si>
  <si>
    <t>Jorge</t>
  </si>
  <si>
    <t>FAITH</t>
  </si>
  <si>
    <t>victor</t>
  </si>
  <si>
    <t>Bauristhene</t>
  </si>
  <si>
    <t>chez</t>
  </si>
  <si>
    <t xml:space="preserve">wikis                         </t>
  </si>
  <si>
    <t>NKOSIKHONA</t>
  </si>
  <si>
    <t>van Der nest</t>
  </si>
  <si>
    <t>khule</t>
  </si>
  <si>
    <t>HND / DOC / DOC / FUE / INS</t>
  </si>
  <si>
    <t>FES CUST 20250715 51 - BACK TO CUSTOMER</t>
  </si>
  <si>
    <t>Dylan</t>
  </si>
  <si>
    <t>Tman</t>
  </si>
  <si>
    <t>POD received from cell 0741433512 M</t>
  </si>
  <si>
    <t>marall</t>
  </si>
  <si>
    <t>POD received from cell 0728258300 M</t>
  </si>
  <si>
    <t>r murrnou</t>
  </si>
  <si>
    <t>shaun</t>
  </si>
  <si>
    <t xml:space="preserve">CULINARY  A DIVISION OF TIGER      </t>
  </si>
  <si>
    <t>CULINARY  A DIVISION OF TIGER</t>
  </si>
  <si>
    <t>Dakalo</t>
  </si>
  <si>
    <t>nkoskhona</t>
  </si>
  <si>
    <t xml:space="preserve">Rendall                       </t>
  </si>
  <si>
    <t>benita</t>
  </si>
  <si>
    <t>POD received from cell 0639000995 M</t>
  </si>
  <si>
    <t>lorenzo</t>
  </si>
  <si>
    <t>S ALLI</t>
  </si>
  <si>
    <t xml:space="preserve">FORD MOTORING CO OF SA (PTY) L     </t>
  </si>
  <si>
    <t>FORD MOTORING CO OF SA  PTY  L</t>
  </si>
  <si>
    <t>moloto</t>
  </si>
  <si>
    <t xml:space="preserve">Randall                       </t>
  </si>
  <si>
    <t>noxolo</t>
  </si>
  <si>
    <t>Ndondo</t>
  </si>
  <si>
    <t>reshu</t>
  </si>
  <si>
    <t>nelson</t>
  </si>
  <si>
    <t>divaan</t>
  </si>
  <si>
    <t xml:space="preserve">WOOL TESTING BUREAU S.A            </t>
  </si>
  <si>
    <t>WOOL TESTING BUREAU S.A</t>
  </si>
  <si>
    <t>J Francis</t>
  </si>
  <si>
    <t>POD received from cell 0634843728 M</t>
  </si>
  <si>
    <t xml:space="preserve">wikus                         </t>
  </si>
  <si>
    <t>annaline</t>
  </si>
  <si>
    <t xml:space="preserve">ANDREW MENTIS (PTY) LTD            </t>
  </si>
  <si>
    <t>ANDREW MENTIS  PTY  LTD</t>
  </si>
  <si>
    <t>patric</t>
  </si>
  <si>
    <t xml:space="preserve">CLOVER SA PTY LTD PERSEVERANCE     </t>
  </si>
  <si>
    <t>CLOVER SA PTY LTD PERSEVERANCE</t>
  </si>
  <si>
    <t>clinton</t>
  </si>
  <si>
    <t>CSH / doc / DOC / FUE / INS</t>
  </si>
  <si>
    <t>lariette</t>
  </si>
  <si>
    <t>FEZEKILE</t>
  </si>
  <si>
    <t xml:space="preserve">SECTIONAL POLES GROUP (PTY) LT     </t>
  </si>
  <si>
    <t>SECTIONAL POLES GROUP  PTY  LT</t>
  </si>
  <si>
    <t>Jacques</t>
  </si>
  <si>
    <t>sibu</t>
  </si>
  <si>
    <t>POD received from cell 0719539417 M</t>
  </si>
  <si>
    <t xml:space="preserve">DUELTRON (PTY) LTD T A DUELTRO     </t>
  </si>
  <si>
    <t>DUELTRON  PTY  LTD T A DUELTRO</t>
  </si>
  <si>
    <t>Stefsn</t>
  </si>
  <si>
    <t>POD received from cell 0655428752 M</t>
  </si>
  <si>
    <t>THABO</t>
  </si>
  <si>
    <t>alberto</t>
  </si>
  <si>
    <t>Lwandle</t>
  </si>
  <si>
    <t>1F</t>
  </si>
  <si>
    <t>GRANT</t>
  </si>
  <si>
    <t>Arno</t>
  </si>
  <si>
    <t>ntokozo</t>
  </si>
  <si>
    <t>stanley</t>
  </si>
  <si>
    <t xml:space="preserve">NATIONAL BRANDS LIMITED  ROSSL     </t>
  </si>
  <si>
    <t>NATIONAL BRANDS LIMITED ROSSLY</t>
  </si>
  <si>
    <t xml:space="preserve">TECHNOVAA PACKAGING INDUSTRIES     </t>
  </si>
  <si>
    <t>TECHNOVAA PACKAGING INDUSTRIES</t>
  </si>
  <si>
    <t>vernon</t>
  </si>
  <si>
    <t>samuwelisiwe</t>
  </si>
  <si>
    <t xml:space="preserve">POD received from cell 0714250117 M     </t>
  </si>
  <si>
    <t xml:space="preserve">COLLABORATIVE PACKING SOLUTION     </t>
  </si>
  <si>
    <t>COLLABORATIVE PACKING SOLUTION</t>
  </si>
  <si>
    <t>Manual</t>
  </si>
  <si>
    <t>FLKYER</t>
  </si>
  <si>
    <t xml:space="preserve">HUHTAMAKI FLEXIBLE PACKAGING S     </t>
  </si>
  <si>
    <t>HUHTAMAKI FLEXIBLE PACKAGING S</t>
  </si>
  <si>
    <t>lucky</t>
  </si>
  <si>
    <t>Emanuel</t>
  </si>
  <si>
    <t xml:space="preserve">HEUNIS STEEL (PTY) LTD             </t>
  </si>
  <si>
    <t>HEUNIS STEEL  PTY  LTD</t>
  </si>
  <si>
    <t>sherleen</t>
  </si>
  <si>
    <t xml:space="preserve">ADCOCK INGRAM CRITICAL CARE        </t>
  </si>
  <si>
    <t>ADCOCK INGRAM CRITICAL CARE</t>
  </si>
  <si>
    <t>Lona</t>
  </si>
  <si>
    <t>Myron</t>
  </si>
  <si>
    <t>MANTHOSI</t>
  </si>
  <si>
    <t xml:space="preserve">EFAMATIC MACHINE TOOLS             </t>
  </si>
  <si>
    <t>EFAMATIC MACHINE TOOLS</t>
  </si>
  <si>
    <t xml:space="preserve">Nelly                         </t>
  </si>
  <si>
    <t xml:space="preserve">COIN DE MIRE EXPORTS CC            </t>
  </si>
  <si>
    <t>COIN DE MIRE EXPORTS CC</t>
  </si>
  <si>
    <t>sbu</t>
  </si>
  <si>
    <t xml:space="preserve">CANCRAFT  (PTY) LTD PRETORIA       </t>
  </si>
  <si>
    <t>CANCRAFT   PTY  LTD PRETORIA</t>
  </si>
  <si>
    <t>LUCIA</t>
  </si>
  <si>
    <t>pim</t>
  </si>
  <si>
    <t>RUAN</t>
  </si>
  <si>
    <t xml:space="preserve">ENGCON SUPPLIES (PTY) LTD          </t>
  </si>
  <si>
    <t>ENGCON SUPPLIES  PTY  LTD</t>
  </si>
  <si>
    <t>THULANI</t>
  </si>
  <si>
    <t xml:space="preserve">NEVEN MATTHEWS (PTY) LTD           </t>
  </si>
  <si>
    <t>NEVEN MATTHEWS  PTY  LTD</t>
  </si>
  <si>
    <t>CROLINE</t>
  </si>
  <si>
    <t>u janke</t>
  </si>
  <si>
    <t>POD received from cell 0834059114 M</t>
  </si>
  <si>
    <t>GWENE</t>
  </si>
  <si>
    <t>BOX: CON</t>
  </si>
  <si>
    <t xml:space="preserve">Jabu                          </t>
  </si>
  <si>
    <t xml:space="preserve">POD received from cell 0644108519 M     </t>
  </si>
  <si>
    <t>theresa</t>
  </si>
  <si>
    <t>voctor</t>
  </si>
  <si>
    <t xml:space="preserve">ENVISION AFRICA                    </t>
  </si>
  <si>
    <t>ENVISION AFRICA</t>
  </si>
  <si>
    <t>Lynn</t>
  </si>
  <si>
    <t>POD received from cell 0715270557 M</t>
  </si>
  <si>
    <t>alphons</t>
  </si>
  <si>
    <t>JLC</t>
  </si>
  <si>
    <t>Chantell</t>
  </si>
  <si>
    <t>POD received from cell 0726316905 M</t>
  </si>
  <si>
    <t xml:space="preserve">ILAMBU INDUSTRIAL SUPPLIERS        </t>
  </si>
  <si>
    <t>ILAMBU INDUSTRIAL SUPPLIERS</t>
  </si>
  <si>
    <t xml:space="preserve">CELIMPILO                     </t>
  </si>
  <si>
    <t xml:space="preserve">POD received from cell 0661437222 M     </t>
  </si>
  <si>
    <t xml:space="preserve">BYONIC INVESTMENTS CC              </t>
  </si>
  <si>
    <t>BYONIC INVESTMENTS CC</t>
  </si>
  <si>
    <t>jemifer</t>
  </si>
  <si>
    <t xml:space="preserve">jabu                          </t>
  </si>
  <si>
    <t>FLTER</t>
  </si>
  <si>
    <t xml:space="preserve">clement                       </t>
  </si>
  <si>
    <t xml:space="preserve">bashir                        </t>
  </si>
  <si>
    <t xml:space="preserve">POD received from cell 0825419099 M     </t>
  </si>
  <si>
    <t>karabo</t>
  </si>
  <si>
    <t xml:space="preserve">yanga                         </t>
  </si>
  <si>
    <t xml:space="preserve">POD received from cell 0736924422 M     </t>
  </si>
  <si>
    <t>VD nest</t>
  </si>
  <si>
    <t>Lisa</t>
  </si>
  <si>
    <t>Angie</t>
  </si>
  <si>
    <t>morne</t>
  </si>
  <si>
    <t>japie</t>
  </si>
  <si>
    <t>nadeem</t>
  </si>
  <si>
    <t>L Khan</t>
  </si>
  <si>
    <t xml:space="preserve">Marius                        </t>
  </si>
  <si>
    <t xml:space="preserve">POD received from cell 0649482691 M     </t>
  </si>
  <si>
    <t xml:space="preserve">THE BIOVAC INSTITUTE               </t>
  </si>
  <si>
    <t>THE BIOVAC INSTITUTE</t>
  </si>
  <si>
    <t>Sihle</t>
  </si>
  <si>
    <t xml:space="preserve">ennique                       </t>
  </si>
  <si>
    <t xml:space="preserve">HYBRID AUTOMATION CC               </t>
  </si>
  <si>
    <t>HYBRID AUTOMATION CC</t>
  </si>
  <si>
    <t>yasteel</t>
  </si>
  <si>
    <t xml:space="preserve">THE SOUTH AFRICA BREWERIES LTD     </t>
  </si>
  <si>
    <t>THE SOUTH AFRICA BREWERIES LTD</t>
  </si>
  <si>
    <t>Puleng</t>
  </si>
  <si>
    <t xml:space="preserve">Asebulo                            </t>
  </si>
  <si>
    <t>CLIENT TO DROP OFF AT THE SKYNET DEPOT</t>
  </si>
  <si>
    <t>Njabulo</t>
  </si>
  <si>
    <t>robby</t>
  </si>
  <si>
    <t xml:space="preserve">Rocbolt Technologies               </t>
  </si>
  <si>
    <t>THE DRIVER MUST ASK FOR GEORGE 0814907445 WHEN HE IS AT SECURITY</t>
  </si>
  <si>
    <t>George Brooks</t>
  </si>
  <si>
    <t xml:space="preserve">Umgeni Uthkela Water               </t>
  </si>
  <si>
    <t>PLEASE ASK THE DRIVER TO CALL JACOB 0317197300 WHEN HE IS ON HIS WAY</t>
  </si>
  <si>
    <t>Jacob Lyons</t>
  </si>
  <si>
    <t>yca</t>
  </si>
  <si>
    <t>xoli</t>
  </si>
  <si>
    <t>UPING</t>
  </si>
  <si>
    <t>UPINGTON</t>
  </si>
  <si>
    <t xml:space="preserve">REFERRO SYSTEMS UPINGTON           </t>
  </si>
  <si>
    <t>REFERRO SYSTEMS UPINGTON</t>
  </si>
  <si>
    <t>DAWID</t>
  </si>
  <si>
    <t>cib</t>
  </si>
  <si>
    <t xml:space="preserve">YOKOGAWA SA (PTY) LTD              </t>
  </si>
  <si>
    <t>YOKOGAWA SA  PTY  LTD</t>
  </si>
  <si>
    <t>Wilfred</t>
  </si>
  <si>
    <t>POD received from cell 0735871460 M</t>
  </si>
  <si>
    <t>Thabang</t>
  </si>
  <si>
    <t xml:space="preserve">DEFY APPLIANCES (PTY) LTD : AT     </t>
  </si>
  <si>
    <t>DEFY APPLIANCES  PTY  LTD   AT</t>
  </si>
  <si>
    <t>z mkhize</t>
  </si>
  <si>
    <t>Steven</t>
  </si>
  <si>
    <t>Lesiba</t>
  </si>
  <si>
    <t>POD received from cell 0795513816 M</t>
  </si>
  <si>
    <t>jaco</t>
  </si>
  <si>
    <t xml:space="preserve">BRIDGE PROCUREMENT A DIV OF C.     </t>
  </si>
  <si>
    <t>BRIDGE PROCUREMENT A DIV OF C.</t>
  </si>
  <si>
    <t>Silas</t>
  </si>
  <si>
    <t>Thapello</t>
  </si>
  <si>
    <t>nero</t>
  </si>
  <si>
    <t>mfundo</t>
  </si>
  <si>
    <t xml:space="preserve">REHAU POLYMER PTY LTD              </t>
  </si>
  <si>
    <t>REHAU POLYMER</t>
  </si>
  <si>
    <t>vusi</t>
  </si>
  <si>
    <t xml:space="preserve">Bearings On CC                     </t>
  </si>
  <si>
    <t>Ridhwaan Thomas</t>
  </si>
  <si>
    <t>RANDALL</t>
  </si>
  <si>
    <t>Bheki</t>
  </si>
  <si>
    <t xml:space="preserve">APEX AUTOMATION PTY LTD            </t>
  </si>
  <si>
    <t>APEX AUTOMATION PTY LTD</t>
  </si>
  <si>
    <t>Deon</t>
  </si>
  <si>
    <t>shirley</t>
  </si>
  <si>
    <t xml:space="preserve">Silas                         </t>
  </si>
  <si>
    <t xml:space="preserve">POD received from cell 0774119086 M     </t>
  </si>
  <si>
    <t xml:space="preserve">KIMBERLEY-CLARK  OF SA (PTY )      </t>
  </si>
  <si>
    <t>KIMBERLEY-CLARK  OF SA  PTY</t>
  </si>
  <si>
    <t>Mbali</t>
  </si>
  <si>
    <t>FES CUST 20250716 52 - BACK TO CUSTOMER</t>
  </si>
  <si>
    <t>tokisolin</t>
  </si>
  <si>
    <t xml:space="preserve">NEWCO INSTRUMENTS CC               </t>
  </si>
  <si>
    <t>NEWCO INSTRUMENTS CC</t>
  </si>
  <si>
    <t>Elaine</t>
  </si>
  <si>
    <t xml:space="preserve">Q-TECH INDUSTRIAL SOLUTIONS (P     </t>
  </si>
  <si>
    <t>Q-TECH INDUSTRIAL SOLUTIONS  P</t>
  </si>
  <si>
    <t>Louw marais</t>
  </si>
  <si>
    <t>POD received from cell 0699631211 M</t>
  </si>
  <si>
    <t xml:space="preserve">RCL FOODS CONSUMER (PTY) LTD S     </t>
  </si>
  <si>
    <t>RCL FOODS CONSUMER  PTY  LTD S</t>
  </si>
  <si>
    <t>qhokole</t>
  </si>
  <si>
    <t>eltina</t>
  </si>
  <si>
    <t>080011567035</t>
  </si>
  <si>
    <t>medwin</t>
  </si>
  <si>
    <t xml:space="preserve">GRUNDFOS (PTY) LTD GZA             </t>
  </si>
  <si>
    <t>GRUNDFOS  PTY  LTD GZA</t>
  </si>
  <si>
    <t>steve</t>
  </si>
  <si>
    <t xml:space="preserve">ALPHA HYDRAULICS AND PNEUMATIC     </t>
  </si>
  <si>
    <t>ALPHA HYDRAULICS AND PNEUMATIC</t>
  </si>
  <si>
    <t>wash</t>
  </si>
  <si>
    <t>yanga</t>
  </si>
  <si>
    <t xml:space="preserve">BLENDCOR (PTY) LTD 5482            </t>
  </si>
  <si>
    <t>BLENDCOR  PTY  LTD 5482</t>
  </si>
  <si>
    <t>DABIA</t>
  </si>
  <si>
    <t>Bernard</t>
  </si>
  <si>
    <t>WARREN</t>
  </si>
  <si>
    <t xml:space="preserve">xola                          </t>
  </si>
  <si>
    <t xml:space="preserve">phayal                        </t>
  </si>
  <si>
    <t xml:space="preserve">POD received from cell 0844020000 M     </t>
  </si>
  <si>
    <t xml:space="preserve">ANDERSON ENGINEERING FOOD AND      </t>
  </si>
  <si>
    <t>ANDERSON ENGINEERING FOOD AND</t>
  </si>
  <si>
    <t>Yirend</t>
  </si>
  <si>
    <t>FES CUST 20250716 53 - BACK TO CUSTOMER</t>
  </si>
  <si>
    <t xml:space="preserve">STEPHEN NYAMUTORA HSBC BANK SA     </t>
  </si>
  <si>
    <t>STEPHEN NYAMUTORA HSBC BANK SA</t>
  </si>
  <si>
    <t>lenkoe</t>
  </si>
  <si>
    <t>EAR / FUE / DOC</t>
  </si>
  <si>
    <t>POD received from cell 0822272106 M</t>
  </si>
  <si>
    <t xml:space="preserve">AEROSUD AVIATION (PTY) LTD PIE     </t>
  </si>
  <si>
    <t>AEROSUD AVIATION  PTY  LTD PIE</t>
  </si>
  <si>
    <t>0045</t>
  </si>
  <si>
    <t>saun</t>
  </si>
  <si>
    <t xml:space="preserve">BULK TUB                      </t>
  </si>
  <si>
    <t>Johnson</t>
  </si>
  <si>
    <t>Annah</t>
  </si>
  <si>
    <t>limane</t>
  </si>
  <si>
    <t xml:space="preserve">FESTO CAPE TOWN                    </t>
  </si>
  <si>
    <t>LERATO</t>
  </si>
  <si>
    <t>.</t>
  </si>
  <si>
    <t xml:space="preserve">Gossamer                           </t>
  </si>
  <si>
    <t xml:space="preserve">Productive Sytems                  </t>
  </si>
  <si>
    <t>Andre Van Vuuren</t>
  </si>
  <si>
    <t>Freida Kruger</t>
  </si>
  <si>
    <t xml:space="preserve">Victory Electrical                 </t>
  </si>
  <si>
    <t xml:space="preserve">Woodlands Dairy                    </t>
  </si>
  <si>
    <t>Marion</t>
  </si>
  <si>
    <t>Flyer</t>
  </si>
  <si>
    <t xml:space="preserve">Nestle SA                          </t>
  </si>
  <si>
    <t>Noluthando Eleni</t>
  </si>
  <si>
    <t>zweli Tebogo</t>
  </si>
  <si>
    <t xml:space="preserve">AL S PROJECTS SPECIALISED PTY      </t>
  </si>
  <si>
    <t>AL S PROJECTS SPECIALISED PTY</t>
  </si>
  <si>
    <t>Bongani</t>
  </si>
  <si>
    <t>Mhlongo</t>
  </si>
  <si>
    <t xml:space="preserve">AUTO INDUSTRIAL FOUNDRY DIV OF     </t>
  </si>
  <si>
    <t>AUTO INDUSTRIAL FOUNDRY DIV OF</t>
  </si>
  <si>
    <t>byron</t>
  </si>
  <si>
    <t>LUNGILE</t>
  </si>
  <si>
    <t>collen</t>
  </si>
  <si>
    <t xml:space="preserve">RCL FOODS CONSUMER                 </t>
  </si>
  <si>
    <t>RCL FOODS CONSUMER</t>
  </si>
  <si>
    <t>sthe</t>
  </si>
  <si>
    <t>ntemba</t>
  </si>
  <si>
    <t xml:space="preserve">FLYERE                        </t>
  </si>
  <si>
    <t xml:space="preserve">CTP PRINTERS CAPE TOWN             </t>
  </si>
  <si>
    <t>CTP PRINTERS CAPE TOWN</t>
  </si>
  <si>
    <t xml:space="preserve">SAINT-GOBAIN CIONSTRUCTION PRO     </t>
  </si>
  <si>
    <t>SAINT-GOBAIN CIONSTRUCTION PRO</t>
  </si>
  <si>
    <t xml:space="preserve">PROPROCESS ENGINEERING (PTY) L     </t>
  </si>
  <si>
    <t>PROPROCESS ENGINEERING  PTY  L</t>
  </si>
  <si>
    <t>Samantha</t>
  </si>
  <si>
    <t>F Roux</t>
  </si>
  <si>
    <t>POD received from cell 0614527212 M</t>
  </si>
  <si>
    <t>sam</t>
  </si>
  <si>
    <t xml:space="preserve">GENERAL MOTORS SOUTH AFRICA        </t>
  </si>
  <si>
    <t>GENERAL MOTORS SOUTH AFRICA</t>
  </si>
  <si>
    <t>A Kloppers</t>
  </si>
  <si>
    <t>DIRK</t>
  </si>
  <si>
    <t xml:space="preserve">Phezintle                     </t>
  </si>
  <si>
    <t xml:space="preserve">POD received from cell 0730378747 M     </t>
  </si>
  <si>
    <t xml:space="preserve">HYDRAULIC AND PNEUMATIC HUB GR     </t>
  </si>
  <si>
    <t>HYDRAULIC AND PNEUMATIC HUB GR</t>
  </si>
  <si>
    <t>bernice</t>
  </si>
  <si>
    <t>Lamelia</t>
  </si>
  <si>
    <t>chirs</t>
  </si>
  <si>
    <t>Chrisna</t>
  </si>
  <si>
    <t xml:space="preserve">INDUS WATER SOLUTIONS BRITS        </t>
  </si>
  <si>
    <t>INDUS WATER SOLUTIONS BRITS</t>
  </si>
  <si>
    <t>POD received from cell 0664838219 M</t>
  </si>
  <si>
    <t>harisha</t>
  </si>
  <si>
    <t>Shirley</t>
  </si>
  <si>
    <t>ANNAH</t>
  </si>
  <si>
    <t xml:space="preserve">BOXES                         </t>
  </si>
  <si>
    <t xml:space="preserve">MEGA PACK ENGINEERING (PTY) LT     </t>
  </si>
  <si>
    <t>MEGA PACK ENGINEERING  PTY  LT</t>
  </si>
  <si>
    <t xml:space="preserve">BUYHUB (PTY) LTD                   </t>
  </si>
  <si>
    <t>BUYHUB  PTY  LTD</t>
  </si>
  <si>
    <t>greg</t>
  </si>
  <si>
    <t>mhlengi</t>
  </si>
  <si>
    <t>T Prince</t>
  </si>
  <si>
    <t xml:space="preserve">ROTO-PLASTICS (PTY) LTD            </t>
  </si>
  <si>
    <t>ROTO-PLASTICS  PTY  LTD</t>
  </si>
  <si>
    <t>Garth</t>
  </si>
  <si>
    <t>N Ngalwa</t>
  </si>
  <si>
    <t>Jacob</t>
  </si>
  <si>
    <t>POD received from cell 0792308326 M</t>
  </si>
  <si>
    <t xml:space="preserve">collins                       </t>
  </si>
  <si>
    <t xml:space="preserve">POD received from cell 0714955146 M     </t>
  </si>
  <si>
    <t>j breedt</t>
  </si>
  <si>
    <t>SWELL</t>
  </si>
  <si>
    <t>SWELLENDAM</t>
  </si>
  <si>
    <t xml:space="preserve">SOUTHERN OIL LTD T A SOILL         </t>
  </si>
  <si>
    <t>SOUTHERN OIL LTD T A SOILL</t>
  </si>
  <si>
    <t>Mariana</t>
  </si>
  <si>
    <t>merli</t>
  </si>
  <si>
    <t xml:space="preserve">HYGIENIC TISSUE MILL               </t>
  </si>
  <si>
    <t>HYGIENIC TISSUE MILL</t>
  </si>
  <si>
    <t>kisara</t>
  </si>
  <si>
    <t xml:space="preserve">BROADWAY SWEETS                    </t>
  </si>
  <si>
    <t>BROADWAY SWEETS</t>
  </si>
  <si>
    <t>ELIAS</t>
  </si>
  <si>
    <t xml:space="preserve">MECALC PTY LTD                     </t>
  </si>
  <si>
    <t>MECALC PTY LTD</t>
  </si>
  <si>
    <t>mcdavey</t>
  </si>
  <si>
    <t>POD received from cell 0649538281 M</t>
  </si>
  <si>
    <t>Johnny</t>
  </si>
  <si>
    <t>emmaunel</t>
  </si>
  <si>
    <t>ATLAN</t>
  </si>
  <si>
    <t>ATLANTIS</t>
  </si>
  <si>
    <t xml:space="preserve">ZF PASSIVE SAFETY SOUTH AFRICA     </t>
  </si>
  <si>
    <t>ZF PASSIVE SAFETY SOUTH AFRICA</t>
  </si>
  <si>
    <t>Jerome</t>
  </si>
  <si>
    <t>POD received from cell 0829486869 M</t>
  </si>
  <si>
    <t>XOLELWA</t>
  </si>
  <si>
    <t xml:space="preserve">Tamaryn                       </t>
  </si>
  <si>
    <t xml:space="preserve">POD received from cell 0792230061 M     </t>
  </si>
  <si>
    <t>aEsther</t>
  </si>
  <si>
    <t>X ILLEG</t>
  </si>
  <si>
    <t>latsone</t>
  </si>
  <si>
    <t>stanton</t>
  </si>
  <si>
    <t>REBECCA</t>
  </si>
  <si>
    <t xml:space="preserve">f                             </t>
  </si>
  <si>
    <t>M Lategan</t>
  </si>
  <si>
    <t xml:space="preserve">DSV COURIER                        </t>
  </si>
  <si>
    <t>DSV COURIER</t>
  </si>
  <si>
    <t>bonge</t>
  </si>
  <si>
    <t>POD received from cell 0673329459 M</t>
  </si>
  <si>
    <t>LORDWICK</t>
  </si>
  <si>
    <t xml:space="preserve">MINI PAL                      </t>
  </si>
  <si>
    <t>lubabalo</t>
  </si>
  <si>
    <t>khubo</t>
  </si>
  <si>
    <t>Reece</t>
  </si>
  <si>
    <t xml:space="preserve">ROCBOLT TECHNOLOGIES PTY LTD       </t>
  </si>
  <si>
    <t>ROCBOLT TECHNOLOGIES</t>
  </si>
  <si>
    <t>ntombi</t>
  </si>
  <si>
    <t>Enos</t>
  </si>
  <si>
    <t>Ntokozo</t>
  </si>
  <si>
    <t>POD received from cell 0721261774 M</t>
  </si>
  <si>
    <t xml:space="preserve">nandipha                      </t>
  </si>
  <si>
    <t xml:space="preserve">POD received from cell 0644881838 M     </t>
  </si>
  <si>
    <t>sajeev</t>
  </si>
  <si>
    <t>TAJ</t>
  </si>
  <si>
    <t>Mokhethi</t>
  </si>
  <si>
    <t>symon</t>
  </si>
  <si>
    <t>Benita</t>
  </si>
  <si>
    <t>piet</t>
  </si>
  <si>
    <t>POD received from cell 0733836560 M</t>
  </si>
  <si>
    <t>Lezel</t>
  </si>
  <si>
    <t>POD received from cell 0721029438 M</t>
  </si>
  <si>
    <t>Nadine</t>
  </si>
  <si>
    <t xml:space="preserve">CONSULMET PTY LTD                  </t>
  </si>
  <si>
    <t>CONSULMET</t>
  </si>
  <si>
    <t>lindie</t>
  </si>
  <si>
    <t xml:space="preserve">IRVIN   JOHNSON LTD                </t>
  </si>
  <si>
    <t>IRVIN   JOHNSON LTD</t>
  </si>
  <si>
    <t xml:space="preserve">POD received from cell 0633442020 M     </t>
  </si>
  <si>
    <t>gift</t>
  </si>
  <si>
    <t>nthabeleng</t>
  </si>
  <si>
    <t>Janine3</t>
  </si>
  <si>
    <t xml:space="preserve">ILLOVO SUGAR SOUTH AFRICA (PTY     </t>
  </si>
  <si>
    <t>ILLOVO SUGAR SOUTH AFRICA  PTY</t>
  </si>
  <si>
    <t>cebo</t>
  </si>
  <si>
    <t xml:space="preserve">BOWLER PLASTICS PTY LTD            </t>
  </si>
  <si>
    <t>BOWLER PLASTICS PTY LTD</t>
  </si>
  <si>
    <t>Cindi</t>
  </si>
  <si>
    <t>Clive</t>
  </si>
  <si>
    <t>Morris</t>
  </si>
  <si>
    <t>amon</t>
  </si>
  <si>
    <t>Latasha</t>
  </si>
  <si>
    <t>Medwin De Kokel</t>
  </si>
  <si>
    <t>Lamla</t>
  </si>
  <si>
    <t xml:space="preserve">CIDNEY                        </t>
  </si>
  <si>
    <t>POD received from cell 0719533928 M</t>
  </si>
  <si>
    <t>Sade</t>
  </si>
  <si>
    <t>BURG1</t>
  </si>
  <si>
    <t>BURGERSFORT</t>
  </si>
  <si>
    <t xml:space="preserve">CONTROL SYSTEMS STEELPOORT CC      </t>
  </si>
  <si>
    <t>CONTROL SYSTEMS STEELPOORT CC</t>
  </si>
  <si>
    <t>Victor madiba</t>
  </si>
  <si>
    <t>NDC / FUE / doc</t>
  </si>
  <si>
    <t>POD received from cell 0716361725 M</t>
  </si>
  <si>
    <t>sig</t>
  </si>
  <si>
    <t xml:space="preserve">Rebecca                       </t>
  </si>
  <si>
    <t>TIAAN</t>
  </si>
  <si>
    <t>nomsa</t>
  </si>
  <si>
    <t>POD received from cell 0764180934 M</t>
  </si>
  <si>
    <t>WARRICK</t>
  </si>
  <si>
    <t xml:space="preserve">AUTOCAST NON-FERROUS (PTY) LTD     </t>
  </si>
  <si>
    <t>AUTOCAST NON-FERROUS  PTY  LTD</t>
  </si>
  <si>
    <t>ashraf</t>
  </si>
  <si>
    <t xml:space="preserve">ESKORT MEAT HEIDELBERG             </t>
  </si>
  <si>
    <t>ESKORT MEAT HEIDELBERG</t>
  </si>
  <si>
    <t>zach</t>
  </si>
  <si>
    <t>lindelani</t>
  </si>
  <si>
    <t xml:space="preserve">DEFY APPLIANCES (PTY) LTD LADY     </t>
  </si>
  <si>
    <t>DEFY APPLIANCES  PTY  LTD LADY</t>
  </si>
  <si>
    <t>Simon radebe</t>
  </si>
  <si>
    <t xml:space="preserve">ANALOG   DIGITAL POWER ELECTRO     </t>
  </si>
  <si>
    <t>ANALOG   DIGITAL POWER ELECTRO</t>
  </si>
  <si>
    <t>rhyno</t>
  </si>
  <si>
    <t>country schnidt</t>
  </si>
  <si>
    <t xml:space="preserve">AUTOMOULD PTY LTD                  </t>
  </si>
  <si>
    <t>AUTOMOULD PTY LTD</t>
  </si>
  <si>
    <t>Lorraine</t>
  </si>
  <si>
    <t>POD received from cell 0672550254 M</t>
  </si>
  <si>
    <t>POD received from cell 0793098518 M</t>
  </si>
  <si>
    <t>Mike</t>
  </si>
  <si>
    <t>Neli</t>
  </si>
  <si>
    <t>walkens</t>
  </si>
  <si>
    <t>Innocentia</t>
  </si>
  <si>
    <t>Sharon</t>
  </si>
  <si>
    <t>POD received from cell 0711790907 M</t>
  </si>
  <si>
    <t>HEERMANUS</t>
  </si>
  <si>
    <t>PPM</t>
  </si>
  <si>
    <t xml:space="preserve">craig                         </t>
  </si>
  <si>
    <t xml:space="preserve">CORRUSEAL CORRUGATED GAUTENG P     </t>
  </si>
  <si>
    <t>CORRUSEAL CORRUGATED GAUTENG P</t>
  </si>
  <si>
    <t>Hlungwane</t>
  </si>
  <si>
    <t>Ntombi</t>
  </si>
  <si>
    <t xml:space="preserve">Control Systems                    </t>
  </si>
  <si>
    <t>PLEASE COLLECT FROM RECEPTION - MARKO</t>
  </si>
  <si>
    <t>Alicia Roets</t>
  </si>
  <si>
    <t>JACO BRITS</t>
  </si>
  <si>
    <t xml:space="preserve">mike                          </t>
  </si>
  <si>
    <t xml:space="preserve">VANGUARD LOGISTICS CLAIRWOOD       </t>
  </si>
  <si>
    <t>VANGUARD LOGISTICS CLAIRWOOD</t>
  </si>
  <si>
    <t>keegan</t>
  </si>
  <si>
    <t>reece</t>
  </si>
  <si>
    <t xml:space="preserve">S.G. PLASTIC CONSTRUCTION CC       </t>
  </si>
  <si>
    <t>S.G. PLASTIC CONSTRUCTION CC</t>
  </si>
  <si>
    <t>MARTIN</t>
  </si>
  <si>
    <t>KENSH</t>
  </si>
  <si>
    <t>Robert Rodney</t>
  </si>
  <si>
    <t>Lodewyk</t>
  </si>
  <si>
    <t>jacquet</t>
  </si>
  <si>
    <t>Micheal  V</t>
  </si>
  <si>
    <t xml:space="preserve">PARCELS                       </t>
  </si>
  <si>
    <t xml:space="preserve">FLYE                          </t>
  </si>
  <si>
    <t>awena</t>
  </si>
  <si>
    <t>nokukhanya</t>
  </si>
  <si>
    <t>grace</t>
  </si>
  <si>
    <t>OMORRIS</t>
  </si>
  <si>
    <t>courer</t>
  </si>
  <si>
    <t>lwayi</t>
  </si>
  <si>
    <t>POD received from cell 0643758393 M</t>
  </si>
  <si>
    <t>t davis</t>
  </si>
  <si>
    <t xml:space="preserve">VEOLIA WATER SOLUTIONS   TECHN     </t>
  </si>
  <si>
    <t>VEOLIA WATER SOLUTIONS   TECHN</t>
  </si>
  <si>
    <t>Lwazi Jacobs</t>
  </si>
  <si>
    <t>zweli</t>
  </si>
  <si>
    <t>DIKIRRS</t>
  </si>
  <si>
    <t>Gugulethu</t>
  </si>
  <si>
    <t xml:space="preserve">INDUS WATER INDUSTRIES PTY LTD     </t>
  </si>
  <si>
    <t>INDUS WATER INDUSTRIES PTY LTD</t>
  </si>
  <si>
    <t>kian</t>
  </si>
  <si>
    <t>kessie</t>
  </si>
  <si>
    <t>YANGA</t>
  </si>
  <si>
    <t>Collen</t>
  </si>
  <si>
    <t>Kiya</t>
  </si>
  <si>
    <t>cronje</t>
  </si>
  <si>
    <t>STRAN</t>
  </si>
  <si>
    <t>STRAND</t>
  </si>
  <si>
    <t xml:space="preserve">QUALITY FILTRATION SYSTEMS CC      </t>
  </si>
  <si>
    <t>QUALITY FILTRATION SYSTEMS CC</t>
  </si>
  <si>
    <t>blessing</t>
  </si>
  <si>
    <t xml:space="preserve">BRANDLINE PACKAGING (PTY) LTD      </t>
  </si>
  <si>
    <t>BRANDLINE PACKAGING  PTY  LTD</t>
  </si>
  <si>
    <t>charity</t>
  </si>
  <si>
    <t>Joshua</t>
  </si>
  <si>
    <t>LLH</t>
  </si>
  <si>
    <t>somehle</t>
  </si>
  <si>
    <t>Eva</t>
  </si>
  <si>
    <t>STANTON</t>
  </si>
  <si>
    <t>randy</t>
  </si>
  <si>
    <t xml:space="preserve">QUALIPAK (PTY) LTD                 </t>
  </si>
  <si>
    <t>QUALIPAK  PTY  LTD</t>
  </si>
  <si>
    <t>Whaylen</t>
  </si>
  <si>
    <t>eligibled</t>
  </si>
  <si>
    <t xml:space="preserve">Evans                         </t>
  </si>
  <si>
    <t>Robert rodney</t>
  </si>
  <si>
    <t>gary</t>
  </si>
  <si>
    <t xml:space="preserve">SA SUGAR ASSOCIATION FLANDERS      </t>
  </si>
  <si>
    <t>SA SUGAR ASSOCIATION FLANDERS</t>
  </si>
  <si>
    <t>khethiwe</t>
  </si>
  <si>
    <t>Johny</t>
  </si>
  <si>
    <t>POD received from cell 0737934317 M</t>
  </si>
  <si>
    <t xml:space="preserve">DAVITA TRADING (PTY) LTD           </t>
  </si>
  <si>
    <t>DAVITA TRADING  PTY  LTD</t>
  </si>
  <si>
    <t>Busisiwe</t>
  </si>
  <si>
    <t>C Reed</t>
  </si>
  <si>
    <t>gideon</t>
  </si>
  <si>
    <t>Cindy</t>
  </si>
  <si>
    <t>Bradley</t>
  </si>
  <si>
    <t>ndodo</t>
  </si>
  <si>
    <t>sinethemba</t>
  </si>
  <si>
    <t>Andreas</t>
  </si>
  <si>
    <t>N  g nwanyama</t>
  </si>
  <si>
    <t>Nandipha</t>
  </si>
  <si>
    <t>andries</t>
  </si>
  <si>
    <t xml:space="preserve">L OREAL MANUFACTURING PTY LTD      </t>
  </si>
  <si>
    <t>L OREAL MANUFACTURING PTY LTD</t>
  </si>
  <si>
    <t>OLIVIA</t>
  </si>
  <si>
    <t>Michaela</t>
  </si>
  <si>
    <t xml:space="preserve">BOX (CON                      </t>
  </si>
  <si>
    <t xml:space="preserve">THE SIMBA GROUP LTD                </t>
  </si>
  <si>
    <t>THE SIMBA GROUP</t>
  </si>
  <si>
    <t>r mitchelson</t>
  </si>
  <si>
    <t xml:space="preserve">Watch Tower Society                </t>
  </si>
  <si>
    <t>Marina Garcia</t>
  </si>
  <si>
    <t xml:space="preserve">CROWN CHICKENS T A SOVEREIGNFO     </t>
  </si>
  <si>
    <t>CROWN CHICKENS T A SOVEREIGNFO</t>
  </si>
  <si>
    <t xml:space="preserve">COCHRANE STEEL SPARTAN             </t>
  </si>
  <si>
    <t>COCHRANE STEEL SPARTAN</t>
  </si>
  <si>
    <t>kader kane</t>
  </si>
  <si>
    <t>bashir</t>
  </si>
  <si>
    <t>Masa</t>
  </si>
  <si>
    <t xml:space="preserve">RCL GROUP SERVICES (PTY) LTD       </t>
  </si>
  <si>
    <t>RCL GROUP SERVICES  PTY  LTD</t>
  </si>
  <si>
    <t>saper</t>
  </si>
  <si>
    <t>Sahlee</t>
  </si>
  <si>
    <t xml:space="preserve">ME ELECMETAL PRIMA MANUFACTURI     </t>
  </si>
  <si>
    <t>ME ELECMETAL PRIMA MANUFACTURI</t>
  </si>
  <si>
    <t>Whitney</t>
  </si>
  <si>
    <t xml:space="preserve">ALNABY BAKERIES A DIV OF TIGER     </t>
  </si>
  <si>
    <t>ALNABY BAKERIES A DIV OF TIGER</t>
  </si>
  <si>
    <t>sithokoqile</t>
  </si>
  <si>
    <t>dean</t>
  </si>
  <si>
    <t xml:space="preserve">SPICER AXLE PTY LTD                </t>
  </si>
  <si>
    <t>SPICER AXLE PTY LTD</t>
  </si>
  <si>
    <t>marelize</t>
  </si>
  <si>
    <t>Nancy</t>
  </si>
  <si>
    <t>boikie</t>
  </si>
  <si>
    <t>koum</t>
  </si>
  <si>
    <t>lucy</t>
  </si>
  <si>
    <t>Selby</t>
  </si>
  <si>
    <t>nathi</t>
  </si>
  <si>
    <t>CLEMENT</t>
  </si>
  <si>
    <t>Philip</t>
  </si>
  <si>
    <t>Petrus</t>
  </si>
  <si>
    <t>p  dulanye</t>
  </si>
  <si>
    <t xml:space="preserve">BAY AUTOMATION CARLSWALD MIDRA     </t>
  </si>
  <si>
    <t>BAY AUTOMATION CARLSWALD MIDRA</t>
  </si>
  <si>
    <t xml:space="preserve">LIQUID CARTONS INDUSTRAI FLORI     </t>
  </si>
  <si>
    <t>LIQUID CARTONS INDUSTRAI FLORI</t>
  </si>
  <si>
    <t xml:space="preserve">POD received from cell 0655428752 M     </t>
  </si>
  <si>
    <t>neaveen</t>
  </si>
  <si>
    <t xml:space="preserve">BAY AUTOMATION WILLOW PARK MAN     </t>
  </si>
  <si>
    <t>BAY AUTOMATION WILLOW PARK MAN</t>
  </si>
  <si>
    <t>Bad address</t>
  </si>
  <si>
    <t>Dudley</t>
  </si>
  <si>
    <t>Sizwe</t>
  </si>
  <si>
    <t>POD received from cell 0713186291 M</t>
  </si>
  <si>
    <t xml:space="preserve">MASTER PNEUMATIC AFRICA            </t>
  </si>
  <si>
    <t>MASTER PNEUMATIC AFRICA</t>
  </si>
  <si>
    <t>MJ Cremer</t>
  </si>
  <si>
    <t>Will</t>
  </si>
  <si>
    <t>Marth</t>
  </si>
  <si>
    <t>Barry</t>
  </si>
  <si>
    <t>pricilla</t>
  </si>
  <si>
    <t>vuyo</t>
  </si>
  <si>
    <t>Jerry</t>
  </si>
  <si>
    <t>Caroline</t>
  </si>
  <si>
    <t>PETER</t>
  </si>
  <si>
    <t>SHIDA</t>
  </si>
  <si>
    <t xml:space="preserve">Hydromatic Enterprises             </t>
  </si>
  <si>
    <t>Courtlin Matthews</t>
  </si>
  <si>
    <t xml:space="preserve">GREIF S.A PTY LTD                  </t>
  </si>
  <si>
    <t>GREIF S.A PTY LTD</t>
  </si>
  <si>
    <t>JACK</t>
  </si>
  <si>
    <t>KARAN BEEF PTY LTD ORDER</t>
  </si>
  <si>
    <t>PUREM PORT ELIZABETH  PTY</t>
  </si>
  <si>
    <t>ANGLOGOLD ASHANTI TRADE C</t>
  </si>
  <si>
    <t xml:space="preserve">RUMAX MINNING CC                   </t>
  </si>
  <si>
    <t>RUMAX MINNING CC</t>
  </si>
  <si>
    <t>HMF TECHNOLOGIES  PTY  LT</t>
  </si>
  <si>
    <t>COREL INSTRUMENTATION   C</t>
  </si>
  <si>
    <t>CONTROL SYSTEMS RUSTENBUR</t>
  </si>
  <si>
    <t>chrisha</t>
  </si>
  <si>
    <t>RG BROSE AUTOMOTIVE COMPO</t>
  </si>
  <si>
    <t>Leah</t>
  </si>
  <si>
    <t>RCL GROUP SERVICES PTY LT</t>
  </si>
  <si>
    <t>MCCAIN FOODS SOUTH AFRICA</t>
  </si>
  <si>
    <t>FOODCORP  PTY  LTD  CHARL</t>
  </si>
  <si>
    <t>Paul</t>
  </si>
  <si>
    <t>HAUTES TERRES D AFRIQUE C</t>
  </si>
  <si>
    <t>MDW PNEUMATIC TRADING PTY</t>
  </si>
  <si>
    <t>BRITISH AMERICAN TOBACCO</t>
  </si>
  <si>
    <t xml:space="preserve">bongs                         </t>
  </si>
  <si>
    <t>FORD MOTORING CO OF SA SI</t>
  </si>
  <si>
    <t>CSM ENGINEERING CC CENTUR</t>
  </si>
  <si>
    <t>RCL FOODS CONSUMER  PTY</t>
  </si>
  <si>
    <t>TILODI ENGINEERING PTY LT</t>
  </si>
  <si>
    <t>F  P  Massyn</t>
  </si>
  <si>
    <t>keletso</t>
  </si>
  <si>
    <t>POD received from cell 0790678352 M</t>
  </si>
  <si>
    <t>ALNABY BAKERIES A DIV OF</t>
  </si>
  <si>
    <t xml:space="preserve">yolandi                       </t>
  </si>
  <si>
    <t xml:space="preserve">POD received from cell 0679017498 M     </t>
  </si>
  <si>
    <t>CROWN CHICKENS T A SOVERE</t>
  </si>
  <si>
    <t xml:space="preserve">Zolani                        </t>
  </si>
  <si>
    <t xml:space="preserve">POD received from cell 0711790907 M     </t>
  </si>
  <si>
    <t>FP Masyn</t>
  </si>
  <si>
    <t>INHLE NEW OPCO PROPRIETAR</t>
  </si>
  <si>
    <t>PETRO</t>
  </si>
  <si>
    <t>Marcu</t>
  </si>
  <si>
    <t xml:space="preserve">M   C BEARING AND TRANSMISSION     </t>
  </si>
  <si>
    <t>M   C BEARING AND TRANSMI</t>
  </si>
  <si>
    <t>Priscilla</t>
  </si>
  <si>
    <t>Botha</t>
  </si>
  <si>
    <t xml:space="preserve">WATCH TOWER SOCIETY                </t>
  </si>
  <si>
    <t>WATCH TOWER SOCIETY</t>
  </si>
  <si>
    <t>Simbongile</t>
  </si>
  <si>
    <t>slindile</t>
  </si>
  <si>
    <t>mahommed</t>
  </si>
  <si>
    <t xml:space="preserve">YNF ENGINEERING CC PRETORIA        </t>
  </si>
  <si>
    <t>YNF ENGINEERING CC PRETORIA</t>
  </si>
  <si>
    <t>Aubrey</t>
  </si>
  <si>
    <t xml:space="preserve">riaz                          </t>
  </si>
  <si>
    <t>jelby</t>
  </si>
  <si>
    <t xml:space="preserve">MEKYLE                        </t>
  </si>
  <si>
    <t xml:space="preserve">GREIF SOUTH AFRICA PLASTICS PT     </t>
  </si>
  <si>
    <t>GREIF SOUTH AFRICA PLASTICS PT</t>
  </si>
  <si>
    <t>segametsi</t>
  </si>
  <si>
    <t xml:space="preserve">SILVER CONTROL SYSTEMS CC          </t>
  </si>
  <si>
    <t>SILVER CONTROL SYSTEMS CC</t>
  </si>
  <si>
    <t xml:space="preserve">MARNE                         </t>
  </si>
  <si>
    <t xml:space="preserve">PALLET                        </t>
  </si>
  <si>
    <t>BRENDON</t>
  </si>
  <si>
    <t>BTM</t>
  </si>
  <si>
    <t>POD received from cell 0730443352 M</t>
  </si>
  <si>
    <t>wickus</t>
  </si>
  <si>
    <t xml:space="preserve">LACTALIS SOUTH AFRICA              </t>
  </si>
  <si>
    <t>LACTALIS SOUTH AFRICA</t>
  </si>
  <si>
    <t xml:space="preserve">COCA-COLA BEVERAGES S.A CLAYVI     </t>
  </si>
  <si>
    <t>COCA-COLA BEVERAGES S.A    SOL</t>
  </si>
  <si>
    <t xml:space="preserve">sello                         </t>
  </si>
  <si>
    <t>Lester</t>
  </si>
  <si>
    <t xml:space="preserve">PREMIER FMCG (PTY) LTD PINETOW     </t>
  </si>
  <si>
    <t>PREMIER FMCG  PTY  LTD PINETOW</t>
  </si>
  <si>
    <t>Shawn</t>
  </si>
  <si>
    <t>Netishma</t>
  </si>
  <si>
    <t xml:space="preserve">MR CARRIERS    MONDI SOUTH AFR     </t>
  </si>
  <si>
    <t>MR CARRIERS    MONDI SOUTH AFR</t>
  </si>
  <si>
    <t>devi</t>
  </si>
  <si>
    <t>Nerishma</t>
  </si>
  <si>
    <t>LOUZS</t>
  </si>
  <si>
    <t>dashen</t>
  </si>
  <si>
    <t>Fezekile</t>
  </si>
  <si>
    <t xml:space="preserve">UNIQUE HYDRA (PTY) LTD             </t>
  </si>
  <si>
    <t>UNIQUE HYDRA  PTY  LTD</t>
  </si>
  <si>
    <t>Duncan</t>
  </si>
  <si>
    <t xml:space="preserve">CTP FLEXIBLES                      </t>
  </si>
  <si>
    <t>CTP FLEXIBLES</t>
  </si>
  <si>
    <t>Charlene</t>
  </si>
  <si>
    <t xml:space="preserve">kim                           </t>
  </si>
  <si>
    <t xml:space="preserve">Juan                          </t>
  </si>
  <si>
    <t>L Le Roux</t>
  </si>
  <si>
    <t xml:space="preserve">ILLOVO SUGAR                       </t>
  </si>
  <si>
    <t>ILLOVO SUGAR</t>
  </si>
  <si>
    <t>CLINTON</t>
  </si>
  <si>
    <t>dillon</t>
  </si>
  <si>
    <t xml:space="preserve">Elijah                        </t>
  </si>
  <si>
    <t>Dillon</t>
  </si>
  <si>
    <t>LETISIA</t>
  </si>
  <si>
    <t>Jayden</t>
  </si>
  <si>
    <t>Lariette</t>
  </si>
  <si>
    <t xml:space="preserve">AGRIPLAS PTY LTD (2670) STIKLA     </t>
  </si>
  <si>
    <t>AGRIPLAS PTY LTD  2670  STIKLA</t>
  </si>
  <si>
    <t>NGF</t>
  </si>
  <si>
    <t xml:space="preserve">MATO PRODUCTS (PTY) LTD            </t>
  </si>
  <si>
    <t>MATO PRODUCTS  PTY  LTD</t>
  </si>
  <si>
    <t>Requel</t>
  </si>
  <si>
    <t xml:space="preserve">GRW Engineering                    </t>
  </si>
  <si>
    <t>Schalina Van Rhyn</t>
  </si>
  <si>
    <t>FES CUST 20250722 51 - BACK TO CUSTOMER</t>
  </si>
  <si>
    <t xml:space="preserve">CSM BEARINGS   PNEUMATIC SUPPL     </t>
  </si>
  <si>
    <t>CSM BEARINGS   PNEUMATIC SUPPL</t>
  </si>
  <si>
    <t xml:space="preserve">Sammy                         </t>
  </si>
  <si>
    <t xml:space="preserve">POD received from cell 0636621831 M     </t>
  </si>
  <si>
    <t>MEGA PACK ENGINEERING (PTY) LT</t>
  </si>
  <si>
    <t>Judith</t>
  </si>
  <si>
    <t>Roberts</t>
  </si>
  <si>
    <t>Jack</t>
  </si>
  <si>
    <t>Mdu</t>
  </si>
  <si>
    <t>UNILEVER SOUTH AFRICA PTY NLTD</t>
  </si>
  <si>
    <t>Lee</t>
  </si>
  <si>
    <t>Wendyv</t>
  </si>
  <si>
    <t xml:space="preserve">MED-ENGINEERING (PTY) LTD          </t>
  </si>
  <si>
    <t>MED-ENGINEERING  PTY  LTD</t>
  </si>
  <si>
    <t>Randal</t>
  </si>
  <si>
    <t>Norman</t>
  </si>
  <si>
    <t xml:space="preserve">hans                          </t>
  </si>
  <si>
    <t xml:space="preserve">POD received from cell 0767196058 M     </t>
  </si>
  <si>
    <t>lungelani</t>
  </si>
  <si>
    <t xml:space="preserve">kevin                         </t>
  </si>
  <si>
    <t>Lucul</t>
  </si>
  <si>
    <t>POTGI</t>
  </si>
  <si>
    <t>POTGIETERSRUS</t>
  </si>
  <si>
    <t xml:space="preserve">QUATRO PACK CC                     </t>
  </si>
  <si>
    <t>QUATRO PACK CC</t>
  </si>
  <si>
    <t>gerwin</t>
  </si>
  <si>
    <t>POD received from cell 0815633627 M</t>
  </si>
  <si>
    <t>0601</t>
  </si>
  <si>
    <t xml:space="preserve">GARNET ENGINEERING                 </t>
  </si>
  <si>
    <t>GARNET ENGINEERING</t>
  </si>
  <si>
    <t>HILTON</t>
  </si>
  <si>
    <t>SANDRA</t>
  </si>
  <si>
    <t>kuylen</t>
  </si>
  <si>
    <t>struan</t>
  </si>
  <si>
    <t xml:space="preserve">ERNEST LOWE A DIVISION OF HUDA     </t>
  </si>
  <si>
    <t>ERNEST LOWE A DIVISION OF HUDA</t>
  </si>
  <si>
    <t>Chester</t>
  </si>
  <si>
    <t xml:space="preserve">UNIVERSITY OF CPT ROOM 3.23.1      </t>
  </si>
  <si>
    <t>UNIVERSITY OF CPT ROOM 3.23.1</t>
  </si>
  <si>
    <t>patricia</t>
  </si>
  <si>
    <t xml:space="preserve">CONLOG (PTY) LTD                   </t>
  </si>
  <si>
    <t>CONLOG  PTY  LTD</t>
  </si>
  <si>
    <t xml:space="preserve">SASOL SYNFUELS VAT REG: 438010     </t>
  </si>
  <si>
    <t>SASOL SYNFUELS VAT REG  438010</t>
  </si>
  <si>
    <t>POD received from cell 0673302997 M</t>
  </si>
  <si>
    <t>Chedza</t>
  </si>
  <si>
    <t>A Steffens</t>
  </si>
  <si>
    <t>Itumeleng</t>
  </si>
  <si>
    <t>Chaz</t>
  </si>
  <si>
    <t>POD received from cell 0825579735 M</t>
  </si>
  <si>
    <t>SIFISO</t>
  </si>
  <si>
    <t xml:space="preserve">G.U.D. HOLDINGS                    </t>
  </si>
  <si>
    <t>G.U.D. HOLDINGS</t>
  </si>
  <si>
    <t>slindsile</t>
  </si>
  <si>
    <t xml:space="preserve">RCL GROUP SERVICES (PTY) LTD P     </t>
  </si>
  <si>
    <t>RCL GROUP SERVICES  PTY  LTD P</t>
  </si>
  <si>
    <t>Pooe</t>
  </si>
  <si>
    <t>reshmi</t>
  </si>
  <si>
    <t xml:space="preserve">FOCUS OPTICAL                      </t>
  </si>
  <si>
    <t>FOCUS OPTICAL</t>
  </si>
  <si>
    <t>g jones</t>
  </si>
  <si>
    <t>ATT:WAYNE STEENKAMP</t>
  </si>
  <si>
    <t>WAYNE STEENKAMP</t>
  </si>
  <si>
    <t xml:space="preserve">?                             </t>
  </si>
  <si>
    <t>ATT:ANDREW HALL VALVE GRW</t>
  </si>
  <si>
    <t>ANDREW HALL</t>
  </si>
  <si>
    <t>FES CUST 20250716 51 - BACK TO CUSTOMER</t>
  </si>
  <si>
    <t>DOC / DOC / DOC / FUE / INS</t>
  </si>
  <si>
    <t>FES CUST 20250717 51 - BACK TO CUSTOMER</t>
  </si>
  <si>
    <t>Vincent</t>
  </si>
  <si>
    <t xml:space="preserve">GREEN S RADIATOR SERVICE PTY L     </t>
  </si>
  <si>
    <t>GREEN S RADIATOR SERVICE PTY L</t>
  </si>
  <si>
    <t>RICHA</t>
  </si>
  <si>
    <t>RICHARDS BAY</t>
  </si>
  <si>
    <t xml:space="preserve">UNIVERSITY OF ZULULAND (RICHAR     </t>
  </si>
  <si>
    <t>UNIVERSITY OF ZULULAND  061623</t>
  </si>
  <si>
    <t>mbangeni</t>
  </si>
  <si>
    <t>anb</t>
  </si>
  <si>
    <t>POD received from cell 0720375743 M</t>
  </si>
  <si>
    <t xml:space="preserve">BOIX                          </t>
  </si>
  <si>
    <t>Amanda</t>
  </si>
  <si>
    <t xml:space="preserve">ZF LEMFORDER SA LTD                </t>
  </si>
  <si>
    <t>ZF LEMFORDER SA LTD</t>
  </si>
  <si>
    <t>lunathi</t>
  </si>
  <si>
    <t>sithe</t>
  </si>
  <si>
    <t>mervin</t>
  </si>
  <si>
    <t>hive</t>
  </si>
  <si>
    <t>CELIMPILO</t>
  </si>
  <si>
    <t>jabu</t>
  </si>
  <si>
    <t>morno</t>
  </si>
  <si>
    <t xml:space="preserve">ELECTRO - MECH SERVICES CC         </t>
  </si>
  <si>
    <t>ELECTRO - MECH SERVICES CC</t>
  </si>
  <si>
    <t>Adriaan Jabs</t>
  </si>
  <si>
    <t xml:space="preserve">G.U.D HOLDINGS (PTY) LTD PROSP     </t>
  </si>
  <si>
    <t>G.U.D HOLDINGS  PTY  LTD PROSP</t>
  </si>
  <si>
    <t>michael</t>
  </si>
  <si>
    <t xml:space="preserve">NEROSHA                       </t>
  </si>
  <si>
    <t xml:space="preserve">COCA COLA BEVERAGE SOUTH AFRIC     </t>
  </si>
  <si>
    <t>COCA COLA BEVERAGE SOUTH AFRIC</t>
  </si>
  <si>
    <t>barte</t>
  </si>
  <si>
    <t>roun</t>
  </si>
  <si>
    <t xml:space="preserve">HYDRABERG HYDRAULICS CC            </t>
  </si>
  <si>
    <t>HYDRABERG HYDRAULICS CC</t>
  </si>
  <si>
    <t xml:space="preserve">Quinique                      </t>
  </si>
  <si>
    <t>Craig</t>
  </si>
  <si>
    <t>jilli</t>
  </si>
  <si>
    <t>Michael</t>
  </si>
  <si>
    <t>Rickey</t>
  </si>
  <si>
    <t>coria</t>
  </si>
  <si>
    <t>PG NATIOD</t>
  </si>
  <si>
    <t xml:space="preserve">BUILD IT HARRISMITH                </t>
  </si>
  <si>
    <t>BUILD IT HARRISMITH</t>
  </si>
  <si>
    <t>THOMAS</t>
  </si>
  <si>
    <t>Rex</t>
  </si>
  <si>
    <t>POD received from cell 0746740842 M</t>
  </si>
  <si>
    <t xml:space="preserve">THE SOUTH AFRICA BREWERIES MAL     </t>
  </si>
  <si>
    <t>THE SOUTH AFRICA BREWERIES MAL</t>
  </si>
  <si>
    <t>jabu4</t>
  </si>
  <si>
    <t xml:space="preserve">FLYLER                        </t>
  </si>
  <si>
    <t xml:space="preserve">HMF Technologies                   </t>
  </si>
  <si>
    <t>Erika</t>
  </si>
  <si>
    <t>William Felix</t>
  </si>
  <si>
    <t>FUE / DOC / NDC</t>
  </si>
  <si>
    <t>POD received from cell 0822301910 M</t>
  </si>
  <si>
    <t xml:space="preserve">Coca Cola                          </t>
  </si>
  <si>
    <t>DRIVER TO COLLECT FROM GATE 1 SECURITY</t>
  </si>
  <si>
    <t>Mario</t>
  </si>
  <si>
    <t xml:space="preserve">PE Hydraulics                      </t>
  </si>
  <si>
    <t>PLEASE ASK THE DRIVER TO TAKE A FLYER BAG</t>
  </si>
  <si>
    <t>S Gosai</t>
  </si>
  <si>
    <t xml:space="preserve">Polyoak Packaging                  </t>
  </si>
  <si>
    <t>COLLECT FROM RECEPTION</t>
  </si>
  <si>
    <t>Kyle Harris</t>
  </si>
  <si>
    <t>zakia</t>
  </si>
  <si>
    <t>delivered by 09h20</t>
  </si>
  <si>
    <t>sello</t>
  </si>
  <si>
    <t>cyril</t>
  </si>
  <si>
    <t>farisani</t>
  </si>
  <si>
    <t>POD received from cell 0742465910 M</t>
  </si>
  <si>
    <t>WISEMAN</t>
  </si>
  <si>
    <t xml:space="preserve">FILKRAFT (PTY) LTD PAARL           </t>
  </si>
  <si>
    <t>FILKRAFT  PTY  LTD PAARL</t>
  </si>
  <si>
    <t xml:space="preserve">Frikki                        </t>
  </si>
  <si>
    <t>kaylen</t>
  </si>
  <si>
    <t>udo</t>
  </si>
  <si>
    <t>braedon</t>
  </si>
  <si>
    <t>pelhy</t>
  </si>
  <si>
    <t xml:space="preserve">IMARA AUTOMATION CC                </t>
  </si>
  <si>
    <t>IMARA AUTOMATION CC</t>
  </si>
  <si>
    <t>tiaan</t>
  </si>
  <si>
    <t xml:space="preserve">TAURUS PAPER PRODUCTS PTY LTD      </t>
  </si>
  <si>
    <t>TAURUS PAPER PRODUCTS PTY LTD</t>
  </si>
  <si>
    <t xml:space="preserve">Leeshon                       </t>
  </si>
  <si>
    <t xml:space="preserve">POD received from cell 0762222571 M     </t>
  </si>
  <si>
    <t xml:space="preserve">MERPAK ENVELOPES (PTY) LTD         </t>
  </si>
  <si>
    <t>MERPAK ENVELOPES  PTY  LTD</t>
  </si>
  <si>
    <t>Ashley</t>
  </si>
  <si>
    <t xml:space="preserve">SOUTH AFRICAN BUREAU OF STANDA     </t>
  </si>
  <si>
    <t>SOUTH AFRICAN BUREAU OF STANDA</t>
  </si>
  <si>
    <t>POD received from cell 0607774851 M</t>
  </si>
  <si>
    <t>0181</t>
  </si>
  <si>
    <t xml:space="preserve">SP AUTOMOTIVE PROFILE SCALING      </t>
  </si>
  <si>
    <t>SP AUTOMOTIVE PROFILE SCALING</t>
  </si>
  <si>
    <t>LEFA</t>
  </si>
  <si>
    <t>Jennifer</t>
  </si>
  <si>
    <t xml:space="preserve">FOSECO A DIV OF VESUVIUS SOUTH     </t>
  </si>
  <si>
    <t>FOSECO</t>
  </si>
  <si>
    <t xml:space="preserve">lungelwa                      </t>
  </si>
  <si>
    <t xml:space="preserve">POD received from cell 0711146140 M     </t>
  </si>
  <si>
    <t>joshua</t>
  </si>
  <si>
    <t xml:space="preserve">PRIME PRODUCTS MANUFACTURING N     </t>
  </si>
  <si>
    <t>PRIME PRODUCTS FRED 0828086395</t>
  </si>
  <si>
    <t>loraine</t>
  </si>
  <si>
    <t>AUTO INDUSTRIAL MACHINING</t>
  </si>
  <si>
    <t>Victor</t>
  </si>
  <si>
    <t>sya</t>
  </si>
  <si>
    <t>M Pamla</t>
  </si>
  <si>
    <t xml:space="preserve">CHILTON                       </t>
  </si>
  <si>
    <t>suja</t>
  </si>
  <si>
    <t>POD received from cell 0727824353 M</t>
  </si>
  <si>
    <t>keel</t>
  </si>
  <si>
    <t>POD received from cell 0736584138 M</t>
  </si>
  <si>
    <t>C K Goosen</t>
  </si>
  <si>
    <t xml:space="preserve">1FLYERT                       </t>
  </si>
  <si>
    <t>tumelo</t>
  </si>
  <si>
    <t>nkosinathi</t>
  </si>
  <si>
    <t>japhta</t>
  </si>
  <si>
    <t>Tumeleng</t>
  </si>
  <si>
    <t>kempie</t>
  </si>
  <si>
    <t xml:space="preserve">PARACEL                       </t>
  </si>
  <si>
    <t>Mtondwana</t>
  </si>
  <si>
    <t xml:space="preserve">isaac                         </t>
  </si>
  <si>
    <t xml:space="preserve">POD received from cell 0727759089 M     </t>
  </si>
  <si>
    <t xml:space="preserve">HARDWARE MECCA (PTY) LTD           </t>
  </si>
  <si>
    <t>HARDWARE MECCA  PTY  LTD</t>
  </si>
  <si>
    <t xml:space="preserve">TRACEY                        </t>
  </si>
  <si>
    <t>mar</t>
  </si>
  <si>
    <t xml:space="preserve">RCL GROUP SERVICES PTY LTD SCR     </t>
  </si>
  <si>
    <t>RCL GROUP SERVICES PTY LTD SCR</t>
  </si>
  <si>
    <t>Timothy</t>
  </si>
  <si>
    <t>Jueyren</t>
  </si>
  <si>
    <t>Mia Mia</t>
  </si>
  <si>
    <t xml:space="preserve">oral                          </t>
  </si>
  <si>
    <t xml:space="preserve">JOHN BEAN TECHNOLOGIES PTY LTD     </t>
  </si>
  <si>
    <t>JOHN BEAN TECHNOLOGIES PTY LTD</t>
  </si>
  <si>
    <t>Hadrian</t>
  </si>
  <si>
    <t>POD received from cell 0693852220 M</t>
  </si>
  <si>
    <t>clive</t>
  </si>
  <si>
    <t>POD received from cell 0621494136 M</t>
  </si>
  <si>
    <t>KEVIN</t>
  </si>
  <si>
    <t xml:space="preserve">Theo                          </t>
  </si>
  <si>
    <t>MOSEE</t>
  </si>
  <si>
    <t xml:space="preserve">zuko                          </t>
  </si>
  <si>
    <t>qiurt</t>
  </si>
  <si>
    <t>rykie</t>
  </si>
  <si>
    <t xml:space="preserve">nadine                        </t>
  </si>
  <si>
    <t>SAPPI GLOBAL BUSINESS SERVICES</t>
  </si>
  <si>
    <t>zenzele</t>
  </si>
  <si>
    <t>sno</t>
  </si>
  <si>
    <t>lamic</t>
  </si>
  <si>
    <t>creg</t>
  </si>
  <si>
    <t>Sous</t>
  </si>
  <si>
    <t>Nella</t>
  </si>
  <si>
    <t>Annalise</t>
  </si>
  <si>
    <t>PENNY</t>
  </si>
  <si>
    <t xml:space="preserve">chantell                      </t>
  </si>
  <si>
    <t xml:space="preserve">POD received from cell 0726316905 M     </t>
  </si>
  <si>
    <t>Buhle</t>
  </si>
  <si>
    <t>POD received from cell 0833656676 M</t>
  </si>
  <si>
    <t>saiba</t>
  </si>
  <si>
    <t>DEBORAH HARGREAVES</t>
  </si>
  <si>
    <t>Deborah</t>
  </si>
  <si>
    <t>dladla</t>
  </si>
  <si>
    <t>mzukisi</t>
  </si>
  <si>
    <t>Godfrey</t>
  </si>
  <si>
    <t>Sivu</t>
  </si>
  <si>
    <t>washet</t>
  </si>
  <si>
    <t xml:space="preserve">MCG INDUSTRIAL PTY LTD             </t>
  </si>
  <si>
    <t>MCG INDUSTRIAL PTY LTD</t>
  </si>
  <si>
    <t>molly</t>
  </si>
  <si>
    <t>POD received from cell 0810203149 M</t>
  </si>
  <si>
    <t>babelwa</t>
  </si>
  <si>
    <t>amt</t>
  </si>
  <si>
    <t xml:space="preserve">GERHARD UNGER DAIRY EQUIPMENT      </t>
  </si>
  <si>
    <t>GERHARD UNGER DAIRY EQUIPMENT</t>
  </si>
  <si>
    <t>Reuben</t>
  </si>
  <si>
    <t>bronwyn</t>
  </si>
  <si>
    <t>delivered by 09h15</t>
  </si>
  <si>
    <t>WEBSTER</t>
  </si>
  <si>
    <t>MARNO</t>
  </si>
  <si>
    <t>sarah</t>
  </si>
  <si>
    <t>deon</t>
  </si>
  <si>
    <t xml:space="preserve">BPX                           </t>
  </si>
  <si>
    <t>Ashraa</t>
  </si>
  <si>
    <t xml:space="preserve">COCA-COLA BEVERAGES SOUTH AFI </t>
  </si>
  <si>
    <t xml:space="preserve">POD received from cell 0739687014 M     </t>
  </si>
  <si>
    <t>LEACKY</t>
  </si>
  <si>
    <t>tman</t>
  </si>
  <si>
    <t xml:space="preserve">ADVENTURE AUTOMOTIVE PRODUCTS      </t>
  </si>
  <si>
    <t>ADVENTURE AUTOMOTIVE PRODUCTS</t>
  </si>
  <si>
    <t>sihle</t>
  </si>
  <si>
    <t>MBONA</t>
  </si>
  <si>
    <t xml:space="preserve">CMSA WAREHOUSE RANDVAAL KLIPRI     </t>
  </si>
  <si>
    <t>CMSA WAREHOUSE RANDVAAL KLIPRI</t>
  </si>
  <si>
    <t>monwabisa</t>
  </si>
  <si>
    <t>luis</t>
  </si>
  <si>
    <t>YANDI</t>
  </si>
  <si>
    <t xml:space="preserve">JOHANNESBURG PLT-S AFRICA TS K     </t>
  </si>
  <si>
    <t>JOHANNESBURG PLT-S AFRICA TS K</t>
  </si>
  <si>
    <t>Bomie</t>
  </si>
  <si>
    <t>ricardo</t>
  </si>
  <si>
    <t>Philippine</t>
  </si>
  <si>
    <t xml:space="preserve">LUMOTECH PTY LTD                   </t>
  </si>
  <si>
    <t>LUMOTECH PTY LTD</t>
  </si>
  <si>
    <t>Sibongile</t>
  </si>
  <si>
    <t>muzi</t>
  </si>
  <si>
    <t>radeh</t>
  </si>
  <si>
    <t>lani</t>
  </si>
  <si>
    <t>WEENE</t>
  </si>
  <si>
    <t>WEENEN</t>
  </si>
  <si>
    <t xml:space="preserve">UMGUNGUNDLOVU TVET COLLEGE 082     </t>
  </si>
  <si>
    <t>UMGUNGUNDLOVU TVET COLLEGE 082</t>
  </si>
  <si>
    <t>gwala</t>
  </si>
  <si>
    <t>HND / NDC</t>
  </si>
  <si>
    <t xml:space="preserve">FLYER (C                      </t>
  </si>
  <si>
    <t xml:space="preserve">AFRISAM SOUTH AFRICA (PTY) LTD     </t>
  </si>
  <si>
    <t>AFRISAM SOUTH AFRICA  PTY  LTD</t>
  </si>
  <si>
    <t xml:space="preserve">DUPLEIX LIQUID METERS (PTY) LT     </t>
  </si>
  <si>
    <t>DUPLEIX LIQUID METERS  PTY  LT</t>
  </si>
  <si>
    <t>THOBILE</t>
  </si>
  <si>
    <t>MAR</t>
  </si>
  <si>
    <t>Robert</t>
  </si>
  <si>
    <t>katia</t>
  </si>
  <si>
    <t xml:space="preserve">TUBBING                       </t>
  </si>
  <si>
    <t xml:space="preserve">MOVE ANALYTICS CC (FESTO DIREC     </t>
  </si>
  <si>
    <t xml:space="preserve">CONTROLTECH CAPE (PTY) LTD         </t>
  </si>
  <si>
    <t>Christiaan Jooste</t>
  </si>
  <si>
    <t>Nicole</t>
  </si>
  <si>
    <t>javoni</t>
  </si>
  <si>
    <t xml:space="preserve">FLAVIUS MAREKA CENTRAL OFFICE      </t>
  </si>
  <si>
    <t>FLAVIUS MAREKA CENTRAL OFFICE</t>
  </si>
  <si>
    <t>EUNICE</t>
  </si>
  <si>
    <t>obeo</t>
  </si>
  <si>
    <t>POD received from cell 0799684820 M</t>
  </si>
  <si>
    <t>venessa</t>
  </si>
  <si>
    <t xml:space="preserve">TIGER BRANDS SNACKS  TREAT   B     </t>
  </si>
  <si>
    <t>TIGER BRANDS SNACKS  TREAT   B</t>
  </si>
  <si>
    <t>thabile</t>
  </si>
  <si>
    <t>POD received from cell 0767196058 M</t>
  </si>
  <si>
    <t>C Koen</t>
  </si>
  <si>
    <t xml:space="preserve">Chledza                       </t>
  </si>
  <si>
    <t xml:space="preserve">TECHNOGRAIN                        </t>
  </si>
  <si>
    <t>TECHNOGRAIN</t>
  </si>
  <si>
    <t>Ricky</t>
  </si>
  <si>
    <t>POD received from cell 0609545808 M</t>
  </si>
  <si>
    <t xml:space="preserve">LOUIS                         </t>
  </si>
  <si>
    <t xml:space="preserve">Zithembiso                    </t>
  </si>
  <si>
    <t>Rosina</t>
  </si>
  <si>
    <t>Cherne</t>
  </si>
  <si>
    <t>nomusa</t>
  </si>
  <si>
    <t>Athenkasi</t>
  </si>
  <si>
    <t xml:space="preserve">Ntsako                        </t>
  </si>
  <si>
    <t xml:space="preserve">PINCLIP INDUSTRIES (PTY) LTD       </t>
  </si>
  <si>
    <t>PINCLIP INDUSTRIES  PTY  LTD</t>
  </si>
  <si>
    <t xml:space="preserve">JOHN BEAN TECHNOLOGIES (PTY) L     </t>
  </si>
  <si>
    <t>JOHN BEAN TECHNOLOGIES  PTY  L</t>
  </si>
  <si>
    <t>Nokuthula</t>
  </si>
  <si>
    <t>Gabriel</t>
  </si>
  <si>
    <t>Lebo</t>
  </si>
  <si>
    <t xml:space="preserve">PCS GLOBAL (PTY) LTD               </t>
  </si>
  <si>
    <t>PCS GLOBAL  PTY  LTD</t>
  </si>
  <si>
    <t>amasia</t>
  </si>
  <si>
    <t>audrien</t>
  </si>
  <si>
    <t>PULENG</t>
  </si>
  <si>
    <t>Farren</t>
  </si>
  <si>
    <t xml:space="preserve">GUD HOLDINGS PE                    </t>
  </si>
  <si>
    <t>GUD HOLDINGS PE</t>
  </si>
  <si>
    <t>Babey</t>
  </si>
  <si>
    <t xml:space="preserve">yolanda                       </t>
  </si>
  <si>
    <t>Kian</t>
  </si>
  <si>
    <t>Chw</t>
  </si>
  <si>
    <t xml:space="preserve">Michael                       </t>
  </si>
  <si>
    <t xml:space="preserve">TCY STEEL AND INDUSTRIAL SUPPL     </t>
  </si>
  <si>
    <t>TCY STEEL AND INDUSTRIAL SUPPL</t>
  </si>
  <si>
    <t>Damy</t>
  </si>
  <si>
    <t>POD received from cell 0609039667 M</t>
  </si>
  <si>
    <t xml:space="preserve">1FLYET                        </t>
  </si>
  <si>
    <t>ABF SUGAR  PTY  LTD-MEADOWDALE</t>
  </si>
  <si>
    <t xml:space="preserve">ABF SUGAR (PTY) LTD-  MEADOWDA     </t>
  </si>
  <si>
    <t>nella</t>
  </si>
  <si>
    <t>NICO</t>
  </si>
  <si>
    <t>reshi</t>
  </si>
  <si>
    <t>siboniso</t>
  </si>
  <si>
    <t>jack</t>
  </si>
  <si>
    <t xml:space="preserve">HI CALIBRE ENGINEERING (PTY LT     </t>
  </si>
  <si>
    <t>HI CALIBRE ENGINEERING  PTY LT</t>
  </si>
  <si>
    <t>EDITH</t>
  </si>
  <si>
    <t xml:space="preserve">SPRING MEADOW DAIRY FARM PTY L     </t>
  </si>
  <si>
    <t>SPRING MEADOW DAIRY FARM PTY L</t>
  </si>
  <si>
    <t>judith</t>
  </si>
  <si>
    <t>patsil</t>
  </si>
  <si>
    <t xml:space="preserve">thabang                       </t>
  </si>
  <si>
    <t>frisca</t>
  </si>
  <si>
    <t>kiven</t>
  </si>
  <si>
    <t>JANET</t>
  </si>
  <si>
    <t>nokusoln</t>
  </si>
  <si>
    <t xml:space="preserve">STORM PROCUREMENT LTD              </t>
  </si>
  <si>
    <t>STORM PROCUREMENT LTD</t>
  </si>
  <si>
    <t xml:space="preserve">ceaser                        </t>
  </si>
  <si>
    <t>sonesili</t>
  </si>
  <si>
    <t>BOIKE</t>
  </si>
  <si>
    <t>HANS</t>
  </si>
  <si>
    <t>SIYA</t>
  </si>
  <si>
    <t xml:space="preserve">NESTLE SOUTH AFRICA ESCOURT        </t>
  </si>
  <si>
    <t>NESTLE SOUTH AFRICA ESCOURT</t>
  </si>
  <si>
    <t xml:space="preserve">nokwanda                      </t>
  </si>
  <si>
    <t>M BEYTEL</t>
  </si>
  <si>
    <t>loveloveridge</t>
  </si>
  <si>
    <t xml:space="preserve">ESKORT PTY LTD                     </t>
  </si>
  <si>
    <t>ESKORT PTY LTD</t>
  </si>
  <si>
    <t xml:space="preserve">diresh                        </t>
  </si>
  <si>
    <t>LIEWELLYN</t>
  </si>
  <si>
    <t xml:space="preserve">NATIONAL BIOPRODUCTS INSTITUTE     </t>
  </si>
  <si>
    <t>NATIONAL BIOPRODUCTS INSTITUTE</t>
  </si>
  <si>
    <t>Noxolo</t>
  </si>
  <si>
    <t>eric</t>
  </si>
  <si>
    <t xml:space="preserve">A.P.L CARTONS PTY LTD              </t>
  </si>
  <si>
    <t>A.P.L CARTONS PTY LTD</t>
  </si>
  <si>
    <t>Wezi</t>
  </si>
  <si>
    <t>Abish coke</t>
  </si>
  <si>
    <t>POD received from cell 0827336813 M</t>
  </si>
  <si>
    <t>loverige</t>
  </si>
  <si>
    <t>Malubekho</t>
  </si>
  <si>
    <t>coetzee</t>
  </si>
  <si>
    <t xml:space="preserve">UNILEVER SOUTH AFRICA              </t>
  </si>
  <si>
    <t xml:space="preserve">DOUGLASDALE DAIRY PTY LTD          </t>
  </si>
  <si>
    <t>DOUGLASDALE DAIRY</t>
  </si>
  <si>
    <t>RODNEY</t>
  </si>
  <si>
    <t>LEANNE</t>
  </si>
  <si>
    <t>verush</t>
  </si>
  <si>
    <t>POD received from cell 0761615396 M</t>
  </si>
  <si>
    <t xml:space="preserve">BIZ AFRIKA 925 (PTY) LTD           </t>
  </si>
  <si>
    <t>BIZ AFRIKA 925  PTY  LTD</t>
  </si>
  <si>
    <t>danel</t>
  </si>
  <si>
    <t>POD received from cell 0721074601 M</t>
  </si>
  <si>
    <t>POD received from cell 0633442020 M</t>
  </si>
  <si>
    <t>Sonwabile Slatsha</t>
  </si>
  <si>
    <t xml:space="preserve">POD received from cell 0751320604 M     </t>
  </si>
  <si>
    <t>SAMUEL</t>
  </si>
  <si>
    <t>RENNY</t>
  </si>
  <si>
    <t>yilend</t>
  </si>
  <si>
    <t>Medwin</t>
  </si>
  <si>
    <t>PHILLIP</t>
  </si>
  <si>
    <t xml:space="preserve">STEELCRAFT BRACKENFELL             </t>
  </si>
  <si>
    <t>STEELCRAFT BRACKENFELL</t>
  </si>
  <si>
    <t>M deist</t>
  </si>
  <si>
    <t xml:space="preserve">klensani                      </t>
  </si>
  <si>
    <t>TAZRYN</t>
  </si>
  <si>
    <t>PHILLY</t>
  </si>
  <si>
    <t>SYDNEY</t>
  </si>
  <si>
    <t>Tumelo</t>
  </si>
  <si>
    <t>sizwe</t>
  </si>
  <si>
    <t xml:space="preserve">LIQUID MIST TRADING 116 (PTY)      </t>
  </si>
  <si>
    <t>LIQUID MIST TRADING 116  PTY</t>
  </si>
  <si>
    <t xml:space="preserve">MOMELEZI                      </t>
  </si>
  <si>
    <t xml:space="preserve">NATIONAL BRANDS LTD- BECKETTS      </t>
  </si>
  <si>
    <t>NATIONAL BRANDS LTD- BECKETTS</t>
  </si>
  <si>
    <t>SILAS</t>
  </si>
  <si>
    <t xml:space="preserve">PAARL PNEUMATICS CC T A NUMATI     </t>
  </si>
  <si>
    <t>PAARL PNEUMATICS CC T A NUMATI</t>
  </si>
  <si>
    <t xml:space="preserve">CATAPULT GROUP (PTY) LTD           </t>
  </si>
  <si>
    <t>CATAPULT GROUP  PTY  LTD</t>
  </si>
  <si>
    <t>Napoleon</t>
  </si>
  <si>
    <t>kat</t>
  </si>
  <si>
    <t xml:space="preserve">YNF ENGINEERING ROODEPOORT         </t>
  </si>
  <si>
    <t>YNF ENGINEERING ROODEPOORT</t>
  </si>
  <si>
    <t>elias</t>
  </si>
  <si>
    <t>Larochelle</t>
  </si>
  <si>
    <t>riska</t>
  </si>
  <si>
    <t>CEBO</t>
  </si>
  <si>
    <t>wishaam</t>
  </si>
  <si>
    <t>mojapelo</t>
  </si>
  <si>
    <t>M BEYTER</t>
  </si>
  <si>
    <t>SIYABU</t>
  </si>
  <si>
    <t>dakalo</t>
  </si>
  <si>
    <t>pretty</t>
  </si>
  <si>
    <t>ryon</t>
  </si>
  <si>
    <t xml:space="preserve">SPERO SENSORS   INSTRUMENTS (P     </t>
  </si>
  <si>
    <t>SPERO SENSORS   INSTRUMENTS  P</t>
  </si>
  <si>
    <t>Musa</t>
  </si>
  <si>
    <t>0154</t>
  </si>
  <si>
    <t>bart</t>
  </si>
  <si>
    <t>MPHO</t>
  </si>
  <si>
    <t xml:space="preserve">UNIVERSAL AUTOMATED SYSTEMS (P     </t>
  </si>
  <si>
    <t>UNIVERSAL AUTOMATED SYSTEMS  P</t>
  </si>
  <si>
    <t>jaques</t>
  </si>
  <si>
    <t>JABER</t>
  </si>
  <si>
    <t>Bruce</t>
  </si>
  <si>
    <t xml:space="preserve">FREDDY HIRSCH   CO                 </t>
  </si>
  <si>
    <t>FREDDY HIRSCH   CO</t>
  </si>
  <si>
    <t>Rene</t>
  </si>
  <si>
    <t xml:space="preserve">PROXA STORE JHB MODDERFONTEIN      </t>
  </si>
  <si>
    <t>PROXA STORE JHB MODDERFONTEIN</t>
  </si>
  <si>
    <t>khanyisa</t>
  </si>
  <si>
    <t>LLIWELLYN</t>
  </si>
  <si>
    <t xml:space="preserve">AQUEST COLSEN PTY LTD (BRIAN W     </t>
  </si>
  <si>
    <t>AQUEST COLSEN PTY LTD  BRIAN W</t>
  </si>
  <si>
    <t>IAN</t>
  </si>
  <si>
    <t xml:space="preserve">TECHQUIP DEVELOPMENTS CC           </t>
  </si>
  <si>
    <t>TECHQUIP DEVELOPMENTS CC</t>
  </si>
  <si>
    <t xml:space="preserve">Shaun                         </t>
  </si>
  <si>
    <t xml:space="preserve">POD received from cell 0820533117 M     </t>
  </si>
  <si>
    <t>wanie</t>
  </si>
  <si>
    <t xml:space="preserve">Yanga                         </t>
  </si>
  <si>
    <t xml:space="preserve">POD received from cell 0740914769 M     </t>
  </si>
  <si>
    <t xml:space="preserve">LARVIN                        </t>
  </si>
  <si>
    <t xml:space="preserve">reush                         </t>
  </si>
  <si>
    <t xml:space="preserve">POD received from cell 0663869424 M     </t>
  </si>
  <si>
    <t xml:space="preserve">seff                          </t>
  </si>
  <si>
    <t xml:space="preserve">AFRICA CONTROL   INSTRUMENTATI     </t>
  </si>
  <si>
    <t>AFRICA CONTROL   INSTRUMENTATI</t>
  </si>
  <si>
    <t>Nicolene</t>
  </si>
  <si>
    <t xml:space="preserve">hackman                       </t>
  </si>
  <si>
    <t xml:space="preserve">selby                         </t>
  </si>
  <si>
    <t xml:space="preserve">POD received from cell 0812584693 M     </t>
  </si>
  <si>
    <t>tsikelelo</t>
  </si>
  <si>
    <t>olivia</t>
  </si>
  <si>
    <t xml:space="preserve">N Ngalwa                      </t>
  </si>
  <si>
    <t>pillay</t>
  </si>
  <si>
    <t xml:space="preserve">Jamie                         </t>
  </si>
  <si>
    <t xml:space="preserve">penny                         </t>
  </si>
  <si>
    <t>POD received from cell 0848256515 M</t>
  </si>
  <si>
    <t>Mphahele</t>
  </si>
  <si>
    <t>Ramatsela</t>
  </si>
  <si>
    <t>X I Kheswa</t>
  </si>
  <si>
    <t xml:space="preserve">Danie                         </t>
  </si>
  <si>
    <t xml:space="preserve">POD received from cell 0727824353 M     </t>
  </si>
  <si>
    <t xml:space="preserve">RYMCO PTY LTD T A ANCHOR YEAST     </t>
  </si>
  <si>
    <t>RYMCO PTY LTD T A ANCHOR YEAST</t>
  </si>
  <si>
    <t>nonkululeko</t>
  </si>
  <si>
    <t>Gregopy</t>
  </si>
  <si>
    <t>POD received from cell 0818026982 M</t>
  </si>
  <si>
    <t>m DE wet</t>
  </si>
  <si>
    <t xml:space="preserve">IRVIN   JOHNSON LTD PAARDEN EI     </t>
  </si>
  <si>
    <t>IRVIN   JOHNSON LTD PAARDEN EI</t>
  </si>
  <si>
    <t>illeg</t>
  </si>
  <si>
    <t>NOK</t>
  </si>
  <si>
    <t xml:space="preserve">BAY AUTOMATION                     </t>
  </si>
  <si>
    <t>0119175642</t>
  </si>
  <si>
    <t>0054</t>
  </si>
  <si>
    <t xml:space="preserve">vusi                          </t>
  </si>
  <si>
    <t xml:space="preserve">RISHABA TRADING CC T A HYDRO V     </t>
  </si>
  <si>
    <t>RISHABA TRADING CC T A HYDRO V</t>
  </si>
  <si>
    <t>Riyaad</t>
  </si>
  <si>
    <t>Kim</t>
  </si>
  <si>
    <t>lipho</t>
  </si>
  <si>
    <t>POD received from cell 0635252784 M</t>
  </si>
  <si>
    <t xml:space="preserve">RFG FOODS (PTY) LTD SAMUEL EVA     </t>
  </si>
  <si>
    <t>RFG FOODS  PTY  LTD SAMUEL EVA</t>
  </si>
  <si>
    <t>Lufuno</t>
  </si>
  <si>
    <t xml:space="preserve">PROXA SOUTH AFRICA (PTY) LTD B     </t>
  </si>
  <si>
    <t>PROXA SOUTH AFRICA  PTY  LTD B</t>
  </si>
  <si>
    <t>Carlo</t>
  </si>
  <si>
    <t xml:space="preserve">HYBRID AUTOMATION CC JHB BRANC     </t>
  </si>
  <si>
    <t>HYBRID AUTOMATION CC JHB BRANC</t>
  </si>
  <si>
    <t>ERIC</t>
  </si>
  <si>
    <t>Marco</t>
  </si>
  <si>
    <t>rumla</t>
  </si>
  <si>
    <t xml:space="preserve">MA AUTOMOTIVE TOOL   DIE  (PTY     </t>
  </si>
  <si>
    <t>MA AUTOMOTIVE TOOL   DIE   PTY</t>
  </si>
  <si>
    <t>moilyoni</t>
  </si>
  <si>
    <t xml:space="preserve">LWENI                         </t>
  </si>
  <si>
    <t>Sondile</t>
  </si>
  <si>
    <t xml:space="preserve">NKOKHONA                      </t>
  </si>
  <si>
    <t xml:space="preserve">sima                          </t>
  </si>
  <si>
    <t>EMPAN</t>
  </si>
  <si>
    <t>EMPANGENI</t>
  </si>
  <si>
    <t xml:space="preserve">MPACT FELIXTON MILL                </t>
  </si>
  <si>
    <t>MPACT FELIXTON MILL</t>
  </si>
  <si>
    <t>maisela</t>
  </si>
  <si>
    <t>POD received from cell 0675445943 M</t>
  </si>
  <si>
    <t>Tsholofelo</t>
  </si>
  <si>
    <t xml:space="preserve">akeisha                       </t>
  </si>
  <si>
    <t xml:space="preserve">CLOVER SA (PTY) LTD NCD SENTRA     </t>
  </si>
  <si>
    <t>CLOVER SA  PTY  LTD NCD SENTRA</t>
  </si>
  <si>
    <t>verita</t>
  </si>
  <si>
    <t>POD received from cell 0602200445 M</t>
  </si>
  <si>
    <t xml:space="preserve">PBA SPARES (PTY) LTD               </t>
  </si>
  <si>
    <t>PBA SPARES  PTY  LTD</t>
  </si>
  <si>
    <t>MICHEAL 1</t>
  </si>
  <si>
    <t xml:space="preserve">Lauren                        </t>
  </si>
  <si>
    <t xml:space="preserve">POD received from cell 0790934153 M     </t>
  </si>
  <si>
    <t>nico</t>
  </si>
  <si>
    <t>lindo</t>
  </si>
  <si>
    <t xml:space="preserve">PENNY                         </t>
  </si>
  <si>
    <t>slie</t>
  </si>
  <si>
    <t>WESTO</t>
  </si>
  <si>
    <t>WESTONARIA</t>
  </si>
  <si>
    <t xml:space="preserve">TECROVEER 9PTY) LTD GLENHARVIE     </t>
  </si>
  <si>
    <t>TECROVEER 9PTY  LTD GLENHARVIE</t>
  </si>
  <si>
    <t>POD received from cell 0612705026 M</t>
  </si>
  <si>
    <t>Koos</t>
  </si>
  <si>
    <t>D PILLAY</t>
  </si>
  <si>
    <t>RFG FOODS  PTY  LTD  ATTN  RIV</t>
  </si>
  <si>
    <t>Palesa</t>
  </si>
  <si>
    <t>Jowill</t>
  </si>
  <si>
    <t xml:space="preserve">KYA: ENGINEERING MIDRAND           </t>
  </si>
  <si>
    <t>KYA  ENGINEERING MIDRAND</t>
  </si>
  <si>
    <t xml:space="preserve">POD received from cell 0605335750 M     </t>
  </si>
  <si>
    <t>Rams</t>
  </si>
  <si>
    <t xml:space="preserve">DE BEERS CONSOLIDATED MINES LT     </t>
  </si>
  <si>
    <t>DE BEERS CONSOLIDATED MINES LT</t>
  </si>
  <si>
    <t>marcdl</t>
  </si>
  <si>
    <t xml:space="preserve">Machaela                      </t>
  </si>
  <si>
    <t xml:space="preserve">KIC SA PTY LTD                     </t>
  </si>
  <si>
    <t>KIC SA PTY LTD</t>
  </si>
  <si>
    <t xml:space="preserve">TIGER BRAND (CHOCOLATE UNIT)       </t>
  </si>
  <si>
    <t>TIGER BRAND  CHOCOLATE UNIT</t>
  </si>
  <si>
    <t xml:space="preserve">HALEON SOUTH AFRICA (PTY) LTD      </t>
  </si>
  <si>
    <t>HALEON SOUTH AFRICA  PTY  LTD</t>
  </si>
  <si>
    <t>Imraan</t>
  </si>
  <si>
    <t>POD received from cell 062 522 7944 M</t>
  </si>
  <si>
    <t>P  Oosterhuizen</t>
  </si>
  <si>
    <t xml:space="preserve">Khutso                        </t>
  </si>
  <si>
    <t xml:space="preserve">POD received from cell 0724573138 M     </t>
  </si>
  <si>
    <t>MPUMIE</t>
  </si>
  <si>
    <t>luenelly</t>
  </si>
  <si>
    <t>Noah</t>
  </si>
  <si>
    <t>bandile</t>
  </si>
  <si>
    <t xml:space="preserve">L Le Riche                    </t>
  </si>
  <si>
    <t xml:space="preserve">SRF FLEXIPAK PTY LTD               </t>
  </si>
  <si>
    <t>SRF FLEXIPAK</t>
  </si>
  <si>
    <t>nkanyiso</t>
  </si>
  <si>
    <t>jery</t>
  </si>
  <si>
    <t>DLORRS</t>
  </si>
  <si>
    <t xml:space="preserve">PPC CEMENT SA PTY LTD HERCULES     </t>
  </si>
  <si>
    <t>PPC CEMENT SA PTY LTD HERCULES</t>
  </si>
  <si>
    <t>sinah</t>
  </si>
  <si>
    <t>0030</t>
  </si>
  <si>
    <t xml:space="preserve">SABIAN                        </t>
  </si>
  <si>
    <t>joseph</t>
  </si>
  <si>
    <t>pharelo</t>
  </si>
  <si>
    <t>a  nel</t>
  </si>
  <si>
    <t xml:space="preserve">DELLTRA SOLUTIONS (PTY) LTD        </t>
  </si>
  <si>
    <t>DELLTRA SOLUTIONS  PTY  LTD</t>
  </si>
  <si>
    <t>kuben</t>
  </si>
  <si>
    <t>POD received from cell 0720364384 M</t>
  </si>
  <si>
    <t xml:space="preserve">UNIVERSAL SYSTEMS INTEGRATORS      </t>
  </si>
  <si>
    <t>UNIVERSAL SYSTEMS INTEGRATORS</t>
  </si>
  <si>
    <t>Elinza</t>
  </si>
  <si>
    <t>abegail</t>
  </si>
  <si>
    <t xml:space="preserve">SURTEES RAILWAY SUPPL PTYLTD       </t>
  </si>
  <si>
    <t>SURTEES RAILWAY SUPPL PTYLTD</t>
  </si>
  <si>
    <t xml:space="preserve">theo                          </t>
  </si>
  <si>
    <t>ilitha</t>
  </si>
  <si>
    <t xml:space="preserve">BAY AUTOMATION (PTY) LTD WILLO     </t>
  </si>
  <si>
    <t>BAY AUTOMATION  PTY  LTD  WILL</t>
  </si>
  <si>
    <t>phillip</t>
  </si>
  <si>
    <t>POD received from cell 0832123007 M</t>
  </si>
  <si>
    <t xml:space="preserve">Cheldza                       </t>
  </si>
  <si>
    <t>POD received from cell 0783211209 M</t>
  </si>
  <si>
    <t>marno</t>
  </si>
  <si>
    <t xml:space="preserve">Yvonne                        </t>
  </si>
  <si>
    <t>kanyile</t>
  </si>
  <si>
    <t>POD received from cell 0670029554 M</t>
  </si>
  <si>
    <t>NEBAN</t>
  </si>
  <si>
    <t xml:space="preserve">David                         </t>
  </si>
  <si>
    <t>qeshaam</t>
  </si>
  <si>
    <t>a kae</t>
  </si>
  <si>
    <t>LIEZEL</t>
  </si>
  <si>
    <t xml:space="preserve">PIONEER FOODS GROCERIES (PTY)      </t>
  </si>
  <si>
    <t>PIONEER FOODS GROCERIES  PTY</t>
  </si>
  <si>
    <t>tinyiko</t>
  </si>
  <si>
    <t>Anlia</t>
  </si>
  <si>
    <t>Imeraan</t>
  </si>
  <si>
    <t>KATLEGO</t>
  </si>
  <si>
    <t>ashwin</t>
  </si>
  <si>
    <t xml:space="preserve">BENTELER SOUTH AFRICA UITENHAG     </t>
  </si>
  <si>
    <t>BENTELER SOUTH AFRICA UITENHAG</t>
  </si>
  <si>
    <t xml:space="preserve">santie                        </t>
  </si>
  <si>
    <t xml:space="preserve">POD received from cell 0781804576 M     </t>
  </si>
  <si>
    <t xml:space="preserve">FLYRE                         </t>
  </si>
  <si>
    <t>parson</t>
  </si>
  <si>
    <t>melanie</t>
  </si>
  <si>
    <t>rico</t>
  </si>
  <si>
    <t>POD received from cell 0813009562 M</t>
  </si>
  <si>
    <t xml:space="preserve">olivia                        </t>
  </si>
  <si>
    <t xml:space="preserve">ET-X PROJECTS PTY LTD              </t>
  </si>
  <si>
    <t>ET-X PROJECTS PTY LTD</t>
  </si>
  <si>
    <t>thabitha</t>
  </si>
  <si>
    <t>kanyane</t>
  </si>
  <si>
    <t xml:space="preserve">CIRCUIT INDUSTRIAL SUPPLIES (P     </t>
  </si>
  <si>
    <t>CIRCUIT INDUSTRIAL SUPPLIES  P</t>
  </si>
  <si>
    <t>MORNE</t>
  </si>
  <si>
    <t>ROBEN</t>
  </si>
  <si>
    <t xml:space="preserve">INGRAIN SA (PTY) LTD RANDVAAL      </t>
  </si>
  <si>
    <t>INGRAIN SA  PTY  LTD RANDVAAL</t>
  </si>
  <si>
    <t>lawremce</t>
  </si>
  <si>
    <t>mthembu</t>
  </si>
  <si>
    <t>sordrem</t>
  </si>
  <si>
    <t>POD received from cell 0683701964 M</t>
  </si>
  <si>
    <t xml:space="preserve">BAIC AUTOMOTIVE GROUP CO LTD       </t>
  </si>
  <si>
    <t>BAIC AUTOMOTIVE GROUP CO LTD</t>
  </si>
  <si>
    <t>maseti</t>
  </si>
  <si>
    <t>Asnathi</t>
  </si>
  <si>
    <t>Berdus</t>
  </si>
  <si>
    <t>METAL CA</t>
  </si>
  <si>
    <t>karen</t>
  </si>
  <si>
    <t xml:space="preserve">alfred                        </t>
  </si>
  <si>
    <t xml:space="preserve">POD received from cell 0628022017 M     </t>
  </si>
  <si>
    <t>Corald</t>
  </si>
  <si>
    <t xml:space="preserve">B E CONFERENCE CENTRE NEWTON P     </t>
  </si>
  <si>
    <t>B E CONFERENCE CENTRE NEWTON P</t>
  </si>
  <si>
    <t>Philly</t>
  </si>
  <si>
    <t>Reabetswe</t>
  </si>
  <si>
    <t>RCL GROUP  DAPHNEY LEBELO 0768</t>
  </si>
  <si>
    <t xml:space="preserve">SUPERIOR PACKAGING INDUSTRIES      </t>
  </si>
  <si>
    <t>SUPERIOR PACKAGING INDUSTRIES</t>
  </si>
  <si>
    <t>Lance</t>
  </si>
  <si>
    <t>SALDA</t>
  </si>
  <si>
    <t>SALDANHA</t>
  </si>
  <si>
    <t xml:space="preserve">ANTCOR (PTY) LTD                   </t>
  </si>
  <si>
    <t>ANTCOR  PTY  LTD</t>
  </si>
  <si>
    <t xml:space="preserve">ANTCOR  PTY  LTD              </t>
  </si>
  <si>
    <t xml:space="preserve">POD received from cell 0636857162 M     </t>
  </si>
  <si>
    <t xml:space="preserve">benita                        </t>
  </si>
  <si>
    <t xml:space="preserve">POD received from cell 0781810800 M     </t>
  </si>
  <si>
    <t>machaila</t>
  </si>
  <si>
    <t xml:space="preserve">BOX: CON                      </t>
  </si>
  <si>
    <t xml:space="preserve">SIGHN                         </t>
  </si>
  <si>
    <t xml:space="preserve">Darryn                        </t>
  </si>
  <si>
    <t xml:space="preserve">POD received from cell 0693852220 M     </t>
  </si>
  <si>
    <t>MBONQENI</t>
  </si>
  <si>
    <t xml:space="preserve">Filmatic Packaging                 </t>
  </si>
  <si>
    <t>Mari Snyders</t>
  </si>
  <si>
    <t>mols</t>
  </si>
  <si>
    <t>BONGANI</t>
  </si>
  <si>
    <t>Adriaan</t>
  </si>
  <si>
    <t xml:space="preserve">INTAKA TECH PTY LTD                </t>
  </si>
  <si>
    <t>INTAKA TECH PTY LTD</t>
  </si>
  <si>
    <t>chaleu</t>
  </si>
  <si>
    <t>SABIAN</t>
  </si>
  <si>
    <t>shonn</t>
  </si>
  <si>
    <t>DANIEL</t>
  </si>
  <si>
    <t xml:space="preserve">MULTITOOL INDUSTRIAL SUPPLIES      </t>
  </si>
  <si>
    <t>MULTITOOL INDUSTRIAL SUPPLIES</t>
  </si>
  <si>
    <t xml:space="preserve">KLEVAN DEVELOPMENTS CC             </t>
  </si>
  <si>
    <t>KLEVAN DEVELOPMENTS CC</t>
  </si>
  <si>
    <t>harold</t>
  </si>
  <si>
    <t>Bronwyn</t>
  </si>
  <si>
    <t xml:space="preserve">VOLKSWAGEN OF SA (VC 3055)         </t>
  </si>
  <si>
    <t>VOLKSWAGEN OF SA  VC 3055</t>
  </si>
  <si>
    <t>naidoo</t>
  </si>
  <si>
    <t>lolita</t>
  </si>
  <si>
    <t>Tazryn Japhta</t>
  </si>
  <si>
    <t>Abongile</t>
  </si>
  <si>
    <t>macheala</t>
  </si>
  <si>
    <t>Thando</t>
  </si>
  <si>
    <t>Danel</t>
  </si>
  <si>
    <t>thando</t>
  </si>
  <si>
    <t xml:space="preserve">INTERNATIONAL BAG BYERS PTY LT     </t>
  </si>
  <si>
    <t>INTERNATIONAL BAG BYERS P</t>
  </si>
  <si>
    <t>amos</t>
  </si>
  <si>
    <t>FOODCORP  PTY  LTD T A SU</t>
  </si>
  <si>
    <t>0300</t>
  </si>
  <si>
    <t>NESTLE SOUTH AFRICA  PTY</t>
  </si>
  <si>
    <t>TRANSVAAL HYDRAULICS  PTY</t>
  </si>
  <si>
    <t>Stefan</t>
  </si>
  <si>
    <t>Lettisia</t>
  </si>
  <si>
    <t xml:space="preserve">VAAL FLUID SYSTEMS SA (PTY) LT     </t>
  </si>
  <si>
    <t>VAAL FLUID SYSTEMS SA  PT</t>
  </si>
  <si>
    <t>Alicha</t>
  </si>
  <si>
    <t>abram</t>
  </si>
  <si>
    <t>SASOL DYNO NOBEL  PTY  LT</t>
  </si>
  <si>
    <t>LEAKY</t>
  </si>
  <si>
    <t>khumalo</t>
  </si>
  <si>
    <t>DALEIN AGRI PLAN  PTY  LT</t>
  </si>
  <si>
    <t>E Ferreira</t>
  </si>
  <si>
    <t xml:space="preserve">Esther                        </t>
  </si>
  <si>
    <t>PRIDE MILLING CO  PTY  LT</t>
  </si>
  <si>
    <t>CSM BEARING   PNEUMATIC S</t>
  </si>
  <si>
    <t>VISTA 24  PTY  LTD HAMMAN</t>
  </si>
  <si>
    <t xml:space="preserve">YANFENG PLASTIC OMNIUM SA AUTO     </t>
  </si>
  <si>
    <t>YANFENG PLASTIC OMNIUM SA AUTO</t>
  </si>
  <si>
    <t>Sheree</t>
  </si>
  <si>
    <t xml:space="preserve">KLINGER (PTY) LTD                  </t>
  </si>
  <si>
    <t>KLINGER  PTY  LTD</t>
  </si>
  <si>
    <t>Michelle</t>
  </si>
  <si>
    <t xml:space="preserve">igshaam                       </t>
  </si>
  <si>
    <t>gibson</t>
  </si>
  <si>
    <t>sabelo</t>
  </si>
  <si>
    <t>TENNECO RIDE CONTROL</t>
  </si>
  <si>
    <t xml:space="preserve">AXXELLO PROJECTS (PTY) LTD         </t>
  </si>
  <si>
    <t>AXXELLO PROJECTS  PTY  LTD</t>
  </si>
  <si>
    <t>Evan</t>
  </si>
  <si>
    <t>walkins</t>
  </si>
  <si>
    <t xml:space="preserve">FRONERI SOUTH AFRICA (PTY) LTD     </t>
  </si>
  <si>
    <t>FRONERI SOUTH AFRICA  PTY  LTD</t>
  </si>
  <si>
    <t xml:space="preserve">FLER                          </t>
  </si>
  <si>
    <t>Yusri</t>
  </si>
  <si>
    <t>jafter</t>
  </si>
  <si>
    <t xml:space="preserve">FLYUER                        </t>
  </si>
  <si>
    <t xml:space="preserve">Africa                        </t>
  </si>
  <si>
    <t xml:space="preserve">POD received from cell 0737934317 M     </t>
  </si>
  <si>
    <t xml:space="preserve">RFG FOODS (PTY) LTD FRANKENWAL     </t>
  </si>
  <si>
    <t>RFG FOODS  PTY  LTD FRANKENWAL</t>
  </si>
  <si>
    <t>bongi</t>
  </si>
  <si>
    <t>saba</t>
  </si>
  <si>
    <t xml:space="preserve">tess                          </t>
  </si>
  <si>
    <t>anton</t>
  </si>
  <si>
    <t>Noleen</t>
  </si>
  <si>
    <t>derick</t>
  </si>
  <si>
    <t>vakani</t>
  </si>
  <si>
    <t>menuel</t>
  </si>
  <si>
    <t>pooe</t>
  </si>
  <si>
    <t>Sinphiwe</t>
  </si>
  <si>
    <t>bogeka</t>
  </si>
  <si>
    <t xml:space="preserve">ALBANY BAKERY SECUNDA C O MART     </t>
  </si>
  <si>
    <t>ALBANY BAKERY SECUNDA C O MART</t>
  </si>
  <si>
    <t>Shandy</t>
  </si>
  <si>
    <t>FES CUST 20250730 51 - BACK TO CUSTOMER</t>
  </si>
  <si>
    <t xml:space="preserve">gwen                          </t>
  </si>
  <si>
    <t xml:space="preserve">POD received from cell 0608702785 M     </t>
  </si>
  <si>
    <t>A Klopper</t>
  </si>
  <si>
    <t xml:space="preserve">PEAKERS OPERATIONS PTY LTD         </t>
  </si>
  <si>
    <t>PEAKERS OPERATIONS PTY LTD</t>
  </si>
  <si>
    <t>FESTO P.E JANSE VAN RENSBURG</t>
  </si>
  <si>
    <t>COCA-COLA BEVERAGES SOUTH FRI</t>
  </si>
  <si>
    <t>POD received from cell 0739687014 M</t>
  </si>
  <si>
    <t>garth</t>
  </si>
  <si>
    <t xml:space="preserve">monique                       </t>
  </si>
  <si>
    <t xml:space="preserve">POD received from cell 0845040713 M     </t>
  </si>
  <si>
    <t xml:space="preserve">FLLYER                        </t>
  </si>
  <si>
    <t xml:space="preserve">BIO CAPSULE PHARMACHEUTICAL DI     </t>
  </si>
  <si>
    <t>BIO CAPSULE PHARMACHEUTICAL DI</t>
  </si>
  <si>
    <t>Claudelle</t>
  </si>
  <si>
    <t>Therlo</t>
  </si>
  <si>
    <t xml:space="preserve">YNF ENGINEERING                    </t>
  </si>
  <si>
    <t>N A</t>
  </si>
  <si>
    <t xml:space="preserve">SAINT-GOBAIN CONSTRUCTION PROD     </t>
  </si>
  <si>
    <t>SAINT-GOBAIN CONSTRUCTION PROD</t>
  </si>
  <si>
    <t>Quinique</t>
  </si>
  <si>
    <t>Logan</t>
  </si>
  <si>
    <t xml:space="preserve">zach                          </t>
  </si>
  <si>
    <t xml:space="preserve">DURBAN UNIVERSITY OF TECHNOLOG     </t>
  </si>
  <si>
    <t>DURBAN UNIVERSITY OF TECHNOLOG</t>
  </si>
  <si>
    <t xml:space="preserve">TECHQUIP DEVELOPMENTS CC ROSSB     </t>
  </si>
  <si>
    <t>TECHQUIP DEVELOPMENTS CC ROSSB</t>
  </si>
  <si>
    <t xml:space="preserve">FOSKOR (PTY) LTD PHALABORWA        </t>
  </si>
  <si>
    <t>FOSKOR  PTY  LTD PHALABORWA</t>
  </si>
  <si>
    <t>Elizabeth</t>
  </si>
  <si>
    <t>leanne</t>
  </si>
  <si>
    <t xml:space="preserve">BIZERBRA SOUTHERN AFRICA (PTY)     </t>
  </si>
  <si>
    <t>BIZERBRA SOUTHERN AFRICA  PTY</t>
  </si>
  <si>
    <t>P Liebenberg</t>
  </si>
  <si>
    <t>Sam</t>
  </si>
  <si>
    <t>bogea</t>
  </si>
  <si>
    <t>ayanda daniel</t>
  </si>
  <si>
    <t xml:space="preserve">MAHLE BEHR SOUTH AFRICA (PTY)      </t>
  </si>
  <si>
    <t>MAHLE BEHR SOUTH AFRICA  PTY</t>
  </si>
  <si>
    <t>nomvuzo</t>
  </si>
  <si>
    <t>t Obaray</t>
  </si>
  <si>
    <t>POD received from cell 0750461130 M</t>
  </si>
  <si>
    <t xml:space="preserve">nico                          </t>
  </si>
  <si>
    <t>may lee</t>
  </si>
  <si>
    <t>lungi</t>
  </si>
  <si>
    <t>DIVFOOD</t>
  </si>
  <si>
    <t>FES CUST 20250730 53 - BACK TO CUSTOMER</t>
  </si>
  <si>
    <t xml:space="preserve">COCA COLA BEVERAGE S)              </t>
  </si>
  <si>
    <t>mario</t>
  </si>
  <si>
    <t xml:space="preserve">10FLYER                       </t>
  </si>
  <si>
    <t xml:space="preserve">PRODUCTIVE ENGINEERING CC          </t>
  </si>
  <si>
    <t>PRODUCTIVE ENGINEERING CC</t>
  </si>
  <si>
    <t xml:space="preserve">REPMA ENGINEERING (PTY) LTD        </t>
  </si>
  <si>
    <t>REPMA ENGINEERING  PTY  LTD</t>
  </si>
  <si>
    <t xml:space="preserve">V.R.N. STEEL SERVICE CENTRE AL     </t>
  </si>
  <si>
    <t>V.R.N. STEEL SERVICE CENTRE AL</t>
  </si>
  <si>
    <t xml:space="preserve">BELLVILLE STORES CPT               </t>
  </si>
  <si>
    <t>BELLVILLE STORES CPT  ATTN  AB</t>
  </si>
  <si>
    <t xml:space="preserve">T3 PLASTIC PACKAGING TUNNEY EL     </t>
  </si>
  <si>
    <t>T3 PLASTIC PACKAGING TUNNEY 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</si>
</sst>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BCEDB-1A0C-49EF-BCBF-A2FA569A0101}">
  <dimension ref="A1:CN5012"/>
  <sheetViews>
    <sheetView tabSelected="1" topLeftCell="A5002" workbookViewId="0">
      <selection activeCell="A5013" sqref="A5013:XFD6240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"080066476890"</f>
        <v>080066476890</v>
      </c>
      <c r="F2" s="3">
        <v>45848</v>
      </c>
      <c r="G2">
        <v>202604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"4170048007                    "</f>
        <v xml:space="preserve">4170048007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135.5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12</v>
      </c>
      <c r="BJ2">
        <v>8.1</v>
      </c>
      <c r="BK2">
        <v>12</v>
      </c>
      <c r="BL2">
        <v>426.9</v>
      </c>
      <c r="BM2">
        <v>64.040000000000006</v>
      </c>
      <c r="BN2">
        <v>490.94</v>
      </c>
      <c r="BO2">
        <v>490.94</v>
      </c>
      <c r="BQ2" t="s">
        <v>83</v>
      </c>
      <c r="BR2" t="s">
        <v>84</v>
      </c>
      <c r="BS2" s="3">
        <v>45849</v>
      </c>
      <c r="BT2" s="4">
        <v>0.52083333333333337</v>
      </c>
      <c r="BU2" t="s">
        <v>85</v>
      </c>
      <c r="BV2" t="s">
        <v>86</v>
      </c>
      <c r="BW2" t="s">
        <v>87</v>
      </c>
      <c r="BX2" t="s">
        <v>88</v>
      </c>
      <c r="BY2">
        <v>40698</v>
      </c>
      <c r="BZ2" t="s">
        <v>89</v>
      </c>
      <c r="CA2" t="s">
        <v>90</v>
      </c>
      <c r="CC2" t="s">
        <v>80</v>
      </c>
      <c r="CD2">
        <v>7550</v>
      </c>
      <c r="CE2" t="s">
        <v>91</v>
      </c>
      <c r="CF2" s="3">
        <v>45852</v>
      </c>
      <c r="CI2">
        <v>1</v>
      </c>
      <c r="CJ2">
        <v>1</v>
      </c>
      <c r="CK2">
        <v>21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"080066476924"</f>
        <v>080066476924</v>
      </c>
      <c r="F3" s="3">
        <v>45848</v>
      </c>
      <c r="G3">
        <v>202604</v>
      </c>
      <c r="H3" t="s">
        <v>75</v>
      </c>
      <c r="I3" t="s">
        <v>76</v>
      </c>
      <c r="J3" t="s">
        <v>77</v>
      </c>
      <c r="K3" t="s">
        <v>78</v>
      </c>
      <c r="L3" t="s">
        <v>92</v>
      </c>
      <c r="M3" t="s">
        <v>93</v>
      </c>
      <c r="N3" t="s">
        <v>94</v>
      </c>
      <c r="O3" t="s">
        <v>95</v>
      </c>
      <c r="P3" t="str">
        <f>"4170048016                    "</f>
        <v xml:space="preserve">4170048016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72.569999999999993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2</v>
      </c>
      <c r="BI3">
        <v>31</v>
      </c>
      <c r="BJ3">
        <v>18.5</v>
      </c>
      <c r="BK3">
        <v>31</v>
      </c>
      <c r="BL3">
        <v>234.5</v>
      </c>
      <c r="BM3">
        <v>35.18</v>
      </c>
      <c r="BN3">
        <v>269.68</v>
      </c>
      <c r="BO3">
        <v>269.68</v>
      </c>
      <c r="BQ3" t="s">
        <v>96</v>
      </c>
      <c r="BR3" t="s">
        <v>84</v>
      </c>
      <c r="BS3" s="3">
        <v>45849</v>
      </c>
      <c r="BT3" s="4">
        <v>0.37291666666666667</v>
      </c>
      <c r="BU3" t="s">
        <v>97</v>
      </c>
      <c r="BV3" t="s">
        <v>98</v>
      </c>
      <c r="BY3">
        <v>92256</v>
      </c>
      <c r="BZ3" t="s">
        <v>99</v>
      </c>
      <c r="CA3" t="s">
        <v>100</v>
      </c>
      <c r="CC3" t="s">
        <v>93</v>
      </c>
      <c r="CD3">
        <v>4052</v>
      </c>
      <c r="CE3" t="s">
        <v>91</v>
      </c>
      <c r="CF3" s="3">
        <v>45849</v>
      </c>
      <c r="CI3">
        <v>1</v>
      </c>
      <c r="CJ3">
        <v>1</v>
      </c>
      <c r="CK3">
        <v>41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"080066301880"</f>
        <v>080066301880</v>
      </c>
      <c r="F4" s="3">
        <v>45840</v>
      </c>
      <c r="G4">
        <v>202604</v>
      </c>
      <c r="H4" t="s">
        <v>75</v>
      </c>
      <c r="I4" t="s">
        <v>76</v>
      </c>
      <c r="J4" t="s">
        <v>101</v>
      </c>
      <c r="K4" t="s">
        <v>78</v>
      </c>
      <c r="L4" t="s">
        <v>102</v>
      </c>
      <c r="M4" t="s">
        <v>103</v>
      </c>
      <c r="N4" t="s">
        <v>104</v>
      </c>
      <c r="O4" t="s">
        <v>95</v>
      </c>
      <c r="P4" t="str">
        <f>"4170046591                    "</f>
        <v xml:space="preserve">4170046591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48.26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4</v>
      </c>
      <c r="BJ4">
        <v>1.4</v>
      </c>
      <c r="BK4">
        <v>4</v>
      </c>
      <c r="BL4">
        <v>157.91999999999999</v>
      </c>
      <c r="BM4">
        <v>23.69</v>
      </c>
      <c r="BN4">
        <v>181.61</v>
      </c>
      <c r="BO4">
        <v>181.61</v>
      </c>
      <c r="BQ4" t="s">
        <v>105</v>
      </c>
      <c r="BR4" t="s">
        <v>106</v>
      </c>
      <c r="BS4" s="3">
        <v>45841</v>
      </c>
      <c r="BT4" s="4">
        <v>0.37430555555555556</v>
      </c>
      <c r="BU4" t="s">
        <v>107</v>
      </c>
      <c r="BV4" t="s">
        <v>98</v>
      </c>
      <c r="BY4">
        <v>7200</v>
      </c>
      <c r="BZ4" t="s">
        <v>108</v>
      </c>
      <c r="CA4" t="s">
        <v>109</v>
      </c>
      <c r="CC4" t="s">
        <v>103</v>
      </c>
      <c r="CD4">
        <v>1748</v>
      </c>
      <c r="CE4" t="s">
        <v>110</v>
      </c>
      <c r="CF4" s="3">
        <v>45841</v>
      </c>
      <c r="CI4">
        <v>1</v>
      </c>
      <c r="CJ4">
        <v>1</v>
      </c>
      <c r="CK4">
        <v>44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"080066304223"</f>
        <v>080066304223</v>
      </c>
      <c r="F5" s="3">
        <v>45840</v>
      </c>
      <c r="G5">
        <v>202604</v>
      </c>
      <c r="H5" t="s">
        <v>75</v>
      </c>
      <c r="I5" t="s">
        <v>76</v>
      </c>
      <c r="J5" t="s">
        <v>101</v>
      </c>
      <c r="K5" t="s">
        <v>78</v>
      </c>
      <c r="L5" t="s">
        <v>111</v>
      </c>
      <c r="M5" t="s">
        <v>112</v>
      </c>
      <c r="N5" t="s">
        <v>113</v>
      </c>
      <c r="O5" t="s">
        <v>95</v>
      </c>
      <c r="P5" t="str">
        <f>"4170046610                    "</f>
        <v xml:space="preserve">4170046610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61.64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5</v>
      </c>
      <c r="BJ5">
        <v>1.1000000000000001</v>
      </c>
      <c r="BK5">
        <v>5</v>
      </c>
      <c r="BL5">
        <v>200.06</v>
      </c>
      <c r="BM5">
        <v>30.01</v>
      </c>
      <c r="BN5">
        <v>230.07</v>
      </c>
      <c r="BO5">
        <v>230.07</v>
      </c>
      <c r="BQ5" t="s">
        <v>114</v>
      </c>
      <c r="BR5" t="s">
        <v>106</v>
      </c>
      <c r="BS5" s="3">
        <v>45841</v>
      </c>
      <c r="BT5" s="4">
        <v>0.4375</v>
      </c>
      <c r="BU5" t="s">
        <v>115</v>
      </c>
      <c r="BV5" t="s">
        <v>98</v>
      </c>
      <c r="BY5">
        <v>5320</v>
      </c>
      <c r="BZ5" t="s">
        <v>108</v>
      </c>
      <c r="CA5" t="s">
        <v>116</v>
      </c>
      <c r="CC5" t="s">
        <v>112</v>
      </c>
      <c r="CD5">
        <v>1871</v>
      </c>
      <c r="CE5" t="s">
        <v>117</v>
      </c>
      <c r="CF5" s="3">
        <v>45841</v>
      </c>
      <c r="CI5">
        <v>1</v>
      </c>
      <c r="CJ5">
        <v>1</v>
      </c>
      <c r="CK5">
        <v>43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"080066654287"</f>
        <v>080066654287</v>
      </c>
      <c r="F6" s="3">
        <v>45856</v>
      </c>
      <c r="G6">
        <v>202604</v>
      </c>
      <c r="H6" t="s">
        <v>75</v>
      </c>
      <c r="I6" t="s">
        <v>76</v>
      </c>
      <c r="J6" t="s">
        <v>77</v>
      </c>
      <c r="K6" t="s">
        <v>78</v>
      </c>
      <c r="L6" t="s">
        <v>75</v>
      </c>
      <c r="M6" t="s">
        <v>76</v>
      </c>
      <c r="N6" t="s">
        <v>118</v>
      </c>
      <c r="O6" t="s">
        <v>82</v>
      </c>
      <c r="P6" t="str">
        <f>"4170049433                    "</f>
        <v xml:space="preserve">4170049433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17.649999999999999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55.61</v>
      </c>
      <c r="BM6">
        <v>8.34</v>
      </c>
      <c r="BN6">
        <v>63.95</v>
      </c>
      <c r="BO6">
        <v>63.95</v>
      </c>
      <c r="BQ6" t="s">
        <v>119</v>
      </c>
      <c r="BR6" t="s">
        <v>84</v>
      </c>
      <c r="BS6" s="3">
        <v>45859</v>
      </c>
      <c r="BT6" s="4">
        <v>0.31458333333333333</v>
      </c>
      <c r="BU6" t="s">
        <v>120</v>
      </c>
      <c r="BV6" t="s">
        <v>98</v>
      </c>
      <c r="BY6">
        <v>1200</v>
      </c>
      <c r="BZ6" t="s">
        <v>89</v>
      </c>
      <c r="CC6" t="s">
        <v>76</v>
      </c>
      <c r="CD6">
        <v>1600</v>
      </c>
      <c r="CE6" t="s">
        <v>121</v>
      </c>
      <c r="CF6" s="3">
        <v>45860</v>
      </c>
      <c r="CI6">
        <v>1</v>
      </c>
      <c r="CJ6">
        <v>1</v>
      </c>
      <c r="CK6">
        <v>22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"080066654306"</f>
        <v>080066654306</v>
      </c>
      <c r="F7" s="3">
        <v>45856</v>
      </c>
      <c r="G7">
        <v>202604</v>
      </c>
      <c r="H7" t="s">
        <v>75</v>
      </c>
      <c r="I7" t="s">
        <v>76</v>
      </c>
      <c r="J7" t="s">
        <v>77</v>
      </c>
      <c r="K7" t="s">
        <v>78</v>
      </c>
      <c r="L7" t="s">
        <v>122</v>
      </c>
      <c r="M7" t="s">
        <v>123</v>
      </c>
      <c r="N7" t="s">
        <v>124</v>
      </c>
      <c r="O7" t="s">
        <v>82</v>
      </c>
      <c r="P7" t="str">
        <f>"4170049395                    "</f>
        <v xml:space="preserve">4170049395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22.6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71.2</v>
      </c>
      <c r="BM7">
        <v>10.68</v>
      </c>
      <c r="BN7">
        <v>81.88</v>
      </c>
      <c r="BO7">
        <v>81.88</v>
      </c>
      <c r="BQ7" t="s">
        <v>125</v>
      </c>
      <c r="BR7" t="s">
        <v>84</v>
      </c>
      <c r="BS7" s="3">
        <v>45859</v>
      </c>
      <c r="BT7" s="4">
        <v>0.4201388888888889</v>
      </c>
      <c r="BU7" t="s">
        <v>126</v>
      </c>
      <c r="BV7" t="s">
        <v>98</v>
      </c>
      <c r="BY7">
        <v>1200</v>
      </c>
      <c r="CA7" t="s">
        <v>127</v>
      </c>
      <c r="CC7" t="s">
        <v>123</v>
      </c>
      <c r="CD7">
        <v>4037</v>
      </c>
      <c r="CE7" t="s">
        <v>121</v>
      </c>
      <c r="CF7" s="3">
        <v>45859</v>
      </c>
      <c r="CI7">
        <v>1</v>
      </c>
      <c r="CJ7">
        <v>1</v>
      </c>
      <c r="CK7">
        <v>21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"080066622773"</f>
        <v>080066622773</v>
      </c>
      <c r="F8" s="3">
        <v>45855</v>
      </c>
      <c r="G8">
        <v>202604</v>
      </c>
      <c r="H8" t="s">
        <v>75</v>
      </c>
      <c r="I8" t="s">
        <v>76</v>
      </c>
      <c r="J8" t="s">
        <v>77</v>
      </c>
      <c r="K8" t="s">
        <v>78</v>
      </c>
      <c r="L8" t="s">
        <v>128</v>
      </c>
      <c r="M8" t="s">
        <v>129</v>
      </c>
      <c r="N8" t="s">
        <v>130</v>
      </c>
      <c r="O8" t="s">
        <v>82</v>
      </c>
      <c r="P8" t="str">
        <f>"4170049227                    "</f>
        <v xml:space="preserve">4170049227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53.67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</v>
      </c>
      <c r="BJ8">
        <v>2.2000000000000002</v>
      </c>
      <c r="BK8">
        <v>2.5</v>
      </c>
      <c r="BL8">
        <v>169.09</v>
      </c>
      <c r="BM8">
        <v>25.36</v>
      </c>
      <c r="BN8">
        <v>194.45</v>
      </c>
      <c r="BO8">
        <v>194.45</v>
      </c>
      <c r="BQ8" t="s">
        <v>131</v>
      </c>
      <c r="BR8" t="s">
        <v>84</v>
      </c>
      <c r="BS8" s="3">
        <v>45856</v>
      </c>
      <c r="BT8" s="4">
        <v>0.41736111111111113</v>
      </c>
      <c r="BU8" t="s">
        <v>132</v>
      </c>
      <c r="BV8" t="s">
        <v>98</v>
      </c>
      <c r="BY8">
        <v>10816</v>
      </c>
      <c r="CA8" t="s">
        <v>133</v>
      </c>
      <c r="CC8" t="s">
        <v>129</v>
      </c>
      <c r="CD8" s="5" t="s">
        <v>134</v>
      </c>
      <c r="CE8" t="s">
        <v>91</v>
      </c>
      <c r="CF8" s="3">
        <v>45859</v>
      </c>
      <c r="CI8">
        <v>1</v>
      </c>
      <c r="CJ8">
        <v>1</v>
      </c>
      <c r="CK8">
        <v>23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"080066622824"</f>
        <v>080066622824</v>
      </c>
      <c r="F9" s="3">
        <v>45855</v>
      </c>
      <c r="G9">
        <v>202604</v>
      </c>
      <c r="H9" t="s">
        <v>75</v>
      </c>
      <c r="I9" t="s">
        <v>76</v>
      </c>
      <c r="J9" t="s">
        <v>77</v>
      </c>
      <c r="K9" t="s">
        <v>78</v>
      </c>
      <c r="L9" t="s">
        <v>135</v>
      </c>
      <c r="M9" t="s">
        <v>136</v>
      </c>
      <c r="N9" t="s">
        <v>137</v>
      </c>
      <c r="O9" t="s">
        <v>82</v>
      </c>
      <c r="P9" t="str">
        <f>"4170049190                    "</f>
        <v xml:space="preserve">4170049190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22.6</v>
      </c>
      <c r="AR9">
        <v>0</v>
      </c>
      <c r="AS9">
        <v>0</v>
      </c>
      <c r="AT9">
        <v>0</v>
      </c>
      <c r="AU9">
        <v>0</v>
      </c>
      <c r="AV9">
        <v>0</v>
      </c>
      <c r="AW9">
        <v>16.739999999999998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87.94</v>
      </c>
      <c r="BM9">
        <v>13.19</v>
      </c>
      <c r="BN9">
        <v>101.13</v>
      </c>
      <c r="BO9">
        <v>101.13</v>
      </c>
      <c r="BQ9" t="s">
        <v>138</v>
      </c>
      <c r="BR9" t="s">
        <v>84</v>
      </c>
      <c r="BS9" s="3">
        <v>45856</v>
      </c>
      <c r="BT9" s="4">
        <v>0.41666666666666669</v>
      </c>
      <c r="BU9" t="s">
        <v>139</v>
      </c>
      <c r="BV9" t="s">
        <v>98</v>
      </c>
      <c r="BY9">
        <v>1200</v>
      </c>
      <c r="BZ9" t="s">
        <v>30</v>
      </c>
      <c r="CA9" t="s">
        <v>140</v>
      </c>
      <c r="CC9" t="s">
        <v>136</v>
      </c>
      <c r="CD9">
        <v>3699</v>
      </c>
      <c r="CE9" t="s">
        <v>121</v>
      </c>
      <c r="CF9" s="3">
        <v>45856</v>
      </c>
      <c r="CI9">
        <v>1</v>
      </c>
      <c r="CJ9">
        <v>1</v>
      </c>
      <c r="CK9">
        <v>21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"080066657919"</f>
        <v>080066657919</v>
      </c>
      <c r="F10" s="3">
        <v>45856</v>
      </c>
      <c r="G10">
        <v>202604</v>
      </c>
      <c r="H10" t="s">
        <v>75</v>
      </c>
      <c r="I10" t="s">
        <v>76</v>
      </c>
      <c r="J10" t="s">
        <v>77</v>
      </c>
      <c r="K10" t="s">
        <v>78</v>
      </c>
      <c r="L10" t="s">
        <v>79</v>
      </c>
      <c r="M10" t="s">
        <v>80</v>
      </c>
      <c r="N10" t="s">
        <v>141</v>
      </c>
      <c r="O10" t="s">
        <v>82</v>
      </c>
      <c r="P10" t="str">
        <f>"4170049517                    "</f>
        <v xml:space="preserve">4170049517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22.6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1.1000000000000001</v>
      </c>
      <c r="BK10">
        <v>1.5</v>
      </c>
      <c r="BL10">
        <v>71.2</v>
      </c>
      <c r="BM10">
        <v>10.68</v>
      </c>
      <c r="BN10">
        <v>81.88</v>
      </c>
      <c r="BO10">
        <v>81.88</v>
      </c>
      <c r="BQ10" t="s">
        <v>142</v>
      </c>
      <c r="BR10" t="s">
        <v>84</v>
      </c>
      <c r="BS10" s="3">
        <v>45859</v>
      </c>
      <c r="BT10" s="4">
        <v>0.38819444444444445</v>
      </c>
      <c r="BU10" t="s">
        <v>143</v>
      </c>
      <c r="BV10" t="s">
        <v>98</v>
      </c>
      <c r="BY10">
        <v>5320</v>
      </c>
      <c r="CA10" t="s">
        <v>144</v>
      </c>
      <c r="CC10" t="s">
        <v>80</v>
      </c>
      <c r="CD10">
        <v>7441</v>
      </c>
      <c r="CE10" t="s">
        <v>145</v>
      </c>
      <c r="CF10" s="3">
        <v>45860</v>
      </c>
      <c r="CI10">
        <v>1</v>
      </c>
      <c r="CJ10">
        <v>1</v>
      </c>
      <c r="CK10">
        <v>21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"080066657971"</f>
        <v>080066657971</v>
      </c>
      <c r="F11" s="3">
        <v>45856</v>
      </c>
      <c r="G11">
        <v>202604</v>
      </c>
      <c r="H11" t="s">
        <v>75</v>
      </c>
      <c r="I11" t="s">
        <v>76</v>
      </c>
      <c r="J11" t="s">
        <v>77</v>
      </c>
      <c r="K11" t="s">
        <v>78</v>
      </c>
      <c r="L11" t="s">
        <v>146</v>
      </c>
      <c r="M11" t="s">
        <v>146</v>
      </c>
      <c r="N11" t="s">
        <v>147</v>
      </c>
      <c r="O11" t="s">
        <v>82</v>
      </c>
      <c r="P11" t="str">
        <f>"4170049520                    "</f>
        <v xml:space="preserve">4170049520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320.58999999999997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16</v>
      </c>
      <c r="BJ11">
        <v>3.4</v>
      </c>
      <c r="BK11">
        <v>16</v>
      </c>
      <c r="BL11">
        <v>1010.03</v>
      </c>
      <c r="BM11">
        <v>151.5</v>
      </c>
      <c r="BN11">
        <v>1161.53</v>
      </c>
      <c r="BO11">
        <v>1161.53</v>
      </c>
      <c r="BQ11" t="s">
        <v>148</v>
      </c>
      <c r="BR11" t="s">
        <v>84</v>
      </c>
      <c r="BS11" s="3">
        <v>45859</v>
      </c>
      <c r="BT11" s="4">
        <v>0.53611111111111109</v>
      </c>
      <c r="BU11" t="s">
        <v>149</v>
      </c>
      <c r="BV11" t="s">
        <v>98</v>
      </c>
      <c r="BY11">
        <v>16965</v>
      </c>
      <c r="CA11" t="s">
        <v>150</v>
      </c>
      <c r="CC11" t="s">
        <v>146</v>
      </c>
      <c r="CD11">
        <v>7646</v>
      </c>
      <c r="CE11" t="s">
        <v>145</v>
      </c>
      <c r="CF11" s="3">
        <v>45860</v>
      </c>
      <c r="CI11">
        <v>1</v>
      </c>
      <c r="CJ11">
        <v>1</v>
      </c>
      <c r="CK11">
        <v>23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"080066657976"</f>
        <v>080066657976</v>
      </c>
      <c r="F12" s="3">
        <v>45856</v>
      </c>
      <c r="G12">
        <v>202604</v>
      </c>
      <c r="H12" t="s">
        <v>75</v>
      </c>
      <c r="I12" t="s">
        <v>76</v>
      </c>
      <c r="J12" t="s">
        <v>77</v>
      </c>
      <c r="K12" t="s">
        <v>78</v>
      </c>
      <c r="L12" t="s">
        <v>151</v>
      </c>
      <c r="M12" t="s">
        <v>152</v>
      </c>
      <c r="N12" t="s">
        <v>153</v>
      </c>
      <c r="O12" t="s">
        <v>82</v>
      </c>
      <c r="P12" t="str">
        <f>"4170049625                    "</f>
        <v xml:space="preserve">4170049625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22.6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0.3</v>
      </c>
      <c r="BK12">
        <v>1</v>
      </c>
      <c r="BL12">
        <v>71.2</v>
      </c>
      <c r="BM12">
        <v>10.68</v>
      </c>
      <c r="BN12">
        <v>81.88</v>
      </c>
      <c r="BO12">
        <v>81.88</v>
      </c>
      <c r="BQ12" t="s">
        <v>154</v>
      </c>
      <c r="BR12" t="s">
        <v>84</v>
      </c>
      <c r="BS12" s="3">
        <v>45859</v>
      </c>
      <c r="BT12" s="4">
        <v>0.3263888888888889</v>
      </c>
      <c r="BU12" t="s">
        <v>155</v>
      </c>
      <c r="BV12" t="s">
        <v>98</v>
      </c>
      <c r="BY12">
        <v>1350</v>
      </c>
      <c r="CA12" t="s">
        <v>156</v>
      </c>
      <c r="CC12" t="s">
        <v>152</v>
      </c>
      <c r="CD12" s="5" t="s">
        <v>157</v>
      </c>
      <c r="CE12" t="s">
        <v>158</v>
      </c>
      <c r="CF12" s="3">
        <v>45859</v>
      </c>
      <c r="CI12">
        <v>1</v>
      </c>
      <c r="CJ12">
        <v>1</v>
      </c>
      <c r="CK12">
        <v>21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"080066624305"</f>
        <v>080066624305</v>
      </c>
      <c r="F13" s="3">
        <v>45855</v>
      </c>
      <c r="G13">
        <v>202604</v>
      </c>
      <c r="H13" t="s">
        <v>75</v>
      </c>
      <c r="I13" t="s">
        <v>76</v>
      </c>
      <c r="J13" t="s">
        <v>77</v>
      </c>
      <c r="K13" t="s">
        <v>78</v>
      </c>
      <c r="L13" t="s">
        <v>79</v>
      </c>
      <c r="M13" t="s">
        <v>80</v>
      </c>
      <c r="N13" t="s">
        <v>159</v>
      </c>
      <c r="O13" t="s">
        <v>82</v>
      </c>
      <c r="P13" t="str">
        <f>"4170049247                    "</f>
        <v xml:space="preserve">4170049247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22.6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0.3</v>
      </c>
      <c r="BK13">
        <v>1</v>
      </c>
      <c r="BL13">
        <v>71.2</v>
      </c>
      <c r="BM13">
        <v>10.68</v>
      </c>
      <c r="BN13">
        <v>81.88</v>
      </c>
      <c r="BO13">
        <v>81.88</v>
      </c>
      <c r="BQ13" t="s">
        <v>160</v>
      </c>
      <c r="BR13" t="s">
        <v>84</v>
      </c>
      <c r="BS13" s="3">
        <v>45856</v>
      </c>
      <c r="BT13" s="4">
        <v>0.42291666666666666</v>
      </c>
      <c r="BU13" t="s">
        <v>161</v>
      </c>
      <c r="BV13" t="s">
        <v>98</v>
      </c>
      <c r="BY13">
        <v>1350</v>
      </c>
      <c r="CA13" t="s">
        <v>162</v>
      </c>
      <c r="CC13" t="s">
        <v>80</v>
      </c>
      <c r="CD13">
        <v>7441</v>
      </c>
      <c r="CE13" t="s">
        <v>158</v>
      </c>
      <c r="CF13" s="3">
        <v>45859</v>
      </c>
      <c r="CI13">
        <v>1</v>
      </c>
      <c r="CJ13">
        <v>1</v>
      </c>
      <c r="CK13">
        <v>21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"080066624329"</f>
        <v>080066624329</v>
      </c>
      <c r="F14" s="3">
        <v>45855</v>
      </c>
      <c r="G14">
        <v>202604</v>
      </c>
      <c r="H14" t="s">
        <v>75</v>
      </c>
      <c r="I14" t="s">
        <v>76</v>
      </c>
      <c r="J14" t="s">
        <v>77</v>
      </c>
      <c r="K14" t="s">
        <v>78</v>
      </c>
      <c r="L14" t="s">
        <v>122</v>
      </c>
      <c r="M14" t="s">
        <v>123</v>
      </c>
      <c r="N14" t="s">
        <v>163</v>
      </c>
      <c r="O14" t="s">
        <v>95</v>
      </c>
      <c r="P14" t="str">
        <f>"4170049198                    "</f>
        <v xml:space="preserve">4170049198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43.7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3</v>
      </c>
      <c r="BJ14">
        <v>1.4</v>
      </c>
      <c r="BK14">
        <v>3</v>
      </c>
      <c r="BL14">
        <v>143.55000000000001</v>
      </c>
      <c r="BM14">
        <v>21.53</v>
      </c>
      <c r="BN14">
        <v>165.08</v>
      </c>
      <c r="BO14">
        <v>165.08</v>
      </c>
      <c r="BQ14" t="s">
        <v>164</v>
      </c>
      <c r="BR14" t="s">
        <v>84</v>
      </c>
      <c r="BS14" s="3">
        <v>45856</v>
      </c>
      <c r="BT14" s="4">
        <v>0.48680555555555555</v>
      </c>
      <c r="BU14" t="s">
        <v>165</v>
      </c>
      <c r="BV14" t="s">
        <v>98</v>
      </c>
      <c r="BY14">
        <v>6840</v>
      </c>
      <c r="CA14" t="s">
        <v>166</v>
      </c>
      <c r="CC14" t="s">
        <v>123</v>
      </c>
      <c r="CD14">
        <v>3600</v>
      </c>
      <c r="CE14" t="s">
        <v>167</v>
      </c>
      <c r="CF14" s="3">
        <v>45857</v>
      </c>
      <c r="CI14">
        <v>1</v>
      </c>
      <c r="CJ14">
        <v>1</v>
      </c>
      <c r="CK14">
        <v>41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"080066823191"</f>
        <v>080066823191</v>
      </c>
      <c r="F15" s="3">
        <v>45866</v>
      </c>
      <c r="G15">
        <v>202604</v>
      </c>
      <c r="H15" t="s">
        <v>75</v>
      </c>
      <c r="I15" t="s">
        <v>76</v>
      </c>
      <c r="J15" t="s">
        <v>77</v>
      </c>
      <c r="K15" t="s">
        <v>78</v>
      </c>
      <c r="L15" t="s">
        <v>168</v>
      </c>
      <c r="M15" t="s">
        <v>169</v>
      </c>
      <c r="N15" t="s">
        <v>170</v>
      </c>
      <c r="O15" t="s">
        <v>82</v>
      </c>
      <c r="P15" t="str">
        <f>"4170051231                    "</f>
        <v xml:space="preserve">4170051231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22.6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71.2</v>
      </c>
      <c r="BM15">
        <v>10.68</v>
      </c>
      <c r="BN15">
        <v>81.88</v>
      </c>
      <c r="BO15">
        <v>81.88</v>
      </c>
      <c r="BQ15" t="s">
        <v>171</v>
      </c>
      <c r="BR15" t="s">
        <v>84</v>
      </c>
      <c r="BS15" s="3">
        <v>45867</v>
      </c>
      <c r="BT15" s="4">
        <v>0.34722222222222221</v>
      </c>
      <c r="BU15" t="s">
        <v>172</v>
      </c>
      <c r="BV15" t="s">
        <v>98</v>
      </c>
      <c r="BY15">
        <v>1200</v>
      </c>
      <c r="CA15" t="s">
        <v>173</v>
      </c>
      <c r="CC15" t="s">
        <v>169</v>
      </c>
      <c r="CD15">
        <v>6001</v>
      </c>
      <c r="CE15" t="s">
        <v>121</v>
      </c>
      <c r="CF15" s="3">
        <v>45867</v>
      </c>
      <c r="CI15">
        <v>1</v>
      </c>
      <c r="CJ15">
        <v>1</v>
      </c>
      <c r="CK15">
        <v>21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"080066823220"</f>
        <v>080066823220</v>
      </c>
      <c r="F16" s="3">
        <v>45866</v>
      </c>
      <c r="G16">
        <v>202604</v>
      </c>
      <c r="H16" t="s">
        <v>75</v>
      </c>
      <c r="I16" t="s">
        <v>76</v>
      </c>
      <c r="J16" t="s">
        <v>77</v>
      </c>
      <c r="K16" t="s">
        <v>78</v>
      </c>
      <c r="L16" t="s">
        <v>174</v>
      </c>
      <c r="M16" t="s">
        <v>175</v>
      </c>
      <c r="N16" t="s">
        <v>176</v>
      </c>
      <c r="O16" t="s">
        <v>82</v>
      </c>
      <c r="P16" t="str">
        <f>"4170051154                    "</f>
        <v xml:space="preserve">4170051154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22.6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71.2</v>
      </c>
      <c r="BM16">
        <v>10.68</v>
      </c>
      <c r="BN16">
        <v>81.88</v>
      </c>
      <c r="BO16">
        <v>81.88</v>
      </c>
      <c r="BQ16" t="s">
        <v>177</v>
      </c>
      <c r="BR16" t="s">
        <v>84</v>
      </c>
      <c r="BS16" s="3">
        <v>45867</v>
      </c>
      <c r="BT16" s="4">
        <v>0.37152777777777779</v>
      </c>
      <c r="BU16" t="s">
        <v>178</v>
      </c>
      <c r="BV16" t="s">
        <v>98</v>
      </c>
      <c r="BY16">
        <v>1200</v>
      </c>
      <c r="CA16" t="s">
        <v>173</v>
      </c>
      <c r="CC16" t="s">
        <v>175</v>
      </c>
      <c r="CD16">
        <v>6220</v>
      </c>
      <c r="CE16" t="s">
        <v>121</v>
      </c>
      <c r="CF16" s="3">
        <v>45867</v>
      </c>
      <c r="CI16">
        <v>1</v>
      </c>
      <c r="CJ16">
        <v>1</v>
      </c>
      <c r="CK16">
        <v>21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"080066825234"</f>
        <v>080066825234</v>
      </c>
      <c r="F17" s="3">
        <v>45866</v>
      </c>
      <c r="G17">
        <v>202604</v>
      </c>
      <c r="H17" t="s">
        <v>75</v>
      </c>
      <c r="I17" t="s">
        <v>76</v>
      </c>
      <c r="J17" t="s">
        <v>77</v>
      </c>
      <c r="K17" t="s">
        <v>78</v>
      </c>
      <c r="L17" t="s">
        <v>179</v>
      </c>
      <c r="M17" t="s">
        <v>180</v>
      </c>
      <c r="N17" t="s">
        <v>181</v>
      </c>
      <c r="O17" t="s">
        <v>82</v>
      </c>
      <c r="P17" t="str">
        <f>"4170051195                    "</f>
        <v xml:space="preserve">4170051195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43.78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137.94</v>
      </c>
      <c r="BM17">
        <v>20.69</v>
      </c>
      <c r="BN17">
        <v>158.63</v>
      </c>
      <c r="BO17">
        <v>158.63</v>
      </c>
      <c r="BQ17" t="s">
        <v>182</v>
      </c>
      <c r="BR17" t="s">
        <v>84</v>
      </c>
      <c r="BS17" s="3">
        <v>45867</v>
      </c>
      <c r="BT17" s="4">
        <v>0.41666666666666669</v>
      </c>
      <c r="BU17" t="s">
        <v>183</v>
      </c>
      <c r="BV17" t="s">
        <v>98</v>
      </c>
      <c r="BY17">
        <v>1200</v>
      </c>
      <c r="CC17" t="s">
        <v>180</v>
      </c>
      <c r="CD17">
        <v>3310</v>
      </c>
      <c r="CE17" t="s">
        <v>121</v>
      </c>
      <c r="CF17" s="3">
        <v>45868</v>
      </c>
      <c r="CI17">
        <v>1</v>
      </c>
      <c r="CJ17">
        <v>1</v>
      </c>
      <c r="CK17">
        <v>23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"080066825242"</f>
        <v>080066825242</v>
      </c>
      <c r="F18" s="3">
        <v>45866</v>
      </c>
      <c r="G18">
        <v>202604</v>
      </c>
      <c r="H18" t="s">
        <v>75</v>
      </c>
      <c r="I18" t="s">
        <v>76</v>
      </c>
      <c r="J18" t="s">
        <v>77</v>
      </c>
      <c r="K18" t="s">
        <v>78</v>
      </c>
      <c r="L18" t="s">
        <v>122</v>
      </c>
      <c r="M18" t="s">
        <v>123</v>
      </c>
      <c r="N18" t="s">
        <v>184</v>
      </c>
      <c r="O18" t="s">
        <v>82</v>
      </c>
      <c r="P18" t="str">
        <f>"4170051341                    "</f>
        <v xml:space="preserve">4170051341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22.6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</v>
      </c>
      <c r="BJ18">
        <v>1.7</v>
      </c>
      <c r="BK18">
        <v>2</v>
      </c>
      <c r="BL18">
        <v>71.2</v>
      </c>
      <c r="BM18">
        <v>10.68</v>
      </c>
      <c r="BN18">
        <v>81.88</v>
      </c>
      <c r="BO18">
        <v>81.88</v>
      </c>
      <c r="BQ18" t="s">
        <v>185</v>
      </c>
      <c r="BR18" t="s">
        <v>84</v>
      </c>
      <c r="BS18" s="3">
        <v>45867</v>
      </c>
      <c r="BT18" s="4">
        <v>0.3576388888888889</v>
      </c>
      <c r="BU18" t="s">
        <v>186</v>
      </c>
      <c r="BV18" t="s">
        <v>98</v>
      </c>
      <c r="BY18">
        <v>8512</v>
      </c>
      <c r="CA18" t="s">
        <v>187</v>
      </c>
      <c r="CC18" t="s">
        <v>123</v>
      </c>
      <c r="CD18">
        <v>3610</v>
      </c>
      <c r="CE18" t="s">
        <v>145</v>
      </c>
      <c r="CF18" s="3">
        <v>45868</v>
      </c>
      <c r="CI18">
        <v>1</v>
      </c>
      <c r="CJ18">
        <v>1</v>
      </c>
      <c r="CK18">
        <v>21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"080066825269"</f>
        <v>080066825269</v>
      </c>
      <c r="F19" s="3">
        <v>45866</v>
      </c>
      <c r="G19">
        <v>202604</v>
      </c>
      <c r="H19" t="s">
        <v>75</v>
      </c>
      <c r="I19" t="s">
        <v>76</v>
      </c>
      <c r="J19" t="s">
        <v>77</v>
      </c>
      <c r="K19" t="s">
        <v>78</v>
      </c>
      <c r="L19" t="s">
        <v>79</v>
      </c>
      <c r="M19" t="s">
        <v>80</v>
      </c>
      <c r="N19" t="s">
        <v>188</v>
      </c>
      <c r="O19" t="s">
        <v>82</v>
      </c>
      <c r="P19" t="str">
        <f>"4170051212                    "</f>
        <v xml:space="preserve">4170051212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22.6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71.2</v>
      </c>
      <c r="BM19">
        <v>10.68</v>
      </c>
      <c r="BN19">
        <v>81.88</v>
      </c>
      <c r="BO19">
        <v>81.88</v>
      </c>
      <c r="BQ19" t="s">
        <v>189</v>
      </c>
      <c r="BR19" t="s">
        <v>84</v>
      </c>
      <c r="BS19" s="3">
        <v>45867</v>
      </c>
      <c r="BT19" s="4">
        <v>0.41875000000000001</v>
      </c>
      <c r="BU19" t="s">
        <v>190</v>
      </c>
      <c r="BV19" t="s">
        <v>98</v>
      </c>
      <c r="BY19">
        <v>1200</v>
      </c>
      <c r="CC19" t="s">
        <v>80</v>
      </c>
      <c r="CD19">
        <v>7441</v>
      </c>
      <c r="CE19" t="s">
        <v>121</v>
      </c>
      <c r="CF19" s="3">
        <v>45868</v>
      </c>
      <c r="CI19">
        <v>1</v>
      </c>
      <c r="CJ19">
        <v>1</v>
      </c>
      <c r="CK19">
        <v>21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"080066797959"</f>
        <v>080066797959</v>
      </c>
      <c r="F20" s="3">
        <v>45863</v>
      </c>
      <c r="G20">
        <v>202604</v>
      </c>
      <c r="H20" t="s">
        <v>75</v>
      </c>
      <c r="I20" t="s">
        <v>76</v>
      </c>
      <c r="J20" t="s">
        <v>77</v>
      </c>
      <c r="K20" t="s">
        <v>78</v>
      </c>
      <c r="L20" t="s">
        <v>168</v>
      </c>
      <c r="M20" t="s">
        <v>169</v>
      </c>
      <c r="N20" t="s">
        <v>191</v>
      </c>
      <c r="O20" t="s">
        <v>82</v>
      </c>
      <c r="P20" t="str">
        <f>"4170051116                    "</f>
        <v xml:space="preserve">4170051116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22.6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1.1000000000000001</v>
      </c>
      <c r="BK20">
        <v>2</v>
      </c>
      <c r="BL20">
        <v>71.2</v>
      </c>
      <c r="BM20">
        <v>10.68</v>
      </c>
      <c r="BN20">
        <v>81.88</v>
      </c>
      <c r="BO20">
        <v>81.88</v>
      </c>
      <c r="BQ20" t="s">
        <v>192</v>
      </c>
      <c r="BR20" t="s">
        <v>84</v>
      </c>
      <c r="BS20" s="3">
        <v>45866</v>
      </c>
      <c r="BT20" s="4">
        <v>0.4513888888888889</v>
      </c>
      <c r="BU20" t="s">
        <v>193</v>
      </c>
      <c r="BV20" t="s">
        <v>86</v>
      </c>
      <c r="BW20" t="s">
        <v>194</v>
      </c>
      <c r="BX20" t="s">
        <v>195</v>
      </c>
      <c r="BY20">
        <v>5320</v>
      </c>
      <c r="CA20" t="s">
        <v>196</v>
      </c>
      <c r="CC20" t="s">
        <v>169</v>
      </c>
      <c r="CD20">
        <v>6056</v>
      </c>
      <c r="CE20" t="s">
        <v>110</v>
      </c>
      <c r="CF20" s="3">
        <v>45866</v>
      </c>
      <c r="CI20">
        <v>1</v>
      </c>
      <c r="CJ20">
        <v>1</v>
      </c>
      <c r="CK20">
        <v>21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"080066797968"</f>
        <v>080066797968</v>
      </c>
      <c r="F21" s="3">
        <v>45863</v>
      </c>
      <c r="G21">
        <v>202604</v>
      </c>
      <c r="H21" t="s">
        <v>75</v>
      </c>
      <c r="I21" t="s">
        <v>76</v>
      </c>
      <c r="J21" t="s">
        <v>77</v>
      </c>
      <c r="K21" t="s">
        <v>78</v>
      </c>
      <c r="L21" t="s">
        <v>197</v>
      </c>
      <c r="M21" t="s">
        <v>198</v>
      </c>
      <c r="N21" t="s">
        <v>199</v>
      </c>
      <c r="O21" t="s">
        <v>82</v>
      </c>
      <c r="P21" t="str">
        <f>"4170051180                    "</f>
        <v xml:space="preserve">4170051180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17.649999999999999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55.61</v>
      </c>
      <c r="BM21">
        <v>8.34</v>
      </c>
      <c r="BN21">
        <v>63.95</v>
      </c>
      <c r="BO21">
        <v>63.95</v>
      </c>
      <c r="BQ21" t="s">
        <v>200</v>
      </c>
      <c r="BR21" t="s">
        <v>84</v>
      </c>
      <c r="BS21" s="3">
        <v>45866</v>
      </c>
      <c r="BT21" s="4">
        <v>0.39791666666666664</v>
      </c>
      <c r="BU21" t="s">
        <v>201</v>
      </c>
      <c r="BV21" t="s">
        <v>98</v>
      </c>
      <c r="BY21">
        <v>1200</v>
      </c>
      <c r="CC21" t="s">
        <v>198</v>
      </c>
      <c r="CD21">
        <v>1428</v>
      </c>
      <c r="CE21" t="s">
        <v>110</v>
      </c>
      <c r="CF21" s="3">
        <v>45866</v>
      </c>
      <c r="CI21">
        <v>1</v>
      </c>
      <c r="CJ21">
        <v>1</v>
      </c>
      <c r="CK21">
        <v>22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"080066657993"</f>
        <v>080066657993</v>
      </c>
      <c r="F22" s="3">
        <v>45856</v>
      </c>
      <c r="G22">
        <v>202604</v>
      </c>
      <c r="H22" t="s">
        <v>75</v>
      </c>
      <c r="I22" t="s">
        <v>76</v>
      </c>
      <c r="J22" t="s">
        <v>77</v>
      </c>
      <c r="K22" t="s">
        <v>78</v>
      </c>
      <c r="L22" t="s">
        <v>168</v>
      </c>
      <c r="M22" t="s">
        <v>169</v>
      </c>
      <c r="N22" t="s">
        <v>202</v>
      </c>
      <c r="O22" t="s">
        <v>82</v>
      </c>
      <c r="P22" t="str">
        <f>"4170049607                    "</f>
        <v xml:space="preserve">4170049607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22.6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0.3</v>
      </c>
      <c r="BK22">
        <v>1</v>
      </c>
      <c r="BL22">
        <v>71.2</v>
      </c>
      <c r="BM22">
        <v>10.68</v>
      </c>
      <c r="BN22">
        <v>81.88</v>
      </c>
      <c r="BO22">
        <v>81.88</v>
      </c>
      <c r="BQ22" t="s">
        <v>203</v>
      </c>
      <c r="BR22" t="s">
        <v>84</v>
      </c>
      <c r="BS22" s="3">
        <v>45859</v>
      </c>
      <c r="BT22" s="4">
        <v>0.38194444444444442</v>
      </c>
      <c r="BU22" t="s">
        <v>204</v>
      </c>
      <c r="BV22" t="s">
        <v>98</v>
      </c>
      <c r="BY22">
        <v>1350</v>
      </c>
      <c r="CA22" t="s">
        <v>205</v>
      </c>
      <c r="CC22" t="s">
        <v>169</v>
      </c>
      <c r="CD22">
        <v>6001</v>
      </c>
      <c r="CE22" t="s">
        <v>158</v>
      </c>
      <c r="CF22" s="3">
        <v>45859</v>
      </c>
      <c r="CI22">
        <v>1</v>
      </c>
      <c r="CJ22">
        <v>1</v>
      </c>
      <c r="CK22">
        <v>21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"080066657994"</f>
        <v>080066657994</v>
      </c>
      <c r="F23" s="3">
        <v>45856</v>
      </c>
      <c r="G23">
        <v>202604</v>
      </c>
      <c r="H23" t="s">
        <v>75</v>
      </c>
      <c r="I23" t="s">
        <v>76</v>
      </c>
      <c r="J23" t="s">
        <v>77</v>
      </c>
      <c r="K23" t="s">
        <v>78</v>
      </c>
      <c r="L23" t="s">
        <v>168</v>
      </c>
      <c r="M23" t="s">
        <v>169</v>
      </c>
      <c r="N23" t="s">
        <v>206</v>
      </c>
      <c r="O23" t="s">
        <v>82</v>
      </c>
      <c r="P23" t="str">
        <f>"4170049508                    "</f>
        <v xml:space="preserve">4170049508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56.47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5</v>
      </c>
      <c r="BJ23">
        <v>3.4</v>
      </c>
      <c r="BK23">
        <v>5</v>
      </c>
      <c r="BL23">
        <v>177.91</v>
      </c>
      <c r="BM23">
        <v>26.69</v>
      </c>
      <c r="BN23">
        <v>204.6</v>
      </c>
      <c r="BO23">
        <v>204.6</v>
      </c>
      <c r="BQ23" t="s">
        <v>207</v>
      </c>
      <c r="BR23" t="s">
        <v>84</v>
      </c>
      <c r="BS23" s="3">
        <v>45859</v>
      </c>
      <c r="BT23" s="4">
        <v>0.38541666666666669</v>
      </c>
      <c r="BU23" t="s">
        <v>208</v>
      </c>
      <c r="BV23" t="s">
        <v>98</v>
      </c>
      <c r="BY23">
        <v>16965</v>
      </c>
      <c r="CA23" t="s">
        <v>196</v>
      </c>
      <c r="CC23" t="s">
        <v>169</v>
      </c>
      <c r="CD23">
        <v>6001</v>
      </c>
      <c r="CE23" t="s">
        <v>145</v>
      </c>
      <c r="CF23" s="3">
        <v>45859</v>
      </c>
      <c r="CI23">
        <v>1</v>
      </c>
      <c r="CJ23">
        <v>1</v>
      </c>
      <c r="CK23">
        <v>21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"080066749174"</f>
        <v>080066749174</v>
      </c>
      <c r="F24" s="3">
        <v>45861</v>
      </c>
      <c r="G24">
        <v>202604</v>
      </c>
      <c r="H24" t="s">
        <v>75</v>
      </c>
      <c r="I24" t="s">
        <v>76</v>
      </c>
      <c r="J24" t="s">
        <v>77</v>
      </c>
      <c r="K24" t="s">
        <v>78</v>
      </c>
      <c r="L24" t="s">
        <v>122</v>
      </c>
      <c r="M24" t="s">
        <v>123</v>
      </c>
      <c r="N24" t="s">
        <v>209</v>
      </c>
      <c r="O24" t="s">
        <v>82</v>
      </c>
      <c r="P24" t="str">
        <f>"4170050347                    "</f>
        <v xml:space="preserve">4170050347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22.6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71.2</v>
      </c>
      <c r="BM24">
        <v>10.68</v>
      </c>
      <c r="BN24">
        <v>81.88</v>
      </c>
      <c r="BO24">
        <v>81.88</v>
      </c>
      <c r="BQ24" t="s">
        <v>210</v>
      </c>
      <c r="BR24" t="s">
        <v>84</v>
      </c>
      <c r="BS24" s="3">
        <v>45862</v>
      </c>
      <c r="BT24" s="4">
        <v>0.42430555555555555</v>
      </c>
      <c r="BU24" t="s">
        <v>211</v>
      </c>
      <c r="BV24" t="s">
        <v>98</v>
      </c>
      <c r="BY24">
        <v>1200</v>
      </c>
      <c r="CA24" t="s">
        <v>187</v>
      </c>
      <c r="CC24" t="s">
        <v>123</v>
      </c>
      <c r="CD24">
        <v>3600</v>
      </c>
      <c r="CE24" t="s">
        <v>121</v>
      </c>
      <c r="CF24" s="3">
        <v>45862</v>
      </c>
      <c r="CI24">
        <v>1</v>
      </c>
      <c r="CJ24">
        <v>1</v>
      </c>
      <c r="CK24">
        <v>21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"080066270391"</f>
        <v>080066270391</v>
      </c>
      <c r="F25" s="3">
        <v>45839</v>
      </c>
      <c r="G25">
        <v>202604</v>
      </c>
      <c r="H25" t="s">
        <v>75</v>
      </c>
      <c r="I25" t="s">
        <v>76</v>
      </c>
      <c r="J25" t="s">
        <v>77</v>
      </c>
      <c r="K25" t="s">
        <v>78</v>
      </c>
      <c r="L25" t="s">
        <v>75</v>
      </c>
      <c r="M25" t="s">
        <v>76</v>
      </c>
      <c r="N25" t="s">
        <v>118</v>
      </c>
      <c r="O25" t="s">
        <v>82</v>
      </c>
      <c r="P25" t="str">
        <f>"4170046389                    "</f>
        <v xml:space="preserve">4170046389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16.32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54.28</v>
      </c>
      <c r="BM25">
        <v>8.14</v>
      </c>
      <c r="BN25">
        <v>62.42</v>
      </c>
      <c r="BO25">
        <v>62.42</v>
      </c>
      <c r="BQ25" t="s">
        <v>119</v>
      </c>
      <c r="BR25" t="s">
        <v>84</v>
      </c>
      <c r="BS25" s="3">
        <v>45840</v>
      </c>
      <c r="BT25" s="4">
        <v>0.35694444444444445</v>
      </c>
      <c r="BU25" t="s">
        <v>212</v>
      </c>
      <c r="BV25" t="s">
        <v>98</v>
      </c>
      <c r="BY25">
        <v>1200</v>
      </c>
      <c r="BZ25" t="s">
        <v>89</v>
      </c>
      <c r="CA25" t="s">
        <v>213</v>
      </c>
      <c r="CC25" t="s">
        <v>76</v>
      </c>
      <c r="CD25">
        <v>1600</v>
      </c>
      <c r="CE25" t="s">
        <v>214</v>
      </c>
      <c r="CF25" s="3">
        <v>45840</v>
      </c>
      <c r="CI25">
        <v>1</v>
      </c>
      <c r="CJ25">
        <v>1</v>
      </c>
      <c r="CK25">
        <v>22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"009944973731"</f>
        <v>009944973731</v>
      </c>
      <c r="F26" s="3">
        <v>45839</v>
      </c>
      <c r="G26">
        <v>202604</v>
      </c>
      <c r="H26" t="s">
        <v>168</v>
      </c>
      <c r="I26" t="s">
        <v>169</v>
      </c>
      <c r="J26" t="s">
        <v>215</v>
      </c>
      <c r="K26" t="s">
        <v>78</v>
      </c>
      <c r="L26" t="s">
        <v>92</v>
      </c>
      <c r="M26" t="s">
        <v>93</v>
      </c>
      <c r="N26" t="s">
        <v>216</v>
      </c>
      <c r="O26" t="s">
        <v>95</v>
      </c>
      <c r="P26" t="str">
        <f>"PLZ2404165884                 "</f>
        <v xml:space="preserve">PLZ2404165884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40.409999999999997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5</v>
      </c>
      <c r="BJ26">
        <v>8.6</v>
      </c>
      <c r="BK26">
        <v>9</v>
      </c>
      <c r="BL26">
        <v>140.26</v>
      </c>
      <c r="BM26">
        <v>21.04</v>
      </c>
      <c r="BN26">
        <v>161.30000000000001</v>
      </c>
      <c r="BO26">
        <v>161.30000000000001</v>
      </c>
      <c r="BR26" t="s">
        <v>217</v>
      </c>
      <c r="BS26" s="3">
        <v>45846</v>
      </c>
      <c r="BT26" s="4">
        <v>0.54166666666666663</v>
      </c>
      <c r="BU26" t="s">
        <v>218</v>
      </c>
      <c r="BV26" t="s">
        <v>86</v>
      </c>
      <c r="BW26" t="s">
        <v>219</v>
      </c>
      <c r="BX26" t="s">
        <v>220</v>
      </c>
      <c r="BY26">
        <v>43245</v>
      </c>
      <c r="BZ26" t="s">
        <v>99</v>
      </c>
      <c r="CC26" t="s">
        <v>93</v>
      </c>
      <c r="CD26">
        <v>4000</v>
      </c>
      <c r="CE26" t="s">
        <v>110</v>
      </c>
      <c r="CF26" s="3">
        <v>45846</v>
      </c>
      <c r="CI26">
        <v>3</v>
      </c>
      <c r="CJ26">
        <v>5</v>
      </c>
      <c r="CK26">
        <v>41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"080066279296"</f>
        <v>080066279296</v>
      </c>
      <c r="F27" s="3">
        <v>45839</v>
      </c>
      <c r="G27">
        <v>202604</v>
      </c>
      <c r="H27" t="s">
        <v>75</v>
      </c>
      <c r="I27" t="s">
        <v>76</v>
      </c>
      <c r="J27" t="s">
        <v>77</v>
      </c>
      <c r="K27" t="s">
        <v>78</v>
      </c>
      <c r="L27" t="s">
        <v>221</v>
      </c>
      <c r="M27" t="s">
        <v>222</v>
      </c>
      <c r="N27" t="s">
        <v>223</v>
      </c>
      <c r="O27" t="s">
        <v>82</v>
      </c>
      <c r="P27" t="str">
        <f>"4170046468                    "</f>
        <v xml:space="preserve">4170046468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333.03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2</v>
      </c>
      <c r="BI27">
        <v>18</v>
      </c>
      <c r="BJ27">
        <v>7.9</v>
      </c>
      <c r="BK27">
        <v>18</v>
      </c>
      <c r="BL27">
        <v>1107.51</v>
      </c>
      <c r="BM27">
        <v>166.13</v>
      </c>
      <c r="BN27">
        <v>1273.6400000000001</v>
      </c>
      <c r="BO27">
        <v>1273.6400000000001</v>
      </c>
      <c r="BQ27" t="s">
        <v>224</v>
      </c>
      <c r="BR27" t="s">
        <v>84</v>
      </c>
      <c r="BS27" s="3">
        <v>45840</v>
      </c>
      <c r="BT27" s="4">
        <v>0.35416666666666669</v>
      </c>
      <c r="BU27" t="s">
        <v>225</v>
      </c>
      <c r="BV27" t="s">
        <v>98</v>
      </c>
      <c r="BY27">
        <v>19796</v>
      </c>
      <c r="BZ27" t="s">
        <v>89</v>
      </c>
      <c r="CC27" t="s">
        <v>222</v>
      </c>
      <c r="CD27">
        <v>2740</v>
      </c>
      <c r="CE27" t="s">
        <v>226</v>
      </c>
      <c r="CF27" s="3">
        <v>45841</v>
      </c>
      <c r="CI27">
        <v>1</v>
      </c>
      <c r="CJ27">
        <v>1</v>
      </c>
      <c r="CK27">
        <v>23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"080011555120"</f>
        <v>080011555120</v>
      </c>
      <c r="F28" s="3">
        <v>45839</v>
      </c>
      <c r="G28">
        <v>202604</v>
      </c>
      <c r="H28" t="s">
        <v>168</v>
      </c>
      <c r="I28" t="s">
        <v>169</v>
      </c>
      <c r="J28" t="s">
        <v>227</v>
      </c>
      <c r="K28" t="s">
        <v>78</v>
      </c>
      <c r="L28" t="s">
        <v>75</v>
      </c>
      <c r="M28" t="s">
        <v>76</v>
      </c>
      <c r="N28" t="s">
        <v>228</v>
      </c>
      <c r="O28" t="s">
        <v>82</v>
      </c>
      <c r="P28" t="str">
        <f>"ZA1001391586                  "</f>
        <v xml:space="preserve">ZA1001391586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31.34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2.4</v>
      </c>
      <c r="BK28">
        <v>3</v>
      </c>
      <c r="BL28">
        <v>104.22</v>
      </c>
      <c r="BM28">
        <v>15.63</v>
      </c>
      <c r="BN28">
        <v>119.85</v>
      </c>
      <c r="BO28">
        <v>119.85</v>
      </c>
      <c r="BP28" t="s">
        <v>229</v>
      </c>
      <c r="BQ28" t="s">
        <v>230</v>
      </c>
      <c r="BR28" t="s">
        <v>231</v>
      </c>
      <c r="BS28" s="3">
        <v>45840</v>
      </c>
      <c r="BT28" s="4">
        <v>0.40972222222222221</v>
      </c>
      <c r="BU28" t="s">
        <v>232</v>
      </c>
      <c r="BV28" t="s">
        <v>98</v>
      </c>
      <c r="BY28">
        <v>12000</v>
      </c>
      <c r="BZ28" t="s">
        <v>89</v>
      </c>
      <c r="CC28" t="s">
        <v>76</v>
      </c>
      <c r="CD28">
        <v>1619</v>
      </c>
      <c r="CE28" t="s">
        <v>233</v>
      </c>
      <c r="CF28" s="3">
        <v>45840</v>
      </c>
      <c r="CI28">
        <v>1</v>
      </c>
      <c r="CJ28">
        <v>1</v>
      </c>
      <c r="CK28">
        <v>21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"080066270268"</f>
        <v>080066270268</v>
      </c>
      <c r="F29" s="3">
        <v>45839</v>
      </c>
      <c r="G29">
        <v>202604</v>
      </c>
      <c r="H29" t="s">
        <v>75</v>
      </c>
      <c r="I29" t="s">
        <v>76</v>
      </c>
      <c r="J29" t="s">
        <v>77</v>
      </c>
      <c r="K29" t="s">
        <v>78</v>
      </c>
      <c r="L29" t="s">
        <v>234</v>
      </c>
      <c r="M29" t="s">
        <v>235</v>
      </c>
      <c r="N29" t="s">
        <v>236</v>
      </c>
      <c r="O29" t="s">
        <v>82</v>
      </c>
      <c r="P29" t="str">
        <f>"4170046407                    "</f>
        <v xml:space="preserve">4170046407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16.32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54.28</v>
      </c>
      <c r="BM29">
        <v>8.14</v>
      </c>
      <c r="BN29">
        <v>62.42</v>
      </c>
      <c r="BO29">
        <v>62.42</v>
      </c>
      <c r="BQ29" t="s">
        <v>237</v>
      </c>
      <c r="BR29" t="s">
        <v>84</v>
      </c>
      <c r="BS29" s="3">
        <v>45840</v>
      </c>
      <c r="BT29" s="4">
        <v>0.42499999999999999</v>
      </c>
      <c r="BU29" t="s">
        <v>238</v>
      </c>
      <c r="BV29" t="s">
        <v>98</v>
      </c>
      <c r="BY29">
        <v>1200</v>
      </c>
      <c r="BZ29" t="s">
        <v>89</v>
      </c>
      <c r="CC29" t="s">
        <v>235</v>
      </c>
      <c r="CD29">
        <v>1682</v>
      </c>
      <c r="CE29" t="s">
        <v>239</v>
      </c>
      <c r="CF29" s="3">
        <v>45841</v>
      </c>
      <c r="CI29">
        <v>1</v>
      </c>
      <c r="CJ29">
        <v>1</v>
      </c>
      <c r="CK29">
        <v>22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"080066270326"</f>
        <v>080066270326</v>
      </c>
      <c r="F30" s="3">
        <v>45839</v>
      </c>
      <c r="G30">
        <v>202604</v>
      </c>
      <c r="H30" t="s">
        <v>75</v>
      </c>
      <c r="I30" t="s">
        <v>76</v>
      </c>
      <c r="J30" t="s">
        <v>77</v>
      </c>
      <c r="K30" t="s">
        <v>78</v>
      </c>
      <c r="L30" t="s">
        <v>240</v>
      </c>
      <c r="M30" t="s">
        <v>241</v>
      </c>
      <c r="N30" t="s">
        <v>242</v>
      </c>
      <c r="O30" t="s">
        <v>82</v>
      </c>
      <c r="P30" t="str">
        <f>"4170046406                    "</f>
        <v xml:space="preserve">4170046406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16.32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54.28</v>
      </c>
      <c r="BM30">
        <v>8.14</v>
      </c>
      <c r="BN30">
        <v>62.42</v>
      </c>
      <c r="BO30">
        <v>62.42</v>
      </c>
      <c r="BQ30" t="s">
        <v>243</v>
      </c>
      <c r="BR30" t="s">
        <v>84</v>
      </c>
      <c r="BS30" s="3">
        <v>45840</v>
      </c>
      <c r="BT30" s="4">
        <v>0.37569444444444444</v>
      </c>
      <c r="BU30" t="s">
        <v>244</v>
      </c>
      <c r="BV30" t="s">
        <v>98</v>
      </c>
      <c r="BY30">
        <v>1200</v>
      </c>
      <c r="BZ30" t="s">
        <v>89</v>
      </c>
      <c r="CA30" t="s">
        <v>245</v>
      </c>
      <c r="CC30" t="s">
        <v>241</v>
      </c>
      <c r="CD30">
        <v>2091</v>
      </c>
      <c r="CE30" t="s">
        <v>214</v>
      </c>
      <c r="CF30" s="3">
        <v>45841</v>
      </c>
      <c r="CI30">
        <v>1</v>
      </c>
      <c r="CJ30">
        <v>1</v>
      </c>
      <c r="CK30">
        <v>22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"080066270455"</f>
        <v>080066270455</v>
      </c>
      <c r="F31" s="3">
        <v>45839</v>
      </c>
      <c r="G31">
        <v>202604</v>
      </c>
      <c r="H31" t="s">
        <v>75</v>
      </c>
      <c r="I31" t="s">
        <v>76</v>
      </c>
      <c r="J31" t="s">
        <v>77</v>
      </c>
      <c r="K31" t="s">
        <v>78</v>
      </c>
      <c r="L31" t="s">
        <v>246</v>
      </c>
      <c r="M31" t="s">
        <v>247</v>
      </c>
      <c r="N31" t="s">
        <v>248</v>
      </c>
      <c r="O31" t="s">
        <v>82</v>
      </c>
      <c r="P31" t="str">
        <f>"4170045901                    "</f>
        <v xml:space="preserve">4170045901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29.39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97.74</v>
      </c>
      <c r="BM31">
        <v>14.66</v>
      </c>
      <c r="BN31">
        <v>112.4</v>
      </c>
      <c r="BO31">
        <v>112.4</v>
      </c>
      <c r="BQ31" t="s">
        <v>249</v>
      </c>
      <c r="BR31" t="s">
        <v>84</v>
      </c>
      <c r="BS31" s="3">
        <v>45840</v>
      </c>
      <c r="BT31" s="4">
        <v>0.40902777777777777</v>
      </c>
      <c r="BU31" t="s">
        <v>250</v>
      </c>
      <c r="BV31" t="s">
        <v>98</v>
      </c>
      <c r="BY31">
        <v>1200</v>
      </c>
      <c r="BZ31" t="s">
        <v>89</v>
      </c>
      <c r="CA31" t="s">
        <v>251</v>
      </c>
      <c r="CC31" t="s">
        <v>247</v>
      </c>
      <c r="CD31">
        <v>1438</v>
      </c>
      <c r="CE31" t="s">
        <v>214</v>
      </c>
      <c r="CF31" s="3">
        <v>45841</v>
      </c>
      <c r="CI31">
        <v>1</v>
      </c>
      <c r="CJ31">
        <v>1</v>
      </c>
      <c r="CK31">
        <v>24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"080066270490"</f>
        <v>080066270490</v>
      </c>
      <c r="F32" s="3">
        <v>45839</v>
      </c>
      <c r="G32">
        <v>202604</v>
      </c>
      <c r="H32" t="s">
        <v>75</v>
      </c>
      <c r="I32" t="s">
        <v>76</v>
      </c>
      <c r="J32" t="s">
        <v>77</v>
      </c>
      <c r="K32" t="s">
        <v>78</v>
      </c>
      <c r="L32" t="s">
        <v>252</v>
      </c>
      <c r="M32" t="s">
        <v>253</v>
      </c>
      <c r="N32" t="s">
        <v>254</v>
      </c>
      <c r="O32" t="s">
        <v>82</v>
      </c>
      <c r="P32" t="str">
        <f>"4170046378                    "</f>
        <v xml:space="preserve">4170046378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40.49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134.65</v>
      </c>
      <c r="BM32">
        <v>20.2</v>
      </c>
      <c r="BN32">
        <v>154.85</v>
      </c>
      <c r="BO32">
        <v>154.85</v>
      </c>
      <c r="BQ32" t="s">
        <v>255</v>
      </c>
      <c r="BR32" t="s">
        <v>84</v>
      </c>
      <c r="BS32" s="3">
        <v>45840</v>
      </c>
      <c r="BT32" s="4">
        <v>0.33680555555555558</v>
      </c>
      <c r="BU32" t="s">
        <v>256</v>
      </c>
      <c r="BV32" t="s">
        <v>98</v>
      </c>
      <c r="BY32">
        <v>1200</v>
      </c>
      <c r="BZ32" t="s">
        <v>89</v>
      </c>
      <c r="CC32" t="s">
        <v>253</v>
      </c>
      <c r="CD32">
        <v>1947</v>
      </c>
      <c r="CE32" t="s">
        <v>239</v>
      </c>
      <c r="CF32" s="3">
        <v>45840</v>
      </c>
      <c r="CI32">
        <v>1</v>
      </c>
      <c r="CJ32">
        <v>1</v>
      </c>
      <c r="CK32">
        <v>23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"080066270545"</f>
        <v>080066270545</v>
      </c>
      <c r="F33" s="3">
        <v>45839</v>
      </c>
      <c r="G33">
        <v>202604</v>
      </c>
      <c r="H33" t="s">
        <v>75</v>
      </c>
      <c r="I33" t="s">
        <v>76</v>
      </c>
      <c r="J33" t="s">
        <v>77</v>
      </c>
      <c r="K33" t="s">
        <v>78</v>
      </c>
      <c r="L33" t="s">
        <v>151</v>
      </c>
      <c r="M33" t="s">
        <v>152</v>
      </c>
      <c r="N33" t="s">
        <v>153</v>
      </c>
      <c r="O33" t="s">
        <v>82</v>
      </c>
      <c r="P33" t="str">
        <f>"4170046403                    "</f>
        <v xml:space="preserve">4170046403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20.9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69.5</v>
      </c>
      <c r="BM33">
        <v>10.43</v>
      </c>
      <c r="BN33">
        <v>79.930000000000007</v>
      </c>
      <c r="BO33">
        <v>79.930000000000007</v>
      </c>
      <c r="BQ33" t="s">
        <v>154</v>
      </c>
      <c r="BR33" t="s">
        <v>84</v>
      </c>
      <c r="BS33" s="3">
        <v>45840</v>
      </c>
      <c r="BT33" s="4">
        <v>0.37083333333333335</v>
      </c>
      <c r="BU33" t="s">
        <v>257</v>
      </c>
      <c r="BV33" t="s">
        <v>98</v>
      </c>
      <c r="BY33">
        <v>1200</v>
      </c>
      <c r="BZ33" t="s">
        <v>89</v>
      </c>
      <c r="CA33" t="s">
        <v>156</v>
      </c>
      <c r="CC33" t="s">
        <v>152</v>
      </c>
      <c r="CD33" s="5" t="s">
        <v>157</v>
      </c>
      <c r="CE33" t="s">
        <v>258</v>
      </c>
      <c r="CF33" s="3">
        <v>45840</v>
      </c>
      <c r="CI33">
        <v>1</v>
      </c>
      <c r="CJ33">
        <v>1</v>
      </c>
      <c r="CK33">
        <v>21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"080066270599"</f>
        <v>080066270599</v>
      </c>
      <c r="F34" s="3">
        <v>45839</v>
      </c>
      <c r="G34">
        <v>202604</v>
      </c>
      <c r="H34" t="s">
        <v>75</v>
      </c>
      <c r="I34" t="s">
        <v>76</v>
      </c>
      <c r="J34" t="s">
        <v>77</v>
      </c>
      <c r="K34" t="s">
        <v>78</v>
      </c>
      <c r="L34" t="s">
        <v>221</v>
      </c>
      <c r="M34" t="s">
        <v>222</v>
      </c>
      <c r="N34" t="s">
        <v>223</v>
      </c>
      <c r="O34" t="s">
        <v>82</v>
      </c>
      <c r="P34" t="str">
        <f>"4170046401                    "</f>
        <v xml:space="preserve">4170046401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40.49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134.65</v>
      </c>
      <c r="BM34">
        <v>20.2</v>
      </c>
      <c r="BN34">
        <v>154.85</v>
      </c>
      <c r="BO34">
        <v>154.85</v>
      </c>
      <c r="BQ34" t="s">
        <v>224</v>
      </c>
      <c r="BR34" t="s">
        <v>84</v>
      </c>
      <c r="BS34" s="3">
        <v>45840</v>
      </c>
      <c r="BT34" s="4">
        <v>0.35416666666666669</v>
      </c>
      <c r="BU34" t="s">
        <v>225</v>
      </c>
      <c r="BV34" t="s">
        <v>98</v>
      </c>
      <c r="BY34">
        <v>1200</v>
      </c>
      <c r="BZ34" t="s">
        <v>89</v>
      </c>
      <c r="CC34" t="s">
        <v>222</v>
      </c>
      <c r="CD34">
        <v>2740</v>
      </c>
      <c r="CE34" t="s">
        <v>258</v>
      </c>
      <c r="CF34" s="3">
        <v>45841</v>
      </c>
      <c r="CI34">
        <v>1</v>
      </c>
      <c r="CJ34">
        <v>1</v>
      </c>
      <c r="CK34">
        <v>23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"080066270655"</f>
        <v>080066270655</v>
      </c>
      <c r="F35" s="3">
        <v>45839</v>
      </c>
      <c r="G35">
        <v>202604</v>
      </c>
      <c r="H35" t="s">
        <v>75</v>
      </c>
      <c r="I35" t="s">
        <v>76</v>
      </c>
      <c r="J35" t="s">
        <v>77</v>
      </c>
      <c r="K35" t="s">
        <v>78</v>
      </c>
      <c r="L35" t="s">
        <v>252</v>
      </c>
      <c r="M35" t="s">
        <v>253</v>
      </c>
      <c r="N35" t="s">
        <v>254</v>
      </c>
      <c r="O35" t="s">
        <v>82</v>
      </c>
      <c r="P35" t="str">
        <f>"4170046377                    "</f>
        <v xml:space="preserve">4170046377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40.49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0.6</v>
      </c>
      <c r="BK35">
        <v>2</v>
      </c>
      <c r="BL35">
        <v>134.65</v>
      </c>
      <c r="BM35">
        <v>20.2</v>
      </c>
      <c r="BN35">
        <v>154.85</v>
      </c>
      <c r="BO35">
        <v>154.85</v>
      </c>
      <c r="BQ35" t="s">
        <v>255</v>
      </c>
      <c r="BR35" t="s">
        <v>84</v>
      </c>
      <c r="BS35" s="3">
        <v>45840</v>
      </c>
      <c r="BT35" s="4">
        <v>0.33680555555555558</v>
      </c>
      <c r="BU35" t="s">
        <v>256</v>
      </c>
      <c r="BV35" t="s">
        <v>98</v>
      </c>
      <c r="BY35">
        <v>3192</v>
      </c>
      <c r="BZ35" t="s">
        <v>89</v>
      </c>
      <c r="CC35" t="s">
        <v>253</v>
      </c>
      <c r="CD35">
        <v>1947</v>
      </c>
      <c r="CE35" t="s">
        <v>259</v>
      </c>
      <c r="CF35" s="3">
        <v>45840</v>
      </c>
      <c r="CI35">
        <v>1</v>
      </c>
      <c r="CJ35">
        <v>1</v>
      </c>
      <c r="CK35">
        <v>23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"080066270756"</f>
        <v>080066270756</v>
      </c>
      <c r="F36" s="3">
        <v>45839</v>
      </c>
      <c r="G36">
        <v>202604</v>
      </c>
      <c r="H36" t="s">
        <v>75</v>
      </c>
      <c r="I36" t="s">
        <v>76</v>
      </c>
      <c r="J36" t="s">
        <v>77</v>
      </c>
      <c r="K36" t="s">
        <v>78</v>
      </c>
      <c r="L36" t="s">
        <v>260</v>
      </c>
      <c r="M36" t="s">
        <v>261</v>
      </c>
      <c r="N36" t="s">
        <v>262</v>
      </c>
      <c r="O36" t="s">
        <v>82</v>
      </c>
      <c r="P36" t="str">
        <f>"4170046382                    "</f>
        <v xml:space="preserve">4170046382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40.49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1.1000000000000001</v>
      </c>
      <c r="BK36">
        <v>1.5</v>
      </c>
      <c r="BL36">
        <v>134.65</v>
      </c>
      <c r="BM36">
        <v>20.2</v>
      </c>
      <c r="BN36">
        <v>154.85</v>
      </c>
      <c r="BO36">
        <v>154.85</v>
      </c>
      <c r="BQ36" t="s">
        <v>263</v>
      </c>
      <c r="BR36" t="s">
        <v>84</v>
      </c>
      <c r="BS36" s="3">
        <v>45840</v>
      </c>
      <c r="BT36" s="4">
        <v>0.39027777777777778</v>
      </c>
      <c r="BU36" t="s">
        <v>264</v>
      </c>
      <c r="BV36" t="s">
        <v>98</v>
      </c>
      <c r="BY36">
        <v>5320</v>
      </c>
      <c r="BZ36" t="s">
        <v>89</v>
      </c>
      <c r="CA36" t="s">
        <v>265</v>
      </c>
      <c r="CC36" t="s">
        <v>261</v>
      </c>
      <c r="CD36">
        <v>1939</v>
      </c>
      <c r="CE36" t="s">
        <v>266</v>
      </c>
      <c r="CF36" s="3">
        <v>45841</v>
      </c>
      <c r="CI36">
        <v>1</v>
      </c>
      <c r="CJ36">
        <v>1</v>
      </c>
      <c r="CK36">
        <v>23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"080066270819"</f>
        <v>080066270819</v>
      </c>
      <c r="F37" s="3">
        <v>45839</v>
      </c>
      <c r="G37">
        <v>202604</v>
      </c>
      <c r="H37" t="s">
        <v>75</v>
      </c>
      <c r="I37" t="s">
        <v>76</v>
      </c>
      <c r="J37" t="s">
        <v>77</v>
      </c>
      <c r="K37" t="s">
        <v>78</v>
      </c>
      <c r="L37" t="s">
        <v>122</v>
      </c>
      <c r="M37" t="s">
        <v>123</v>
      </c>
      <c r="N37" t="s">
        <v>267</v>
      </c>
      <c r="O37" t="s">
        <v>95</v>
      </c>
      <c r="P37" t="str">
        <f>"4170046371                    "</f>
        <v xml:space="preserve">4170046371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40.409999999999997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1.3</v>
      </c>
      <c r="BK37">
        <v>3</v>
      </c>
      <c r="BL37">
        <v>140.26</v>
      </c>
      <c r="BM37">
        <v>21.04</v>
      </c>
      <c r="BN37">
        <v>161.30000000000001</v>
      </c>
      <c r="BO37">
        <v>161.30000000000001</v>
      </c>
      <c r="BQ37" t="s">
        <v>268</v>
      </c>
      <c r="BR37" t="s">
        <v>84</v>
      </c>
      <c r="BS37" s="3">
        <v>45840</v>
      </c>
      <c r="BT37" s="4">
        <v>0.37361111111111112</v>
      </c>
      <c r="BU37" t="s">
        <v>269</v>
      </c>
      <c r="BV37" t="s">
        <v>98</v>
      </c>
      <c r="BY37">
        <v>6555</v>
      </c>
      <c r="BZ37" t="s">
        <v>99</v>
      </c>
      <c r="CA37" t="s">
        <v>270</v>
      </c>
      <c r="CC37" t="s">
        <v>123</v>
      </c>
      <c r="CD37">
        <v>3610</v>
      </c>
      <c r="CE37" t="s">
        <v>271</v>
      </c>
      <c r="CF37" s="3">
        <v>45841</v>
      </c>
      <c r="CI37">
        <v>1</v>
      </c>
      <c r="CJ37">
        <v>1</v>
      </c>
      <c r="CK37">
        <v>41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"080066271944"</f>
        <v>080066271944</v>
      </c>
      <c r="F38" s="3">
        <v>45839</v>
      </c>
      <c r="G38">
        <v>202604</v>
      </c>
      <c r="H38" t="s">
        <v>75</v>
      </c>
      <c r="I38" t="s">
        <v>76</v>
      </c>
      <c r="J38" t="s">
        <v>77</v>
      </c>
      <c r="K38" t="s">
        <v>78</v>
      </c>
      <c r="L38" t="s">
        <v>151</v>
      </c>
      <c r="M38" t="s">
        <v>152</v>
      </c>
      <c r="N38" t="s">
        <v>272</v>
      </c>
      <c r="O38" t="s">
        <v>82</v>
      </c>
      <c r="P38" t="str">
        <f>"4170046397                    "</f>
        <v xml:space="preserve">4170046397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20.9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69.5</v>
      </c>
      <c r="BM38">
        <v>10.43</v>
      </c>
      <c r="BN38">
        <v>79.930000000000007</v>
      </c>
      <c r="BO38">
        <v>79.930000000000007</v>
      </c>
      <c r="BQ38" t="s">
        <v>273</v>
      </c>
      <c r="BR38" t="s">
        <v>84</v>
      </c>
      <c r="BS38" s="3">
        <v>45840</v>
      </c>
      <c r="BT38" s="4">
        <v>0.41388888888888886</v>
      </c>
      <c r="BU38" t="s">
        <v>274</v>
      </c>
      <c r="BV38" t="s">
        <v>98</v>
      </c>
      <c r="BY38">
        <v>1200</v>
      </c>
      <c r="BZ38" t="s">
        <v>89</v>
      </c>
      <c r="CA38" t="s">
        <v>275</v>
      </c>
      <c r="CC38" t="s">
        <v>152</v>
      </c>
      <c r="CD38" s="5" t="s">
        <v>276</v>
      </c>
      <c r="CE38" t="s">
        <v>239</v>
      </c>
      <c r="CF38" s="3">
        <v>45840</v>
      </c>
      <c r="CI38">
        <v>1</v>
      </c>
      <c r="CJ38">
        <v>1</v>
      </c>
      <c r="CK38">
        <v>21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"080066271992"</f>
        <v>080066271992</v>
      </c>
      <c r="F39" s="3">
        <v>45839</v>
      </c>
      <c r="G39">
        <v>202604</v>
      </c>
      <c r="H39" t="s">
        <v>75</v>
      </c>
      <c r="I39" t="s">
        <v>76</v>
      </c>
      <c r="J39" t="s">
        <v>77</v>
      </c>
      <c r="K39" t="s">
        <v>78</v>
      </c>
      <c r="L39" t="s">
        <v>277</v>
      </c>
      <c r="M39" t="s">
        <v>278</v>
      </c>
      <c r="N39" t="s">
        <v>279</v>
      </c>
      <c r="O39" t="s">
        <v>82</v>
      </c>
      <c r="P39" t="str">
        <f>"4170046416                    "</f>
        <v xml:space="preserve">4170046416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20.9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69.5</v>
      </c>
      <c r="BM39">
        <v>10.43</v>
      </c>
      <c r="BN39">
        <v>79.930000000000007</v>
      </c>
      <c r="BO39">
        <v>79.930000000000007</v>
      </c>
      <c r="BQ39" t="s">
        <v>280</v>
      </c>
      <c r="BR39" t="s">
        <v>84</v>
      </c>
      <c r="BS39" s="3">
        <v>45840</v>
      </c>
      <c r="BT39" s="4">
        <v>0.33333333333333331</v>
      </c>
      <c r="BU39" t="s">
        <v>281</v>
      </c>
      <c r="BV39" t="s">
        <v>98</v>
      </c>
      <c r="BY39">
        <v>1200</v>
      </c>
      <c r="BZ39" t="s">
        <v>89</v>
      </c>
      <c r="CA39" t="s">
        <v>282</v>
      </c>
      <c r="CC39" t="s">
        <v>278</v>
      </c>
      <c r="CD39">
        <v>6230</v>
      </c>
      <c r="CE39" t="s">
        <v>214</v>
      </c>
      <c r="CF39" s="3">
        <v>45840</v>
      </c>
      <c r="CI39">
        <v>1</v>
      </c>
      <c r="CJ39">
        <v>1</v>
      </c>
      <c r="CK39">
        <v>21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"080066272052"</f>
        <v>080066272052</v>
      </c>
      <c r="F40" s="3">
        <v>45839</v>
      </c>
      <c r="G40">
        <v>202604</v>
      </c>
      <c r="H40" t="s">
        <v>75</v>
      </c>
      <c r="I40" t="s">
        <v>76</v>
      </c>
      <c r="J40" t="s">
        <v>77</v>
      </c>
      <c r="K40" t="s">
        <v>78</v>
      </c>
      <c r="L40" t="s">
        <v>122</v>
      </c>
      <c r="M40" t="s">
        <v>123</v>
      </c>
      <c r="N40" t="s">
        <v>283</v>
      </c>
      <c r="O40" t="s">
        <v>82</v>
      </c>
      <c r="P40" t="str">
        <f>"4170046404                    "</f>
        <v xml:space="preserve">4170046404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20.9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69.5</v>
      </c>
      <c r="BM40">
        <v>10.43</v>
      </c>
      <c r="BN40">
        <v>79.930000000000007</v>
      </c>
      <c r="BO40">
        <v>79.930000000000007</v>
      </c>
      <c r="BQ40" t="s">
        <v>284</v>
      </c>
      <c r="BR40" t="s">
        <v>84</v>
      </c>
      <c r="BS40" s="3">
        <v>45840</v>
      </c>
      <c r="BT40" s="4">
        <v>0.42291666666666666</v>
      </c>
      <c r="BU40" t="s">
        <v>285</v>
      </c>
      <c r="BV40" t="s">
        <v>98</v>
      </c>
      <c r="BY40">
        <v>1200</v>
      </c>
      <c r="BZ40" t="s">
        <v>89</v>
      </c>
      <c r="CA40" t="s">
        <v>187</v>
      </c>
      <c r="CC40" t="s">
        <v>123</v>
      </c>
      <c r="CD40">
        <v>3608</v>
      </c>
      <c r="CE40" t="s">
        <v>214</v>
      </c>
      <c r="CF40" s="3">
        <v>45840</v>
      </c>
      <c r="CI40">
        <v>1</v>
      </c>
      <c r="CJ40">
        <v>1</v>
      </c>
      <c r="CK40">
        <v>21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"080066272083"</f>
        <v>080066272083</v>
      </c>
      <c r="F41" s="3">
        <v>45839</v>
      </c>
      <c r="G41">
        <v>202604</v>
      </c>
      <c r="H41" t="s">
        <v>75</v>
      </c>
      <c r="I41" t="s">
        <v>76</v>
      </c>
      <c r="J41" t="s">
        <v>77</v>
      </c>
      <c r="K41" t="s">
        <v>78</v>
      </c>
      <c r="L41" t="s">
        <v>79</v>
      </c>
      <c r="M41" t="s">
        <v>80</v>
      </c>
      <c r="N41" t="s">
        <v>286</v>
      </c>
      <c r="O41" t="s">
        <v>82</v>
      </c>
      <c r="P41" t="str">
        <f>"4170046417                    "</f>
        <v xml:space="preserve">4170046417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20.9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69.5</v>
      </c>
      <c r="BM41">
        <v>10.43</v>
      </c>
      <c r="BN41">
        <v>79.930000000000007</v>
      </c>
      <c r="BO41">
        <v>79.930000000000007</v>
      </c>
      <c r="BQ41" t="s">
        <v>287</v>
      </c>
      <c r="BR41" t="s">
        <v>84</v>
      </c>
      <c r="BS41" s="3">
        <v>45840</v>
      </c>
      <c r="BT41" s="4">
        <v>0.3298611111111111</v>
      </c>
      <c r="BU41" t="s">
        <v>288</v>
      </c>
      <c r="BV41" t="s">
        <v>98</v>
      </c>
      <c r="BY41">
        <v>1200</v>
      </c>
      <c r="BZ41" t="s">
        <v>89</v>
      </c>
      <c r="CA41" t="s">
        <v>289</v>
      </c>
      <c r="CC41" t="s">
        <v>80</v>
      </c>
      <c r="CD41">
        <v>7530</v>
      </c>
      <c r="CE41" t="s">
        <v>239</v>
      </c>
      <c r="CF41" s="3">
        <v>45841</v>
      </c>
      <c r="CI41">
        <v>1</v>
      </c>
      <c r="CJ41">
        <v>1</v>
      </c>
      <c r="CK41">
        <v>21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"080066272124"</f>
        <v>080066272124</v>
      </c>
      <c r="F42" s="3">
        <v>45839</v>
      </c>
      <c r="G42">
        <v>202604</v>
      </c>
      <c r="H42" t="s">
        <v>75</v>
      </c>
      <c r="I42" t="s">
        <v>76</v>
      </c>
      <c r="J42" t="s">
        <v>77</v>
      </c>
      <c r="K42" t="s">
        <v>78</v>
      </c>
      <c r="L42" t="s">
        <v>168</v>
      </c>
      <c r="M42" t="s">
        <v>169</v>
      </c>
      <c r="N42" t="s">
        <v>206</v>
      </c>
      <c r="O42" t="s">
        <v>82</v>
      </c>
      <c r="P42" t="str">
        <f>"4170046421                    "</f>
        <v xml:space="preserve">4170046421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20.9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69.5</v>
      </c>
      <c r="BM42">
        <v>10.43</v>
      </c>
      <c r="BN42">
        <v>79.930000000000007</v>
      </c>
      <c r="BO42">
        <v>79.930000000000007</v>
      </c>
      <c r="BQ42" t="s">
        <v>207</v>
      </c>
      <c r="BR42" t="s">
        <v>84</v>
      </c>
      <c r="BS42" s="3">
        <v>45840</v>
      </c>
      <c r="BT42" s="4">
        <v>0.40347222222222223</v>
      </c>
      <c r="BU42" t="s">
        <v>290</v>
      </c>
      <c r="BV42" t="s">
        <v>98</v>
      </c>
      <c r="BY42">
        <v>1200</v>
      </c>
      <c r="BZ42" t="s">
        <v>89</v>
      </c>
      <c r="CA42" t="s">
        <v>196</v>
      </c>
      <c r="CC42" t="s">
        <v>169</v>
      </c>
      <c r="CD42">
        <v>6001</v>
      </c>
      <c r="CE42" t="s">
        <v>214</v>
      </c>
      <c r="CF42" s="3">
        <v>45840</v>
      </c>
      <c r="CI42">
        <v>1</v>
      </c>
      <c r="CJ42">
        <v>1</v>
      </c>
      <c r="CK42">
        <v>21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"080066272174"</f>
        <v>080066272174</v>
      </c>
      <c r="F43" s="3">
        <v>45839</v>
      </c>
      <c r="G43">
        <v>202604</v>
      </c>
      <c r="H43" t="s">
        <v>75</v>
      </c>
      <c r="I43" t="s">
        <v>76</v>
      </c>
      <c r="J43" t="s">
        <v>77</v>
      </c>
      <c r="K43" t="s">
        <v>78</v>
      </c>
      <c r="L43" t="s">
        <v>92</v>
      </c>
      <c r="M43" t="s">
        <v>93</v>
      </c>
      <c r="N43" t="s">
        <v>291</v>
      </c>
      <c r="O43" t="s">
        <v>82</v>
      </c>
      <c r="P43" t="str">
        <f>"4170046388                    "</f>
        <v xml:space="preserve">4170046388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20.9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1.1000000000000001</v>
      </c>
      <c r="BK43">
        <v>1.5</v>
      </c>
      <c r="BL43">
        <v>69.5</v>
      </c>
      <c r="BM43">
        <v>10.43</v>
      </c>
      <c r="BN43">
        <v>79.930000000000007</v>
      </c>
      <c r="BO43">
        <v>79.930000000000007</v>
      </c>
      <c r="BQ43" t="s">
        <v>292</v>
      </c>
      <c r="BR43" t="s">
        <v>84</v>
      </c>
      <c r="BS43" s="3">
        <v>45840</v>
      </c>
      <c r="BT43" s="4">
        <v>0.33263888888888887</v>
      </c>
      <c r="BU43" t="s">
        <v>293</v>
      </c>
      <c r="BV43" t="s">
        <v>98</v>
      </c>
      <c r="BY43">
        <v>5320</v>
      </c>
      <c r="BZ43" t="s">
        <v>89</v>
      </c>
      <c r="CA43" t="s">
        <v>294</v>
      </c>
      <c r="CC43" t="s">
        <v>93</v>
      </c>
      <c r="CD43">
        <v>4051</v>
      </c>
      <c r="CE43" t="s">
        <v>266</v>
      </c>
      <c r="CF43" s="3">
        <v>45840</v>
      </c>
      <c r="CI43">
        <v>1</v>
      </c>
      <c r="CJ43">
        <v>1</v>
      </c>
      <c r="CK43">
        <v>21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"080066272232"</f>
        <v>080066272232</v>
      </c>
      <c r="F44" s="3">
        <v>45839</v>
      </c>
      <c r="G44">
        <v>202604</v>
      </c>
      <c r="H44" t="s">
        <v>75</v>
      </c>
      <c r="I44" t="s">
        <v>76</v>
      </c>
      <c r="J44" t="s">
        <v>77</v>
      </c>
      <c r="K44" t="s">
        <v>78</v>
      </c>
      <c r="L44" t="s">
        <v>295</v>
      </c>
      <c r="M44" t="s">
        <v>296</v>
      </c>
      <c r="N44" t="s">
        <v>297</v>
      </c>
      <c r="O44" t="s">
        <v>82</v>
      </c>
      <c r="P44" t="str">
        <f>"4170046381                    "</f>
        <v xml:space="preserve">4170046381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16.32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</v>
      </c>
      <c r="BJ44">
        <v>0.6</v>
      </c>
      <c r="BK44">
        <v>2</v>
      </c>
      <c r="BL44">
        <v>54.28</v>
      </c>
      <c r="BM44">
        <v>8.14</v>
      </c>
      <c r="BN44">
        <v>62.42</v>
      </c>
      <c r="BO44">
        <v>62.42</v>
      </c>
      <c r="BQ44" t="s">
        <v>298</v>
      </c>
      <c r="BR44" t="s">
        <v>84</v>
      </c>
      <c r="BS44" s="3">
        <v>45840</v>
      </c>
      <c r="BT44" s="4">
        <v>0.37430555555555556</v>
      </c>
      <c r="BU44" t="s">
        <v>299</v>
      </c>
      <c r="BV44" t="s">
        <v>98</v>
      </c>
      <c r="BY44">
        <v>3192</v>
      </c>
      <c r="BZ44" t="s">
        <v>89</v>
      </c>
      <c r="CA44" t="s">
        <v>300</v>
      </c>
      <c r="CC44" t="s">
        <v>296</v>
      </c>
      <c r="CD44">
        <v>1459</v>
      </c>
      <c r="CE44" t="s">
        <v>266</v>
      </c>
      <c r="CF44" s="3">
        <v>45840</v>
      </c>
      <c r="CI44">
        <v>1</v>
      </c>
      <c r="CJ44">
        <v>1</v>
      </c>
      <c r="CK44">
        <v>22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"080066272292"</f>
        <v>080066272292</v>
      </c>
      <c r="F45" s="3">
        <v>45839</v>
      </c>
      <c r="G45">
        <v>202604</v>
      </c>
      <c r="H45" t="s">
        <v>75</v>
      </c>
      <c r="I45" t="s">
        <v>76</v>
      </c>
      <c r="J45" t="s">
        <v>77</v>
      </c>
      <c r="K45" t="s">
        <v>78</v>
      </c>
      <c r="L45" t="s">
        <v>75</v>
      </c>
      <c r="M45" t="s">
        <v>76</v>
      </c>
      <c r="N45" t="s">
        <v>301</v>
      </c>
      <c r="O45" t="s">
        <v>82</v>
      </c>
      <c r="P45" t="str">
        <f>"4170045921                    "</f>
        <v xml:space="preserve">4170045921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20.239999999999998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6</v>
      </c>
      <c r="BJ45">
        <v>9.1999999999999993</v>
      </c>
      <c r="BK45">
        <v>10</v>
      </c>
      <c r="BL45">
        <v>67.3</v>
      </c>
      <c r="BM45">
        <v>10.1</v>
      </c>
      <c r="BN45">
        <v>77.400000000000006</v>
      </c>
      <c r="BO45">
        <v>77.400000000000006</v>
      </c>
      <c r="BQ45" t="s">
        <v>302</v>
      </c>
      <c r="BR45" t="s">
        <v>84</v>
      </c>
      <c r="BS45" s="3">
        <v>45840</v>
      </c>
      <c r="BT45" s="4">
        <v>0.3888888888888889</v>
      </c>
      <c r="BU45" t="s">
        <v>303</v>
      </c>
      <c r="BV45" t="s">
        <v>98</v>
      </c>
      <c r="BY45">
        <v>46080</v>
      </c>
      <c r="BZ45" t="s">
        <v>89</v>
      </c>
      <c r="CA45" t="s">
        <v>304</v>
      </c>
      <c r="CC45" t="s">
        <v>76</v>
      </c>
      <c r="CD45">
        <v>1600</v>
      </c>
      <c r="CE45" t="s">
        <v>91</v>
      </c>
      <c r="CF45" s="3">
        <v>45840</v>
      </c>
      <c r="CI45">
        <v>1</v>
      </c>
      <c r="CJ45">
        <v>1</v>
      </c>
      <c r="CK45">
        <v>22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"080066272358"</f>
        <v>080066272358</v>
      </c>
      <c r="F46" s="3">
        <v>45839</v>
      </c>
      <c r="G46">
        <v>202604</v>
      </c>
      <c r="H46" t="s">
        <v>75</v>
      </c>
      <c r="I46" t="s">
        <v>76</v>
      </c>
      <c r="J46" t="s">
        <v>77</v>
      </c>
      <c r="K46" t="s">
        <v>78</v>
      </c>
      <c r="L46" t="s">
        <v>305</v>
      </c>
      <c r="M46" t="s">
        <v>306</v>
      </c>
      <c r="N46" t="s">
        <v>307</v>
      </c>
      <c r="O46" t="s">
        <v>95</v>
      </c>
      <c r="P46" t="str">
        <f>"4170046400                    "</f>
        <v xml:space="preserve">4170046400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68.77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16</v>
      </c>
      <c r="BJ46">
        <v>31.5</v>
      </c>
      <c r="BK46">
        <v>32</v>
      </c>
      <c r="BL46">
        <v>234.58</v>
      </c>
      <c r="BM46">
        <v>35.19</v>
      </c>
      <c r="BN46">
        <v>269.77</v>
      </c>
      <c r="BO46">
        <v>269.77</v>
      </c>
      <c r="BQ46" t="s">
        <v>308</v>
      </c>
      <c r="BR46" t="s">
        <v>84</v>
      </c>
      <c r="BS46" s="3">
        <v>45841</v>
      </c>
      <c r="BT46" s="4">
        <v>0.43611111111111112</v>
      </c>
      <c r="BU46" t="s">
        <v>309</v>
      </c>
      <c r="BV46" t="s">
        <v>98</v>
      </c>
      <c r="BY46">
        <v>157320</v>
      </c>
      <c r="BZ46" t="s">
        <v>99</v>
      </c>
      <c r="CA46" t="s">
        <v>310</v>
      </c>
      <c r="CC46" t="s">
        <v>306</v>
      </c>
      <c r="CD46">
        <v>5201</v>
      </c>
      <c r="CE46" t="s">
        <v>117</v>
      </c>
      <c r="CF46" s="3">
        <v>45842</v>
      </c>
      <c r="CI46">
        <v>3</v>
      </c>
      <c r="CJ46">
        <v>2</v>
      </c>
      <c r="CK46">
        <v>41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"080066272403"</f>
        <v>080066272403</v>
      </c>
      <c r="F47" s="3">
        <v>45839</v>
      </c>
      <c r="G47">
        <v>202604</v>
      </c>
      <c r="H47" t="s">
        <v>75</v>
      </c>
      <c r="I47" t="s">
        <v>76</v>
      </c>
      <c r="J47" t="s">
        <v>77</v>
      </c>
      <c r="K47" t="s">
        <v>78</v>
      </c>
      <c r="L47" t="s">
        <v>75</v>
      </c>
      <c r="M47" t="s">
        <v>76</v>
      </c>
      <c r="N47" t="s">
        <v>301</v>
      </c>
      <c r="O47" t="s">
        <v>311</v>
      </c>
      <c r="P47" t="str">
        <f>"4170046375                    "</f>
        <v xml:space="preserve">4170046375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18.16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5</v>
      </c>
      <c r="BJ47">
        <v>8.6999999999999993</v>
      </c>
      <c r="BK47">
        <v>9</v>
      </c>
      <c r="BL47">
        <v>60.39</v>
      </c>
      <c r="BM47">
        <v>9.06</v>
      </c>
      <c r="BN47">
        <v>69.45</v>
      </c>
      <c r="BO47">
        <v>69.45</v>
      </c>
      <c r="BQ47" t="s">
        <v>302</v>
      </c>
      <c r="BR47" t="s">
        <v>84</v>
      </c>
      <c r="BS47" s="3">
        <v>45840</v>
      </c>
      <c r="BT47" s="4">
        <v>0.3888888888888889</v>
      </c>
      <c r="BU47" t="s">
        <v>303</v>
      </c>
      <c r="BV47" t="s">
        <v>98</v>
      </c>
      <c r="BY47">
        <v>43264</v>
      </c>
      <c r="BZ47" t="s">
        <v>99</v>
      </c>
      <c r="CA47" t="s">
        <v>304</v>
      </c>
      <c r="CC47" t="s">
        <v>76</v>
      </c>
      <c r="CD47">
        <v>1600</v>
      </c>
      <c r="CE47" t="s">
        <v>91</v>
      </c>
      <c r="CF47" s="3">
        <v>45840</v>
      </c>
      <c r="CI47">
        <v>1</v>
      </c>
      <c r="CJ47">
        <v>1</v>
      </c>
      <c r="CK47">
        <v>32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"080066272447"</f>
        <v>080066272447</v>
      </c>
      <c r="F48" s="3">
        <v>45839</v>
      </c>
      <c r="G48">
        <v>202604</v>
      </c>
      <c r="H48" t="s">
        <v>75</v>
      </c>
      <c r="I48" t="s">
        <v>76</v>
      </c>
      <c r="J48" t="s">
        <v>77</v>
      </c>
      <c r="K48" t="s">
        <v>78</v>
      </c>
      <c r="L48" t="s">
        <v>79</v>
      </c>
      <c r="M48" t="s">
        <v>80</v>
      </c>
      <c r="N48" t="s">
        <v>286</v>
      </c>
      <c r="O48" t="s">
        <v>82</v>
      </c>
      <c r="P48" t="str">
        <f>"4170046418                    "</f>
        <v xml:space="preserve">4170046418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93.98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7</v>
      </c>
      <c r="BJ48">
        <v>8.6999999999999993</v>
      </c>
      <c r="BK48">
        <v>9</v>
      </c>
      <c r="BL48">
        <v>312.54000000000002</v>
      </c>
      <c r="BM48">
        <v>46.88</v>
      </c>
      <c r="BN48">
        <v>359.42</v>
      </c>
      <c r="BO48">
        <v>359.42</v>
      </c>
      <c r="BQ48" t="s">
        <v>287</v>
      </c>
      <c r="BR48" t="s">
        <v>84</v>
      </c>
      <c r="BS48" s="3">
        <v>45840</v>
      </c>
      <c r="BT48" s="4">
        <v>0.3298611111111111</v>
      </c>
      <c r="BU48" t="s">
        <v>288</v>
      </c>
      <c r="BV48" t="s">
        <v>98</v>
      </c>
      <c r="BY48">
        <v>43264</v>
      </c>
      <c r="BZ48" t="s">
        <v>89</v>
      </c>
      <c r="CA48" t="s">
        <v>289</v>
      </c>
      <c r="CC48" t="s">
        <v>80</v>
      </c>
      <c r="CD48">
        <v>7530</v>
      </c>
      <c r="CE48" t="s">
        <v>91</v>
      </c>
      <c r="CF48" s="3">
        <v>45841</v>
      </c>
      <c r="CI48">
        <v>1</v>
      </c>
      <c r="CJ48">
        <v>1</v>
      </c>
      <c r="CK48">
        <v>21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"080066273104"</f>
        <v>080066273104</v>
      </c>
      <c r="F49" s="3">
        <v>45839</v>
      </c>
      <c r="G49">
        <v>202604</v>
      </c>
      <c r="H49" t="s">
        <v>75</v>
      </c>
      <c r="I49" t="s">
        <v>76</v>
      </c>
      <c r="J49" t="s">
        <v>77</v>
      </c>
      <c r="K49" t="s">
        <v>78</v>
      </c>
      <c r="L49" t="s">
        <v>79</v>
      </c>
      <c r="M49" t="s">
        <v>80</v>
      </c>
      <c r="N49" t="s">
        <v>312</v>
      </c>
      <c r="O49" t="s">
        <v>82</v>
      </c>
      <c r="P49" t="str">
        <f>"4170046386                    "</f>
        <v xml:space="preserve">4170046386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31.34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3</v>
      </c>
      <c r="BJ49">
        <v>1.7</v>
      </c>
      <c r="BK49">
        <v>3</v>
      </c>
      <c r="BL49">
        <v>104.22</v>
      </c>
      <c r="BM49">
        <v>15.63</v>
      </c>
      <c r="BN49">
        <v>119.85</v>
      </c>
      <c r="BO49">
        <v>119.85</v>
      </c>
      <c r="BQ49" t="s">
        <v>313</v>
      </c>
      <c r="BR49" t="s">
        <v>84</v>
      </c>
      <c r="BS49" s="3">
        <v>45840</v>
      </c>
      <c r="BT49" s="4">
        <v>0.40833333333333333</v>
      </c>
      <c r="BU49" t="s">
        <v>314</v>
      </c>
      <c r="BV49" t="s">
        <v>98</v>
      </c>
      <c r="BY49">
        <v>8512</v>
      </c>
      <c r="BZ49" t="s">
        <v>89</v>
      </c>
      <c r="CA49" t="s">
        <v>144</v>
      </c>
      <c r="CC49" t="s">
        <v>80</v>
      </c>
      <c r="CD49">
        <v>7441</v>
      </c>
      <c r="CE49" t="s">
        <v>117</v>
      </c>
      <c r="CF49" s="3">
        <v>45841</v>
      </c>
      <c r="CI49">
        <v>1</v>
      </c>
      <c r="CJ49">
        <v>1</v>
      </c>
      <c r="CK49">
        <v>21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"080066273145"</f>
        <v>080066273145</v>
      </c>
      <c r="F50" s="3">
        <v>45839</v>
      </c>
      <c r="G50">
        <v>202604</v>
      </c>
      <c r="H50" t="s">
        <v>75</v>
      </c>
      <c r="I50" t="s">
        <v>76</v>
      </c>
      <c r="J50" t="s">
        <v>77</v>
      </c>
      <c r="K50" t="s">
        <v>78</v>
      </c>
      <c r="L50" t="s">
        <v>197</v>
      </c>
      <c r="M50" t="s">
        <v>198</v>
      </c>
      <c r="N50" t="s">
        <v>315</v>
      </c>
      <c r="O50" t="s">
        <v>82</v>
      </c>
      <c r="P50" t="str">
        <f>"4170046373                    "</f>
        <v xml:space="preserve">4170046373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16.32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4</v>
      </c>
      <c r="BJ50">
        <v>1.7</v>
      </c>
      <c r="BK50">
        <v>4</v>
      </c>
      <c r="BL50">
        <v>54.28</v>
      </c>
      <c r="BM50">
        <v>8.14</v>
      </c>
      <c r="BN50">
        <v>62.42</v>
      </c>
      <c r="BO50">
        <v>62.42</v>
      </c>
      <c r="BQ50" t="s">
        <v>316</v>
      </c>
      <c r="BR50" t="s">
        <v>84</v>
      </c>
      <c r="BS50" s="3">
        <v>45840</v>
      </c>
      <c r="BT50" s="4">
        <v>0.43402777777777779</v>
      </c>
      <c r="BU50" t="s">
        <v>317</v>
      </c>
      <c r="BV50" t="s">
        <v>98</v>
      </c>
      <c r="BY50">
        <v>8550</v>
      </c>
      <c r="BZ50" t="s">
        <v>89</v>
      </c>
      <c r="CA50" t="s">
        <v>318</v>
      </c>
      <c r="CC50" t="s">
        <v>198</v>
      </c>
      <c r="CD50">
        <v>1401</v>
      </c>
      <c r="CE50" t="s">
        <v>117</v>
      </c>
      <c r="CF50" s="3">
        <v>45841</v>
      </c>
      <c r="CI50">
        <v>1</v>
      </c>
      <c r="CJ50">
        <v>1</v>
      </c>
      <c r="CK50">
        <v>22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"080066273224"</f>
        <v>080066273224</v>
      </c>
      <c r="F51" s="3">
        <v>45839</v>
      </c>
      <c r="G51">
        <v>202604</v>
      </c>
      <c r="H51" t="s">
        <v>75</v>
      </c>
      <c r="I51" t="s">
        <v>76</v>
      </c>
      <c r="J51" t="s">
        <v>77</v>
      </c>
      <c r="K51" t="s">
        <v>78</v>
      </c>
      <c r="L51" t="s">
        <v>319</v>
      </c>
      <c r="M51" t="s">
        <v>320</v>
      </c>
      <c r="N51" t="s">
        <v>321</v>
      </c>
      <c r="O51" t="s">
        <v>82</v>
      </c>
      <c r="P51" t="str">
        <f>"4170045964                    "</f>
        <v xml:space="preserve">4170045964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40.49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1.9</v>
      </c>
      <c r="BK51">
        <v>2</v>
      </c>
      <c r="BL51">
        <v>134.65</v>
      </c>
      <c r="BM51">
        <v>20.2</v>
      </c>
      <c r="BN51">
        <v>154.85</v>
      </c>
      <c r="BO51">
        <v>154.85</v>
      </c>
      <c r="BQ51" t="s">
        <v>322</v>
      </c>
      <c r="BR51" t="s">
        <v>84</v>
      </c>
      <c r="BS51" s="3">
        <v>45840</v>
      </c>
      <c r="BT51" s="4">
        <v>0.71527777777777779</v>
      </c>
      <c r="BU51" t="s">
        <v>323</v>
      </c>
      <c r="BV51" t="s">
        <v>98</v>
      </c>
      <c r="BY51">
        <v>9600</v>
      </c>
      <c r="BZ51" t="s">
        <v>89</v>
      </c>
      <c r="CA51" t="s">
        <v>324</v>
      </c>
      <c r="CC51" t="s">
        <v>320</v>
      </c>
      <c r="CD51">
        <v>1020</v>
      </c>
      <c r="CE51" t="s">
        <v>117</v>
      </c>
      <c r="CF51" s="3">
        <v>45840</v>
      </c>
      <c r="CI51">
        <v>1</v>
      </c>
      <c r="CJ51">
        <v>1</v>
      </c>
      <c r="CK51">
        <v>23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"080066273428"</f>
        <v>080066273428</v>
      </c>
      <c r="F52" s="3">
        <v>45839</v>
      </c>
      <c r="G52">
        <v>202604</v>
      </c>
      <c r="H52" t="s">
        <v>75</v>
      </c>
      <c r="I52" t="s">
        <v>76</v>
      </c>
      <c r="J52" t="s">
        <v>77</v>
      </c>
      <c r="K52" t="s">
        <v>78</v>
      </c>
      <c r="L52" t="s">
        <v>92</v>
      </c>
      <c r="M52" t="s">
        <v>93</v>
      </c>
      <c r="N52" t="s">
        <v>291</v>
      </c>
      <c r="O52" t="s">
        <v>82</v>
      </c>
      <c r="P52" t="str">
        <f>"4170046420                    "</f>
        <v xml:space="preserve">4170046420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20.9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69.5</v>
      </c>
      <c r="BM52">
        <v>10.43</v>
      </c>
      <c r="BN52">
        <v>79.930000000000007</v>
      </c>
      <c r="BO52">
        <v>79.930000000000007</v>
      </c>
      <c r="BQ52" t="s">
        <v>292</v>
      </c>
      <c r="BR52" t="s">
        <v>84</v>
      </c>
      <c r="BS52" s="3">
        <v>45840</v>
      </c>
      <c r="BT52" s="4">
        <v>0.33263888888888887</v>
      </c>
      <c r="BU52" t="s">
        <v>293</v>
      </c>
      <c r="BV52" t="s">
        <v>98</v>
      </c>
      <c r="BY52">
        <v>1200</v>
      </c>
      <c r="BZ52" t="s">
        <v>89</v>
      </c>
      <c r="CA52" t="s">
        <v>294</v>
      </c>
      <c r="CC52" t="s">
        <v>93</v>
      </c>
      <c r="CD52">
        <v>4051</v>
      </c>
      <c r="CE52" t="s">
        <v>214</v>
      </c>
      <c r="CF52" s="3">
        <v>45840</v>
      </c>
      <c r="CI52">
        <v>1</v>
      </c>
      <c r="CJ52">
        <v>1</v>
      </c>
      <c r="CK52">
        <v>21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"080066273478"</f>
        <v>080066273478</v>
      </c>
      <c r="F53" s="3">
        <v>45839</v>
      </c>
      <c r="G53">
        <v>202604</v>
      </c>
      <c r="H53" t="s">
        <v>75</v>
      </c>
      <c r="I53" t="s">
        <v>76</v>
      </c>
      <c r="J53" t="s">
        <v>77</v>
      </c>
      <c r="K53" t="s">
        <v>78</v>
      </c>
      <c r="L53" t="s">
        <v>252</v>
      </c>
      <c r="M53" t="s">
        <v>253</v>
      </c>
      <c r="N53" t="s">
        <v>325</v>
      </c>
      <c r="O53" t="s">
        <v>82</v>
      </c>
      <c r="P53" t="str">
        <f>"4170046422                    "</f>
        <v xml:space="preserve">4170046422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40.49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134.65</v>
      </c>
      <c r="BM53">
        <v>20.2</v>
      </c>
      <c r="BN53">
        <v>154.85</v>
      </c>
      <c r="BO53">
        <v>154.85</v>
      </c>
      <c r="BQ53" t="s">
        <v>326</v>
      </c>
      <c r="BR53" t="s">
        <v>84</v>
      </c>
      <c r="BS53" s="3">
        <v>45840</v>
      </c>
      <c r="BT53" s="4">
        <v>0.37083333333333335</v>
      </c>
      <c r="BU53" t="s">
        <v>327</v>
      </c>
      <c r="BV53" t="s">
        <v>98</v>
      </c>
      <c r="BY53">
        <v>1200</v>
      </c>
      <c r="BZ53" t="s">
        <v>89</v>
      </c>
      <c r="CA53" t="s">
        <v>328</v>
      </c>
      <c r="CC53" t="s">
        <v>253</v>
      </c>
      <c r="CD53">
        <v>1947</v>
      </c>
      <c r="CE53" t="s">
        <v>239</v>
      </c>
      <c r="CF53" s="3">
        <v>45841</v>
      </c>
      <c r="CI53">
        <v>1</v>
      </c>
      <c r="CJ53">
        <v>1</v>
      </c>
      <c r="CK53">
        <v>23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"080066273517"</f>
        <v>080066273517</v>
      </c>
      <c r="F54" s="3">
        <v>45839</v>
      </c>
      <c r="G54">
        <v>202604</v>
      </c>
      <c r="H54" t="s">
        <v>75</v>
      </c>
      <c r="I54" t="s">
        <v>76</v>
      </c>
      <c r="J54" t="s">
        <v>77</v>
      </c>
      <c r="K54" t="s">
        <v>78</v>
      </c>
      <c r="L54" t="s">
        <v>329</v>
      </c>
      <c r="M54" t="s">
        <v>330</v>
      </c>
      <c r="N54" t="s">
        <v>331</v>
      </c>
      <c r="O54" t="s">
        <v>82</v>
      </c>
      <c r="P54" t="str">
        <f>"4170046369                    "</f>
        <v xml:space="preserve">4170046369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40.49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134.65</v>
      </c>
      <c r="BM54">
        <v>20.2</v>
      </c>
      <c r="BN54">
        <v>154.85</v>
      </c>
      <c r="BO54">
        <v>154.85</v>
      </c>
      <c r="BQ54" t="s">
        <v>332</v>
      </c>
      <c r="BR54" t="s">
        <v>84</v>
      </c>
      <c r="BS54" s="3">
        <v>45841</v>
      </c>
      <c r="BT54" s="4">
        <v>0.56944444444444442</v>
      </c>
      <c r="BU54" t="s">
        <v>333</v>
      </c>
      <c r="BV54" t="s">
        <v>98</v>
      </c>
      <c r="BY54">
        <v>1200</v>
      </c>
      <c r="BZ54" t="s">
        <v>89</v>
      </c>
      <c r="CC54" t="s">
        <v>330</v>
      </c>
      <c r="CD54">
        <v>6300</v>
      </c>
      <c r="CE54" t="s">
        <v>239</v>
      </c>
      <c r="CF54" s="3">
        <v>45845</v>
      </c>
      <c r="CI54">
        <v>2</v>
      </c>
      <c r="CJ54">
        <v>2</v>
      </c>
      <c r="CK54">
        <v>23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"080066273559"</f>
        <v>080066273559</v>
      </c>
      <c r="F55" s="3">
        <v>45839</v>
      </c>
      <c r="G55">
        <v>202604</v>
      </c>
      <c r="H55" t="s">
        <v>75</v>
      </c>
      <c r="I55" t="s">
        <v>76</v>
      </c>
      <c r="J55" t="s">
        <v>77</v>
      </c>
      <c r="K55" t="s">
        <v>78</v>
      </c>
      <c r="L55" t="s">
        <v>92</v>
      </c>
      <c r="M55" t="s">
        <v>93</v>
      </c>
      <c r="N55" t="s">
        <v>334</v>
      </c>
      <c r="O55" t="s">
        <v>82</v>
      </c>
      <c r="P55" t="str">
        <f>"4170046380                    "</f>
        <v xml:space="preserve">4170046380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20.9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1.1000000000000001</v>
      </c>
      <c r="BK55">
        <v>1.5</v>
      </c>
      <c r="BL55">
        <v>69.5</v>
      </c>
      <c r="BM55">
        <v>10.43</v>
      </c>
      <c r="BN55">
        <v>79.930000000000007</v>
      </c>
      <c r="BO55">
        <v>79.930000000000007</v>
      </c>
      <c r="BQ55" t="s">
        <v>335</v>
      </c>
      <c r="BR55" t="s">
        <v>84</v>
      </c>
      <c r="BS55" s="3">
        <v>45840</v>
      </c>
      <c r="BT55" s="4">
        <v>0.42638888888888887</v>
      </c>
      <c r="BU55" t="s">
        <v>336</v>
      </c>
      <c r="BV55" t="s">
        <v>98</v>
      </c>
      <c r="BY55">
        <v>5320</v>
      </c>
      <c r="BZ55" t="s">
        <v>89</v>
      </c>
      <c r="CA55" t="s">
        <v>337</v>
      </c>
      <c r="CC55" t="s">
        <v>93</v>
      </c>
      <c r="CD55">
        <v>4052</v>
      </c>
      <c r="CE55" t="s">
        <v>266</v>
      </c>
      <c r="CF55" s="3">
        <v>45841</v>
      </c>
      <c r="CI55">
        <v>1</v>
      </c>
      <c r="CJ55">
        <v>1</v>
      </c>
      <c r="CK55">
        <v>21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"080066274616"</f>
        <v>080066274616</v>
      </c>
      <c r="F56" s="3">
        <v>45839</v>
      </c>
      <c r="G56">
        <v>202604</v>
      </c>
      <c r="H56" t="s">
        <v>75</v>
      </c>
      <c r="I56" t="s">
        <v>76</v>
      </c>
      <c r="J56" t="s">
        <v>77</v>
      </c>
      <c r="K56" t="s">
        <v>78</v>
      </c>
      <c r="L56" t="s">
        <v>305</v>
      </c>
      <c r="M56" t="s">
        <v>306</v>
      </c>
      <c r="N56" t="s">
        <v>307</v>
      </c>
      <c r="O56" t="s">
        <v>82</v>
      </c>
      <c r="P56" t="str">
        <f>"4170046399                    "</f>
        <v xml:space="preserve">4170046399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78.319999999999993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2</v>
      </c>
      <c r="BI56">
        <v>7</v>
      </c>
      <c r="BJ56">
        <v>7.5</v>
      </c>
      <c r="BK56">
        <v>7.5</v>
      </c>
      <c r="BL56">
        <v>260.45999999999998</v>
      </c>
      <c r="BM56">
        <v>39.07</v>
      </c>
      <c r="BN56">
        <v>299.52999999999997</v>
      </c>
      <c r="BO56">
        <v>299.52999999999997</v>
      </c>
      <c r="BQ56" t="s">
        <v>308</v>
      </c>
      <c r="BR56" t="s">
        <v>84</v>
      </c>
      <c r="BS56" s="3">
        <v>45840</v>
      </c>
      <c r="BT56" s="4">
        <v>0.45069444444444445</v>
      </c>
      <c r="BU56" t="s">
        <v>338</v>
      </c>
      <c r="BV56" t="s">
        <v>86</v>
      </c>
      <c r="BY56">
        <v>37545</v>
      </c>
      <c r="BZ56" t="s">
        <v>89</v>
      </c>
      <c r="CA56" t="s">
        <v>310</v>
      </c>
      <c r="CC56" t="s">
        <v>306</v>
      </c>
      <c r="CD56">
        <v>5201</v>
      </c>
      <c r="CE56" t="s">
        <v>91</v>
      </c>
      <c r="CF56" s="3">
        <v>45841</v>
      </c>
      <c r="CI56">
        <v>1</v>
      </c>
      <c r="CJ56">
        <v>1</v>
      </c>
      <c r="CK56">
        <v>21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"080066274752"</f>
        <v>080066274752</v>
      </c>
      <c r="F57" s="3">
        <v>45839</v>
      </c>
      <c r="G57">
        <v>202604</v>
      </c>
      <c r="H57" t="s">
        <v>75</v>
      </c>
      <c r="I57" t="s">
        <v>76</v>
      </c>
      <c r="J57" t="s">
        <v>77</v>
      </c>
      <c r="K57" t="s">
        <v>78</v>
      </c>
      <c r="L57" t="s">
        <v>92</v>
      </c>
      <c r="M57" t="s">
        <v>93</v>
      </c>
      <c r="N57" t="s">
        <v>339</v>
      </c>
      <c r="O57" t="s">
        <v>82</v>
      </c>
      <c r="P57" t="str">
        <f>"4170046363                    "</f>
        <v xml:space="preserve">4170046363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114.86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11</v>
      </c>
      <c r="BJ57">
        <v>3.4</v>
      </c>
      <c r="BK57">
        <v>11</v>
      </c>
      <c r="BL57">
        <v>381.98</v>
      </c>
      <c r="BM57">
        <v>57.3</v>
      </c>
      <c r="BN57">
        <v>439.28</v>
      </c>
      <c r="BO57">
        <v>439.28</v>
      </c>
      <c r="BQ57" t="s">
        <v>340</v>
      </c>
      <c r="BR57" t="s">
        <v>84</v>
      </c>
      <c r="BS57" s="3">
        <v>45840</v>
      </c>
      <c r="BT57" s="4">
        <v>0.43194444444444446</v>
      </c>
      <c r="BU57" t="s">
        <v>341</v>
      </c>
      <c r="BV57" t="s">
        <v>98</v>
      </c>
      <c r="BY57">
        <v>16965</v>
      </c>
      <c r="BZ57" t="s">
        <v>89</v>
      </c>
      <c r="CA57" t="s">
        <v>337</v>
      </c>
      <c r="CC57" t="s">
        <v>93</v>
      </c>
      <c r="CD57">
        <v>4052</v>
      </c>
      <c r="CE57" t="s">
        <v>117</v>
      </c>
      <c r="CF57" s="3">
        <v>45841</v>
      </c>
      <c r="CI57">
        <v>1</v>
      </c>
      <c r="CJ57">
        <v>1</v>
      </c>
      <c r="CK57">
        <v>21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"080066274797"</f>
        <v>080066274797</v>
      </c>
      <c r="F58" s="3">
        <v>45839</v>
      </c>
      <c r="G58">
        <v>202604</v>
      </c>
      <c r="H58" t="s">
        <v>75</v>
      </c>
      <c r="I58" t="s">
        <v>76</v>
      </c>
      <c r="J58" t="s">
        <v>77</v>
      </c>
      <c r="K58" t="s">
        <v>78</v>
      </c>
      <c r="L58" t="s">
        <v>168</v>
      </c>
      <c r="M58" t="s">
        <v>169</v>
      </c>
      <c r="N58" t="s">
        <v>342</v>
      </c>
      <c r="O58" t="s">
        <v>82</v>
      </c>
      <c r="P58" t="str">
        <f>"4170046361                    "</f>
        <v xml:space="preserve">4170046361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4</v>
      </c>
      <c r="BJ58">
        <v>4.5</v>
      </c>
      <c r="BK58">
        <v>4.5</v>
      </c>
      <c r="BL58">
        <v>156.30000000000001</v>
      </c>
      <c r="BM58">
        <v>23.45</v>
      </c>
      <c r="BN58">
        <v>179.75</v>
      </c>
      <c r="BO58">
        <v>179.75</v>
      </c>
      <c r="BQ58" t="s">
        <v>343</v>
      </c>
      <c r="BR58" t="s">
        <v>84</v>
      </c>
      <c r="BS58" s="3">
        <v>45840</v>
      </c>
      <c r="BT58" s="4">
        <v>0.375</v>
      </c>
      <c r="BU58" t="s">
        <v>344</v>
      </c>
      <c r="BV58" t="s">
        <v>98</v>
      </c>
      <c r="BY58">
        <v>22620</v>
      </c>
      <c r="BZ58" t="s">
        <v>89</v>
      </c>
      <c r="CA58" t="s">
        <v>345</v>
      </c>
      <c r="CC58" t="s">
        <v>169</v>
      </c>
      <c r="CD58">
        <v>6000</v>
      </c>
      <c r="CE58" t="s">
        <v>117</v>
      </c>
      <c r="CF58" s="3">
        <v>45840</v>
      </c>
      <c r="CI58">
        <v>1</v>
      </c>
      <c r="CJ58">
        <v>1</v>
      </c>
      <c r="CK58">
        <v>21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"080066274928"</f>
        <v>080066274928</v>
      </c>
      <c r="F59" s="3">
        <v>45839</v>
      </c>
      <c r="G59">
        <v>202604</v>
      </c>
      <c r="H59" t="s">
        <v>75</v>
      </c>
      <c r="I59" t="s">
        <v>76</v>
      </c>
      <c r="J59" t="s">
        <v>77</v>
      </c>
      <c r="K59" t="s">
        <v>78</v>
      </c>
      <c r="L59" t="s">
        <v>135</v>
      </c>
      <c r="M59" t="s">
        <v>136</v>
      </c>
      <c r="N59" t="s">
        <v>346</v>
      </c>
      <c r="O59" t="s">
        <v>82</v>
      </c>
      <c r="P59" t="str">
        <f>"4170046414                    "</f>
        <v xml:space="preserve">4170046414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62.66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6</v>
      </c>
      <c r="BJ59">
        <v>3.1</v>
      </c>
      <c r="BK59">
        <v>6</v>
      </c>
      <c r="BL59">
        <v>208.38</v>
      </c>
      <c r="BM59">
        <v>31.26</v>
      </c>
      <c r="BN59">
        <v>239.64</v>
      </c>
      <c r="BO59">
        <v>239.64</v>
      </c>
      <c r="BQ59" t="s">
        <v>347</v>
      </c>
      <c r="BR59" t="s">
        <v>84</v>
      </c>
      <c r="BS59" s="3">
        <v>45840</v>
      </c>
      <c r="BT59" s="4">
        <v>0.56319444444444444</v>
      </c>
      <c r="BU59" t="s">
        <v>348</v>
      </c>
      <c r="BV59" t="s">
        <v>86</v>
      </c>
      <c r="BY59">
        <v>15428</v>
      </c>
      <c r="BZ59" t="s">
        <v>89</v>
      </c>
      <c r="CA59" t="s">
        <v>349</v>
      </c>
      <c r="CC59" t="s">
        <v>136</v>
      </c>
      <c r="CD59">
        <v>3201</v>
      </c>
      <c r="CE59" t="s">
        <v>91</v>
      </c>
      <c r="CF59" s="3">
        <v>45840</v>
      </c>
      <c r="CI59">
        <v>1</v>
      </c>
      <c r="CJ59">
        <v>1</v>
      </c>
      <c r="CK59">
        <v>21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"080066275078"</f>
        <v>080066275078</v>
      </c>
      <c r="F60" s="3">
        <v>45839</v>
      </c>
      <c r="G60">
        <v>202604</v>
      </c>
      <c r="H60" t="s">
        <v>75</v>
      </c>
      <c r="I60" t="s">
        <v>76</v>
      </c>
      <c r="J60" t="s">
        <v>77</v>
      </c>
      <c r="K60" t="s">
        <v>78</v>
      </c>
      <c r="L60" t="s">
        <v>350</v>
      </c>
      <c r="M60" t="s">
        <v>351</v>
      </c>
      <c r="N60" t="s">
        <v>352</v>
      </c>
      <c r="O60" t="s">
        <v>82</v>
      </c>
      <c r="P60" t="str">
        <f>"4170046372                    "</f>
        <v xml:space="preserve">4170046372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73.099999999999994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7</v>
      </c>
      <c r="BJ60">
        <v>3.1</v>
      </c>
      <c r="BK60">
        <v>7</v>
      </c>
      <c r="BL60">
        <v>243.1</v>
      </c>
      <c r="BM60">
        <v>36.47</v>
      </c>
      <c r="BN60">
        <v>279.57</v>
      </c>
      <c r="BO60">
        <v>279.57</v>
      </c>
      <c r="BQ60" t="s">
        <v>353</v>
      </c>
      <c r="BR60" t="s">
        <v>84</v>
      </c>
      <c r="BS60" s="3">
        <v>45840</v>
      </c>
      <c r="BT60" s="4">
        <v>0.43402777777777779</v>
      </c>
      <c r="BU60" t="s">
        <v>354</v>
      </c>
      <c r="BV60" t="s">
        <v>98</v>
      </c>
      <c r="BY60">
        <v>15360</v>
      </c>
      <c r="BZ60" t="s">
        <v>89</v>
      </c>
      <c r="CA60" t="s">
        <v>337</v>
      </c>
      <c r="CC60" t="s">
        <v>351</v>
      </c>
      <c r="CD60">
        <v>4133</v>
      </c>
      <c r="CE60" t="s">
        <v>355</v>
      </c>
      <c r="CF60" s="3">
        <v>45841</v>
      </c>
      <c r="CI60">
        <v>1</v>
      </c>
      <c r="CJ60">
        <v>1</v>
      </c>
      <c r="CK60">
        <v>21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"080066275139"</f>
        <v>080066275139</v>
      </c>
      <c r="F61" s="3">
        <v>45839</v>
      </c>
      <c r="G61">
        <v>202604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118</v>
      </c>
      <c r="O61" t="s">
        <v>82</v>
      </c>
      <c r="P61" t="str">
        <f>"4170046419                    "</f>
        <v xml:space="preserve">4170046419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16.32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0.7</v>
      </c>
      <c r="BK61">
        <v>1</v>
      </c>
      <c r="BL61">
        <v>54.28</v>
      </c>
      <c r="BM61">
        <v>8.14</v>
      </c>
      <c r="BN61">
        <v>62.42</v>
      </c>
      <c r="BO61">
        <v>62.42</v>
      </c>
      <c r="BQ61" t="s">
        <v>119</v>
      </c>
      <c r="BR61" t="s">
        <v>84</v>
      </c>
      <c r="BS61" s="3">
        <v>45840</v>
      </c>
      <c r="BT61" s="4">
        <v>0.35972222222222222</v>
      </c>
      <c r="BU61" t="s">
        <v>212</v>
      </c>
      <c r="BV61" t="s">
        <v>98</v>
      </c>
      <c r="BY61">
        <v>3600</v>
      </c>
      <c r="BZ61" t="s">
        <v>89</v>
      </c>
      <c r="CA61" t="s">
        <v>213</v>
      </c>
      <c r="CC61" t="s">
        <v>76</v>
      </c>
      <c r="CD61">
        <v>1600</v>
      </c>
      <c r="CE61" t="s">
        <v>91</v>
      </c>
      <c r="CF61" s="3">
        <v>45840</v>
      </c>
      <c r="CI61">
        <v>1</v>
      </c>
      <c r="CJ61">
        <v>1</v>
      </c>
      <c r="CK61">
        <v>22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"080066275177"</f>
        <v>080066275177</v>
      </c>
      <c r="F62" s="3">
        <v>45839</v>
      </c>
      <c r="G62">
        <v>202604</v>
      </c>
      <c r="H62" t="s">
        <v>75</v>
      </c>
      <c r="I62" t="s">
        <v>76</v>
      </c>
      <c r="J62" t="s">
        <v>77</v>
      </c>
      <c r="K62" t="s">
        <v>78</v>
      </c>
      <c r="L62" t="s">
        <v>79</v>
      </c>
      <c r="M62" t="s">
        <v>80</v>
      </c>
      <c r="N62" t="s">
        <v>141</v>
      </c>
      <c r="O62" t="s">
        <v>82</v>
      </c>
      <c r="P62" t="str">
        <f>"4170046434                    "</f>
        <v xml:space="preserve">4170046434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20.9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0.9</v>
      </c>
      <c r="BK62">
        <v>1</v>
      </c>
      <c r="BL62">
        <v>69.5</v>
      </c>
      <c r="BM62">
        <v>10.43</v>
      </c>
      <c r="BN62">
        <v>79.930000000000007</v>
      </c>
      <c r="BO62">
        <v>79.930000000000007</v>
      </c>
      <c r="BQ62" t="s">
        <v>142</v>
      </c>
      <c r="BR62" t="s">
        <v>84</v>
      </c>
      <c r="BS62" s="3">
        <v>45840</v>
      </c>
      <c r="BT62" s="4">
        <v>0.40902777777777777</v>
      </c>
      <c r="BU62" t="s">
        <v>356</v>
      </c>
      <c r="BV62" t="s">
        <v>98</v>
      </c>
      <c r="BY62">
        <v>4275</v>
      </c>
      <c r="BZ62" t="s">
        <v>89</v>
      </c>
      <c r="CA62" t="s">
        <v>144</v>
      </c>
      <c r="CC62" t="s">
        <v>80</v>
      </c>
      <c r="CD62">
        <v>7441</v>
      </c>
      <c r="CE62" t="s">
        <v>266</v>
      </c>
      <c r="CF62" s="3">
        <v>45841</v>
      </c>
      <c r="CI62">
        <v>1</v>
      </c>
      <c r="CJ62">
        <v>1</v>
      </c>
      <c r="CK62">
        <v>21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"080066275236"</f>
        <v>080066275236</v>
      </c>
      <c r="F63" s="3">
        <v>45839</v>
      </c>
      <c r="G63">
        <v>202604</v>
      </c>
      <c r="H63" t="s">
        <v>75</v>
      </c>
      <c r="I63" t="s">
        <v>76</v>
      </c>
      <c r="J63" t="s">
        <v>77</v>
      </c>
      <c r="K63" t="s">
        <v>78</v>
      </c>
      <c r="L63" t="s">
        <v>122</v>
      </c>
      <c r="M63" t="s">
        <v>123</v>
      </c>
      <c r="N63" t="s">
        <v>357</v>
      </c>
      <c r="O63" t="s">
        <v>82</v>
      </c>
      <c r="P63" t="str">
        <f>"4170046430                    "</f>
        <v xml:space="preserve">4170046430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20.9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</v>
      </c>
      <c r="BJ63">
        <v>1.9</v>
      </c>
      <c r="BK63">
        <v>2</v>
      </c>
      <c r="BL63">
        <v>69.5</v>
      </c>
      <c r="BM63">
        <v>10.43</v>
      </c>
      <c r="BN63">
        <v>79.930000000000007</v>
      </c>
      <c r="BO63">
        <v>79.930000000000007</v>
      </c>
      <c r="BQ63" t="s">
        <v>358</v>
      </c>
      <c r="BR63" t="s">
        <v>84</v>
      </c>
      <c r="BS63" s="3">
        <v>45840</v>
      </c>
      <c r="BT63" s="4">
        <v>0.37847222222222221</v>
      </c>
      <c r="BU63" t="s">
        <v>359</v>
      </c>
      <c r="BV63" t="s">
        <v>98</v>
      </c>
      <c r="BY63">
        <v>9600</v>
      </c>
      <c r="BZ63" t="s">
        <v>89</v>
      </c>
      <c r="CA63" t="s">
        <v>270</v>
      </c>
      <c r="CC63" t="s">
        <v>123</v>
      </c>
      <c r="CD63">
        <v>3610</v>
      </c>
      <c r="CE63" t="s">
        <v>117</v>
      </c>
      <c r="CF63" s="3">
        <v>45841</v>
      </c>
      <c r="CI63">
        <v>1</v>
      </c>
      <c r="CJ63">
        <v>1</v>
      </c>
      <c r="CK63">
        <v>21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"080066275261"</f>
        <v>080066275261</v>
      </c>
      <c r="F64" s="3">
        <v>45839</v>
      </c>
      <c r="G64">
        <v>202604</v>
      </c>
      <c r="H64" t="s">
        <v>75</v>
      </c>
      <c r="I64" t="s">
        <v>76</v>
      </c>
      <c r="J64" t="s">
        <v>77</v>
      </c>
      <c r="K64" t="s">
        <v>78</v>
      </c>
      <c r="L64" t="s">
        <v>79</v>
      </c>
      <c r="M64" t="s">
        <v>80</v>
      </c>
      <c r="N64" t="s">
        <v>141</v>
      </c>
      <c r="O64" t="s">
        <v>82</v>
      </c>
      <c r="P64" t="str">
        <f>"4170046435                    "</f>
        <v xml:space="preserve">4170046435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20.9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69.5</v>
      </c>
      <c r="BM64">
        <v>10.43</v>
      </c>
      <c r="BN64">
        <v>79.930000000000007</v>
      </c>
      <c r="BO64">
        <v>79.930000000000007</v>
      </c>
      <c r="BQ64" t="s">
        <v>142</v>
      </c>
      <c r="BR64" t="s">
        <v>84</v>
      </c>
      <c r="BS64" s="3">
        <v>45840</v>
      </c>
      <c r="BT64" s="4">
        <v>0.40902777777777777</v>
      </c>
      <c r="BU64" t="s">
        <v>356</v>
      </c>
      <c r="BV64" t="s">
        <v>98</v>
      </c>
      <c r="BY64">
        <v>1200</v>
      </c>
      <c r="BZ64" t="s">
        <v>89</v>
      </c>
      <c r="CA64" t="s">
        <v>144</v>
      </c>
      <c r="CC64" t="s">
        <v>80</v>
      </c>
      <c r="CD64">
        <v>7441</v>
      </c>
      <c r="CE64" t="s">
        <v>239</v>
      </c>
      <c r="CF64" s="3">
        <v>45841</v>
      </c>
      <c r="CI64">
        <v>1</v>
      </c>
      <c r="CJ64">
        <v>1</v>
      </c>
      <c r="CK64">
        <v>21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"080066275300"</f>
        <v>080066275300</v>
      </c>
      <c r="F65" s="3">
        <v>45839</v>
      </c>
      <c r="G65">
        <v>202604</v>
      </c>
      <c r="H65" t="s">
        <v>75</v>
      </c>
      <c r="I65" t="s">
        <v>76</v>
      </c>
      <c r="J65" t="s">
        <v>77</v>
      </c>
      <c r="K65" t="s">
        <v>78</v>
      </c>
      <c r="L65" t="s">
        <v>168</v>
      </c>
      <c r="M65" t="s">
        <v>169</v>
      </c>
      <c r="N65" t="s">
        <v>360</v>
      </c>
      <c r="O65" t="s">
        <v>82</v>
      </c>
      <c r="P65" t="str">
        <f>"4170046390                    "</f>
        <v xml:space="preserve">4170046390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20.9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69.5</v>
      </c>
      <c r="BM65">
        <v>10.43</v>
      </c>
      <c r="BN65">
        <v>79.930000000000007</v>
      </c>
      <c r="BO65">
        <v>79.930000000000007</v>
      </c>
      <c r="BQ65" t="s">
        <v>361</v>
      </c>
      <c r="BR65" t="s">
        <v>84</v>
      </c>
      <c r="BS65" s="3">
        <v>45840</v>
      </c>
      <c r="BT65" s="4">
        <v>0.42499999999999999</v>
      </c>
      <c r="BU65" t="s">
        <v>362</v>
      </c>
      <c r="BV65" t="s">
        <v>98</v>
      </c>
      <c r="BY65">
        <v>1200</v>
      </c>
      <c r="BZ65" t="s">
        <v>89</v>
      </c>
      <c r="CC65" t="s">
        <v>169</v>
      </c>
      <c r="CD65">
        <v>6001</v>
      </c>
      <c r="CE65" t="s">
        <v>239</v>
      </c>
      <c r="CF65" s="3">
        <v>45840</v>
      </c>
      <c r="CI65">
        <v>1</v>
      </c>
      <c r="CJ65">
        <v>1</v>
      </c>
      <c r="CK65">
        <v>21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"080066275347"</f>
        <v>080066275347</v>
      </c>
      <c r="F66" s="3">
        <v>45839</v>
      </c>
      <c r="G66">
        <v>202604</v>
      </c>
      <c r="H66" t="s">
        <v>75</v>
      </c>
      <c r="I66" t="s">
        <v>76</v>
      </c>
      <c r="J66" t="s">
        <v>77</v>
      </c>
      <c r="K66" t="s">
        <v>78</v>
      </c>
      <c r="L66" t="s">
        <v>363</v>
      </c>
      <c r="M66" t="s">
        <v>364</v>
      </c>
      <c r="N66" t="s">
        <v>365</v>
      </c>
      <c r="O66" t="s">
        <v>82</v>
      </c>
      <c r="P66" t="str">
        <f>"4170046367                    "</f>
        <v xml:space="preserve">4170046367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40.49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134.65</v>
      </c>
      <c r="BM66">
        <v>20.2</v>
      </c>
      <c r="BN66">
        <v>154.85</v>
      </c>
      <c r="BO66">
        <v>154.85</v>
      </c>
      <c r="BQ66" t="s">
        <v>366</v>
      </c>
      <c r="BR66" t="s">
        <v>84</v>
      </c>
      <c r="BS66" s="3">
        <v>45840</v>
      </c>
      <c r="BT66" s="4">
        <v>0.64236111111111116</v>
      </c>
      <c r="BU66" t="s">
        <v>367</v>
      </c>
      <c r="BV66" t="s">
        <v>98</v>
      </c>
      <c r="BY66">
        <v>1200</v>
      </c>
      <c r="BZ66" t="s">
        <v>89</v>
      </c>
      <c r="CC66" t="s">
        <v>364</v>
      </c>
      <c r="CD66">
        <v>7299</v>
      </c>
      <c r="CE66" t="s">
        <v>239</v>
      </c>
      <c r="CF66" s="3">
        <v>45841</v>
      </c>
      <c r="CI66">
        <v>1</v>
      </c>
      <c r="CJ66">
        <v>1</v>
      </c>
      <c r="CK66">
        <v>23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"080066275393"</f>
        <v>080066275393</v>
      </c>
      <c r="F67" s="3">
        <v>45839</v>
      </c>
      <c r="G67">
        <v>202604</v>
      </c>
      <c r="H67" t="s">
        <v>75</v>
      </c>
      <c r="I67" t="s">
        <v>76</v>
      </c>
      <c r="J67" t="s">
        <v>77</v>
      </c>
      <c r="K67" t="s">
        <v>78</v>
      </c>
      <c r="L67" t="s">
        <v>79</v>
      </c>
      <c r="M67" t="s">
        <v>80</v>
      </c>
      <c r="N67" t="s">
        <v>286</v>
      </c>
      <c r="O67" t="s">
        <v>82</v>
      </c>
      <c r="P67" t="str">
        <f>"4170046415                    "</f>
        <v xml:space="preserve">4170046415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20.9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69.5</v>
      </c>
      <c r="BM67">
        <v>10.43</v>
      </c>
      <c r="BN67">
        <v>79.930000000000007</v>
      </c>
      <c r="BO67">
        <v>79.930000000000007</v>
      </c>
      <c r="BQ67" t="s">
        <v>287</v>
      </c>
      <c r="BR67" t="s">
        <v>84</v>
      </c>
      <c r="BS67" s="3">
        <v>45840</v>
      </c>
      <c r="BT67" s="4">
        <v>0.3298611111111111</v>
      </c>
      <c r="BU67" t="s">
        <v>288</v>
      </c>
      <c r="BV67" t="s">
        <v>98</v>
      </c>
      <c r="BY67">
        <v>1200</v>
      </c>
      <c r="BZ67" t="s">
        <v>89</v>
      </c>
      <c r="CA67" t="s">
        <v>289</v>
      </c>
      <c r="CC67" t="s">
        <v>80</v>
      </c>
      <c r="CD67">
        <v>7530</v>
      </c>
      <c r="CE67" t="s">
        <v>239</v>
      </c>
      <c r="CF67" s="3">
        <v>45841</v>
      </c>
      <c r="CI67">
        <v>1</v>
      </c>
      <c r="CJ67">
        <v>1</v>
      </c>
      <c r="CK67">
        <v>21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"080066275777"</f>
        <v>080066275777</v>
      </c>
      <c r="F68" s="3">
        <v>45839</v>
      </c>
      <c r="G68">
        <v>202604</v>
      </c>
      <c r="H68" t="s">
        <v>75</v>
      </c>
      <c r="I68" t="s">
        <v>76</v>
      </c>
      <c r="J68" t="s">
        <v>77</v>
      </c>
      <c r="K68" t="s">
        <v>78</v>
      </c>
      <c r="L68" t="s">
        <v>75</v>
      </c>
      <c r="M68" t="s">
        <v>76</v>
      </c>
      <c r="N68" t="s">
        <v>368</v>
      </c>
      <c r="O68" t="s">
        <v>82</v>
      </c>
      <c r="P68" t="str">
        <f>"4170046450                    "</f>
        <v xml:space="preserve">4170046450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16.32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0.9</v>
      </c>
      <c r="BK68">
        <v>2</v>
      </c>
      <c r="BL68">
        <v>54.28</v>
      </c>
      <c r="BM68">
        <v>8.14</v>
      </c>
      <c r="BN68">
        <v>62.42</v>
      </c>
      <c r="BO68">
        <v>62.42</v>
      </c>
      <c r="BQ68" t="s">
        <v>369</v>
      </c>
      <c r="BR68" t="s">
        <v>84</v>
      </c>
      <c r="BS68" s="3">
        <v>45840</v>
      </c>
      <c r="BT68" s="4">
        <v>0.39097222222222222</v>
      </c>
      <c r="BU68" t="s">
        <v>370</v>
      </c>
      <c r="BV68" t="s">
        <v>98</v>
      </c>
      <c r="BY68">
        <v>4275</v>
      </c>
      <c r="BZ68" t="s">
        <v>89</v>
      </c>
      <c r="CA68" t="s">
        <v>371</v>
      </c>
      <c r="CC68" t="s">
        <v>76</v>
      </c>
      <c r="CD68">
        <v>1665</v>
      </c>
      <c r="CE68" t="s">
        <v>117</v>
      </c>
      <c r="CF68" s="3">
        <v>45841</v>
      </c>
      <c r="CI68">
        <v>1</v>
      </c>
      <c r="CJ68">
        <v>1</v>
      </c>
      <c r="CK68">
        <v>22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"080066275918"</f>
        <v>080066275918</v>
      </c>
      <c r="F69" s="3">
        <v>45839</v>
      </c>
      <c r="G69">
        <v>202604</v>
      </c>
      <c r="H69" t="s">
        <v>75</v>
      </c>
      <c r="I69" t="s">
        <v>76</v>
      </c>
      <c r="J69" t="s">
        <v>77</v>
      </c>
      <c r="K69" t="s">
        <v>78</v>
      </c>
      <c r="L69" t="s">
        <v>111</v>
      </c>
      <c r="M69" t="s">
        <v>112</v>
      </c>
      <c r="N69" t="s">
        <v>372</v>
      </c>
      <c r="O69" t="s">
        <v>82</v>
      </c>
      <c r="P69" t="str">
        <f>"4170046446                    "</f>
        <v xml:space="preserve">4170046446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40.49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2</v>
      </c>
      <c r="BJ69">
        <v>2</v>
      </c>
      <c r="BK69">
        <v>2</v>
      </c>
      <c r="BL69">
        <v>134.65</v>
      </c>
      <c r="BM69">
        <v>20.2</v>
      </c>
      <c r="BN69">
        <v>154.85</v>
      </c>
      <c r="BO69">
        <v>154.85</v>
      </c>
      <c r="BQ69" t="s">
        <v>373</v>
      </c>
      <c r="BR69" t="s">
        <v>84</v>
      </c>
      <c r="BS69" s="3">
        <v>45840</v>
      </c>
      <c r="BT69" s="4">
        <v>0.4375</v>
      </c>
      <c r="BU69" t="s">
        <v>374</v>
      </c>
      <c r="BV69" t="s">
        <v>98</v>
      </c>
      <c r="BY69">
        <v>9918</v>
      </c>
      <c r="BZ69" t="s">
        <v>89</v>
      </c>
      <c r="CA69" t="s">
        <v>375</v>
      </c>
      <c r="CC69" t="s">
        <v>112</v>
      </c>
      <c r="CD69">
        <v>1930</v>
      </c>
      <c r="CE69" t="s">
        <v>117</v>
      </c>
      <c r="CF69" s="3">
        <v>45841</v>
      </c>
      <c r="CI69">
        <v>1</v>
      </c>
      <c r="CJ69">
        <v>1</v>
      </c>
      <c r="CK69">
        <v>23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"080066275974"</f>
        <v>080066275974</v>
      </c>
      <c r="F70" s="3">
        <v>45839</v>
      </c>
      <c r="G70">
        <v>202604</v>
      </c>
      <c r="H70" t="s">
        <v>75</v>
      </c>
      <c r="I70" t="s">
        <v>76</v>
      </c>
      <c r="J70" t="s">
        <v>77</v>
      </c>
      <c r="K70" t="s">
        <v>78</v>
      </c>
      <c r="L70" t="s">
        <v>79</v>
      </c>
      <c r="M70" t="s">
        <v>80</v>
      </c>
      <c r="N70" t="s">
        <v>376</v>
      </c>
      <c r="O70" t="s">
        <v>82</v>
      </c>
      <c r="P70" t="str">
        <f>"4170046432                    "</f>
        <v xml:space="preserve">4170046432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4</v>
      </c>
      <c r="BJ70">
        <v>4.0999999999999996</v>
      </c>
      <c r="BK70">
        <v>4.5</v>
      </c>
      <c r="BL70">
        <v>156.30000000000001</v>
      </c>
      <c r="BM70">
        <v>23.45</v>
      </c>
      <c r="BN70">
        <v>179.75</v>
      </c>
      <c r="BO70">
        <v>179.75</v>
      </c>
      <c r="BQ70" t="s">
        <v>377</v>
      </c>
      <c r="BR70" t="s">
        <v>84</v>
      </c>
      <c r="BS70" s="3">
        <v>45840</v>
      </c>
      <c r="BT70" s="4">
        <v>0.40763888888888888</v>
      </c>
      <c r="BU70" t="s">
        <v>378</v>
      </c>
      <c r="BV70" t="s">
        <v>98</v>
      </c>
      <c r="BY70">
        <v>20358</v>
      </c>
      <c r="BZ70" t="s">
        <v>89</v>
      </c>
      <c r="CA70" t="s">
        <v>144</v>
      </c>
      <c r="CC70" t="s">
        <v>80</v>
      </c>
      <c r="CD70">
        <v>8001</v>
      </c>
      <c r="CE70" t="s">
        <v>117</v>
      </c>
      <c r="CF70" s="3">
        <v>45841</v>
      </c>
      <c r="CI70">
        <v>1</v>
      </c>
      <c r="CJ70">
        <v>1</v>
      </c>
      <c r="CK70">
        <v>21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"080066276007"</f>
        <v>080066276007</v>
      </c>
      <c r="F71" s="3">
        <v>45839</v>
      </c>
      <c r="G71">
        <v>202604</v>
      </c>
      <c r="H71" t="s">
        <v>75</v>
      </c>
      <c r="I71" t="s">
        <v>76</v>
      </c>
      <c r="J71" t="s">
        <v>77</v>
      </c>
      <c r="K71" t="s">
        <v>78</v>
      </c>
      <c r="L71" t="s">
        <v>135</v>
      </c>
      <c r="M71" t="s">
        <v>136</v>
      </c>
      <c r="N71" t="s">
        <v>379</v>
      </c>
      <c r="O71" t="s">
        <v>82</v>
      </c>
      <c r="P71" t="str">
        <f>"4170046443                    "</f>
        <v xml:space="preserve">4170046443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20.9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69.5</v>
      </c>
      <c r="BM71">
        <v>10.43</v>
      </c>
      <c r="BN71">
        <v>79.930000000000007</v>
      </c>
      <c r="BO71">
        <v>79.930000000000007</v>
      </c>
      <c r="BQ71" t="s">
        <v>380</v>
      </c>
      <c r="BR71" t="s">
        <v>84</v>
      </c>
      <c r="BS71" s="3">
        <v>45840</v>
      </c>
      <c r="BT71" s="4">
        <v>0.49583333333333335</v>
      </c>
      <c r="BU71" t="s">
        <v>381</v>
      </c>
      <c r="BV71" t="s">
        <v>98</v>
      </c>
      <c r="BY71">
        <v>1200</v>
      </c>
      <c r="BZ71" t="s">
        <v>89</v>
      </c>
      <c r="CA71" t="s">
        <v>382</v>
      </c>
      <c r="CC71" t="s">
        <v>136</v>
      </c>
      <c r="CD71">
        <v>3212</v>
      </c>
      <c r="CE71" t="s">
        <v>239</v>
      </c>
      <c r="CF71" s="3">
        <v>45840</v>
      </c>
      <c r="CI71">
        <v>2</v>
      </c>
      <c r="CJ71">
        <v>1</v>
      </c>
      <c r="CK71">
        <v>21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"080066276040"</f>
        <v>080066276040</v>
      </c>
      <c r="F72" s="3">
        <v>45839</v>
      </c>
      <c r="G72">
        <v>202604</v>
      </c>
      <c r="H72" t="s">
        <v>75</v>
      </c>
      <c r="I72" t="s">
        <v>76</v>
      </c>
      <c r="J72" t="s">
        <v>77</v>
      </c>
      <c r="K72" t="s">
        <v>78</v>
      </c>
      <c r="L72" t="s">
        <v>122</v>
      </c>
      <c r="M72" t="s">
        <v>123</v>
      </c>
      <c r="N72" t="s">
        <v>357</v>
      </c>
      <c r="O72" t="s">
        <v>82</v>
      </c>
      <c r="P72" t="str">
        <f>"4170046428                    "</f>
        <v xml:space="preserve">4170046428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20.9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69.5</v>
      </c>
      <c r="BM72">
        <v>10.43</v>
      </c>
      <c r="BN72">
        <v>79.930000000000007</v>
      </c>
      <c r="BO72">
        <v>79.930000000000007</v>
      </c>
      <c r="BQ72" t="s">
        <v>358</v>
      </c>
      <c r="BR72" t="s">
        <v>84</v>
      </c>
      <c r="BS72" s="3">
        <v>45840</v>
      </c>
      <c r="BT72" s="4">
        <v>0.64097222222222228</v>
      </c>
      <c r="BU72" t="s">
        <v>383</v>
      </c>
      <c r="BV72" t="s">
        <v>86</v>
      </c>
      <c r="BY72">
        <v>1200</v>
      </c>
      <c r="BZ72" t="s">
        <v>89</v>
      </c>
      <c r="CA72" t="s">
        <v>384</v>
      </c>
      <c r="CC72" t="s">
        <v>123</v>
      </c>
      <c r="CD72">
        <v>3610</v>
      </c>
      <c r="CE72" t="s">
        <v>239</v>
      </c>
      <c r="CI72">
        <v>1</v>
      </c>
      <c r="CJ72">
        <v>1</v>
      </c>
      <c r="CK72">
        <v>21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"080066276067"</f>
        <v>080066276067</v>
      </c>
      <c r="F73" s="3">
        <v>45839</v>
      </c>
      <c r="G73">
        <v>202604</v>
      </c>
      <c r="H73" t="s">
        <v>75</v>
      </c>
      <c r="I73" t="s">
        <v>76</v>
      </c>
      <c r="J73" t="s">
        <v>77</v>
      </c>
      <c r="K73" t="s">
        <v>78</v>
      </c>
      <c r="L73" t="s">
        <v>151</v>
      </c>
      <c r="M73" t="s">
        <v>152</v>
      </c>
      <c r="N73" t="s">
        <v>385</v>
      </c>
      <c r="O73" t="s">
        <v>82</v>
      </c>
      <c r="P73" t="str">
        <f>"4170046445                    "</f>
        <v xml:space="preserve">4170046445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20.9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69.5</v>
      </c>
      <c r="BM73">
        <v>10.43</v>
      </c>
      <c r="BN73">
        <v>79.930000000000007</v>
      </c>
      <c r="BO73">
        <v>79.930000000000007</v>
      </c>
      <c r="BQ73" t="s">
        <v>386</v>
      </c>
      <c r="BR73" t="s">
        <v>84</v>
      </c>
      <c r="BS73" s="3">
        <v>45840</v>
      </c>
      <c r="BT73" s="4">
        <v>0.40069444444444446</v>
      </c>
      <c r="BU73" t="s">
        <v>387</v>
      </c>
      <c r="BV73" t="s">
        <v>98</v>
      </c>
      <c r="BY73">
        <v>1200</v>
      </c>
      <c r="BZ73" t="s">
        <v>89</v>
      </c>
      <c r="CA73" t="s">
        <v>388</v>
      </c>
      <c r="CC73" t="s">
        <v>152</v>
      </c>
      <c r="CD73" s="5" t="s">
        <v>389</v>
      </c>
      <c r="CE73" t="s">
        <v>239</v>
      </c>
      <c r="CF73" s="3">
        <v>45840</v>
      </c>
      <c r="CI73">
        <v>1</v>
      </c>
      <c r="CJ73">
        <v>1</v>
      </c>
      <c r="CK73">
        <v>21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"080066276092"</f>
        <v>080066276092</v>
      </c>
      <c r="F74" s="3">
        <v>45839</v>
      </c>
      <c r="G74">
        <v>202604</v>
      </c>
      <c r="H74" t="s">
        <v>75</v>
      </c>
      <c r="I74" t="s">
        <v>76</v>
      </c>
      <c r="J74" t="s">
        <v>77</v>
      </c>
      <c r="K74" t="s">
        <v>78</v>
      </c>
      <c r="L74" t="s">
        <v>168</v>
      </c>
      <c r="M74" t="s">
        <v>169</v>
      </c>
      <c r="N74" t="s">
        <v>202</v>
      </c>
      <c r="O74" t="s">
        <v>82</v>
      </c>
      <c r="P74" t="str">
        <f>"4170046436                    "</f>
        <v xml:space="preserve">4170046436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20.9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69.5</v>
      </c>
      <c r="BM74">
        <v>10.43</v>
      </c>
      <c r="BN74">
        <v>79.930000000000007</v>
      </c>
      <c r="BO74">
        <v>79.930000000000007</v>
      </c>
      <c r="BQ74" t="s">
        <v>203</v>
      </c>
      <c r="BR74" t="s">
        <v>84</v>
      </c>
      <c r="BS74" s="3">
        <v>45840</v>
      </c>
      <c r="BT74" s="4">
        <v>0.36527777777777776</v>
      </c>
      <c r="BU74" t="s">
        <v>204</v>
      </c>
      <c r="BV74" t="s">
        <v>98</v>
      </c>
      <c r="BY74">
        <v>1200</v>
      </c>
      <c r="BZ74" t="s">
        <v>89</v>
      </c>
      <c r="CA74" t="s">
        <v>205</v>
      </c>
      <c r="CC74" t="s">
        <v>169</v>
      </c>
      <c r="CD74">
        <v>6001</v>
      </c>
      <c r="CE74" t="s">
        <v>239</v>
      </c>
      <c r="CF74" s="3">
        <v>45840</v>
      </c>
      <c r="CI74">
        <v>1</v>
      </c>
      <c r="CJ74">
        <v>1</v>
      </c>
      <c r="CK74">
        <v>21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"080066276132"</f>
        <v>080066276132</v>
      </c>
      <c r="F75" s="3">
        <v>45839</v>
      </c>
      <c r="G75">
        <v>202604</v>
      </c>
      <c r="H75" t="s">
        <v>75</v>
      </c>
      <c r="I75" t="s">
        <v>76</v>
      </c>
      <c r="J75" t="s">
        <v>77</v>
      </c>
      <c r="K75" t="s">
        <v>78</v>
      </c>
      <c r="L75" t="s">
        <v>390</v>
      </c>
      <c r="M75" t="s">
        <v>391</v>
      </c>
      <c r="N75" t="s">
        <v>392</v>
      </c>
      <c r="O75" t="s">
        <v>82</v>
      </c>
      <c r="P75" t="str">
        <f>"4170046429                    "</f>
        <v xml:space="preserve">4170046429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16.32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54.28</v>
      </c>
      <c r="BM75">
        <v>8.14</v>
      </c>
      <c r="BN75">
        <v>62.42</v>
      </c>
      <c r="BO75">
        <v>62.42</v>
      </c>
      <c r="BQ75" t="s">
        <v>393</v>
      </c>
      <c r="BR75" t="s">
        <v>84</v>
      </c>
      <c r="BS75" s="3">
        <v>45841</v>
      </c>
      <c r="BT75" s="4">
        <v>0.41249999999999998</v>
      </c>
      <c r="BU75" t="s">
        <v>394</v>
      </c>
      <c r="BV75" t="s">
        <v>86</v>
      </c>
      <c r="BW75" t="s">
        <v>395</v>
      </c>
      <c r="BX75" t="s">
        <v>396</v>
      </c>
      <c r="BY75">
        <v>1200</v>
      </c>
      <c r="BZ75" t="s">
        <v>89</v>
      </c>
      <c r="CA75" t="s">
        <v>397</v>
      </c>
      <c r="CC75" t="s">
        <v>391</v>
      </c>
      <c r="CD75">
        <v>1724</v>
      </c>
      <c r="CE75" t="s">
        <v>239</v>
      </c>
      <c r="CF75" s="3">
        <v>45842</v>
      </c>
      <c r="CI75">
        <v>1</v>
      </c>
      <c r="CJ75">
        <v>2</v>
      </c>
      <c r="CK75">
        <v>22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"080066276194"</f>
        <v>080066276194</v>
      </c>
      <c r="F76" s="3">
        <v>45839</v>
      </c>
      <c r="G76">
        <v>202604</v>
      </c>
      <c r="H76" t="s">
        <v>75</v>
      </c>
      <c r="I76" t="s">
        <v>76</v>
      </c>
      <c r="J76" t="s">
        <v>77</v>
      </c>
      <c r="K76" t="s">
        <v>78</v>
      </c>
      <c r="L76" t="s">
        <v>398</v>
      </c>
      <c r="M76" t="s">
        <v>399</v>
      </c>
      <c r="N76" t="s">
        <v>400</v>
      </c>
      <c r="O76" t="s">
        <v>82</v>
      </c>
      <c r="P76" t="str">
        <f>"4170046431                    "</f>
        <v xml:space="preserve">4170046431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16.32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54.28</v>
      </c>
      <c r="BM76">
        <v>8.14</v>
      </c>
      <c r="BN76">
        <v>62.42</v>
      </c>
      <c r="BO76">
        <v>62.42</v>
      </c>
      <c r="BQ76" t="s">
        <v>401</v>
      </c>
      <c r="BR76" t="s">
        <v>84</v>
      </c>
      <c r="BS76" s="3">
        <v>45840</v>
      </c>
      <c r="BT76" s="4">
        <v>0.39583333333333331</v>
      </c>
      <c r="BU76" t="s">
        <v>402</v>
      </c>
      <c r="BV76" t="s">
        <v>98</v>
      </c>
      <c r="BY76">
        <v>1200</v>
      </c>
      <c r="BZ76" t="s">
        <v>89</v>
      </c>
      <c r="CC76" t="s">
        <v>399</v>
      </c>
      <c r="CD76">
        <v>1502</v>
      </c>
      <c r="CE76" t="s">
        <v>239</v>
      </c>
      <c r="CF76" s="3">
        <v>45840</v>
      </c>
      <c r="CI76">
        <v>1</v>
      </c>
      <c r="CJ76">
        <v>1</v>
      </c>
      <c r="CK76">
        <v>22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"080066276522"</f>
        <v>080066276522</v>
      </c>
      <c r="F77" s="3">
        <v>45839</v>
      </c>
      <c r="G77">
        <v>202604</v>
      </c>
      <c r="H77" t="s">
        <v>75</v>
      </c>
      <c r="I77" t="s">
        <v>76</v>
      </c>
      <c r="J77" t="s">
        <v>77</v>
      </c>
      <c r="K77" t="s">
        <v>78</v>
      </c>
      <c r="L77" t="s">
        <v>240</v>
      </c>
      <c r="M77" t="s">
        <v>241</v>
      </c>
      <c r="N77" t="s">
        <v>403</v>
      </c>
      <c r="O77" t="s">
        <v>82</v>
      </c>
      <c r="P77" t="str">
        <f>"4170046449                    "</f>
        <v xml:space="preserve">4170046449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16.32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54.28</v>
      </c>
      <c r="BM77">
        <v>8.14</v>
      </c>
      <c r="BN77">
        <v>62.42</v>
      </c>
      <c r="BO77">
        <v>62.42</v>
      </c>
      <c r="BQ77" t="s">
        <v>404</v>
      </c>
      <c r="BR77" t="s">
        <v>84</v>
      </c>
      <c r="BS77" s="3">
        <v>45840</v>
      </c>
      <c r="BT77" s="4">
        <v>0.41666666666666669</v>
      </c>
      <c r="BU77" t="s">
        <v>405</v>
      </c>
      <c r="BV77" t="s">
        <v>98</v>
      </c>
      <c r="BY77">
        <v>1200</v>
      </c>
      <c r="BZ77" t="s">
        <v>89</v>
      </c>
      <c r="CA77" t="s">
        <v>245</v>
      </c>
      <c r="CC77" t="s">
        <v>241</v>
      </c>
      <c r="CD77">
        <v>2013</v>
      </c>
      <c r="CE77" t="s">
        <v>239</v>
      </c>
      <c r="CF77" s="3">
        <v>45841</v>
      </c>
      <c r="CI77">
        <v>1</v>
      </c>
      <c r="CJ77">
        <v>1</v>
      </c>
      <c r="CK77">
        <v>22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"080066276525"</f>
        <v>080066276525</v>
      </c>
      <c r="F78" s="3">
        <v>45839</v>
      </c>
      <c r="G78">
        <v>202604</v>
      </c>
      <c r="H78" t="s">
        <v>75</v>
      </c>
      <c r="I78" t="s">
        <v>76</v>
      </c>
      <c r="J78" t="s">
        <v>77</v>
      </c>
      <c r="K78" t="s">
        <v>78</v>
      </c>
      <c r="L78" t="s">
        <v>79</v>
      </c>
      <c r="M78" t="s">
        <v>80</v>
      </c>
      <c r="N78" t="s">
        <v>286</v>
      </c>
      <c r="O78" t="s">
        <v>82</v>
      </c>
      <c r="P78" t="str">
        <f>"4170046374                    "</f>
        <v xml:space="preserve">4170046374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26.12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2.2000000000000002</v>
      </c>
      <c r="BK78">
        <v>2.5</v>
      </c>
      <c r="BL78">
        <v>86.86</v>
      </c>
      <c r="BM78">
        <v>13.03</v>
      </c>
      <c r="BN78">
        <v>99.89</v>
      </c>
      <c r="BO78">
        <v>99.89</v>
      </c>
      <c r="BQ78" t="s">
        <v>287</v>
      </c>
      <c r="BR78" t="s">
        <v>84</v>
      </c>
      <c r="BS78" s="3">
        <v>45840</v>
      </c>
      <c r="BT78" s="4">
        <v>0.3298611111111111</v>
      </c>
      <c r="BU78" t="s">
        <v>288</v>
      </c>
      <c r="BV78" t="s">
        <v>98</v>
      </c>
      <c r="BY78">
        <v>10752</v>
      </c>
      <c r="BZ78" t="s">
        <v>89</v>
      </c>
      <c r="CA78" t="s">
        <v>289</v>
      </c>
      <c r="CC78" t="s">
        <v>80</v>
      </c>
      <c r="CD78">
        <v>7530</v>
      </c>
      <c r="CE78" t="s">
        <v>91</v>
      </c>
      <c r="CF78" s="3">
        <v>45841</v>
      </c>
      <c r="CI78">
        <v>1</v>
      </c>
      <c r="CJ78">
        <v>1</v>
      </c>
      <c r="CK78">
        <v>21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"080066276558"</f>
        <v>080066276558</v>
      </c>
      <c r="F79" s="3">
        <v>45839</v>
      </c>
      <c r="G79">
        <v>202604</v>
      </c>
      <c r="H79" t="s">
        <v>75</v>
      </c>
      <c r="I79" t="s">
        <v>76</v>
      </c>
      <c r="J79" t="s">
        <v>77</v>
      </c>
      <c r="K79" t="s">
        <v>78</v>
      </c>
      <c r="L79" t="s">
        <v>406</v>
      </c>
      <c r="M79" t="s">
        <v>407</v>
      </c>
      <c r="N79" t="s">
        <v>408</v>
      </c>
      <c r="O79" t="s">
        <v>82</v>
      </c>
      <c r="P79" t="str">
        <f>"4170046394                    "</f>
        <v xml:space="preserve">4170046394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40.49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134.65</v>
      </c>
      <c r="BM79">
        <v>20.2</v>
      </c>
      <c r="BN79">
        <v>154.85</v>
      </c>
      <c r="BO79">
        <v>154.85</v>
      </c>
      <c r="BQ79" t="s">
        <v>409</v>
      </c>
      <c r="BR79" t="s">
        <v>84</v>
      </c>
      <c r="BS79" s="3">
        <v>45840</v>
      </c>
      <c r="BT79" s="4">
        <v>0.52013888888888893</v>
      </c>
      <c r="BU79" t="s">
        <v>410</v>
      </c>
      <c r="BV79" t="s">
        <v>98</v>
      </c>
      <c r="BY79">
        <v>1200</v>
      </c>
      <c r="BZ79" t="s">
        <v>89</v>
      </c>
      <c r="CA79" t="s">
        <v>411</v>
      </c>
      <c r="CC79" t="s">
        <v>407</v>
      </c>
      <c r="CD79">
        <v>4420</v>
      </c>
      <c r="CE79" t="s">
        <v>239</v>
      </c>
      <c r="CF79" s="3">
        <v>45841</v>
      </c>
      <c r="CI79">
        <v>1</v>
      </c>
      <c r="CJ79">
        <v>1</v>
      </c>
      <c r="CK79">
        <v>23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"080066276570"</f>
        <v>080066276570</v>
      </c>
      <c r="F80" s="3">
        <v>45839</v>
      </c>
      <c r="G80">
        <v>202604</v>
      </c>
      <c r="H80" t="s">
        <v>75</v>
      </c>
      <c r="I80" t="s">
        <v>76</v>
      </c>
      <c r="J80" t="s">
        <v>77</v>
      </c>
      <c r="K80" t="s">
        <v>78</v>
      </c>
      <c r="L80" t="s">
        <v>168</v>
      </c>
      <c r="M80" t="s">
        <v>169</v>
      </c>
      <c r="N80" t="s">
        <v>206</v>
      </c>
      <c r="O80" t="s">
        <v>82</v>
      </c>
      <c r="P80" t="str">
        <f>"4170046425                    "</f>
        <v xml:space="preserve">4170046425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93.98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7</v>
      </c>
      <c r="BJ80">
        <v>8.9</v>
      </c>
      <c r="BK80">
        <v>9</v>
      </c>
      <c r="BL80">
        <v>312.54000000000002</v>
      </c>
      <c r="BM80">
        <v>46.88</v>
      </c>
      <c r="BN80">
        <v>359.42</v>
      </c>
      <c r="BO80">
        <v>359.42</v>
      </c>
      <c r="BQ80" t="s">
        <v>207</v>
      </c>
      <c r="BR80" t="s">
        <v>84</v>
      </c>
      <c r="BS80" s="3">
        <v>45840</v>
      </c>
      <c r="BT80" s="4">
        <v>0.40347222222222223</v>
      </c>
      <c r="BU80" t="s">
        <v>290</v>
      </c>
      <c r="BV80" t="s">
        <v>98</v>
      </c>
      <c r="BY80">
        <v>44640</v>
      </c>
      <c r="BZ80" t="s">
        <v>89</v>
      </c>
      <c r="CA80" t="s">
        <v>196</v>
      </c>
      <c r="CC80" t="s">
        <v>169</v>
      </c>
      <c r="CD80">
        <v>6001</v>
      </c>
      <c r="CE80" t="s">
        <v>117</v>
      </c>
      <c r="CF80" s="3">
        <v>45840</v>
      </c>
      <c r="CI80">
        <v>1</v>
      </c>
      <c r="CJ80">
        <v>1</v>
      </c>
      <c r="CK80">
        <v>21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"080066276579"</f>
        <v>080066276579</v>
      </c>
      <c r="F81" s="3">
        <v>45839</v>
      </c>
      <c r="G81">
        <v>202604</v>
      </c>
      <c r="H81" t="s">
        <v>75</v>
      </c>
      <c r="I81" t="s">
        <v>76</v>
      </c>
      <c r="J81" t="s">
        <v>77</v>
      </c>
      <c r="K81" t="s">
        <v>78</v>
      </c>
      <c r="L81" t="s">
        <v>168</v>
      </c>
      <c r="M81" t="s">
        <v>169</v>
      </c>
      <c r="N81" t="s">
        <v>412</v>
      </c>
      <c r="O81" t="s">
        <v>82</v>
      </c>
      <c r="P81" t="str">
        <f>"4170046453                    "</f>
        <v xml:space="preserve">4170046453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20.9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69.5</v>
      </c>
      <c r="BM81">
        <v>10.43</v>
      </c>
      <c r="BN81">
        <v>79.930000000000007</v>
      </c>
      <c r="BO81">
        <v>79.930000000000007</v>
      </c>
      <c r="BQ81" t="s">
        <v>413</v>
      </c>
      <c r="BR81" t="s">
        <v>84</v>
      </c>
      <c r="BS81" s="3">
        <v>45840</v>
      </c>
      <c r="BT81" s="4">
        <v>0.35347222222222224</v>
      </c>
      <c r="BU81" t="s">
        <v>414</v>
      </c>
      <c r="BV81" t="s">
        <v>98</v>
      </c>
      <c r="BY81">
        <v>1200</v>
      </c>
      <c r="BZ81" t="s">
        <v>89</v>
      </c>
      <c r="CA81" t="s">
        <v>415</v>
      </c>
      <c r="CC81" t="s">
        <v>169</v>
      </c>
      <c r="CD81">
        <v>6001</v>
      </c>
      <c r="CE81" t="s">
        <v>239</v>
      </c>
      <c r="CF81" s="3">
        <v>45840</v>
      </c>
      <c r="CI81">
        <v>1</v>
      </c>
      <c r="CJ81">
        <v>1</v>
      </c>
      <c r="CK81">
        <v>21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"080066276601"</f>
        <v>080066276601</v>
      </c>
      <c r="F82" s="3">
        <v>45839</v>
      </c>
      <c r="G82">
        <v>202604</v>
      </c>
      <c r="H82" t="s">
        <v>75</v>
      </c>
      <c r="I82" t="s">
        <v>76</v>
      </c>
      <c r="J82" t="s">
        <v>77</v>
      </c>
      <c r="K82" t="s">
        <v>78</v>
      </c>
      <c r="L82" t="s">
        <v>135</v>
      </c>
      <c r="M82" t="s">
        <v>136</v>
      </c>
      <c r="N82" t="s">
        <v>416</v>
      </c>
      <c r="O82" t="s">
        <v>82</v>
      </c>
      <c r="P82" t="str">
        <f>"4170046442                    "</f>
        <v xml:space="preserve">4170046442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20.9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69.5</v>
      </c>
      <c r="BM82">
        <v>10.43</v>
      </c>
      <c r="BN82">
        <v>79.930000000000007</v>
      </c>
      <c r="BO82">
        <v>79.930000000000007</v>
      </c>
      <c r="BQ82" t="s">
        <v>417</v>
      </c>
      <c r="BR82" t="s">
        <v>84</v>
      </c>
      <c r="BS82" s="3">
        <v>45840</v>
      </c>
      <c r="BT82" s="4">
        <v>0.41666666666666669</v>
      </c>
      <c r="BU82" t="s">
        <v>418</v>
      </c>
      <c r="BV82" t="s">
        <v>98</v>
      </c>
      <c r="BY82">
        <v>1200</v>
      </c>
      <c r="BZ82" t="s">
        <v>89</v>
      </c>
      <c r="CA82" t="s">
        <v>419</v>
      </c>
      <c r="CC82" t="s">
        <v>136</v>
      </c>
      <c r="CD82">
        <v>3201</v>
      </c>
      <c r="CE82" t="s">
        <v>239</v>
      </c>
      <c r="CF82" s="3">
        <v>45841</v>
      </c>
      <c r="CI82">
        <v>1</v>
      </c>
      <c r="CJ82">
        <v>1</v>
      </c>
      <c r="CK82">
        <v>21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"080066276603"</f>
        <v>080066276603</v>
      </c>
      <c r="F83" s="3">
        <v>45839</v>
      </c>
      <c r="G83">
        <v>202604</v>
      </c>
      <c r="H83" t="s">
        <v>75</v>
      </c>
      <c r="I83" t="s">
        <v>76</v>
      </c>
      <c r="J83" t="s">
        <v>77</v>
      </c>
      <c r="K83" t="s">
        <v>78</v>
      </c>
      <c r="L83" t="s">
        <v>168</v>
      </c>
      <c r="M83" t="s">
        <v>169</v>
      </c>
      <c r="N83" t="s">
        <v>420</v>
      </c>
      <c r="O83" t="s">
        <v>82</v>
      </c>
      <c r="P83" t="str">
        <f>"4170046405                    "</f>
        <v xml:space="preserve">4170046405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41.78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4</v>
      </c>
      <c r="BJ83">
        <v>1.9</v>
      </c>
      <c r="BK83">
        <v>4</v>
      </c>
      <c r="BL83">
        <v>138.94</v>
      </c>
      <c r="BM83">
        <v>20.84</v>
      </c>
      <c r="BN83">
        <v>159.78</v>
      </c>
      <c r="BO83">
        <v>159.78</v>
      </c>
      <c r="BQ83" t="s">
        <v>421</v>
      </c>
      <c r="BR83" t="s">
        <v>84</v>
      </c>
      <c r="BS83" s="3">
        <v>45840</v>
      </c>
      <c r="BT83" s="4">
        <v>0.42083333333333334</v>
      </c>
      <c r="BU83" t="s">
        <v>422</v>
      </c>
      <c r="BV83" t="s">
        <v>98</v>
      </c>
      <c r="BY83">
        <v>9600</v>
      </c>
      <c r="BZ83" t="s">
        <v>89</v>
      </c>
      <c r="CA83" t="s">
        <v>423</v>
      </c>
      <c r="CC83" t="s">
        <v>169</v>
      </c>
      <c r="CD83">
        <v>6001</v>
      </c>
      <c r="CE83" t="s">
        <v>117</v>
      </c>
      <c r="CF83" s="3">
        <v>45840</v>
      </c>
      <c r="CI83">
        <v>1</v>
      </c>
      <c r="CJ83">
        <v>1</v>
      </c>
      <c r="CK83">
        <v>21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"080066276629"</f>
        <v>080066276629</v>
      </c>
      <c r="F84" s="3">
        <v>45839</v>
      </c>
      <c r="G84">
        <v>202604</v>
      </c>
      <c r="H84" t="s">
        <v>75</v>
      </c>
      <c r="I84" t="s">
        <v>76</v>
      </c>
      <c r="J84" t="s">
        <v>77</v>
      </c>
      <c r="K84" t="s">
        <v>78</v>
      </c>
      <c r="L84" t="s">
        <v>295</v>
      </c>
      <c r="M84" t="s">
        <v>296</v>
      </c>
      <c r="N84" t="s">
        <v>297</v>
      </c>
      <c r="O84" t="s">
        <v>82</v>
      </c>
      <c r="P84" t="str">
        <f>"4170046465                    "</f>
        <v xml:space="preserve">4170046465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0</v>
      </c>
      <c r="BM84">
        <v>0</v>
      </c>
      <c r="BN84">
        <v>0</v>
      </c>
      <c r="BO84">
        <v>0</v>
      </c>
      <c r="BQ84" t="s">
        <v>298</v>
      </c>
      <c r="BR84" t="s">
        <v>84</v>
      </c>
      <c r="BS84" s="3">
        <v>45839</v>
      </c>
      <c r="BT84" s="4">
        <v>0.56319444444444444</v>
      </c>
      <c r="BU84" t="s">
        <v>424</v>
      </c>
      <c r="BV84" t="s">
        <v>98</v>
      </c>
      <c r="BY84">
        <v>1200</v>
      </c>
      <c r="BZ84" t="s">
        <v>425</v>
      </c>
      <c r="CA84" t="s">
        <v>426</v>
      </c>
      <c r="CC84" t="s">
        <v>296</v>
      </c>
      <c r="CD84">
        <v>1459</v>
      </c>
      <c r="CE84" t="s">
        <v>239</v>
      </c>
      <c r="CF84" s="3">
        <v>45847</v>
      </c>
      <c r="CI84">
        <v>1</v>
      </c>
      <c r="CJ84">
        <v>0</v>
      </c>
      <c r="CK84">
        <v>-1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"080066276650"</f>
        <v>080066276650</v>
      </c>
      <c r="F85" s="3">
        <v>45839</v>
      </c>
      <c r="G85">
        <v>202604</v>
      </c>
      <c r="H85" t="s">
        <v>75</v>
      </c>
      <c r="I85" t="s">
        <v>76</v>
      </c>
      <c r="J85" t="s">
        <v>77</v>
      </c>
      <c r="K85" t="s">
        <v>78</v>
      </c>
      <c r="L85" t="s">
        <v>79</v>
      </c>
      <c r="M85" t="s">
        <v>80</v>
      </c>
      <c r="N85" t="s">
        <v>141</v>
      </c>
      <c r="O85" t="s">
        <v>82</v>
      </c>
      <c r="P85" t="str">
        <f>"4170046362                    "</f>
        <v xml:space="preserve">4170046362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52.22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5</v>
      </c>
      <c r="BJ85">
        <v>1.7</v>
      </c>
      <c r="BK85">
        <v>5</v>
      </c>
      <c r="BL85">
        <v>173.66</v>
      </c>
      <c r="BM85">
        <v>26.05</v>
      </c>
      <c r="BN85">
        <v>199.71</v>
      </c>
      <c r="BO85">
        <v>199.71</v>
      </c>
      <c r="BQ85" t="s">
        <v>142</v>
      </c>
      <c r="BR85" t="s">
        <v>84</v>
      </c>
      <c r="BS85" s="3">
        <v>45840</v>
      </c>
      <c r="BT85" s="4">
        <v>0.40902777777777777</v>
      </c>
      <c r="BU85" t="s">
        <v>356</v>
      </c>
      <c r="BV85" t="s">
        <v>98</v>
      </c>
      <c r="BY85">
        <v>8512</v>
      </c>
      <c r="BZ85" t="s">
        <v>89</v>
      </c>
      <c r="CA85" t="s">
        <v>144</v>
      </c>
      <c r="CC85" t="s">
        <v>80</v>
      </c>
      <c r="CD85">
        <v>7441</v>
      </c>
      <c r="CE85" t="s">
        <v>117</v>
      </c>
      <c r="CF85" s="3">
        <v>45841</v>
      </c>
      <c r="CI85">
        <v>1</v>
      </c>
      <c r="CJ85">
        <v>1</v>
      </c>
      <c r="CK85">
        <v>21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"080066276664"</f>
        <v>080066276664</v>
      </c>
      <c r="F86" s="3">
        <v>45839</v>
      </c>
      <c r="G86">
        <v>202604</v>
      </c>
      <c r="H86" t="s">
        <v>75</v>
      </c>
      <c r="I86" t="s">
        <v>76</v>
      </c>
      <c r="J86" t="s">
        <v>77</v>
      </c>
      <c r="K86" t="s">
        <v>78</v>
      </c>
      <c r="L86" t="s">
        <v>427</v>
      </c>
      <c r="M86" t="s">
        <v>428</v>
      </c>
      <c r="N86" t="s">
        <v>429</v>
      </c>
      <c r="O86" t="s">
        <v>82</v>
      </c>
      <c r="P86" t="str">
        <f>"4170046454                    "</f>
        <v xml:space="preserve">4170046454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40.49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134.65</v>
      </c>
      <c r="BM86">
        <v>20.2</v>
      </c>
      <c r="BN86">
        <v>154.85</v>
      </c>
      <c r="BO86">
        <v>154.85</v>
      </c>
      <c r="BQ86" t="s">
        <v>430</v>
      </c>
      <c r="BR86" t="s">
        <v>84</v>
      </c>
      <c r="BS86" s="3">
        <v>45840</v>
      </c>
      <c r="BT86" s="4">
        <v>0.61319444444444449</v>
      </c>
      <c r="BU86" t="s">
        <v>431</v>
      </c>
      <c r="BV86" t="s">
        <v>98</v>
      </c>
      <c r="BY86">
        <v>1200</v>
      </c>
      <c r="BZ86" t="s">
        <v>89</v>
      </c>
      <c r="CA86" t="s">
        <v>432</v>
      </c>
      <c r="CC86" t="s">
        <v>428</v>
      </c>
      <c r="CD86">
        <v>9880</v>
      </c>
      <c r="CE86" t="s">
        <v>239</v>
      </c>
      <c r="CF86" s="3">
        <v>45840</v>
      </c>
      <c r="CI86">
        <v>1</v>
      </c>
      <c r="CJ86">
        <v>1</v>
      </c>
      <c r="CK86">
        <v>23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"080066276764"</f>
        <v>080066276764</v>
      </c>
      <c r="F87" s="3">
        <v>45839</v>
      </c>
      <c r="G87">
        <v>202604</v>
      </c>
      <c r="H87" t="s">
        <v>75</v>
      </c>
      <c r="I87" t="s">
        <v>76</v>
      </c>
      <c r="J87" t="s">
        <v>77</v>
      </c>
      <c r="K87" t="s">
        <v>78</v>
      </c>
      <c r="L87" t="s">
        <v>295</v>
      </c>
      <c r="M87" t="s">
        <v>296</v>
      </c>
      <c r="N87" t="s">
        <v>433</v>
      </c>
      <c r="O87" t="s">
        <v>82</v>
      </c>
      <c r="P87" t="str">
        <f>"4170046448                    "</f>
        <v xml:space="preserve">4170046448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0</v>
      </c>
      <c r="BM87">
        <v>0</v>
      </c>
      <c r="BN87">
        <v>0</v>
      </c>
      <c r="BO87">
        <v>0</v>
      </c>
      <c r="BQ87" t="s">
        <v>434</v>
      </c>
      <c r="BR87" t="s">
        <v>84</v>
      </c>
      <c r="BS87" s="3">
        <v>45839</v>
      </c>
      <c r="BT87" s="4">
        <v>0.62708333333333333</v>
      </c>
      <c r="BU87" t="s">
        <v>435</v>
      </c>
      <c r="BV87" t="s">
        <v>98</v>
      </c>
      <c r="BY87">
        <v>1200</v>
      </c>
      <c r="BZ87" t="s">
        <v>425</v>
      </c>
      <c r="CA87" t="s">
        <v>436</v>
      </c>
      <c r="CC87" t="s">
        <v>296</v>
      </c>
      <c r="CD87">
        <v>1459</v>
      </c>
      <c r="CE87" t="s">
        <v>239</v>
      </c>
      <c r="CF87" s="3">
        <v>45847</v>
      </c>
      <c r="CI87">
        <v>1</v>
      </c>
      <c r="CJ87">
        <v>0</v>
      </c>
      <c r="CK87">
        <v>-1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"080066276787"</f>
        <v>080066276787</v>
      </c>
      <c r="F88" s="3">
        <v>45839</v>
      </c>
      <c r="G88">
        <v>202604</v>
      </c>
      <c r="H88" t="s">
        <v>75</v>
      </c>
      <c r="I88" t="s">
        <v>76</v>
      </c>
      <c r="J88" t="s">
        <v>77</v>
      </c>
      <c r="K88" t="s">
        <v>78</v>
      </c>
      <c r="L88" t="s">
        <v>168</v>
      </c>
      <c r="M88" t="s">
        <v>169</v>
      </c>
      <c r="N88" t="s">
        <v>412</v>
      </c>
      <c r="O88" t="s">
        <v>82</v>
      </c>
      <c r="P88" t="str">
        <f>"4170046451                    "</f>
        <v xml:space="preserve">4170046451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20.9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69.5</v>
      </c>
      <c r="BM88">
        <v>10.43</v>
      </c>
      <c r="BN88">
        <v>79.930000000000007</v>
      </c>
      <c r="BO88">
        <v>79.930000000000007</v>
      </c>
      <c r="BQ88" t="s">
        <v>413</v>
      </c>
      <c r="BR88" t="s">
        <v>84</v>
      </c>
      <c r="BS88" s="3">
        <v>45840</v>
      </c>
      <c r="BT88" s="4">
        <v>0.3527777777777778</v>
      </c>
      <c r="BU88" t="s">
        <v>437</v>
      </c>
      <c r="BV88" t="s">
        <v>98</v>
      </c>
      <c r="BY88">
        <v>1200</v>
      </c>
      <c r="BZ88" t="s">
        <v>89</v>
      </c>
      <c r="CA88" t="s">
        <v>415</v>
      </c>
      <c r="CC88" t="s">
        <v>169</v>
      </c>
      <c r="CD88">
        <v>6001</v>
      </c>
      <c r="CE88" t="s">
        <v>239</v>
      </c>
      <c r="CF88" s="3">
        <v>45840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"080066276812"</f>
        <v>080066276812</v>
      </c>
      <c r="F89" s="3">
        <v>45839</v>
      </c>
      <c r="G89">
        <v>202604</v>
      </c>
      <c r="H89" t="s">
        <v>75</v>
      </c>
      <c r="I89" t="s">
        <v>76</v>
      </c>
      <c r="J89" t="s">
        <v>77</v>
      </c>
      <c r="K89" t="s">
        <v>78</v>
      </c>
      <c r="L89" t="s">
        <v>168</v>
      </c>
      <c r="M89" t="s">
        <v>169</v>
      </c>
      <c r="N89" t="s">
        <v>438</v>
      </c>
      <c r="O89" t="s">
        <v>82</v>
      </c>
      <c r="P89" t="str">
        <f>"4170046441                    "</f>
        <v xml:space="preserve">4170046441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20.9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69.5</v>
      </c>
      <c r="BM89">
        <v>10.43</v>
      </c>
      <c r="BN89">
        <v>79.930000000000007</v>
      </c>
      <c r="BO89">
        <v>79.930000000000007</v>
      </c>
      <c r="BQ89" t="s">
        <v>439</v>
      </c>
      <c r="BR89" t="s">
        <v>84</v>
      </c>
      <c r="BS89" s="3">
        <v>45840</v>
      </c>
      <c r="BT89" s="4">
        <v>0.42708333333333331</v>
      </c>
      <c r="BU89" t="s">
        <v>440</v>
      </c>
      <c r="BV89" t="s">
        <v>98</v>
      </c>
      <c r="BY89">
        <v>1200</v>
      </c>
      <c r="BZ89" t="s">
        <v>89</v>
      </c>
      <c r="CA89" t="s">
        <v>423</v>
      </c>
      <c r="CC89" t="s">
        <v>169</v>
      </c>
      <c r="CD89">
        <v>6001</v>
      </c>
      <c r="CE89" t="s">
        <v>239</v>
      </c>
      <c r="CF89" s="3">
        <v>45840</v>
      </c>
      <c r="CI89">
        <v>1</v>
      </c>
      <c r="CJ89">
        <v>1</v>
      </c>
      <c r="CK89">
        <v>21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"080066276845"</f>
        <v>080066276845</v>
      </c>
      <c r="F90" s="3">
        <v>45839</v>
      </c>
      <c r="G90">
        <v>202604</v>
      </c>
      <c r="H90" t="s">
        <v>75</v>
      </c>
      <c r="I90" t="s">
        <v>76</v>
      </c>
      <c r="J90" t="s">
        <v>77</v>
      </c>
      <c r="K90" t="s">
        <v>78</v>
      </c>
      <c r="L90" t="s">
        <v>441</v>
      </c>
      <c r="M90" t="s">
        <v>442</v>
      </c>
      <c r="N90" t="s">
        <v>443</v>
      </c>
      <c r="O90" t="s">
        <v>82</v>
      </c>
      <c r="P90" t="str">
        <f>"4170046444                    "</f>
        <v xml:space="preserve">4170046444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77.06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4</v>
      </c>
      <c r="BJ90">
        <v>1.7</v>
      </c>
      <c r="BK90">
        <v>4</v>
      </c>
      <c r="BL90">
        <v>256.26</v>
      </c>
      <c r="BM90">
        <v>38.44</v>
      </c>
      <c r="BN90">
        <v>294.7</v>
      </c>
      <c r="BO90">
        <v>294.7</v>
      </c>
      <c r="BQ90" t="s">
        <v>444</v>
      </c>
      <c r="BR90" t="s">
        <v>84</v>
      </c>
      <c r="BS90" s="3">
        <v>45841</v>
      </c>
      <c r="BT90" s="4">
        <v>0.61250000000000004</v>
      </c>
      <c r="BU90" t="s">
        <v>445</v>
      </c>
      <c r="BV90" t="s">
        <v>98</v>
      </c>
      <c r="BY90">
        <v>8512</v>
      </c>
      <c r="BZ90" t="s">
        <v>89</v>
      </c>
      <c r="CA90" t="s">
        <v>446</v>
      </c>
      <c r="CC90" t="s">
        <v>442</v>
      </c>
      <c r="CD90">
        <v>7185</v>
      </c>
      <c r="CE90" t="s">
        <v>117</v>
      </c>
      <c r="CF90" s="3">
        <v>45842</v>
      </c>
      <c r="CI90">
        <v>2</v>
      </c>
      <c r="CJ90">
        <v>2</v>
      </c>
      <c r="CK90">
        <v>23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"080066276867"</f>
        <v>080066276867</v>
      </c>
      <c r="F91" s="3">
        <v>45839</v>
      </c>
      <c r="G91">
        <v>202604</v>
      </c>
      <c r="H91" t="s">
        <v>75</v>
      </c>
      <c r="I91" t="s">
        <v>76</v>
      </c>
      <c r="J91" t="s">
        <v>77</v>
      </c>
      <c r="K91" t="s">
        <v>78</v>
      </c>
      <c r="L91" t="s">
        <v>240</v>
      </c>
      <c r="M91" t="s">
        <v>241</v>
      </c>
      <c r="N91" t="s">
        <v>447</v>
      </c>
      <c r="O91" t="s">
        <v>82</v>
      </c>
      <c r="P91" t="str">
        <f>"4170046455                    "</f>
        <v xml:space="preserve">4170046455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16.32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1.7</v>
      </c>
      <c r="BK91">
        <v>2</v>
      </c>
      <c r="BL91">
        <v>54.28</v>
      </c>
      <c r="BM91">
        <v>8.14</v>
      </c>
      <c r="BN91">
        <v>62.42</v>
      </c>
      <c r="BO91">
        <v>62.42</v>
      </c>
      <c r="BQ91" t="s">
        <v>448</v>
      </c>
      <c r="BR91" t="s">
        <v>84</v>
      </c>
      <c r="BS91" s="3">
        <v>45840</v>
      </c>
      <c r="BT91" s="4">
        <v>0.44444444444444442</v>
      </c>
      <c r="BU91" t="s">
        <v>449</v>
      </c>
      <c r="BV91" t="s">
        <v>86</v>
      </c>
      <c r="BW91" t="s">
        <v>395</v>
      </c>
      <c r="BX91" t="s">
        <v>450</v>
      </c>
      <c r="BY91">
        <v>8512</v>
      </c>
      <c r="BZ91" t="s">
        <v>89</v>
      </c>
      <c r="CA91" t="s">
        <v>451</v>
      </c>
      <c r="CC91" t="s">
        <v>241</v>
      </c>
      <c r="CD91">
        <v>2094</v>
      </c>
      <c r="CE91" t="s">
        <v>117</v>
      </c>
      <c r="CF91" s="3">
        <v>45840</v>
      </c>
      <c r="CI91">
        <v>1</v>
      </c>
      <c r="CJ91">
        <v>1</v>
      </c>
      <c r="CK91">
        <v>22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"080066276907"</f>
        <v>080066276907</v>
      </c>
      <c r="F92" s="3">
        <v>45839</v>
      </c>
      <c r="G92">
        <v>202604</v>
      </c>
      <c r="H92" t="s">
        <v>75</v>
      </c>
      <c r="I92" t="s">
        <v>76</v>
      </c>
      <c r="J92" t="s">
        <v>77</v>
      </c>
      <c r="K92" t="s">
        <v>78</v>
      </c>
      <c r="L92" t="s">
        <v>452</v>
      </c>
      <c r="M92" t="s">
        <v>453</v>
      </c>
      <c r="N92" t="s">
        <v>454</v>
      </c>
      <c r="O92" t="s">
        <v>82</v>
      </c>
      <c r="P92" t="str">
        <f>"4170046471                    "</f>
        <v xml:space="preserve">4170046471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16.32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54.28</v>
      </c>
      <c r="BM92">
        <v>8.14</v>
      </c>
      <c r="BN92">
        <v>62.42</v>
      </c>
      <c r="BO92">
        <v>62.42</v>
      </c>
      <c r="BQ92" t="s">
        <v>455</v>
      </c>
      <c r="BR92" t="s">
        <v>84</v>
      </c>
      <c r="BS92" s="3">
        <v>45840</v>
      </c>
      <c r="BT92" s="4">
        <v>0.4375</v>
      </c>
      <c r="BU92" t="s">
        <v>456</v>
      </c>
      <c r="BV92" t="s">
        <v>98</v>
      </c>
      <c r="BY92">
        <v>1200</v>
      </c>
      <c r="BZ92" t="s">
        <v>89</v>
      </c>
      <c r="CC92" t="s">
        <v>453</v>
      </c>
      <c r="CD92">
        <v>1559</v>
      </c>
      <c r="CE92" t="s">
        <v>214</v>
      </c>
      <c r="CF92" s="3">
        <v>45841</v>
      </c>
      <c r="CI92">
        <v>1</v>
      </c>
      <c r="CJ92">
        <v>1</v>
      </c>
      <c r="CK92">
        <v>22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"080066276925"</f>
        <v>080066276925</v>
      </c>
      <c r="F93" s="3">
        <v>45839</v>
      </c>
      <c r="G93">
        <v>202604</v>
      </c>
      <c r="H93" t="s">
        <v>75</v>
      </c>
      <c r="I93" t="s">
        <v>76</v>
      </c>
      <c r="J93" t="s">
        <v>77</v>
      </c>
      <c r="K93" t="s">
        <v>78</v>
      </c>
      <c r="L93" t="s">
        <v>240</v>
      </c>
      <c r="M93" t="s">
        <v>241</v>
      </c>
      <c r="N93" t="s">
        <v>457</v>
      </c>
      <c r="O93" t="s">
        <v>82</v>
      </c>
      <c r="P93" t="str">
        <f>"4170046466                    "</f>
        <v xml:space="preserve">4170046466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16.32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16.739999999999998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71.02</v>
      </c>
      <c r="BM93">
        <v>10.65</v>
      </c>
      <c r="BN93">
        <v>81.67</v>
      </c>
      <c r="BO93">
        <v>81.67</v>
      </c>
      <c r="BQ93" t="s">
        <v>458</v>
      </c>
      <c r="BR93" t="s">
        <v>84</v>
      </c>
      <c r="BS93" s="3">
        <v>45840</v>
      </c>
      <c r="BT93" s="4">
        <v>0.4201388888888889</v>
      </c>
      <c r="BU93" t="s">
        <v>459</v>
      </c>
      <c r="BV93" t="s">
        <v>98</v>
      </c>
      <c r="BY93">
        <v>1200</v>
      </c>
      <c r="BZ93" t="s">
        <v>460</v>
      </c>
      <c r="CA93" t="s">
        <v>461</v>
      </c>
      <c r="CC93" t="s">
        <v>241</v>
      </c>
      <c r="CD93">
        <v>2188</v>
      </c>
      <c r="CE93" t="s">
        <v>214</v>
      </c>
      <c r="CF93" s="3">
        <v>45840</v>
      </c>
      <c r="CI93">
        <v>1</v>
      </c>
      <c r="CJ93">
        <v>1</v>
      </c>
      <c r="CK93">
        <v>22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"080066277049"</f>
        <v>080066277049</v>
      </c>
      <c r="F94" s="3">
        <v>45839</v>
      </c>
      <c r="G94">
        <v>202604</v>
      </c>
      <c r="H94" t="s">
        <v>75</v>
      </c>
      <c r="I94" t="s">
        <v>76</v>
      </c>
      <c r="J94" t="s">
        <v>77</v>
      </c>
      <c r="K94" t="s">
        <v>78</v>
      </c>
      <c r="L94" t="s">
        <v>277</v>
      </c>
      <c r="M94" t="s">
        <v>278</v>
      </c>
      <c r="N94" t="s">
        <v>462</v>
      </c>
      <c r="O94" t="s">
        <v>82</v>
      </c>
      <c r="P94" t="str">
        <f>"4170046463                    "</f>
        <v xml:space="preserve">4170046463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20.9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1.1000000000000001</v>
      </c>
      <c r="BK94">
        <v>1.5</v>
      </c>
      <c r="BL94">
        <v>69.5</v>
      </c>
      <c r="BM94">
        <v>10.43</v>
      </c>
      <c r="BN94">
        <v>79.930000000000007</v>
      </c>
      <c r="BO94">
        <v>79.930000000000007</v>
      </c>
      <c r="BQ94" t="s">
        <v>463</v>
      </c>
      <c r="BR94" t="s">
        <v>84</v>
      </c>
      <c r="BS94" s="3">
        <v>45840</v>
      </c>
      <c r="BT94" s="4">
        <v>0.34722222222222221</v>
      </c>
      <c r="BU94" t="s">
        <v>464</v>
      </c>
      <c r="BV94" t="s">
        <v>98</v>
      </c>
      <c r="BY94">
        <v>5320</v>
      </c>
      <c r="BZ94" t="s">
        <v>89</v>
      </c>
      <c r="CA94" t="s">
        <v>282</v>
      </c>
      <c r="CC94" t="s">
        <v>278</v>
      </c>
      <c r="CD94">
        <v>6229</v>
      </c>
      <c r="CE94" t="s">
        <v>266</v>
      </c>
      <c r="CF94" s="3">
        <v>45840</v>
      </c>
      <c r="CI94">
        <v>1</v>
      </c>
      <c r="CJ94">
        <v>1</v>
      </c>
      <c r="CK94">
        <v>21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"080066277079"</f>
        <v>080066277079</v>
      </c>
      <c r="F95" s="3">
        <v>45839</v>
      </c>
      <c r="G95">
        <v>202604</v>
      </c>
      <c r="H95" t="s">
        <v>75</v>
      </c>
      <c r="I95" t="s">
        <v>76</v>
      </c>
      <c r="J95" t="s">
        <v>77</v>
      </c>
      <c r="K95" t="s">
        <v>78</v>
      </c>
      <c r="L95" t="s">
        <v>240</v>
      </c>
      <c r="M95" t="s">
        <v>241</v>
      </c>
      <c r="N95" t="s">
        <v>465</v>
      </c>
      <c r="O95" t="s">
        <v>82</v>
      </c>
      <c r="P95" t="str">
        <f>"4170046452                    "</f>
        <v xml:space="preserve">4170046452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16.32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54.28</v>
      </c>
      <c r="BM95">
        <v>8.14</v>
      </c>
      <c r="BN95">
        <v>62.42</v>
      </c>
      <c r="BO95">
        <v>62.42</v>
      </c>
      <c r="BQ95" t="s">
        <v>466</v>
      </c>
      <c r="BR95" t="s">
        <v>84</v>
      </c>
      <c r="BS95" s="3">
        <v>45840</v>
      </c>
      <c r="BT95" s="4">
        <v>0.37708333333333333</v>
      </c>
      <c r="BU95" t="s">
        <v>467</v>
      </c>
      <c r="BV95" t="s">
        <v>98</v>
      </c>
      <c r="BY95">
        <v>1200</v>
      </c>
      <c r="BZ95" t="s">
        <v>89</v>
      </c>
      <c r="CC95" t="s">
        <v>241</v>
      </c>
      <c r="CD95">
        <v>2049</v>
      </c>
      <c r="CE95" t="s">
        <v>214</v>
      </c>
      <c r="CF95" s="3">
        <v>45840</v>
      </c>
      <c r="CI95">
        <v>1</v>
      </c>
      <c r="CJ95">
        <v>1</v>
      </c>
      <c r="CK95">
        <v>22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"080066277893"</f>
        <v>080066277893</v>
      </c>
      <c r="F96" s="3">
        <v>45839</v>
      </c>
      <c r="G96">
        <v>202604</v>
      </c>
      <c r="H96" t="s">
        <v>75</v>
      </c>
      <c r="I96" t="s">
        <v>76</v>
      </c>
      <c r="J96" t="s">
        <v>77</v>
      </c>
      <c r="K96" t="s">
        <v>78</v>
      </c>
      <c r="L96" t="s">
        <v>168</v>
      </c>
      <c r="M96" t="s">
        <v>169</v>
      </c>
      <c r="N96" t="s">
        <v>206</v>
      </c>
      <c r="O96" t="s">
        <v>95</v>
      </c>
      <c r="P96" t="str">
        <f>"4170046459                    "</f>
        <v xml:space="preserve">4170046459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70.44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18</v>
      </c>
      <c r="BJ96">
        <v>32.700000000000003</v>
      </c>
      <c r="BK96">
        <v>33</v>
      </c>
      <c r="BL96">
        <v>240.13</v>
      </c>
      <c r="BM96">
        <v>36.020000000000003</v>
      </c>
      <c r="BN96">
        <v>276.14999999999998</v>
      </c>
      <c r="BO96">
        <v>276.14999999999998</v>
      </c>
      <c r="BQ96" t="s">
        <v>207</v>
      </c>
      <c r="BR96" t="s">
        <v>84</v>
      </c>
      <c r="BS96" s="3">
        <v>45841</v>
      </c>
      <c r="BT96" s="4">
        <v>0.41111111111111109</v>
      </c>
      <c r="BU96" t="s">
        <v>208</v>
      </c>
      <c r="BV96" t="s">
        <v>98</v>
      </c>
      <c r="BY96">
        <v>163350</v>
      </c>
      <c r="BZ96" t="s">
        <v>99</v>
      </c>
      <c r="CA96" t="s">
        <v>196</v>
      </c>
      <c r="CC96" t="s">
        <v>169</v>
      </c>
      <c r="CD96">
        <v>6001</v>
      </c>
      <c r="CE96" t="s">
        <v>117</v>
      </c>
      <c r="CF96" s="3">
        <v>45842</v>
      </c>
      <c r="CI96">
        <v>3</v>
      </c>
      <c r="CJ96">
        <v>2</v>
      </c>
      <c r="CK96">
        <v>41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"080066277920"</f>
        <v>080066277920</v>
      </c>
      <c r="F97" s="3">
        <v>45839</v>
      </c>
      <c r="G97">
        <v>202604</v>
      </c>
      <c r="H97" t="s">
        <v>75</v>
      </c>
      <c r="I97" t="s">
        <v>76</v>
      </c>
      <c r="J97" t="s">
        <v>77</v>
      </c>
      <c r="K97" t="s">
        <v>78</v>
      </c>
      <c r="L97" t="s">
        <v>75</v>
      </c>
      <c r="M97" t="s">
        <v>76</v>
      </c>
      <c r="N97" t="s">
        <v>468</v>
      </c>
      <c r="O97" t="s">
        <v>82</v>
      </c>
      <c r="P97" t="str">
        <f>"4170046470                    "</f>
        <v xml:space="preserve">4170046470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16.32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54.28</v>
      </c>
      <c r="BM97">
        <v>8.14</v>
      </c>
      <c r="BN97">
        <v>62.42</v>
      </c>
      <c r="BO97">
        <v>62.42</v>
      </c>
      <c r="BQ97" t="s">
        <v>469</v>
      </c>
      <c r="BR97" t="s">
        <v>84</v>
      </c>
      <c r="BS97" s="3">
        <v>45840</v>
      </c>
      <c r="BT97" s="4">
        <v>0.36388888888888887</v>
      </c>
      <c r="BU97" t="s">
        <v>470</v>
      </c>
      <c r="BV97" t="s">
        <v>98</v>
      </c>
      <c r="BY97">
        <v>1200</v>
      </c>
      <c r="BZ97" t="s">
        <v>89</v>
      </c>
      <c r="CA97" t="s">
        <v>471</v>
      </c>
      <c r="CC97" t="s">
        <v>76</v>
      </c>
      <c r="CD97">
        <v>1609</v>
      </c>
      <c r="CE97" t="s">
        <v>239</v>
      </c>
      <c r="CF97" s="3">
        <v>45840</v>
      </c>
      <c r="CI97">
        <v>1</v>
      </c>
      <c r="CJ97">
        <v>1</v>
      </c>
      <c r="CK97">
        <v>22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"R080066179942"</f>
        <v>R080066179942</v>
      </c>
      <c r="F98" s="3">
        <v>45839</v>
      </c>
      <c r="G98">
        <v>202604</v>
      </c>
      <c r="H98" t="s">
        <v>75</v>
      </c>
      <c r="I98" t="s">
        <v>76</v>
      </c>
      <c r="J98" t="s">
        <v>472</v>
      </c>
      <c r="K98" t="s">
        <v>78</v>
      </c>
      <c r="L98" t="s">
        <v>473</v>
      </c>
      <c r="M98" t="s">
        <v>474</v>
      </c>
      <c r="N98" t="s">
        <v>475</v>
      </c>
      <c r="O98" t="s">
        <v>95</v>
      </c>
      <c r="P98" t="str">
        <f>"4170045796                    "</f>
        <v xml:space="preserve">4170045796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40.409999999999997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140.26</v>
      </c>
      <c r="BM98">
        <v>21.04</v>
      </c>
      <c r="BN98">
        <v>161.30000000000001</v>
      </c>
      <c r="BO98">
        <v>161.30000000000001</v>
      </c>
      <c r="BQ98" t="s">
        <v>476</v>
      </c>
      <c r="BR98" t="s">
        <v>477</v>
      </c>
      <c r="BS98" s="3">
        <v>45841</v>
      </c>
      <c r="BT98" s="4">
        <v>0.37152777777777779</v>
      </c>
      <c r="BU98" t="s">
        <v>478</v>
      </c>
      <c r="BV98" t="s">
        <v>86</v>
      </c>
      <c r="BY98">
        <v>1200</v>
      </c>
      <c r="BZ98" t="s">
        <v>99</v>
      </c>
      <c r="CA98" t="s">
        <v>337</v>
      </c>
      <c r="CC98" t="s">
        <v>474</v>
      </c>
      <c r="CD98">
        <v>4026</v>
      </c>
      <c r="CE98" t="s">
        <v>239</v>
      </c>
      <c r="CF98" s="3">
        <v>45842</v>
      </c>
      <c r="CI98">
        <v>1</v>
      </c>
      <c r="CJ98">
        <v>2</v>
      </c>
      <c r="CK98">
        <v>41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"080066279326"</f>
        <v>080066279326</v>
      </c>
      <c r="F99" s="3">
        <v>45839</v>
      </c>
      <c r="G99">
        <v>202604</v>
      </c>
      <c r="H99" t="s">
        <v>75</v>
      </c>
      <c r="I99" t="s">
        <v>76</v>
      </c>
      <c r="J99" t="s">
        <v>77</v>
      </c>
      <c r="K99" t="s">
        <v>78</v>
      </c>
      <c r="L99" t="s">
        <v>92</v>
      </c>
      <c r="M99" t="s">
        <v>93</v>
      </c>
      <c r="N99" t="s">
        <v>479</v>
      </c>
      <c r="O99" t="s">
        <v>95</v>
      </c>
      <c r="P99" t="str">
        <f>"4170046458                    "</f>
        <v xml:space="preserve">4170046458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52.09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22</v>
      </c>
      <c r="BJ99">
        <v>10.9</v>
      </c>
      <c r="BK99">
        <v>22</v>
      </c>
      <c r="BL99">
        <v>179.1</v>
      </c>
      <c r="BM99">
        <v>26.87</v>
      </c>
      <c r="BN99">
        <v>205.97</v>
      </c>
      <c r="BO99">
        <v>205.97</v>
      </c>
      <c r="BQ99" t="s">
        <v>480</v>
      </c>
      <c r="BR99" t="s">
        <v>84</v>
      </c>
      <c r="BS99" s="3">
        <v>45840</v>
      </c>
      <c r="BT99" s="4">
        <v>0.55138888888888893</v>
      </c>
      <c r="BU99" t="s">
        <v>481</v>
      </c>
      <c r="BV99" t="s">
        <v>98</v>
      </c>
      <c r="BY99">
        <v>54720</v>
      </c>
      <c r="BZ99" t="s">
        <v>99</v>
      </c>
      <c r="CC99" t="s">
        <v>93</v>
      </c>
      <c r="CD99">
        <v>4052</v>
      </c>
      <c r="CE99" t="s">
        <v>226</v>
      </c>
      <c r="CF99" s="3">
        <v>45841</v>
      </c>
      <c r="CI99">
        <v>1</v>
      </c>
      <c r="CJ99">
        <v>1</v>
      </c>
      <c r="CK99">
        <v>41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"080066279814"</f>
        <v>080066279814</v>
      </c>
      <c r="F100" s="3">
        <v>45839</v>
      </c>
      <c r="G100">
        <v>202604</v>
      </c>
      <c r="H100" t="s">
        <v>75</v>
      </c>
      <c r="I100" t="s">
        <v>76</v>
      </c>
      <c r="J100" t="s">
        <v>77</v>
      </c>
      <c r="K100" t="s">
        <v>78</v>
      </c>
      <c r="L100" t="s">
        <v>135</v>
      </c>
      <c r="M100" t="s">
        <v>136</v>
      </c>
      <c r="N100" t="s">
        <v>482</v>
      </c>
      <c r="O100" t="s">
        <v>82</v>
      </c>
      <c r="P100" t="str">
        <f>"4170046456                    "</f>
        <v xml:space="preserve">4170046456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93.98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9</v>
      </c>
      <c r="BJ100">
        <v>4.0999999999999996</v>
      </c>
      <c r="BK100">
        <v>9</v>
      </c>
      <c r="BL100">
        <v>312.54000000000002</v>
      </c>
      <c r="BM100">
        <v>46.88</v>
      </c>
      <c r="BN100">
        <v>359.42</v>
      </c>
      <c r="BO100">
        <v>359.42</v>
      </c>
      <c r="BQ100" t="s">
        <v>483</v>
      </c>
      <c r="BR100" t="s">
        <v>84</v>
      </c>
      <c r="BS100" s="3">
        <v>45840</v>
      </c>
      <c r="BT100" s="4">
        <v>0.41666666666666669</v>
      </c>
      <c r="BU100" t="s">
        <v>422</v>
      </c>
      <c r="BV100" t="s">
        <v>98</v>
      </c>
      <c r="BY100">
        <v>20480</v>
      </c>
      <c r="BZ100" t="s">
        <v>89</v>
      </c>
      <c r="CA100" t="s">
        <v>419</v>
      </c>
      <c r="CC100" t="s">
        <v>136</v>
      </c>
      <c r="CD100">
        <v>3201</v>
      </c>
      <c r="CE100" t="s">
        <v>226</v>
      </c>
      <c r="CF100" s="3">
        <v>45841</v>
      </c>
      <c r="CI100">
        <v>1</v>
      </c>
      <c r="CJ100">
        <v>1</v>
      </c>
      <c r="CK100">
        <v>21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"080066279844"</f>
        <v>080066279844</v>
      </c>
      <c r="F101" s="3">
        <v>45839</v>
      </c>
      <c r="G101">
        <v>202604</v>
      </c>
      <c r="H101" t="s">
        <v>75</v>
      </c>
      <c r="I101" t="s">
        <v>76</v>
      </c>
      <c r="J101" t="s">
        <v>77</v>
      </c>
      <c r="K101" t="s">
        <v>78</v>
      </c>
      <c r="L101" t="s">
        <v>135</v>
      </c>
      <c r="M101" t="s">
        <v>136</v>
      </c>
      <c r="N101" t="s">
        <v>482</v>
      </c>
      <c r="O101" t="s">
        <v>82</v>
      </c>
      <c r="P101" t="str">
        <f>"4170046460                    "</f>
        <v xml:space="preserve">4170046460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93.98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9</v>
      </c>
      <c r="BJ101">
        <v>4.0999999999999996</v>
      </c>
      <c r="BK101">
        <v>9</v>
      </c>
      <c r="BL101">
        <v>312.54000000000002</v>
      </c>
      <c r="BM101">
        <v>46.88</v>
      </c>
      <c r="BN101">
        <v>359.42</v>
      </c>
      <c r="BO101">
        <v>359.42</v>
      </c>
      <c r="BQ101" t="s">
        <v>483</v>
      </c>
      <c r="BR101" t="s">
        <v>84</v>
      </c>
      <c r="BS101" s="3">
        <v>45840</v>
      </c>
      <c r="BT101" s="4">
        <v>0.41666666666666669</v>
      </c>
      <c r="BU101" t="s">
        <v>422</v>
      </c>
      <c r="BV101" t="s">
        <v>98</v>
      </c>
      <c r="BY101">
        <v>20480</v>
      </c>
      <c r="BZ101" t="s">
        <v>89</v>
      </c>
      <c r="CA101" t="s">
        <v>419</v>
      </c>
      <c r="CC101" t="s">
        <v>136</v>
      </c>
      <c r="CD101">
        <v>3201</v>
      </c>
      <c r="CE101" t="s">
        <v>226</v>
      </c>
      <c r="CF101" s="3">
        <v>45841</v>
      </c>
      <c r="CI101">
        <v>1</v>
      </c>
      <c r="CJ101">
        <v>1</v>
      </c>
      <c r="CK101">
        <v>21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"080066279881"</f>
        <v>080066279881</v>
      </c>
      <c r="F102" s="3">
        <v>45839</v>
      </c>
      <c r="G102">
        <v>202604</v>
      </c>
      <c r="H102" t="s">
        <v>75</v>
      </c>
      <c r="I102" t="s">
        <v>76</v>
      </c>
      <c r="J102" t="s">
        <v>77</v>
      </c>
      <c r="K102" t="s">
        <v>78</v>
      </c>
      <c r="L102" t="s">
        <v>168</v>
      </c>
      <c r="M102" t="s">
        <v>169</v>
      </c>
      <c r="N102" t="s">
        <v>206</v>
      </c>
      <c r="O102" t="s">
        <v>95</v>
      </c>
      <c r="P102" t="str">
        <f>"4170046467                    "</f>
        <v xml:space="preserve">4170046467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43.75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8</v>
      </c>
      <c r="BJ102">
        <v>16.2</v>
      </c>
      <c r="BK102">
        <v>17</v>
      </c>
      <c r="BL102">
        <v>151.36000000000001</v>
      </c>
      <c r="BM102">
        <v>22.7</v>
      </c>
      <c r="BN102">
        <v>174.06</v>
      </c>
      <c r="BO102">
        <v>174.06</v>
      </c>
      <c r="BQ102" t="s">
        <v>207</v>
      </c>
      <c r="BR102" t="s">
        <v>84</v>
      </c>
      <c r="BS102" s="3">
        <v>45841</v>
      </c>
      <c r="BT102" s="4">
        <v>0.41111111111111109</v>
      </c>
      <c r="BU102" t="s">
        <v>208</v>
      </c>
      <c r="BV102" t="s">
        <v>98</v>
      </c>
      <c r="BY102">
        <v>81000</v>
      </c>
      <c r="BZ102" t="s">
        <v>99</v>
      </c>
      <c r="CA102" t="s">
        <v>196</v>
      </c>
      <c r="CC102" t="s">
        <v>169</v>
      </c>
      <c r="CD102">
        <v>6001</v>
      </c>
      <c r="CE102" t="s">
        <v>117</v>
      </c>
      <c r="CF102" s="3">
        <v>45841</v>
      </c>
      <c r="CI102">
        <v>3</v>
      </c>
      <c r="CJ102">
        <v>2</v>
      </c>
      <c r="CK102">
        <v>41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"080066280304"</f>
        <v>080066280304</v>
      </c>
      <c r="F103" s="3">
        <v>45839</v>
      </c>
      <c r="G103">
        <v>202604</v>
      </c>
      <c r="H103" t="s">
        <v>75</v>
      </c>
      <c r="I103" t="s">
        <v>76</v>
      </c>
      <c r="J103" t="s">
        <v>77</v>
      </c>
      <c r="K103" t="s">
        <v>78</v>
      </c>
      <c r="L103" t="s">
        <v>197</v>
      </c>
      <c r="M103" t="s">
        <v>198</v>
      </c>
      <c r="N103" t="s">
        <v>484</v>
      </c>
      <c r="O103" t="s">
        <v>311</v>
      </c>
      <c r="P103" t="str">
        <f>"4170046469                    "</f>
        <v xml:space="preserve">4170046469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25.49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13</v>
      </c>
      <c r="BJ103">
        <v>9.4</v>
      </c>
      <c r="BK103">
        <v>13</v>
      </c>
      <c r="BL103">
        <v>84.76</v>
      </c>
      <c r="BM103">
        <v>12.71</v>
      </c>
      <c r="BN103">
        <v>97.47</v>
      </c>
      <c r="BO103">
        <v>97.47</v>
      </c>
      <c r="BQ103" t="s">
        <v>485</v>
      </c>
      <c r="BR103" t="s">
        <v>84</v>
      </c>
      <c r="BS103" s="3">
        <v>45840</v>
      </c>
      <c r="BT103" s="4">
        <v>0.55555555555555558</v>
      </c>
      <c r="BU103" t="s">
        <v>486</v>
      </c>
      <c r="BV103" t="s">
        <v>98</v>
      </c>
      <c r="BY103">
        <v>46800</v>
      </c>
      <c r="BZ103" t="s">
        <v>99</v>
      </c>
      <c r="CC103" t="s">
        <v>198</v>
      </c>
      <c r="CD103">
        <v>1428</v>
      </c>
      <c r="CE103" t="s">
        <v>226</v>
      </c>
      <c r="CF103" s="3">
        <v>45841</v>
      </c>
      <c r="CI103">
        <v>1</v>
      </c>
      <c r="CJ103">
        <v>1</v>
      </c>
      <c r="CK103">
        <v>32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"080066281009"</f>
        <v>080066281009</v>
      </c>
      <c r="F104" s="3">
        <v>45839</v>
      </c>
      <c r="G104">
        <v>202604</v>
      </c>
      <c r="H104" t="s">
        <v>75</v>
      </c>
      <c r="I104" t="s">
        <v>76</v>
      </c>
      <c r="J104" t="s">
        <v>77</v>
      </c>
      <c r="K104" t="s">
        <v>78</v>
      </c>
      <c r="L104" t="s">
        <v>79</v>
      </c>
      <c r="M104" t="s">
        <v>80</v>
      </c>
      <c r="N104" t="s">
        <v>141</v>
      </c>
      <c r="O104" t="s">
        <v>82</v>
      </c>
      <c r="P104" t="str">
        <f>"4170046487                    "</f>
        <v xml:space="preserve">4170046487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20.9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0.9</v>
      </c>
      <c r="BK104">
        <v>1</v>
      </c>
      <c r="BL104">
        <v>69.5</v>
      </c>
      <c r="BM104">
        <v>10.43</v>
      </c>
      <c r="BN104">
        <v>79.930000000000007</v>
      </c>
      <c r="BO104">
        <v>79.930000000000007</v>
      </c>
      <c r="BQ104" t="s">
        <v>142</v>
      </c>
      <c r="BR104" t="s">
        <v>84</v>
      </c>
      <c r="BS104" s="3">
        <v>45840</v>
      </c>
      <c r="BT104" s="4">
        <v>0.40902777777777777</v>
      </c>
      <c r="BU104" t="s">
        <v>356</v>
      </c>
      <c r="BV104" t="s">
        <v>98</v>
      </c>
      <c r="BY104">
        <v>4275</v>
      </c>
      <c r="BZ104" t="s">
        <v>89</v>
      </c>
      <c r="CA104" t="s">
        <v>144</v>
      </c>
      <c r="CC104" t="s">
        <v>80</v>
      </c>
      <c r="CD104">
        <v>7441</v>
      </c>
      <c r="CE104" t="s">
        <v>266</v>
      </c>
      <c r="CF104" s="3">
        <v>45841</v>
      </c>
      <c r="CI104">
        <v>1</v>
      </c>
      <c r="CJ104">
        <v>1</v>
      </c>
      <c r="CK104">
        <v>21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"080066281049"</f>
        <v>080066281049</v>
      </c>
      <c r="F105" s="3">
        <v>45839</v>
      </c>
      <c r="G105">
        <v>202604</v>
      </c>
      <c r="H105" t="s">
        <v>75</v>
      </c>
      <c r="I105" t="s">
        <v>76</v>
      </c>
      <c r="J105" t="s">
        <v>77</v>
      </c>
      <c r="K105" t="s">
        <v>78</v>
      </c>
      <c r="L105" t="s">
        <v>168</v>
      </c>
      <c r="M105" t="s">
        <v>169</v>
      </c>
      <c r="N105" t="s">
        <v>487</v>
      </c>
      <c r="O105" t="s">
        <v>82</v>
      </c>
      <c r="P105" t="str">
        <f>"4170046480                    "</f>
        <v xml:space="preserve">4170046480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20.9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1.1000000000000001</v>
      </c>
      <c r="BK105">
        <v>1.5</v>
      </c>
      <c r="BL105">
        <v>69.5</v>
      </c>
      <c r="BM105">
        <v>10.43</v>
      </c>
      <c r="BN105">
        <v>79.930000000000007</v>
      </c>
      <c r="BO105">
        <v>79.930000000000007</v>
      </c>
      <c r="BQ105" t="s">
        <v>488</v>
      </c>
      <c r="BR105" t="s">
        <v>84</v>
      </c>
      <c r="BS105" s="3">
        <v>45840</v>
      </c>
      <c r="BT105" s="4">
        <v>0.41805555555555557</v>
      </c>
      <c r="BU105" t="s">
        <v>489</v>
      </c>
      <c r="BV105" t="s">
        <v>98</v>
      </c>
      <c r="BY105">
        <v>5320</v>
      </c>
      <c r="BZ105" t="s">
        <v>89</v>
      </c>
      <c r="CA105" t="s">
        <v>415</v>
      </c>
      <c r="CC105" t="s">
        <v>169</v>
      </c>
      <c r="CD105">
        <v>6012</v>
      </c>
      <c r="CE105" t="s">
        <v>266</v>
      </c>
      <c r="CF105" s="3">
        <v>45840</v>
      </c>
      <c r="CI105">
        <v>1</v>
      </c>
      <c r="CJ105">
        <v>1</v>
      </c>
      <c r="CK105">
        <v>21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"080066281106"</f>
        <v>080066281106</v>
      </c>
      <c r="F106" s="3">
        <v>45839</v>
      </c>
      <c r="G106">
        <v>202604</v>
      </c>
      <c r="H106" t="s">
        <v>75</v>
      </c>
      <c r="I106" t="s">
        <v>76</v>
      </c>
      <c r="J106" t="s">
        <v>77</v>
      </c>
      <c r="K106" t="s">
        <v>78</v>
      </c>
      <c r="L106" t="s">
        <v>92</v>
      </c>
      <c r="M106" t="s">
        <v>93</v>
      </c>
      <c r="N106" t="s">
        <v>334</v>
      </c>
      <c r="O106" t="s">
        <v>82</v>
      </c>
      <c r="P106" t="str">
        <f>"4170046485                    "</f>
        <v xml:space="preserve">4170046485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20.9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69.5</v>
      </c>
      <c r="BM106">
        <v>10.43</v>
      </c>
      <c r="BN106">
        <v>79.930000000000007</v>
      </c>
      <c r="BO106">
        <v>79.930000000000007</v>
      </c>
      <c r="BQ106" t="s">
        <v>335</v>
      </c>
      <c r="BR106" t="s">
        <v>84</v>
      </c>
      <c r="BS106" s="3">
        <v>45840</v>
      </c>
      <c r="BT106" s="4">
        <v>0.43194444444444446</v>
      </c>
      <c r="BU106" t="s">
        <v>490</v>
      </c>
      <c r="BV106" t="s">
        <v>98</v>
      </c>
      <c r="BY106">
        <v>1200</v>
      </c>
      <c r="BZ106" t="s">
        <v>89</v>
      </c>
      <c r="CA106" t="s">
        <v>491</v>
      </c>
      <c r="CC106" t="s">
        <v>93</v>
      </c>
      <c r="CD106">
        <v>4052</v>
      </c>
      <c r="CE106" t="s">
        <v>239</v>
      </c>
      <c r="CF106" s="3">
        <v>45841</v>
      </c>
      <c r="CI106">
        <v>1</v>
      </c>
      <c r="CJ106">
        <v>1</v>
      </c>
      <c r="CK106">
        <v>21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"080066281146"</f>
        <v>080066281146</v>
      </c>
      <c r="F107" s="3">
        <v>45839</v>
      </c>
      <c r="G107">
        <v>202604</v>
      </c>
      <c r="H107" t="s">
        <v>75</v>
      </c>
      <c r="I107" t="s">
        <v>76</v>
      </c>
      <c r="J107" t="s">
        <v>77</v>
      </c>
      <c r="K107" t="s">
        <v>78</v>
      </c>
      <c r="L107" t="s">
        <v>79</v>
      </c>
      <c r="M107" t="s">
        <v>80</v>
      </c>
      <c r="N107" t="s">
        <v>492</v>
      </c>
      <c r="O107" t="s">
        <v>82</v>
      </c>
      <c r="P107" t="str">
        <f>"4170046476                    "</f>
        <v xml:space="preserve">4170046476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20.9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69.5</v>
      </c>
      <c r="BM107">
        <v>10.43</v>
      </c>
      <c r="BN107">
        <v>79.930000000000007</v>
      </c>
      <c r="BO107">
        <v>79.930000000000007</v>
      </c>
      <c r="BQ107" t="s">
        <v>493</v>
      </c>
      <c r="BR107" t="s">
        <v>84</v>
      </c>
      <c r="BS107" s="3">
        <v>45840</v>
      </c>
      <c r="BT107" s="4">
        <v>0.40833333333333333</v>
      </c>
      <c r="BU107" t="s">
        <v>494</v>
      </c>
      <c r="BV107" t="s">
        <v>98</v>
      </c>
      <c r="BY107">
        <v>1200</v>
      </c>
      <c r="BZ107" t="s">
        <v>89</v>
      </c>
      <c r="CA107" t="s">
        <v>495</v>
      </c>
      <c r="CC107" t="s">
        <v>80</v>
      </c>
      <c r="CD107">
        <v>7800</v>
      </c>
      <c r="CE107" t="s">
        <v>239</v>
      </c>
      <c r="CF107" s="3">
        <v>45841</v>
      </c>
      <c r="CI107">
        <v>1</v>
      </c>
      <c r="CJ107">
        <v>1</v>
      </c>
      <c r="CK107">
        <v>21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"080066282460"</f>
        <v>080066282460</v>
      </c>
      <c r="F108" s="3">
        <v>45839</v>
      </c>
      <c r="G108">
        <v>202604</v>
      </c>
      <c r="H108" t="s">
        <v>75</v>
      </c>
      <c r="I108" t="s">
        <v>76</v>
      </c>
      <c r="J108" t="s">
        <v>77</v>
      </c>
      <c r="K108" t="s">
        <v>78</v>
      </c>
      <c r="L108" t="s">
        <v>168</v>
      </c>
      <c r="M108" t="s">
        <v>169</v>
      </c>
      <c r="N108" t="s">
        <v>496</v>
      </c>
      <c r="O108" t="s">
        <v>82</v>
      </c>
      <c r="P108" t="str">
        <f>"4170046478                    "</f>
        <v xml:space="preserve">4170046478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20.9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69.5</v>
      </c>
      <c r="BM108">
        <v>10.43</v>
      </c>
      <c r="BN108">
        <v>79.930000000000007</v>
      </c>
      <c r="BO108">
        <v>79.930000000000007</v>
      </c>
      <c r="BQ108" t="s">
        <v>497</v>
      </c>
      <c r="BR108" t="s">
        <v>84</v>
      </c>
      <c r="BS108" s="3">
        <v>45840</v>
      </c>
      <c r="BT108" s="4">
        <v>0.40069444444444446</v>
      </c>
      <c r="BU108" t="s">
        <v>498</v>
      </c>
      <c r="BV108" t="s">
        <v>98</v>
      </c>
      <c r="BY108">
        <v>1200</v>
      </c>
      <c r="BZ108" t="s">
        <v>89</v>
      </c>
      <c r="CA108" t="s">
        <v>499</v>
      </c>
      <c r="CC108" t="s">
        <v>169</v>
      </c>
      <c r="CD108">
        <v>6001</v>
      </c>
      <c r="CE108" t="s">
        <v>239</v>
      </c>
      <c r="CF108" s="3">
        <v>45840</v>
      </c>
      <c r="CI108">
        <v>1</v>
      </c>
      <c r="CJ108">
        <v>1</v>
      </c>
      <c r="CK108">
        <v>21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"080066282516"</f>
        <v>080066282516</v>
      </c>
      <c r="F109" s="3">
        <v>45839</v>
      </c>
      <c r="G109">
        <v>202604</v>
      </c>
      <c r="H109" t="s">
        <v>75</v>
      </c>
      <c r="I109" t="s">
        <v>76</v>
      </c>
      <c r="J109" t="s">
        <v>77</v>
      </c>
      <c r="K109" t="s">
        <v>78</v>
      </c>
      <c r="L109" t="s">
        <v>151</v>
      </c>
      <c r="M109" t="s">
        <v>152</v>
      </c>
      <c r="N109" t="s">
        <v>500</v>
      </c>
      <c r="O109" t="s">
        <v>82</v>
      </c>
      <c r="P109" t="str">
        <f>"4170046502                    "</f>
        <v xml:space="preserve">4170046502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20.9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69.5</v>
      </c>
      <c r="BM109">
        <v>10.43</v>
      </c>
      <c r="BN109">
        <v>79.930000000000007</v>
      </c>
      <c r="BO109">
        <v>79.930000000000007</v>
      </c>
      <c r="BQ109" t="s">
        <v>501</v>
      </c>
      <c r="BR109" t="s">
        <v>84</v>
      </c>
      <c r="BS109" s="3">
        <v>45840</v>
      </c>
      <c r="BT109" s="4">
        <v>0.4201388888888889</v>
      </c>
      <c r="BU109" t="s">
        <v>502</v>
      </c>
      <c r="BV109" t="s">
        <v>98</v>
      </c>
      <c r="BY109">
        <v>1200</v>
      </c>
      <c r="BZ109" t="s">
        <v>89</v>
      </c>
      <c r="CA109" t="s">
        <v>388</v>
      </c>
      <c r="CC109" t="s">
        <v>152</v>
      </c>
      <c r="CD109" s="5" t="s">
        <v>157</v>
      </c>
      <c r="CE109" t="s">
        <v>239</v>
      </c>
      <c r="CF109" s="3">
        <v>45840</v>
      </c>
      <c r="CI109">
        <v>1</v>
      </c>
      <c r="CJ109">
        <v>1</v>
      </c>
      <c r="CK109">
        <v>21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"080066282554"</f>
        <v>080066282554</v>
      </c>
      <c r="F110" s="3">
        <v>45839</v>
      </c>
      <c r="G110">
        <v>202604</v>
      </c>
      <c r="H110" t="s">
        <v>75</v>
      </c>
      <c r="I110" t="s">
        <v>76</v>
      </c>
      <c r="J110" t="s">
        <v>77</v>
      </c>
      <c r="K110" t="s">
        <v>78</v>
      </c>
      <c r="L110" t="s">
        <v>79</v>
      </c>
      <c r="M110" t="s">
        <v>80</v>
      </c>
      <c r="N110" t="s">
        <v>141</v>
      </c>
      <c r="O110" t="s">
        <v>82</v>
      </c>
      <c r="P110" t="str">
        <f>"4170046488                    "</f>
        <v xml:space="preserve">4170046488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20.9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69.5</v>
      </c>
      <c r="BM110">
        <v>10.43</v>
      </c>
      <c r="BN110">
        <v>79.930000000000007</v>
      </c>
      <c r="BO110">
        <v>79.930000000000007</v>
      </c>
      <c r="BQ110" t="s">
        <v>142</v>
      </c>
      <c r="BR110" t="s">
        <v>84</v>
      </c>
      <c r="BS110" s="3">
        <v>45840</v>
      </c>
      <c r="BT110" s="4">
        <v>0.40902777777777777</v>
      </c>
      <c r="BU110" t="s">
        <v>356</v>
      </c>
      <c r="BV110" t="s">
        <v>98</v>
      </c>
      <c r="BY110">
        <v>1200</v>
      </c>
      <c r="BZ110" t="s">
        <v>89</v>
      </c>
      <c r="CA110" t="s">
        <v>144</v>
      </c>
      <c r="CC110" t="s">
        <v>80</v>
      </c>
      <c r="CD110">
        <v>7441</v>
      </c>
      <c r="CE110" t="s">
        <v>239</v>
      </c>
      <c r="CF110" s="3">
        <v>45841</v>
      </c>
      <c r="CI110">
        <v>1</v>
      </c>
      <c r="CJ110">
        <v>1</v>
      </c>
      <c r="CK110">
        <v>21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"080066282609"</f>
        <v>080066282609</v>
      </c>
      <c r="F111" s="3">
        <v>45839</v>
      </c>
      <c r="G111">
        <v>202604</v>
      </c>
      <c r="H111" t="s">
        <v>75</v>
      </c>
      <c r="I111" t="s">
        <v>76</v>
      </c>
      <c r="J111" t="s">
        <v>77</v>
      </c>
      <c r="K111" t="s">
        <v>78</v>
      </c>
      <c r="L111" t="s">
        <v>503</v>
      </c>
      <c r="M111" t="s">
        <v>504</v>
      </c>
      <c r="N111" t="s">
        <v>505</v>
      </c>
      <c r="O111" t="s">
        <v>82</v>
      </c>
      <c r="P111" t="str">
        <f>"4170046474                    "</f>
        <v xml:space="preserve">4170046474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40.49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134.65</v>
      </c>
      <c r="BM111">
        <v>20.2</v>
      </c>
      <c r="BN111">
        <v>154.85</v>
      </c>
      <c r="BO111">
        <v>154.85</v>
      </c>
      <c r="BQ111" t="s">
        <v>506</v>
      </c>
      <c r="BR111" t="s">
        <v>84</v>
      </c>
      <c r="BS111" s="3">
        <v>45840</v>
      </c>
      <c r="BT111" s="4">
        <v>0.38124999999999998</v>
      </c>
      <c r="BU111" t="s">
        <v>507</v>
      </c>
      <c r="BV111" t="s">
        <v>98</v>
      </c>
      <c r="BY111">
        <v>1200</v>
      </c>
      <c r="BZ111" t="s">
        <v>89</v>
      </c>
      <c r="CA111" t="s">
        <v>508</v>
      </c>
      <c r="CC111" t="s">
        <v>504</v>
      </c>
      <c r="CD111">
        <v>7130</v>
      </c>
      <c r="CE111" t="s">
        <v>239</v>
      </c>
      <c r="CF111" s="3">
        <v>45841</v>
      </c>
      <c r="CI111">
        <v>1</v>
      </c>
      <c r="CJ111">
        <v>1</v>
      </c>
      <c r="CK111">
        <v>23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"080066282653"</f>
        <v>080066282653</v>
      </c>
      <c r="F112" s="3">
        <v>45839</v>
      </c>
      <c r="G112">
        <v>202604</v>
      </c>
      <c r="H112" t="s">
        <v>75</v>
      </c>
      <c r="I112" t="s">
        <v>76</v>
      </c>
      <c r="J112" t="s">
        <v>77</v>
      </c>
      <c r="K112" t="s">
        <v>78</v>
      </c>
      <c r="L112" t="s">
        <v>79</v>
      </c>
      <c r="M112" t="s">
        <v>80</v>
      </c>
      <c r="N112" t="s">
        <v>188</v>
      </c>
      <c r="O112" t="s">
        <v>82</v>
      </c>
      <c r="P112" t="str">
        <f>"4170046497                    "</f>
        <v xml:space="preserve">4170046497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20.9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69.5</v>
      </c>
      <c r="BM112">
        <v>10.43</v>
      </c>
      <c r="BN112">
        <v>79.930000000000007</v>
      </c>
      <c r="BO112">
        <v>79.930000000000007</v>
      </c>
      <c r="BQ112" t="s">
        <v>189</v>
      </c>
      <c r="BR112" t="s">
        <v>84</v>
      </c>
      <c r="BS112" s="3">
        <v>45840</v>
      </c>
      <c r="BT112" s="4">
        <v>0.41249999999999998</v>
      </c>
      <c r="BU112" t="s">
        <v>509</v>
      </c>
      <c r="BV112" t="s">
        <v>98</v>
      </c>
      <c r="BY112">
        <v>1200</v>
      </c>
      <c r="BZ112" t="s">
        <v>89</v>
      </c>
      <c r="CA112" t="s">
        <v>144</v>
      </c>
      <c r="CC112" t="s">
        <v>80</v>
      </c>
      <c r="CD112">
        <v>7441</v>
      </c>
      <c r="CE112" t="s">
        <v>239</v>
      </c>
      <c r="CF112" s="3">
        <v>45841</v>
      </c>
      <c r="CI112">
        <v>1</v>
      </c>
      <c r="CJ112">
        <v>1</v>
      </c>
      <c r="CK112">
        <v>21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"080066282683"</f>
        <v>080066282683</v>
      </c>
      <c r="F113" s="3">
        <v>45839</v>
      </c>
      <c r="G113">
        <v>202604</v>
      </c>
      <c r="H113" t="s">
        <v>75</v>
      </c>
      <c r="I113" t="s">
        <v>76</v>
      </c>
      <c r="J113" t="s">
        <v>77</v>
      </c>
      <c r="K113" t="s">
        <v>78</v>
      </c>
      <c r="L113" t="s">
        <v>168</v>
      </c>
      <c r="M113" t="s">
        <v>169</v>
      </c>
      <c r="N113" t="s">
        <v>420</v>
      </c>
      <c r="O113" t="s">
        <v>82</v>
      </c>
      <c r="P113" t="str">
        <f>"4170046501                    "</f>
        <v xml:space="preserve">4170046501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20.9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69.5</v>
      </c>
      <c r="BM113">
        <v>10.43</v>
      </c>
      <c r="BN113">
        <v>79.930000000000007</v>
      </c>
      <c r="BO113">
        <v>79.930000000000007</v>
      </c>
      <c r="BQ113" t="s">
        <v>421</v>
      </c>
      <c r="BR113" t="s">
        <v>84</v>
      </c>
      <c r="BS113" s="3">
        <v>45840</v>
      </c>
      <c r="BT113" s="4">
        <v>0.42083333333333334</v>
      </c>
      <c r="BU113" t="s">
        <v>422</v>
      </c>
      <c r="BV113" t="s">
        <v>98</v>
      </c>
      <c r="BY113">
        <v>1200</v>
      </c>
      <c r="BZ113" t="s">
        <v>89</v>
      </c>
      <c r="CA113" t="s">
        <v>423</v>
      </c>
      <c r="CC113" t="s">
        <v>169</v>
      </c>
      <c r="CD113">
        <v>6001</v>
      </c>
      <c r="CE113" t="s">
        <v>239</v>
      </c>
      <c r="CF113" s="3">
        <v>45840</v>
      </c>
      <c r="CI113">
        <v>1</v>
      </c>
      <c r="CJ113">
        <v>1</v>
      </c>
      <c r="CK113">
        <v>21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"080066282778"</f>
        <v>080066282778</v>
      </c>
      <c r="F114" s="3">
        <v>45839</v>
      </c>
      <c r="G114">
        <v>202604</v>
      </c>
      <c r="H114" t="s">
        <v>75</v>
      </c>
      <c r="I114" t="s">
        <v>76</v>
      </c>
      <c r="J114" t="s">
        <v>77</v>
      </c>
      <c r="K114" t="s">
        <v>78</v>
      </c>
      <c r="L114" t="s">
        <v>151</v>
      </c>
      <c r="M114" t="s">
        <v>152</v>
      </c>
      <c r="N114" t="s">
        <v>510</v>
      </c>
      <c r="O114" t="s">
        <v>82</v>
      </c>
      <c r="P114" t="str">
        <f>"4170046500                    "</f>
        <v xml:space="preserve">4170046500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20.9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69.5</v>
      </c>
      <c r="BM114">
        <v>10.43</v>
      </c>
      <c r="BN114">
        <v>79.930000000000007</v>
      </c>
      <c r="BO114">
        <v>79.930000000000007</v>
      </c>
      <c r="BQ114" t="s">
        <v>511</v>
      </c>
      <c r="BR114" t="s">
        <v>84</v>
      </c>
      <c r="BS114" s="3">
        <v>45840</v>
      </c>
      <c r="BT114" s="4">
        <v>0.39791666666666664</v>
      </c>
      <c r="BU114" t="s">
        <v>512</v>
      </c>
      <c r="BV114" t="s">
        <v>98</v>
      </c>
      <c r="BY114">
        <v>1200</v>
      </c>
      <c r="BZ114" t="s">
        <v>89</v>
      </c>
      <c r="CA114" t="s">
        <v>513</v>
      </c>
      <c r="CC114" t="s">
        <v>152</v>
      </c>
      <c r="CD114" s="5" t="s">
        <v>514</v>
      </c>
      <c r="CE114" t="s">
        <v>239</v>
      </c>
      <c r="CF114" s="3">
        <v>45840</v>
      </c>
      <c r="CI114">
        <v>1</v>
      </c>
      <c r="CJ114">
        <v>1</v>
      </c>
      <c r="CK114">
        <v>21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"080066283073"</f>
        <v>080066283073</v>
      </c>
      <c r="F115" s="3">
        <v>45839</v>
      </c>
      <c r="G115">
        <v>202604</v>
      </c>
      <c r="H115" t="s">
        <v>75</v>
      </c>
      <c r="I115" t="s">
        <v>76</v>
      </c>
      <c r="J115" t="s">
        <v>77</v>
      </c>
      <c r="K115" t="s">
        <v>78</v>
      </c>
      <c r="L115" t="s">
        <v>79</v>
      </c>
      <c r="M115" t="s">
        <v>80</v>
      </c>
      <c r="N115" t="s">
        <v>188</v>
      </c>
      <c r="O115" t="s">
        <v>82</v>
      </c>
      <c r="P115" t="str">
        <f>"4170046486                    "</f>
        <v xml:space="preserve">4170046486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52.22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5</v>
      </c>
      <c r="BJ115">
        <v>1.7</v>
      </c>
      <c r="BK115">
        <v>5</v>
      </c>
      <c r="BL115">
        <v>173.66</v>
      </c>
      <c r="BM115">
        <v>26.05</v>
      </c>
      <c r="BN115">
        <v>199.71</v>
      </c>
      <c r="BO115">
        <v>199.71</v>
      </c>
      <c r="BQ115" t="s">
        <v>189</v>
      </c>
      <c r="BR115" t="s">
        <v>84</v>
      </c>
      <c r="BS115" s="3">
        <v>45840</v>
      </c>
      <c r="BT115" s="4">
        <v>0.41249999999999998</v>
      </c>
      <c r="BU115" t="s">
        <v>509</v>
      </c>
      <c r="BV115" t="s">
        <v>98</v>
      </c>
      <c r="BY115">
        <v>8512</v>
      </c>
      <c r="BZ115" t="s">
        <v>89</v>
      </c>
      <c r="CA115" t="s">
        <v>144</v>
      </c>
      <c r="CC115" t="s">
        <v>80</v>
      </c>
      <c r="CD115">
        <v>7441</v>
      </c>
      <c r="CE115" t="s">
        <v>117</v>
      </c>
      <c r="CF115" s="3">
        <v>45841</v>
      </c>
      <c r="CI115">
        <v>1</v>
      </c>
      <c r="CJ115">
        <v>1</v>
      </c>
      <c r="CK115">
        <v>21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"080066283689"</f>
        <v>080066283689</v>
      </c>
      <c r="F116" s="3">
        <v>45839</v>
      </c>
      <c r="G116">
        <v>202604</v>
      </c>
      <c r="H116" t="s">
        <v>75</v>
      </c>
      <c r="I116" t="s">
        <v>76</v>
      </c>
      <c r="J116" t="s">
        <v>77</v>
      </c>
      <c r="K116" t="s">
        <v>78</v>
      </c>
      <c r="L116" t="s">
        <v>151</v>
      </c>
      <c r="M116" t="s">
        <v>152</v>
      </c>
      <c r="N116" t="s">
        <v>515</v>
      </c>
      <c r="O116" t="s">
        <v>82</v>
      </c>
      <c r="P116" t="str">
        <f>"4170046504                    "</f>
        <v xml:space="preserve">4170046504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20.9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69.5</v>
      </c>
      <c r="BM116">
        <v>10.43</v>
      </c>
      <c r="BN116">
        <v>79.930000000000007</v>
      </c>
      <c r="BO116">
        <v>79.930000000000007</v>
      </c>
      <c r="BQ116" t="s">
        <v>516</v>
      </c>
      <c r="BR116" t="s">
        <v>84</v>
      </c>
      <c r="BS116" s="3">
        <v>45840</v>
      </c>
      <c r="BT116" s="4">
        <v>0.40069444444444446</v>
      </c>
      <c r="BU116" t="s">
        <v>517</v>
      </c>
      <c r="BV116" t="s">
        <v>98</v>
      </c>
      <c r="BY116">
        <v>1200</v>
      </c>
      <c r="BZ116" t="s">
        <v>89</v>
      </c>
      <c r="CA116" t="s">
        <v>518</v>
      </c>
      <c r="CC116" t="s">
        <v>152</v>
      </c>
      <c r="CD116" s="5" t="s">
        <v>157</v>
      </c>
      <c r="CE116" t="s">
        <v>239</v>
      </c>
      <c r="CF116" s="3">
        <v>45840</v>
      </c>
      <c r="CI116">
        <v>1</v>
      </c>
      <c r="CJ116">
        <v>1</v>
      </c>
      <c r="CK116">
        <v>21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"080066283757"</f>
        <v>080066283757</v>
      </c>
      <c r="F117" s="3">
        <v>45839</v>
      </c>
      <c r="G117">
        <v>202604</v>
      </c>
      <c r="H117" t="s">
        <v>75</v>
      </c>
      <c r="I117" t="s">
        <v>76</v>
      </c>
      <c r="J117" t="s">
        <v>77</v>
      </c>
      <c r="K117" t="s">
        <v>78</v>
      </c>
      <c r="L117" t="s">
        <v>295</v>
      </c>
      <c r="M117" t="s">
        <v>296</v>
      </c>
      <c r="N117" t="s">
        <v>519</v>
      </c>
      <c r="O117" t="s">
        <v>82</v>
      </c>
      <c r="P117" t="str">
        <f>"4170046494                    "</f>
        <v xml:space="preserve">4170046494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16.32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54.28</v>
      </c>
      <c r="BM117">
        <v>8.14</v>
      </c>
      <c r="BN117">
        <v>62.42</v>
      </c>
      <c r="BO117">
        <v>62.42</v>
      </c>
      <c r="BQ117" t="s">
        <v>520</v>
      </c>
      <c r="BR117" t="s">
        <v>84</v>
      </c>
      <c r="BS117" s="3">
        <v>45840</v>
      </c>
      <c r="BT117" s="4">
        <v>0.42708333333333331</v>
      </c>
      <c r="BU117" t="s">
        <v>521</v>
      </c>
      <c r="BV117" t="s">
        <v>98</v>
      </c>
      <c r="BY117">
        <v>1200</v>
      </c>
      <c r="BZ117" t="s">
        <v>89</v>
      </c>
      <c r="CA117" t="s">
        <v>522</v>
      </c>
      <c r="CC117" t="s">
        <v>296</v>
      </c>
      <c r="CD117">
        <v>1459</v>
      </c>
      <c r="CE117" t="s">
        <v>239</v>
      </c>
      <c r="CF117" s="3">
        <v>45841</v>
      </c>
      <c r="CI117">
        <v>1</v>
      </c>
      <c r="CJ117">
        <v>1</v>
      </c>
      <c r="CK117">
        <v>22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"080066283803"</f>
        <v>080066283803</v>
      </c>
      <c r="F118" s="3">
        <v>45839</v>
      </c>
      <c r="G118">
        <v>202604</v>
      </c>
      <c r="H118" t="s">
        <v>75</v>
      </c>
      <c r="I118" t="s">
        <v>76</v>
      </c>
      <c r="J118" t="s">
        <v>77</v>
      </c>
      <c r="K118" t="s">
        <v>78</v>
      </c>
      <c r="L118" t="s">
        <v>79</v>
      </c>
      <c r="M118" t="s">
        <v>80</v>
      </c>
      <c r="N118" t="s">
        <v>523</v>
      </c>
      <c r="O118" t="s">
        <v>82</v>
      </c>
      <c r="P118" t="str">
        <f>"4170046498                    "</f>
        <v xml:space="preserve">4170046498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20.9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69.5</v>
      </c>
      <c r="BM118">
        <v>10.43</v>
      </c>
      <c r="BN118">
        <v>79.930000000000007</v>
      </c>
      <c r="BO118">
        <v>79.930000000000007</v>
      </c>
      <c r="BQ118" t="s">
        <v>524</v>
      </c>
      <c r="BR118" t="s">
        <v>84</v>
      </c>
      <c r="BS118" s="3">
        <v>45840</v>
      </c>
      <c r="BT118" s="4">
        <v>0.39791666666666664</v>
      </c>
      <c r="BU118" t="s">
        <v>525</v>
      </c>
      <c r="BV118" t="s">
        <v>98</v>
      </c>
      <c r="BY118">
        <v>1200</v>
      </c>
      <c r="BZ118" t="s">
        <v>89</v>
      </c>
      <c r="CA118" t="s">
        <v>526</v>
      </c>
      <c r="CC118" t="s">
        <v>80</v>
      </c>
      <c r="CD118">
        <v>7925</v>
      </c>
      <c r="CE118" t="s">
        <v>239</v>
      </c>
      <c r="CF118" s="3">
        <v>45841</v>
      </c>
      <c r="CI118">
        <v>1</v>
      </c>
      <c r="CJ118">
        <v>1</v>
      </c>
      <c r="CK118">
        <v>21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"080066283875"</f>
        <v>080066283875</v>
      </c>
      <c r="F119" s="3">
        <v>45839</v>
      </c>
      <c r="G119">
        <v>202604</v>
      </c>
      <c r="H119" t="s">
        <v>75</v>
      </c>
      <c r="I119" t="s">
        <v>76</v>
      </c>
      <c r="J119" t="s">
        <v>77</v>
      </c>
      <c r="K119" t="s">
        <v>78</v>
      </c>
      <c r="L119" t="s">
        <v>168</v>
      </c>
      <c r="M119" t="s">
        <v>169</v>
      </c>
      <c r="N119" t="s">
        <v>206</v>
      </c>
      <c r="O119" t="s">
        <v>95</v>
      </c>
      <c r="P119" t="str">
        <f>"4170046493                    "</f>
        <v xml:space="preserve">4170046493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53.76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10</v>
      </c>
      <c r="BJ119">
        <v>22.4</v>
      </c>
      <c r="BK119">
        <v>23</v>
      </c>
      <c r="BL119">
        <v>184.65</v>
      </c>
      <c r="BM119">
        <v>27.7</v>
      </c>
      <c r="BN119">
        <v>212.35</v>
      </c>
      <c r="BO119">
        <v>212.35</v>
      </c>
      <c r="BQ119" t="s">
        <v>207</v>
      </c>
      <c r="BR119" t="s">
        <v>84</v>
      </c>
      <c r="BS119" s="3">
        <v>45841</v>
      </c>
      <c r="BT119" s="4">
        <v>0.41111111111111109</v>
      </c>
      <c r="BU119" t="s">
        <v>208</v>
      </c>
      <c r="BV119" t="s">
        <v>98</v>
      </c>
      <c r="BY119">
        <v>112000</v>
      </c>
      <c r="BZ119" t="s">
        <v>99</v>
      </c>
      <c r="CA119" t="s">
        <v>196</v>
      </c>
      <c r="CC119" t="s">
        <v>169</v>
      </c>
      <c r="CD119">
        <v>6001</v>
      </c>
      <c r="CE119" t="s">
        <v>117</v>
      </c>
      <c r="CF119" s="3">
        <v>45841</v>
      </c>
      <c r="CI119">
        <v>3</v>
      </c>
      <c r="CJ119">
        <v>2</v>
      </c>
      <c r="CK119">
        <v>41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"080066284287"</f>
        <v>080066284287</v>
      </c>
      <c r="F120" s="3">
        <v>45839</v>
      </c>
      <c r="G120">
        <v>202604</v>
      </c>
      <c r="H120" t="s">
        <v>75</v>
      </c>
      <c r="I120" t="s">
        <v>76</v>
      </c>
      <c r="J120" t="s">
        <v>77</v>
      </c>
      <c r="K120" t="s">
        <v>78</v>
      </c>
      <c r="L120" t="s">
        <v>79</v>
      </c>
      <c r="M120" t="s">
        <v>80</v>
      </c>
      <c r="N120" t="s">
        <v>141</v>
      </c>
      <c r="O120" t="s">
        <v>82</v>
      </c>
      <c r="P120" t="str">
        <f>"4170046491                    "</f>
        <v xml:space="preserve">4170046491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41.78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4</v>
      </c>
      <c r="BJ120">
        <v>3.4</v>
      </c>
      <c r="BK120">
        <v>4</v>
      </c>
      <c r="BL120">
        <v>138.94</v>
      </c>
      <c r="BM120">
        <v>20.84</v>
      </c>
      <c r="BN120">
        <v>159.78</v>
      </c>
      <c r="BO120">
        <v>159.78</v>
      </c>
      <c r="BQ120" t="s">
        <v>142</v>
      </c>
      <c r="BR120" t="s">
        <v>84</v>
      </c>
      <c r="BS120" s="3">
        <v>45840</v>
      </c>
      <c r="BT120" s="4">
        <v>0.40902777777777777</v>
      </c>
      <c r="BU120" t="s">
        <v>356</v>
      </c>
      <c r="BV120" t="s">
        <v>98</v>
      </c>
      <c r="BY120">
        <v>16965</v>
      </c>
      <c r="BZ120" t="s">
        <v>89</v>
      </c>
      <c r="CA120" t="s">
        <v>144</v>
      </c>
      <c r="CC120" t="s">
        <v>80</v>
      </c>
      <c r="CD120">
        <v>7441</v>
      </c>
      <c r="CE120" t="s">
        <v>117</v>
      </c>
      <c r="CF120" s="3">
        <v>45841</v>
      </c>
      <c r="CI120">
        <v>1</v>
      </c>
      <c r="CJ120">
        <v>1</v>
      </c>
      <c r="CK120">
        <v>21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"080066285624"</f>
        <v>080066285624</v>
      </c>
      <c r="F121" s="3">
        <v>45839</v>
      </c>
      <c r="G121">
        <v>202604</v>
      </c>
      <c r="H121" t="s">
        <v>75</v>
      </c>
      <c r="I121" t="s">
        <v>76</v>
      </c>
      <c r="J121" t="s">
        <v>77</v>
      </c>
      <c r="K121" t="s">
        <v>78</v>
      </c>
      <c r="L121" t="s">
        <v>92</v>
      </c>
      <c r="M121" t="s">
        <v>93</v>
      </c>
      <c r="N121" t="s">
        <v>334</v>
      </c>
      <c r="O121" t="s">
        <v>82</v>
      </c>
      <c r="P121" t="str">
        <f>"4170046484                    "</f>
        <v xml:space="preserve">4170046484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62.66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6</v>
      </c>
      <c r="BJ121">
        <v>1.7</v>
      </c>
      <c r="BK121">
        <v>6</v>
      </c>
      <c r="BL121">
        <v>208.38</v>
      </c>
      <c r="BM121">
        <v>31.26</v>
      </c>
      <c r="BN121">
        <v>239.64</v>
      </c>
      <c r="BO121">
        <v>239.64</v>
      </c>
      <c r="BQ121" t="s">
        <v>335</v>
      </c>
      <c r="BR121" t="s">
        <v>84</v>
      </c>
      <c r="BS121" s="3">
        <v>45840</v>
      </c>
      <c r="BT121" s="4">
        <v>0.42638888888888887</v>
      </c>
      <c r="BU121" t="s">
        <v>336</v>
      </c>
      <c r="BV121" t="s">
        <v>98</v>
      </c>
      <c r="BY121">
        <v>8512</v>
      </c>
      <c r="BZ121" t="s">
        <v>89</v>
      </c>
      <c r="CA121" t="s">
        <v>337</v>
      </c>
      <c r="CC121" t="s">
        <v>93</v>
      </c>
      <c r="CD121">
        <v>4052</v>
      </c>
      <c r="CE121" t="s">
        <v>117</v>
      </c>
      <c r="CF121" s="3">
        <v>45841</v>
      </c>
      <c r="CI121">
        <v>1</v>
      </c>
      <c r="CJ121">
        <v>1</v>
      </c>
      <c r="CK121">
        <v>21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"080066286286"</f>
        <v>080066286286</v>
      </c>
      <c r="F122" s="3">
        <v>45839</v>
      </c>
      <c r="G122">
        <v>202604</v>
      </c>
      <c r="H122" t="s">
        <v>75</v>
      </c>
      <c r="I122" t="s">
        <v>76</v>
      </c>
      <c r="J122" t="s">
        <v>77</v>
      </c>
      <c r="K122" t="s">
        <v>78</v>
      </c>
      <c r="L122" t="s">
        <v>122</v>
      </c>
      <c r="M122" t="s">
        <v>123</v>
      </c>
      <c r="N122" t="s">
        <v>357</v>
      </c>
      <c r="O122" t="s">
        <v>82</v>
      </c>
      <c r="P122" t="str">
        <f>"4170046368                    "</f>
        <v xml:space="preserve">4170046368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88.76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4</v>
      </c>
      <c r="BJ122">
        <v>8.5</v>
      </c>
      <c r="BK122">
        <v>8.5</v>
      </c>
      <c r="BL122">
        <v>295.18</v>
      </c>
      <c r="BM122">
        <v>44.28</v>
      </c>
      <c r="BN122">
        <v>339.46</v>
      </c>
      <c r="BO122">
        <v>339.46</v>
      </c>
      <c r="BQ122" t="s">
        <v>358</v>
      </c>
      <c r="BR122" t="s">
        <v>84</v>
      </c>
      <c r="BS122" s="3">
        <v>45840</v>
      </c>
      <c r="BT122" s="4">
        <v>0.37847222222222221</v>
      </c>
      <c r="BU122" t="s">
        <v>359</v>
      </c>
      <c r="BV122" t="s">
        <v>98</v>
      </c>
      <c r="BY122">
        <v>42400</v>
      </c>
      <c r="BZ122" t="s">
        <v>89</v>
      </c>
      <c r="CA122" t="s">
        <v>270</v>
      </c>
      <c r="CC122" t="s">
        <v>123</v>
      </c>
      <c r="CD122">
        <v>3610</v>
      </c>
      <c r="CE122" t="s">
        <v>117</v>
      </c>
      <c r="CF122" s="3">
        <v>45841</v>
      </c>
      <c r="CI122">
        <v>1</v>
      </c>
      <c r="CJ122">
        <v>1</v>
      </c>
      <c r="CK122">
        <v>21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"080066286527"</f>
        <v>080066286527</v>
      </c>
      <c r="F123" s="3">
        <v>45839</v>
      </c>
      <c r="G123">
        <v>202604</v>
      </c>
      <c r="H123" t="s">
        <v>75</v>
      </c>
      <c r="I123" t="s">
        <v>76</v>
      </c>
      <c r="J123" t="s">
        <v>77</v>
      </c>
      <c r="K123" t="s">
        <v>78</v>
      </c>
      <c r="L123" t="s">
        <v>295</v>
      </c>
      <c r="M123" t="s">
        <v>296</v>
      </c>
      <c r="N123" t="s">
        <v>519</v>
      </c>
      <c r="O123" t="s">
        <v>311</v>
      </c>
      <c r="P123" t="str">
        <f>"4170046495                    "</f>
        <v xml:space="preserve">4170046495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18.16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6</v>
      </c>
      <c r="BJ123">
        <v>8.9</v>
      </c>
      <c r="BK123">
        <v>9</v>
      </c>
      <c r="BL123">
        <v>60.39</v>
      </c>
      <c r="BM123">
        <v>9.06</v>
      </c>
      <c r="BN123">
        <v>69.45</v>
      </c>
      <c r="BO123">
        <v>69.45</v>
      </c>
      <c r="BQ123" t="s">
        <v>520</v>
      </c>
      <c r="BR123" t="s">
        <v>84</v>
      </c>
      <c r="BS123" s="3">
        <v>45841</v>
      </c>
      <c r="BT123" s="4">
        <v>0.38472222222222224</v>
      </c>
      <c r="BU123" t="s">
        <v>527</v>
      </c>
      <c r="BV123" t="s">
        <v>86</v>
      </c>
      <c r="BW123" t="s">
        <v>395</v>
      </c>
      <c r="BX123" t="s">
        <v>528</v>
      </c>
      <c r="BY123">
        <v>44640</v>
      </c>
      <c r="BZ123" t="s">
        <v>99</v>
      </c>
      <c r="CA123" t="s">
        <v>529</v>
      </c>
      <c r="CC123" t="s">
        <v>296</v>
      </c>
      <c r="CD123">
        <v>1459</v>
      </c>
      <c r="CE123" t="s">
        <v>117</v>
      </c>
      <c r="CF123" s="3">
        <v>45841</v>
      </c>
      <c r="CI123">
        <v>1</v>
      </c>
      <c r="CJ123">
        <v>2</v>
      </c>
      <c r="CK123">
        <v>32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"080066286711"</f>
        <v>080066286711</v>
      </c>
      <c r="F124" s="3">
        <v>45839</v>
      </c>
      <c r="G124">
        <v>202604</v>
      </c>
      <c r="H124" t="s">
        <v>75</v>
      </c>
      <c r="I124" t="s">
        <v>76</v>
      </c>
      <c r="J124" t="s">
        <v>77</v>
      </c>
      <c r="K124" t="s">
        <v>78</v>
      </c>
      <c r="L124" t="s">
        <v>530</v>
      </c>
      <c r="M124" t="s">
        <v>531</v>
      </c>
      <c r="N124" t="s">
        <v>532</v>
      </c>
      <c r="O124" t="s">
        <v>95</v>
      </c>
      <c r="P124" t="str">
        <f>"4170046358                    "</f>
        <v xml:space="preserve">4170046358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141.49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69</v>
      </c>
      <c r="BJ124">
        <v>135.80000000000001</v>
      </c>
      <c r="BK124">
        <v>136</v>
      </c>
      <c r="BL124">
        <v>476.4</v>
      </c>
      <c r="BM124">
        <v>71.459999999999994</v>
      </c>
      <c r="BN124">
        <v>547.86</v>
      </c>
      <c r="BO124">
        <v>547.86</v>
      </c>
      <c r="BQ124" t="s">
        <v>533</v>
      </c>
      <c r="BR124" t="s">
        <v>84</v>
      </c>
      <c r="BS124" s="3">
        <v>45842</v>
      </c>
      <c r="BT124" s="4">
        <v>0.54652777777777772</v>
      </c>
      <c r="BU124" t="s">
        <v>534</v>
      </c>
      <c r="BV124" t="s">
        <v>86</v>
      </c>
      <c r="BY124">
        <v>678960</v>
      </c>
      <c r="BZ124" t="s">
        <v>99</v>
      </c>
      <c r="CA124" t="s">
        <v>535</v>
      </c>
      <c r="CC124" t="s">
        <v>531</v>
      </c>
      <c r="CD124">
        <v>1540</v>
      </c>
      <c r="CE124" t="s">
        <v>536</v>
      </c>
      <c r="CF124" s="3">
        <v>45847</v>
      </c>
      <c r="CI124">
        <v>1</v>
      </c>
      <c r="CJ124">
        <v>3</v>
      </c>
      <c r="CK124">
        <v>42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"080066286759"</f>
        <v>080066286759</v>
      </c>
      <c r="F125" s="3">
        <v>45839</v>
      </c>
      <c r="G125">
        <v>202604</v>
      </c>
      <c r="H125" t="s">
        <v>75</v>
      </c>
      <c r="I125" t="s">
        <v>76</v>
      </c>
      <c r="J125" t="s">
        <v>77</v>
      </c>
      <c r="K125" t="s">
        <v>78</v>
      </c>
      <c r="L125" t="s">
        <v>111</v>
      </c>
      <c r="M125" t="s">
        <v>112</v>
      </c>
      <c r="N125" t="s">
        <v>113</v>
      </c>
      <c r="O125" t="s">
        <v>82</v>
      </c>
      <c r="P125" t="str">
        <f>"4170045860                    "</f>
        <v xml:space="preserve">4170045860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58.77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2.7</v>
      </c>
      <c r="BK125">
        <v>3</v>
      </c>
      <c r="BL125">
        <v>195.45</v>
      </c>
      <c r="BM125">
        <v>29.32</v>
      </c>
      <c r="BN125">
        <v>224.77</v>
      </c>
      <c r="BO125">
        <v>224.77</v>
      </c>
      <c r="BQ125" t="s">
        <v>537</v>
      </c>
      <c r="BR125" t="s">
        <v>84</v>
      </c>
      <c r="BS125" s="3">
        <v>45840</v>
      </c>
      <c r="BT125" s="4">
        <v>0.4375</v>
      </c>
      <c r="BU125" t="s">
        <v>538</v>
      </c>
      <c r="BV125" t="s">
        <v>98</v>
      </c>
      <c r="BY125">
        <v>13328</v>
      </c>
      <c r="BZ125" t="s">
        <v>89</v>
      </c>
      <c r="CA125" t="s">
        <v>116</v>
      </c>
      <c r="CC125" t="s">
        <v>112</v>
      </c>
      <c r="CD125">
        <v>1871</v>
      </c>
      <c r="CE125" t="s">
        <v>91</v>
      </c>
      <c r="CF125" s="3">
        <v>45841</v>
      </c>
      <c r="CI125">
        <v>1</v>
      </c>
      <c r="CJ125">
        <v>1</v>
      </c>
      <c r="CK125">
        <v>23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"080066286798"</f>
        <v>080066286798</v>
      </c>
      <c r="F126" s="3">
        <v>45839</v>
      </c>
      <c r="G126">
        <v>202604</v>
      </c>
      <c r="H126" t="s">
        <v>75</v>
      </c>
      <c r="I126" t="s">
        <v>76</v>
      </c>
      <c r="J126" t="s">
        <v>77</v>
      </c>
      <c r="K126" t="s">
        <v>78</v>
      </c>
      <c r="L126" t="s">
        <v>295</v>
      </c>
      <c r="M126" t="s">
        <v>296</v>
      </c>
      <c r="N126" t="s">
        <v>539</v>
      </c>
      <c r="O126" t="s">
        <v>82</v>
      </c>
      <c r="P126" t="str">
        <f>"4170046505                    "</f>
        <v xml:space="preserve">4170046505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16.32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54.28</v>
      </c>
      <c r="BM126">
        <v>8.14</v>
      </c>
      <c r="BN126">
        <v>62.42</v>
      </c>
      <c r="BO126">
        <v>62.42</v>
      </c>
      <c r="BQ126" t="s">
        <v>540</v>
      </c>
      <c r="BR126" t="s">
        <v>84</v>
      </c>
      <c r="BS126" s="3">
        <v>45840</v>
      </c>
      <c r="BT126" s="4">
        <v>0.39861111111111114</v>
      </c>
      <c r="BU126" t="s">
        <v>541</v>
      </c>
      <c r="BV126" t="s">
        <v>98</v>
      </c>
      <c r="BY126">
        <v>1200</v>
      </c>
      <c r="BZ126" t="s">
        <v>89</v>
      </c>
      <c r="CA126" t="s">
        <v>300</v>
      </c>
      <c r="CC126" t="s">
        <v>296</v>
      </c>
      <c r="CD126">
        <v>1460</v>
      </c>
      <c r="CE126" t="s">
        <v>239</v>
      </c>
      <c r="CF126" s="3">
        <v>45840</v>
      </c>
      <c r="CI126">
        <v>1</v>
      </c>
      <c r="CJ126">
        <v>1</v>
      </c>
      <c r="CK126">
        <v>22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"080066286828"</f>
        <v>080066286828</v>
      </c>
      <c r="F127" s="3">
        <v>45839</v>
      </c>
      <c r="G127">
        <v>202604</v>
      </c>
      <c r="H127" t="s">
        <v>75</v>
      </c>
      <c r="I127" t="s">
        <v>76</v>
      </c>
      <c r="J127" t="s">
        <v>77</v>
      </c>
      <c r="K127" t="s">
        <v>78</v>
      </c>
      <c r="L127" t="s">
        <v>542</v>
      </c>
      <c r="M127" t="s">
        <v>543</v>
      </c>
      <c r="N127" t="s">
        <v>544</v>
      </c>
      <c r="O127" t="s">
        <v>82</v>
      </c>
      <c r="P127" t="str">
        <f>"4170045902                    "</f>
        <v xml:space="preserve">4170045902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16.32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54.28</v>
      </c>
      <c r="BM127">
        <v>8.14</v>
      </c>
      <c r="BN127">
        <v>62.42</v>
      </c>
      <c r="BO127">
        <v>62.42</v>
      </c>
      <c r="BQ127" t="s">
        <v>545</v>
      </c>
      <c r="BR127" t="s">
        <v>84</v>
      </c>
      <c r="BS127" s="3">
        <v>45840</v>
      </c>
      <c r="BT127" s="4">
        <v>0.39027777777777778</v>
      </c>
      <c r="BU127" t="s">
        <v>546</v>
      </c>
      <c r="BV127" t="s">
        <v>98</v>
      </c>
      <c r="BY127">
        <v>1200</v>
      </c>
      <c r="BZ127" t="s">
        <v>89</v>
      </c>
      <c r="CA127" t="s">
        <v>547</v>
      </c>
      <c r="CC127" t="s">
        <v>543</v>
      </c>
      <c r="CD127">
        <v>1449</v>
      </c>
      <c r="CE127" t="s">
        <v>214</v>
      </c>
      <c r="CF127" s="3">
        <v>45841</v>
      </c>
      <c r="CI127">
        <v>1</v>
      </c>
      <c r="CJ127">
        <v>1</v>
      </c>
      <c r="CK127">
        <v>22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"080066286926"</f>
        <v>080066286926</v>
      </c>
      <c r="F128" s="3">
        <v>45839</v>
      </c>
      <c r="G128">
        <v>202604</v>
      </c>
      <c r="H128" t="s">
        <v>75</v>
      </c>
      <c r="I128" t="s">
        <v>76</v>
      </c>
      <c r="J128" t="s">
        <v>77</v>
      </c>
      <c r="K128" t="s">
        <v>78</v>
      </c>
      <c r="L128" t="s">
        <v>548</v>
      </c>
      <c r="M128" t="s">
        <v>549</v>
      </c>
      <c r="N128" t="s">
        <v>550</v>
      </c>
      <c r="O128" t="s">
        <v>82</v>
      </c>
      <c r="P128" t="str">
        <f>"4170046499                    "</f>
        <v xml:space="preserve">4170046499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40.49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1.2</v>
      </c>
      <c r="BK128">
        <v>2</v>
      </c>
      <c r="BL128">
        <v>134.65</v>
      </c>
      <c r="BM128">
        <v>20.2</v>
      </c>
      <c r="BN128">
        <v>154.85</v>
      </c>
      <c r="BO128">
        <v>154.85</v>
      </c>
      <c r="BQ128" t="s">
        <v>551</v>
      </c>
      <c r="BR128" t="s">
        <v>84</v>
      </c>
      <c r="BS128" s="3">
        <v>45840</v>
      </c>
      <c r="BT128" s="4">
        <v>0.42986111111111114</v>
      </c>
      <c r="BU128" t="s">
        <v>552</v>
      </c>
      <c r="BV128" t="s">
        <v>98</v>
      </c>
      <c r="BY128">
        <v>5760</v>
      </c>
      <c r="BZ128" t="s">
        <v>89</v>
      </c>
      <c r="CA128" t="s">
        <v>553</v>
      </c>
      <c r="CC128" t="s">
        <v>549</v>
      </c>
      <c r="CD128">
        <v>5257</v>
      </c>
      <c r="CE128" t="s">
        <v>91</v>
      </c>
      <c r="CF128" s="3">
        <v>45841</v>
      </c>
      <c r="CI128">
        <v>1</v>
      </c>
      <c r="CJ128">
        <v>1</v>
      </c>
      <c r="CK128">
        <v>23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"080066287100"</f>
        <v>080066287100</v>
      </c>
      <c r="F129" s="3">
        <v>45839</v>
      </c>
      <c r="G129">
        <v>202604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492</v>
      </c>
      <c r="O129" t="s">
        <v>82</v>
      </c>
      <c r="P129" t="str">
        <f>"4170046506                    "</f>
        <v xml:space="preserve">4170046506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20.9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69.5</v>
      </c>
      <c r="BM129">
        <v>10.43</v>
      </c>
      <c r="BN129">
        <v>79.930000000000007</v>
      </c>
      <c r="BO129">
        <v>79.930000000000007</v>
      </c>
      <c r="BQ129" t="s">
        <v>493</v>
      </c>
      <c r="BR129" t="s">
        <v>84</v>
      </c>
      <c r="BS129" s="3">
        <v>45840</v>
      </c>
      <c r="BT129" s="4">
        <v>0.40833333333333333</v>
      </c>
      <c r="BU129" t="s">
        <v>494</v>
      </c>
      <c r="BV129" t="s">
        <v>98</v>
      </c>
      <c r="BY129">
        <v>1200</v>
      </c>
      <c r="BZ129" t="s">
        <v>89</v>
      </c>
      <c r="CA129" t="s">
        <v>495</v>
      </c>
      <c r="CC129" t="s">
        <v>80</v>
      </c>
      <c r="CD129">
        <v>7800</v>
      </c>
      <c r="CE129" t="s">
        <v>239</v>
      </c>
      <c r="CF129" s="3">
        <v>45841</v>
      </c>
      <c r="CI129">
        <v>1</v>
      </c>
      <c r="CJ129">
        <v>1</v>
      </c>
      <c r="CK129">
        <v>21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"080066287127"</f>
        <v>080066287127</v>
      </c>
      <c r="F130" s="3">
        <v>45839</v>
      </c>
      <c r="G130">
        <v>202604</v>
      </c>
      <c r="H130" t="s">
        <v>75</v>
      </c>
      <c r="I130" t="s">
        <v>76</v>
      </c>
      <c r="J130" t="s">
        <v>77</v>
      </c>
      <c r="K130" t="s">
        <v>78</v>
      </c>
      <c r="L130" t="s">
        <v>554</v>
      </c>
      <c r="M130" t="s">
        <v>555</v>
      </c>
      <c r="N130" t="s">
        <v>556</v>
      </c>
      <c r="O130" t="s">
        <v>95</v>
      </c>
      <c r="P130" t="str">
        <f>"4170046482                    "</f>
        <v xml:space="preserve">4170046482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62.1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28</v>
      </c>
      <c r="BJ130">
        <v>8.9</v>
      </c>
      <c r="BK130">
        <v>28</v>
      </c>
      <c r="BL130">
        <v>212.39</v>
      </c>
      <c r="BM130">
        <v>31.86</v>
      </c>
      <c r="BN130">
        <v>244.25</v>
      </c>
      <c r="BO130">
        <v>244.25</v>
      </c>
      <c r="BQ130" t="s">
        <v>557</v>
      </c>
      <c r="BR130" t="s">
        <v>84</v>
      </c>
      <c r="BS130" s="3">
        <v>45840</v>
      </c>
      <c r="BT130" s="4">
        <v>0.43402777777777779</v>
      </c>
      <c r="BU130" t="s">
        <v>558</v>
      </c>
      <c r="BV130" t="s">
        <v>98</v>
      </c>
      <c r="BY130">
        <v>44640</v>
      </c>
      <c r="BZ130" t="s">
        <v>99</v>
      </c>
      <c r="CA130" t="s">
        <v>559</v>
      </c>
      <c r="CC130" t="s">
        <v>555</v>
      </c>
      <c r="CD130" s="5" t="s">
        <v>560</v>
      </c>
      <c r="CE130" t="s">
        <v>117</v>
      </c>
      <c r="CF130" s="3">
        <v>45840</v>
      </c>
      <c r="CI130">
        <v>1</v>
      </c>
      <c r="CJ130">
        <v>1</v>
      </c>
      <c r="CK130">
        <v>41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"080066287156"</f>
        <v>080066287156</v>
      </c>
      <c r="F131" s="3">
        <v>45839</v>
      </c>
      <c r="G131">
        <v>202604</v>
      </c>
      <c r="H131" t="s">
        <v>75</v>
      </c>
      <c r="I131" t="s">
        <v>76</v>
      </c>
      <c r="J131" t="s">
        <v>77</v>
      </c>
      <c r="K131" t="s">
        <v>78</v>
      </c>
      <c r="L131" t="s">
        <v>151</v>
      </c>
      <c r="M131" t="s">
        <v>152</v>
      </c>
      <c r="N131" t="s">
        <v>500</v>
      </c>
      <c r="O131" t="s">
        <v>95</v>
      </c>
      <c r="P131" t="str">
        <f>"4170046492                    "</f>
        <v xml:space="preserve">4170046492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40.409999999999997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11</v>
      </c>
      <c r="BJ131">
        <v>3.4</v>
      </c>
      <c r="BK131">
        <v>11</v>
      </c>
      <c r="BL131">
        <v>140.26</v>
      </c>
      <c r="BM131">
        <v>21.04</v>
      </c>
      <c r="BN131">
        <v>161.30000000000001</v>
      </c>
      <c r="BO131">
        <v>161.30000000000001</v>
      </c>
      <c r="BQ131" t="s">
        <v>501</v>
      </c>
      <c r="BR131" t="s">
        <v>84</v>
      </c>
      <c r="BS131" s="3">
        <v>45840</v>
      </c>
      <c r="BT131" s="4">
        <v>0.41944444444444445</v>
      </c>
      <c r="BU131" t="s">
        <v>561</v>
      </c>
      <c r="BV131" t="s">
        <v>98</v>
      </c>
      <c r="BY131">
        <v>16965</v>
      </c>
      <c r="BZ131" t="s">
        <v>99</v>
      </c>
      <c r="CA131" t="s">
        <v>388</v>
      </c>
      <c r="CC131" t="s">
        <v>152</v>
      </c>
      <c r="CD131" s="5" t="s">
        <v>157</v>
      </c>
      <c r="CE131" t="s">
        <v>117</v>
      </c>
      <c r="CF131" s="3">
        <v>45840</v>
      </c>
      <c r="CI131">
        <v>1</v>
      </c>
      <c r="CJ131">
        <v>1</v>
      </c>
      <c r="CK131">
        <v>41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"080066287341"</f>
        <v>080066287341</v>
      </c>
      <c r="F132" s="3">
        <v>45839</v>
      </c>
      <c r="G132">
        <v>202604</v>
      </c>
      <c r="H132" t="s">
        <v>75</v>
      </c>
      <c r="I132" t="s">
        <v>76</v>
      </c>
      <c r="J132" t="s">
        <v>77</v>
      </c>
      <c r="K132" t="s">
        <v>78</v>
      </c>
      <c r="L132" t="s">
        <v>75</v>
      </c>
      <c r="M132" t="s">
        <v>76</v>
      </c>
      <c r="N132" t="s">
        <v>562</v>
      </c>
      <c r="O132" t="s">
        <v>82</v>
      </c>
      <c r="P132" t="str">
        <f>"4170046349                    "</f>
        <v xml:space="preserve">4170046349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16.32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54.28</v>
      </c>
      <c r="BM132">
        <v>8.14</v>
      </c>
      <c r="BN132">
        <v>62.42</v>
      </c>
      <c r="BO132">
        <v>62.42</v>
      </c>
      <c r="BQ132" t="s">
        <v>563</v>
      </c>
      <c r="BR132" t="s">
        <v>84</v>
      </c>
      <c r="BS132" s="3">
        <v>45840</v>
      </c>
      <c r="BT132" s="4">
        <v>0.4152777777777778</v>
      </c>
      <c r="BU132" t="s">
        <v>564</v>
      </c>
      <c r="BV132" t="s">
        <v>98</v>
      </c>
      <c r="BY132">
        <v>1200</v>
      </c>
      <c r="BZ132" t="s">
        <v>89</v>
      </c>
      <c r="CA132" t="s">
        <v>565</v>
      </c>
      <c r="CC132" t="s">
        <v>76</v>
      </c>
      <c r="CD132">
        <v>1619</v>
      </c>
      <c r="CE132" t="s">
        <v>239</v>
      </c>
      <c r="CF132" s="3">
        <v>45840</v>
      </c>
      <c r="CI132">
        <v>1</v>
      </c>
      <c r="CJ132">
        <v>1</v>
      </c>
      <c r="CK132">
        <v>22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"080066287425"</f>
        <v>080066287425</v>
      </c>
      <c r="F133" s="3">
        <v>45839</v>
      </c>
      <c r="G133">
        <v>202604</v>
      </c>
      <c r="H133" t="s">
        <v>75</v>
      </c>
      <c r="I133" t="s">
        <v>76</v>
      </c>
      <c r="J133" t="s">
        <v>77</v>
      </c>
      <c r="K133" t="s">
        <v>78</v>
      </c>
      <c r="L133" t="s">
        <v>566</v>
      </c>
      <c r="M133" t="s">
        <v>567</v>
      </c>
      <c r="N133" t="s">
        <v>568</v>
      </c>
      <c r="O133" t="s">
        <v>82</v>
      </c>
      <c r="P133" t="str">
        <f>"4170046384                    "</f>
        <v xml:space="preserve">4170046384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36.549999999999997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2</v>
      </c>
      <c r="BJ133">
        <v>2.1</v>
      </c>
      <c r="BK133">
        <v>2.5</v>
      </c>
      <c r="BL133">
        <v>121.54</v>
      </c>
      <c r="BM133">
        <v>18.23</v>
      </c>
      <c r="BN133">
        <v>139.77000000000001</v>
      </c>
      <c r="BO133">
        <v>139.77000000000001</v>
      </c>
      <c r="BQ133" t="s">
        <v>569</v>
      </c>
      <c r="BR133" t="s">
        <v>84</v>
      </c>
      <c r="BS133" s="3">
        <v>45840</v>
      </c>
      <c r="BT133" s="4">
        <v>0.34166666666666667</v>
      </c>
      <c r="BU133" t="s">
        <v>570</v>
      </c>
      <c r="BV133" t="s">
        <v>98</v>
      </c>
      <c r="BY133">
        <v>10260</v>
      </c>
      <c r="BZ133" t="s">
        <v>89</v>
      </c>
      <c r="CA133" t="s">
        <v>571</v>
      </c>
      <c r="CC133" t="s">
        <v>567</v>
      </c>
      <c r="CD133">
        <v>2210</v>
      </c>
      <c r="CE133" t="s">
        <v>266</v>
      </c>
      <c r="CF133" s="3">
        <v>45840</v>
      </c>
      <c r="CI133">
        <v>1</v>
      </c>
      <c r="CJ133">
        <v>1</v>
      </c>
      <c r="CK133">
        <v>24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"080066287593"</f>
        <v>080066287593</v>
      </c>
      <c r="F134" s="3">
        <v>45839</v>
      </c>
      <c r="G134">
        <v>202604</v>
      </c>
      <c r="H134" t="s">
        <v>75</v>
      </c>
      <c r="I134" t="s">
        <v>76</v>
      </c>
      <c r="J134" t="s">
        <v>77</v>
      </c>
      <c r="K134" t="s">
        <v>78</v>
      </c>
      <c r="L134" t="s">
        <v>305</v>
      </c>
      <c r="M134" t="s">
        <v>306</v>
      </c>
      <c r="N134" t="s">
        <v>572</v>
      </c>
      <c r="O134" t="s">
        <v>82</v>
      </c>
      <c r="P134" t="str">
        <f>"4170046136                    "</f>
        <v xml:space="preserve">4170046136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20.9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69.5</v>
      </c>
      <c r="BM134">
        <v>10.43</v>
      </c>
      <c r="BN134">
        <v>79.930000000000007</v>
      </c>
      <c r="BO134">
        <v>79.930000000000007</v>
      </c>
      <c r="BQ134" t="s">
        <v>573</v>
      </c>
      <c r="BR134" t="s">
        <v>84</v>
      </c>
      <c r="BS134" s="3">
        <v>45840</v>
      </c>
      <c r="BT134" s="4">
        <v>0.60555555555555551</v>
      </c>
      <c r="BU134" t="s">
        <v>574</v>
      </c>
      <c r="BV134" t="s">
        <v>98</v>
      </c>
      <c r="BY134">
        <v>1200</v>
      </c>
      <c r="BZ134" t="s">
        <v>89</v>
      </c>
      <c r="CA134" t="s">
        <v>575</v>
      </c>
      <c r="CC134" t="s">
        <v>306</v>
      </c>
      <c r="CD134">
        <v>5201</v>
      </c>
      <c r="CE134" t="s">
        <v>214</v>
      </c>
      <c r="CF134" s="3">
        <v>45841</v>
      </c>
      <c r="CI134">
        <v>5</v>
      </c>
      <c r="CJ134">
        <v>1</v>
      </c>
      <c r="CK134">
        <v>21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"080066287620"</f>
        <v>080066287620</v>
      </c>
      <c r="F135" s="3">
        <v>45839</v>
      </c>
      <c r="G135">
        <v>202604</v>
      </c>
      <c r="H135" t="s">
        <v>75</v>
      </c>
      <c r="I135" t="s">
        <v>76</v>
      </c>
      <c r="J135" t="s">
        <v>77</v>
      </c>
      <c r="K135" t="s">
        <v>78</v>
      </c>
      <c r="L135" t="s">
        <v>79</v>
      </c>
      <c r="M135" t="s">
        <v>80</v>
      </c>
      <c r="N135" t="s">
        <v>576</v>
      </c>
      <c r="O135" t="s">
        <v>82</v>
      </c>
      <c r="P135" t="str">
        <f>"4170046295                    "</f>
        <v xml:space="preserve">4170046295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20.9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69.5</v>
      </c>
      <c r="BM135">
        <v>10.43</v>
      </c>
      <c r="BN135">
        <v>79.930000000000007</v>
      </c>
      <c r="BO135">
        <v>79.930000000000007</v>
      </c>
      <c r="BQ135" t="s">
        <v>577</v>
      </c>
      <c r="BR135" t="s">
        <v>84</v>
      </c>
      <c r="BS135" s="3">
        <v>45840</v>
      </c>
      <c r="BT135" s="4">
        <v>0.3923611111111111</v>
      </c>
      <c r="BU135" t="s">
        <v>578</v>
      </c>
      <c r="BV135" t="s">
        <v>98</v>
      </c>
      <c r="BY135">
        <v>1200</v>
      </c>
      <c r="BZ135" t="s">
        <v>89</v>
      </c>
      <c r="CA135" t="s">
        <v>579</v>
      </c>
      <c r="CC135" t="s">
        <v>80</v>
      </c>
      <c r="CD135">
        <v>7480</v>
      </c>
      <c r="CE135" t="s">
        <v>214</v>
      </c>
      <c r="CF135" s="3">
        <v>45841</v>
      </c>
      <c r="CI135">
        <v>1</v>
      </c>
      <c r="CJ135">
        <v>1</v>
      </c>
      <c r="CK135">
        <v>21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"080066288065"</f>
        <v>080066288065</v>
      </c>
      <c r="F136" s="3">
        <v>45839</v>
      </c>
      <c r="G136">
        <v>202604</v>
      </c>
      <c r="H136" t="s">
        <v>75</v>
      </c>
      <c r="I136" t="s">
        <v>76</v>
      </c>
      <c r="J136" t="s">
        <v>77</v>
      </c>
      <c r="K136" t="s">
        <v>78</v>
      </c>
      <c r="L136" t="s">
        <v>580</v>
      </c>
      <c r="M136" t="s">
        <v>581</v>
      </c>
      <c r="N136" t="s">
        <v>582</v>
      </c>
      <c r="O136" t="s">
        <v>82</v>
      </c>
      <c r="P136" t="str">
        <f>"4170046508                    "</f>
        <v xml:space="preserve">4170046508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73.099999999999994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7</v>
      </c>
      <c r="BJ136">
        <v>3.5</v>
      </c>
      <c r="BK136">
        <v>7</v>
      </c>
      <c r="BL136">
        <v>243.1</v>
      </c>
      <c r="BM136">
        <v>36.47</v>
      </c>
      <c r="BN136">
        <v>279.57</v>
      </c>
      <c r="BO136">
        <v>279.57</v>
      </c>
      <c r="BQ136" t="s">
        <v>583</v>
      </c>
      <c r="BR136" t="s">
        <v>84</v>
      </c>
      <c r="BS136" s="3">
        <v>45840</v>
      </c>
      <c r="BT136" s="4">
        <v>0.4375</v>
      </c>
      <c r="BU136" t="s">
        <v>584</v>
      </c>
      <c r="BV136" t="s">
        <v>98</v>
      </c>
      <c r="BY136">
        <v>17424</v>
      </c>
      <c r="BZ136" t="s">
        <v>89</v>
      </c>
      <c r="CA136" t="s">
        <v>585</v>
      </c>
      <c r="CC136" t="s">
        <v>581</v>
      </c>
      <c r="CD136">
        <v>4302</v>
      </c>
      <c r="CE136" t="s">
        <v>117</v>
      </c>
      <c r="CF136" s="3">
        <v>45840</v>
      </c>
      <c r="CI136">
        <v>1</v>
      </c>
      <c r="CJ136">
        <v>1</v>
      </c>
      <c r="CK136">
        <v>21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"080011556874"</f>
        <v>080011556874</v>
      </c>
      <c r="F137" s="3">
        <v>45840</v>
      </c>
      <c r="G137">
        <v>202604</v>
      </c>
      <c r="H137" t="s">
        <v>75</v>
      </c>
      <c r="I137" t="s">
        <v>76</v>
      </c>
      <c r="J137" t="s">
        <v>586</v>
      </c>
      <c r="K137" t="s">
        <v>78</v>
      </c>
      <c r="L137" t="s">
        <v>75</v>
      </c>
      <c r="M137" t="s">
        <v>76</v>
      </c>
      <c r="N137" t="s">
        <v>228</v>
      </c>
      <c r="O137" t="s">
        <v>82</v>
      </c>
      <c r="P137" t="str">
        <f>"ZA1001394471                  "</f>
        <v xml:space="preserve">ZA1001394471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17.649999999999999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4.5999999999999996</v>
      </c>
      <c r="BJ137">
        <v>1.7</v>
      </c>
      <c r="BK137">
        <v>5</v>
      </c>
      <c r="BL137">
        <v>55.61</v>
      </c>
      <c r="BM137">
        <v>8.34</v>
      </c>
      <c r="BN137">
        <v>63.95</v>
      </c>
      <c r="BO137">
        <v>63.95</v>
      </c>
      <c r="BP137" t="s">
        <v>587</v>
      </c>
      <c r="BQ137" t="s">
        <v>230</v>
      </c>
      <c r="BR137" t="s">
        <v>588</v>
      </c>
      <c r="BS137" s="3">
        <v>45841</v>
      </c>
      <c r="BT137" s="4">
        <v>0.41319444444444442</v>
      </c>
      <c r="BU137" t="s">
        <v>232</v>
      </c>
      <c r="BV137" t="s">
        <v>98</v>
      </c>
      <c r="BY137">
        <v>8406.1200000000008</v>
      </c>
      <c r="BZ137" t="s">
        <v>89</v>
      </c>
      <c r="CA137" t="s">
        <v>304</v>
      </c>
      <c r="CC137" t="s">
        <v>76</v>
      </c>
      <c r="CD137">
        <v>1619</v>
      </c>
      <c r="CE137" t="s">
        <v>233</v>
      </c>
      <c r="CF137" s="3">
        <v>45841</v>
      </c>
      <c r="CI137">
        <v>1</v>
      </c>
      <c r="CJ137">
        <v>1</v>
      </c>
      <c r="CK137">
        <v>22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"080011556903"</f>
        <v>080011556903</v>
      </c>
      <c r="F138" s="3">
        <v>45840</v>
      </c>
      <c r="G138">
        <v>202604</v>
      </c>
      <c r="H138" t="s">
        <v>79</v>
      </c>
      <c r="I138" t="s">
        <v>80</v>
      </c>
      <c r="J138" t="s">
        <v>589</v>
      </c>
      <c r="K138" t="s">
        <v>78</v>
      </c>
      <c r="L138" t="s">
        <v>75</v>
      </c>
      <c r="M138" t="s">
        <v>76</v>
      </c>
      <c r="N138" t="s">
        <v>228</v>
      </c>
      <c r="O138" t="s">
        <v>95</v>
      </c>
      <c r="P138" t="str">
        <f>"ZA1001394449                  "</f>
        <v xml:space="preserve">ZA1001394449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43.7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12.4</v>
      </c>
      <c r="BJ138">
        <v>11.5</v>
      </c>
      <c r="BK138">
        <v>13</v>
      </c>
      <c r="BL138">
        <v>143.55000000000001</v>
      </c>
      <c r="BM138">
        <v>21.53</v>
      </c>
      <c r="BN138">
        <v>165.08</v>
      </c>
      <c r="BO138">
        <v>165.08</v>
      </c>
      <c r="BP138" t="s">
        <v>587</v>
      </c>
      <c r="BQ138" t="s">
        <v>230</v>
      </c>
      <c r="BR138" t="s">
        <v>590</v>
      </c>
      <c r="BS138" s="3">
        <v>45842</v>
      </c>
      <c r="BT138" s="4">
        <v>0.42638888888888887</v>
      </c>
      <c r="BU138" t="s">
        <v>232</v>
      </c>
      <c r="BV138" t="s">
        <v>98</v>
      </c>
      <c r="BY138">
        <v>57738.720000000001</v>
      </c>
      <c r="BZ138" t="s">
        <v>99</v>
      </c>
      <c r="CA138" t="s">
        <v>304</v>
      </c>
      <c r="CC138" t="s">
        <v>76</v>
      </c>
      <c r="CD138">
        <v>1619</v>
      </c>
      <c r="CE138" t="s">
        <v>233</v>
      </c>
      <c r="CF138" s="3">
        <v>45842</v>
      </c>
      <c r="CI138">
        <v>3</v>
      </c>
      <c r="CJ138">
        <v>2</v>
      </c>
      <c r="CK138">
        <v>41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"080066301119"</f>
        <v>080066301119</v>
      </c>
      <c r="F139" s="3">
        <v>45840</v>
      </c>
      <c r="G139">
        <v>202604</v>
      </c>
      <c r="H139" t="s">
        <v>75</v>
      </c>
      <c r="I139" t="s">
        <v>76</v>
      </c>
      <c r="J139" t="s">
        <v>77</v>
      </c>
      <c r="K139" t="s">
        <v>78</v>
      </c>
      <c r="L139" t="s">
        <v>151</v>
      </c>
      <c r="M139" t="s">
        <v>152</v>
      </c>
      <c r="N139" t="s">
        <v>500</v>
      </c>
      <c r="O139" t="s">
        <v>95</v>
      </c>
      <c r="P139" t="str">
        <f>"4170046387                    "</f>
        <v xml:space="preserve">4170046387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43.7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12</v>
      </c>
      <c r="BJ139">
        <v>9.1</v>
      </c>
      <c r="BK139">
        <v>12</v>
      </c>
      <c r="BL139">
        <v>143.55000000000001</v>
      </c>
      <c r="BM139">
        <v>21.53</v>
      </c>
      <c r="BN139">
        <v>165.08</v>
      </c>
      <c r="BO139">
        <v>165.08</v>
      </c>
      <c r="BQ139" t="s">
        <v>501</v>
      </c>
      <c r="BR139" t="s">
        <v>84</v>
      </c>
      <c r="BS139" s="3">
        <v>45841</v>
      </c>
      <c r="BT139" s="4">
        <v>0.37083333333333335</v>
      </c>
      <c r="BU139" t="s">
        <v>561</v>
      </c>
      <c r="BV139" t="s">
        <v>98</v>
      </c>
      <c r="BY139">
        <v>45632</v>
      </c>
      <c r="BZ139" t="s">
        <v>99</v>
      </c>
      <c r="CA139" t="s">
        <v>388</v>
      </c>
      <c r="CC139" t="s">
        <v>152</v>
      </c>
      <c r="CD139" s="5" t="s">
        <v>157</v>
      </c>
      <c r="CE139" t="s">
        <v>117</v>
      </c>
      <c r="CF139" s="3">
        <v>45841</v>
      </c>
      <c r="CI139">
        <v>1</v>
      </c>
      <c r="CJ139">
        <v>1</v>
      </c>
      <c r="CK139">
        <v>41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"080066301222"</f>
        <v>080066301222</v>
      </c>
      <c r="F140" s="3">
        <v>45840</v>
      </c>
      <c r="G140">
        <v>202604</v>
      </c>
      <c r="H140" t="s">
        <v>75</v>
      </c>
      <c r="I140" t="s">
        <v>76</v>
      </c>
      <c r="J140" t="s">
        <v>77</v>
      </c>
      <c r="K140" t="s">
        <v>78</v>
      </c>
      <c r="L140" t="s">
        <v>92</v>
      </c>
      <c r="M140" t="s">
        <v>93</v>
      </c>
      <c r="N140" t="s">
        <v>591</v>
      </c>
      <c r="O140" t="s">
        <v>82</v>
      </c>
      <c r="P140" t="str">
        <f>"4170046572                    "</f>
        <v xml:space="preserve">4170046572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22.6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71.2</v>
      </c>
      <c r="BM140">
        <v>10.68</v>
      </c>
      <c r="BN140">
        <v>81.88</v>
      </c>
      <c r="BO140">
        <v>81.88</v>
      </c>
      <c r="BQ140" t="s">
        <v>592</v>
      </c>
      <c r="BR140" t="s">
        <v>84</v>
      </c>
      <c r="BS140" s="3">
        <v>45841</v>
      </c>
      <c r="BT140" s="4">
        <v>0.35833333333333334</v>
      </c>
      <c r="BU140" t="s">
        <v>593</v>
      </c>
      <c r="BV140" t="s">
        <v>98</v>
      </c>
      <c r="BY140">
        <v>1200</v>
      </c>
      <c r="BZ140" t="s">
        <v>89</v>
      </c>
      <c r="CA140" t="s">
        <v>337</v>
      </c>
      <c r="CC140" t="s">
        <v>93</v>
      </c>
      <c r="CD140">
        <v>4052</v>
      </c>
      <c r="CE140" t="s">
        <v>239</v>
      </c>
      <c r="CF140" s="3">
        <v>45842</v>
      </c>
      <c r="CI140">
        <v>1</v>
      </c>
      <c r="CJ140">
        <v>1</v>
      </c>
      <c r="CK140">
        <v>21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"080066301242"</f>
        <v>080066301242</v>
      </c>
      <c r="F141" s="3">
        <v>45840</v>
      </c>
      <c r="G141">
        <v>202604</v>
      </c>
      <c r="H141" t="s">
        <v>75</v>
      </c>
      <c r="I141" t="s">
        <v>76</v>
      </c>
      <c r="J141" t="s">
        <v>77</v>
      </c>
      <c r="K141" t="s">
        <v>78</v>
      </c>
      <c r="L141" t="s">
        <v>350</v>
      </c>
      <c r="M141" t="s">
        <v>351</v>
      </c>
      <c r="N141" t="s">
        <v>352</v>
      </c>
      <c r="O141" t="s">
        <v>82</v>
      </c>
      <c r="P141" t="str">
        <f>"4170046554                    "</f>
        <v xml:space="preserve">4170046554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22.6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71.2</v>
      </c>
      <c r="BM141">
        <v>10.68</v>
      </c>
      <c r="BN141">
        <v>81.88</v>
      </c>
      <c r="BO141">
        <v>81.88</v>
      </c>
      <c r="BQ141" t="s">
        <v>353</v>
      </c>
      <c r="BR141" t="s">
        <v>84</v>
      </c>
      <c r="BS141" s="3">
        <v>45841</v>
      </c>
      <c r="BT141" s="4">
        <v>0.41875000000000001</v>
      </c>
      <c r="BU141" t="s">
        <v>354</v>
      </c>
      <c r="BV141" t="s">
        <v>98</v>
      </c>
      <c r="BY141">
        <v>1200</v>
      </c>
      <c r="BZ141" t="s">
        <v>89</v>
      </c>
      <c r="CA141" t="s">
        <v>337</v>
      </c>
      <c r="CC141" t="s">
        <v>351</v>
      </c>
      <c r="CD141">
        <v>4133</v>
      </c>
      <c r="CE141" t="s">
        <v>239</v>
      </c>
      <c r="CF141" s="3">
        <v>45842</v>
      </c>
      <c r="CI141">
        <v>1</v>
      </c>
      <c r="CJ141">
        <v>1</v>
      </c>
      <c r="CK141">
        <v>21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"080066301287"</f>
        <v>080066301287</v>
      </c>
      <c r="F142" s="3">
        <v>45840</v>
      </c>
      <c r="G142">
        <v>202604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594</v>
      </c>
      <c r="O142" t="s">
        <v>82</v>
      </c>
      <c r="P142" t="str">
        <f>"4170046522                    "</f>
        <v xml:space="preserve">4170046522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22.6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71.2</v>
      </c>
      <c r="BM142">
        <v>10.68</v>
      </c>
      <c r="BN142">
        <v>81.88</v>
      </c>
      <c r="BO142">
        <v>81.88</v>
      </c>
      <c r="BQ142" t="s">
        <v>595</v>
      </c>
      <c r="BR142" t="s">
        <v>84</v>
      </c>
      <c r="BS142" s="3">
        <v>45841</v>
      </c>
      <c r="BT142" s="4">
        <v>0.37916666666666665</v>
      </c>
      <c r="BU142" t="s">
        <v>596</v>
      </c>
      <c r="BV142" t="s">
        <v>98</v>
      </c>
      <c r="BY142">
        <v>1200</v>
      </c>
      <c r="BZ142" t="s">
        <v>89</v>
      </c>
      <c r="CA142" t="s">
        <v>579</v>
      </c>
      <c r="CC142" t="s">
        <v>80</v>
      </c>
      <c r="CD142">
        <v>7480</v>
      </c>
      <c r="CE142" t="s">
        <v>239</v>
      </c>
      <c r="CF142" s="3">
        <v>45842</v>
      </c>
      <c r="CI142">
        <v>1</v>
      </c>
      <c r="CJ142">
        <v>1</v>
      </c>
      <c r="CK142">
        <v>21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"080066301333"</f>
        <v>080066301333</v>
      </c>
      <c r="F143" s="3">
        <v>45840</v>
      </c>
      <c r="G143">
        <v>202604</v>
      </c>
      <c r="H143" t="s">
        <v>75</v>
      </c>
      <c r="I143" t="s">
        <v>76</v>
      </c>
      <c r="J143" t="s">
        <v>77</v>
      </c>
      <c r="K143" t="s">
        <v>78</v>
      </c>
      <c r="L143" t="s">
        <v>179</v>
      </c>
      <c r="M143" t="s">
        <v>180</v>
      </c>
      <c r="N143" t="s">
        <v>181</v>
      </c>
      <c r="O143" t="s">
        <v>82</v>
      </c>
      <c r="P143" t="str">
        <f>"4170046560                    "</f>
        <v xml:space="preserve">4170046560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43.78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137.94</v>
      </c>
      <c r="BM143">
        <v>20.69</v>
      </c>
      <c r="BN143">
        <v>158.63</v>
      </c>
      <c r="BO143">
        <v>158.63</v>
      </c>
      <c r="BQ143" t="s">
        <v>182</v>
      </c>
      <c r="BR143" t="s">
        <v>84</v>
      </c>
      <c r="BS143" s="3">
        <v>45841</v>
      </c>
      <c r="BT143" s="4">
        <v>0.5</v>
      </c>
      <c r="BU143" t="s">
        <v>597</v>
      </c>
      <c r="BV143" t="s">
        <v>98</v>
      </c>
      <c r="BY143">
        <v>1200</v>
      </c>
      <c r="BZ143" t="s">
        <v>89</v>
      </c>
      <c r="CC143" t="s">
        <v>180</v>
      </c>
      <c r="CD143">
        <v>3310</v>
      </c>
      <c r="CE143" t="s">
        <v>239</v>
      </c>
      <c r="CF143" s="3">
        <v>45842</v>
      </c>
      <c r="CI143">
        <v>1</v>
      </c>
      <c r="CJ143">
        <v>1</v>
      </c>
      <c r="CK143">
        <v>23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"080066301376"</f>
        <v>080066301376</v>
      </c>
      <c r="F144" s="3">
        <v>45840</v>
      </c>
      <c r="G144">
        <v>202604</v>
      </c>
      <c r="H144" t="s">
        <v>75</v>
      </c>
      <c r="I144" t="s">
        <v>76</v>
      </c>
      <c r="J144" t="s">
        <v>77</v>
      </c>
      <c r="K144" t="s">
        <v>78</v>
      </c>
      <c r="L144" t="s">
        <v>598</v>
      </c>
      <c r="M144" t="s">
        <v>599</v>
      </c>
      <c r="N144" t="s">
        <v>600</v>
      </c>
      <c r="O144" t="s">
        <v>82</v>
      </c>
      <c r="P144" t="str">
        <f>"4170046590                    "</f>
        <v xml:space="preserve">4170046590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43.78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137.94</v>
      </c>
      <c r="BM144">
        <v>20.69</v>
      </c>
      <c r="BN144">
        <v>158.63</v>
      </c>
      <c r="BO144">
        <v>158.63</v>
      </c>
      <c r="BQ144" t="s">
        <v>601</v>
      </c>
      <c r="BR144" t="s">
        <v>84</v>
      </c>
      <c r="BS144" s="3">
        <v>45841</v>
      </c>
      <c r="BT144" s="4">
        <v>0.41111111111111109</v>
      </c>
      <c r="BU144" t="s">
        <v>602</v>
      </c>
      <c r="BV144" t="s">
        <v>98</v>
      </c>
      <c r="BY144">
        <v>1200</v>
      </c>
      <c r="BZ144" t="s">
        <v>89</v>
      </c>
      <c r="CA144" t="s">
        <v>603</v>
      </c>
      <c r="CC144" t="s">
        <v>599</v>
      </c>
      <c r="CD144">
        <v>4339</v>
      </c>
      <c r="CE144" t="s">
        <v>239</v>
      </c>
      <c r="CF144" s="3">
        <v>45841</v>
      </c>
      <c r="CI144">
        <v>1</v>
      </c>
      <c r="CJ144">
        <v>1</v>
      </c>
      <c r="CK144">
        <v>23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"080066301438"</f>
        <v>080066301438</v>
      </c>
      <c r="F145" s="3">
        <v>45840</v>
      </c>
      <c r="G145">
        <v>202604</v>
      </c>
      <c r="H145" t="s">
        <v>75</v>
      </c>
      <c r="I145" t="s">
        <v>76</v>
      </c>
      <c r="J145" t="s">
        <v>77</v>
      </c>
      <c r="K145" t="s">
        <v>78</v>
      </c>
      <c r="L145" t="s">
        <v>168</v>
      </c>
      <c r="M145" t="s">
        <v>169</v>
      </c>
      <c r="N145" t="s">
        <v>206</v>
      </c>
      <c r="O145" t="s">
        <v>82</v>
      </c>
      <c r="P145" t="str">
        <f>"4170046530                    "</f>
        <v xml:space="preserve">4170046530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22.6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71.2</v>
      </c>
      <c r="BM145">
        <v>10.68</v>
      </c>
      <c r="BN145">
        <v>81.88</v>
      </c>
      <c r="BO145">
        <v>81.88</v>
      </c>
      <c r="BQ145" t="s">
        <v>207</v>
      </c>
      <c r="BR145" t="s">
        <v>84</v>
      </c>
      <c r="BS145" s="3">
        <v>45841</v>
      </c>
      <c r="BT145" s="4">
        <v>0.41111111111111109</v>
      </c>
      <c r="BU145" t="s">
        <v>208</v>
      </c>
      <c r="BV145" t="s">
        <v>98</v>
      </c>
      <c r="BY145">
        <v>1200</v>
      </c>
      <c r="BZ145" t="s">
        <v>89</v>
      </c>
      <c r="CA145" t="s">
        <v>196</v>
      </c>
      <c r="CC145" t="s">
        <v>169</v>
      </c>
      <c r="CD145">
        <v>6001</v>
      </c>
      <c r="CE145" t="s">
        <v>239</v>
      </c>
      <c r="CF145" s="3">
        <v>45841</v>
      </c>
      <c r="CI145">
        <v>1</v>
      </c>
      <c r="CJ145">
        <v>1</v>
      </c>
      <c r="CK145">
        <v>21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"080066301484"</f>
        <v>080066301484</v>
      </c>
      <c r="F146" s="3">
        <v>45840</v>
      </c>
      <c r="G146">
        <v>202604</v>
      </c>
      <c r="H146" t="s">
        <v>75</v>
      </c>
      <c r="I146" t="s">
        <v>76</v>
      </c>
      <c r="J146" t="s">
        <v>77</v>
      </c>
      <c r="K146" t="s">
        <v>78</v>
      </c>
      <c r="L146" t="s">
        <v>79</v>
      </c>
      <c r="M146" t="s">
        <v>80</v>
      </c>
      <c r="N146" t="s">
        <v>594</v>
      </c>
      <c r="O146" t="s">
        <v>82</v>
      </c>
      <c r="P146" t="str">
        <f>"4170046564                    "</f>
        <v xml:space="preserve">4170046564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22.6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71.2</v>
      </c>
      <c r="BM146">
        <v>10.68</v>
      </c>
      <c r="BN146">
        <v>81.88</v>
      </c>
      <c r="BO146">
        <v>81.88</v>
      </c>
      <c r="BQ146" t="s">
        <v>595</v>
      </c>
      <c r="BR146" t="s">
        <v>84</v>
      </c>
      <c r="BS146" s="3">
        <v>45841</v>
      </c>
      <c r="BT146" s="4">
        <v>0.37847222222222221</v>
      </c>
      <c r="BU146" t="s">
        <v>596</v>
      </c>
      <c r="BV146" t="s">
        <v>98</v>
      </c>
      <c r="BY146">
        <v>1200</v>
      </c>
      <c r="BZ146" t="s">
        <v>89</v>
      </c>
      <c r="CA146" t="s">
        <v>579</v>
      </c>
      <c r="CC146" t="s">
        <v>80</v>
      </c>
      <c r="CD146">
        <v>7480</v>
      </c>
      <c r="CE146" t="s">
        <v>239</v>
      </c>
      <c r="CF146" s="3">
        <v>45842</v>
      </c>
      <c r="CI146">
        <v>1</v>
      </c>
      <c r="CJ146">
        <v>1</v>
      </c>
      <c r="CK146">
        <v>21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"080066301915"</f>
        <v>080066301915</v>
      </c>
      <c r="F147" s="3">
        <v>45840</v>
      </c>
      <c r="G147">
        <v>202604</v>
      </c>
      <c r="H147" t="s">
        <v>75</v>
      </c>
      <c r="I147" t="s">
        <v>76</v>
      </c>
      <c r="J147" t="s">
        <v>77</v>
      </c>
      <c r="K147" t="s">
        <v>78</v>
      </c>
      <c r="L147" t="s">
        <v>604</v>
      </c>
      <c r="M147" t="s">
        <v>605</v>
      </c>
      <c r="N147" t="s">
        <v>606</v>
      </c>
      <c r="O147" t="s">
        <v>82</v>
      </c>
      <c r="P147" t="str">
        <f>"4170046583                    "</f>
        <v xml:space="preserve">4170046583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43.78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1.1000000000000001</v>
      </c>
      <c r="BK147">
        <v>1.5</v>
      </c>
      <c r="BL147">
        <v>137.94</v>
      </c>
      <c r="BM147">
        <v>20.69</v>
      </c>
      <c r="BN147">
        <v>158.63</v>
      </c>
      <c r="BO147">
        <v>158.63</v>
      </c>
      <c r="BQ147" t="s">
        <v>607</v>
      </c>
      <c r="BR147" t="s">
        <v>84</v>
      </c>
      <c r="BS147" s="3">
        <v>45842</v>
      </c>
      <c r="BT147" s="4">
        <v>0.52847222222222223</v>
      </c>
      <c r="BU147" t="s">
        <v>608</v>
      </c>
      <c r="BV147" t="s">
        <v>98</v>
      </c>
      <c r="BY147">
        <v>5320</v>
      </c>
      <c r="BZ147" t="s">
        <v>89</v>
      </c>
      <c r="CA147" t="s">
        <v>609</v>
      </c>
      <c r="CC147" t="s">
        <v>605</v>
      </c>
      <c r="CD147">
        <v>4490</v>
      </c>
      <c r="CE147" t="s">
        <v>117</v>
      </c>
      <c r="CF147" s="3">
        <v>45842</v>
      </c>
      <c r="CI147">
        <v>5</v>
      </c>
      <c r="CJ147">
        <v>2</v>
      </c>
      <c r="CK147">
        <v>23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"080066301943"</f>
        <v>080066301943</v>
      </c>
      <c r="F148" s="3">
        <v>45840</v>
      </c>
      <c r="G148">
        <v>202604</v>
      </c>
      <c r="H148" t="s">
        <v>75</v>
      </c>
      <c r="I148" t="s">
        <v>76</v>
      </c>
      <c r="J148" t="s">
        <v>77</v>
      </c>
      <c r="K148" t="s">
        <v>78</v>
      </c>
      <c r="L148" t="s">
        <v>168</v>
      </c>
      <c r="M148" t="s">
        <v>169</v>
      </c>
      <c r="N148" t="s">
        <v>206</v>
      </c>
      <c r="O148" t="s">
        <v>82</v>
      </c>
      <c r="P148" t="str">
        <f>"4170046511                    "</f>
        <v xml:space="preserve">4170046511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50.82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4</v>
      </c>
      <c r="BJ148">
        <v>4.0999999999999996</v>
      </c>
      <c r="BK148">
        <v>4.5</v>
      </c>
      <c r="BL148">
        <v>160.12</v>
      </c>
      <c r="BM148">
        <v>24.02</v>
      </c>
      <c r="BN148">
        <v>184.14</v>
      </c>
      <c r="BO148">
        <v>184.14</v>
      </c>
      <c r="BQ148" t="s">
        <v>207</v>
      </c>
      <c r="BR148" t="s">
        <v>84</v>
      </c>
      <c r="BS148" s="3">
        <v>45841</v>
      </c>
      <c r="BT148" s="4">
        <v>0.41111111111111109</v>
      </c>
      <c r="BU148" t="s">
        <v>208</v>
      </c>
      <c r="BV148" t="s">
        <v>98</v>
      </c>
      <c r="BY148">
        <v>20358</v>
      </c>
      <c r="BZ148" t="s">
        <v>89</v>
      </c>
      <c r="CA148" t="s">
        <v>196</v>
      </c>
      <c r="CC148" t="s">
        <v>169</v>
      </c>
      <c r="CD148">
        <v>6001</v>
      </c>
      <c r="CE148" t="s">
        <v>117</v>
      </c>
      <c r="CF148" s="3">
        <v>45841</v>
      </c>
      <c r="CI148">
        <v>1</v>
      </c>
      <c r="CJ148">
        <v>1</v>
      </c>
      <c r="CK148">
        <v>21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"080066301984"</f>
        <v>080066301984</v>
      </c>
      <c r="F149" s="3">
        <v>45840</v>
      </c>
      <c r="G149">
        <v>202604</v>
      </c>
      <c r="H149" t="s">
        <v>75</v>
      </c>
      <c r="I149" t="s">
        <v>76</v>
      </c>
      <c r="J149" t="s">
        <v>77</v>
      </c>
      <c r="K149" t="s">
        <v>78</v>
      </c>
      <c r="L149" t="s">
        <v>240</v>
      </c>
      <c r="M149" t="s">
        <v>241</v>
      </c>
      <c r="N149" t="s">
        <v>610</v>
      </c>
      <c r="O149" t="s">
        <v>82</v>
      </c>
      <c r="P149" t="str">
        <f>"4170046595                    "</f>
        <v xml:space="preserve">4170046595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17.649999999999999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0.9</v>
      </c>
      <c r="BK149">
        <v>1</v>
      </c>
      <c r="BL149">
        <v>55.61</v>
      </c>
      <c r="BM149">
        <v>8.34</v>
      </c>
      <c r="BN149">
        <v>63.95</v>
      </c>
      <c r="BO149">
        <v>63.95</v>
      </c>
      <c r="BQ149" t="s">
        <v>611</v>
      </c>
      <c r="BR149" t="s">
        <v>84</v>
      </c>
      <c r="BS149" s="3">
        <v>45841</v>
      </c>
      <c r="BT149" s="4">
        <v>0.4375</v>
      </c>
      <c r="BU149" t="s">
        <v>612</v>
      </c>
      <c r="BV149" t="s">
        <v>98</v>
      </c>
      <c r="BY149">
        <v>4256</v>
      </c>
      <c r="BZ149" t="s">
        <v>89</v>
      </c>
      <c r="CA149" t="s">
        <v>613</v>
      </c>
      <c r="CC149" t="s">
        <v>241</v>
      </c>
      <c r="CD149">
        <v>2197</v>
      </c>
      <c r="CE149" t="s">
        <v>117</v>
      </c>
      <c r="CF149" s="3">
        <v>45841</v>
      </c>
      <c r="CI149">
        <v>1</v>
      </c>
      <c r="CJ149">
        <v>1</v>
      </c>
      <c r="CK149">
        <v>22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"080066302009"</f>
        <v>080066302009</v>
      </c>
      <c r="F150" s="3">
        <v>45840</v>
      </c>
      <c r="G150">
        <v>202604</v>
      </c>
      <c r="H150" t="s">
        <v>75</v>
      </c>
      <c r="I150" t="s">
        <v>76</v>
      </c>
      <c r="J150" t="s">
        <v>77</v>
      </c>
      <c r="K150" t="s">
        <v>78</v>
      </c>
      <c r="L150" t="s">
        <v>75</v>
      </c>
      <c r="M150" t="s">
        <v>76</v>
      </c>
      <c r="N150" t="s">
        <v>614</v>
      </c>
      <c r="O150" t="s">
        <v>82</v>
      </c>
      <c r="P150" t="str">
        <f>"4170046515                    "</f>
        <v xml:space="preserve">4170046515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17.649999999999999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3</v>
      </c>
      <c r="BJ150">
        <v>0.9</v>
      </c>
      <c r="BK150">
        <v>3</v>
      </c>
      <c r="BL150">
        <v>55.61</v>
      </c>
      <c r="BM150">
        <v>8.34</v>
      </c>
      <c r="BN150">
        <v>63.95</v>
      </c>
      <c r="BO150">
        <v>63.95</v>
      </c>
      <c r="BQ150" t="s">
        <v>615</v>
      </c>
      <c r="BR150" t="s">
        <v>84</v>
      </c>
      <c r="BS150" s="3">
        <v>45841</v>
      </c>
      <c r="BT150" s="4">
        <v>0.37083333333333335</v>
      </c>
      <c r="BU150" t="s">
        <v>616</v>
      </c>
      <c r="BV150" t="s">
        <v>98</v>
      </c>
      <c r="BY150">
        <v>4256</v>
      </c>
      <c r="BZ150" t="s">
        <v>89</v>
      </c>
      <c r="CA150" t="s">
        <v>617</v>
      </c>
      <c r="CC150" t="s">
        <v>76</v>
      </c>
      <c r="CD150">
        <v>1609</v>
      </c>
      <c r="CE150" t="s">
        <v>117</v>
      </c>
      <c r="CF150" s="3">
        <v>45841</v>
      </c>
      <c r="CI150">
        <v>1</v>
      </c>
      <c r="CJ150">
        <v>1</v>
      </c>
      <c r="CK150">
        <v>22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"080066302031"</f>
        <v>080066302031</v>
      </c>
      <c r="F151" s="3">
        <v>45840</v>
      </c>
      <c r="G151">
        <v>202604</v>
      </c>
      <c r="H151" t="s">
        <v>75</v>
      </c>
      <c r="I151" t="s">
        <v>76</v>
      </c>
      <c r="J151" t="s">
        <v>77</v>
      </c>
      <c r="K151" t="s">
        <v>78</v>
      </c>
      <c r="L151" t="s">
        <v>79</v>
      </c>
      <c r="M151" t="s">
        <v>80</v>
      </c>
      <c r="N151" t="s">
        <v>141</v>
      </c>
      <c r="O151" t="s">
        <v>82</v>
      </c>
      <c r="P151" t="str">
        <f>"4170046612                    "</f>
        <v xml:space="preserve">4170046612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22.6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71.2</v>
      </c>
      <c r="BM151">
        <v>10.68</v>
      </c>
      <c r="BN151">
        <v>81.88</v>
      </c>
      <c r="BO151">
        <v>81.88</v>
      </c>
      <c r="BQ151" t="s">
        <v>142</v>
      </c>
      <c r="BR151" t="s">
        <v>84</v>
      </c>
      <c r="BS151" s="3">
        <v>45841</v>
      </c>
      <c r="BT151" s="4">
        <v>0.39513888888888887</v>
      </c>
      <c r="BU151" t="s">
        <v>618</v>
      </c>
      <c r="BV151" t="s">
        <v>98</v>
      </c>
      <c r="BY151">
        <v>1200</v>
      </c>
      <c r="BZ151" t="s">
        <v>89</v>
      </c>
      <c r="CA151" t="s">
        <v>144</v>
      </c>
      <c r="CC151" t="s">
        <v>80</v>
      </c>
      <c r="CD151">
        <v>7441</v>
      </c>
      <c r="CE151" t="s">
        <v>239</v>
      </c>
      <c r="CF151" s="3">
        <v>45842</v>
      </c>
      <c r="CI151">
        <v>1</v>
      </c>
      <c r="CJ151">
        <v>1</v>
      </c>
      <c r="CK151">
        <v>21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"080066302058"</f>
        <v>080066302058</v>
      </c>
      <c r="F152" s="3">
        <v>45840</v>
      </c>
      <c r="G152">
        <v>202604</v>
      </c>
      <c r="H152" t="s">
        <v>75</v>
      </c>
      <c r="I152" t="s">
        <v>76</v>
      </c>
      <c r="J152" t="s">
        <v>77</v>
      </c>
      <c r="K152" t="s">
        <v>78</v>
      </c>
      <c r="L152" t="s">
        <v>75</v>
      </c>
      <c r="M152" t="s">
        <v>76</v>
      </c>
      <c r="N152" t="s">
        <v>619</v>
      </c>
      <c r="O152" t="s">
        <v>82</v>
      </c>
      <c r="P152" t="str">
        <f>"4170046563                    "</f>
        <v xml:space="preserve">4170046563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17.649999999999999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55.61</v>
      </c>
      <c r="BM152">
        <v>8.34</v>
      </c>
      <c r="BN152">
        <v>63.95</v>
      </c>
      <c r="BO152">
        <v>63.95</v>
      </c>
      <c r="BQ152" t="s">
        <v>620</v>
      </c>
      <c r="BR152" t="s">
        <v>84</v>
      </c>
      <c r="BS152" s="3">
        <v>45841</v>
      </c>
      <c r="BT152" s="4">
        <v>0.38055555555555554</v>
      </c>
      <c r="BU152" t="s">
        <v>621</v>
      </c>
      <c r="BV152" t="s">
        <v>98</v>
      </c>
      <c r="BY152">
        <v>1200</v>
      </c>
      <c r="BZ152" t="s">
        <v>89</v>
      </c>
      <c r="CA152" t="s">
        <v>213</v>
      </c>
      <c r="CC152" t="s">
        <v>76</v>
      </c>
      <c r="CD152">
        <v>1618</v>
      </c>
      <c r="CE152" t="s">
        <v>239</v>
      </c>
      <c r="CF152" s="3">
        <v>45842</v>
      </c>
      <c r="CI152">
        <v>1</v>
      </c>
      <c r="CJ152">
        <v>1</v>
      </c>
      <c r="CK152">
        <v>22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"080066302095"</f>
        <v>080066302095</v>
      </c>
      <c r="F153" s="3">
        <v>45840</v>
      </c>
      <c r="G153">
        <v>202604</v>
      </c>
      <c r="H153" t="s">
        <v>75</v>
      </c>
      <c r="I153" t="s">
        <v>76</v>
      </c>
      <c r="J153" t="s">
        <v>77</v>
      </c>
      <c r="K153" t="s">
        <v>78</v>
      </c>
      <c r="L153" t="s">
        <v>75</v>
      </c>
      <c r="M153" t="s">
        <v>76</v>
      </c>
      <c r="N153" t="s">
        <v>622</v>
      </c>
      <c r="O153" t="s">
        <v>82</v>
      </c>
      <c r="P153" t="str">
        <f>"4170046567                    "</f>
        <v xml:space="preserve">4170046567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17.649999999999999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55.61</v>
      </c>
      <c r="BM153">
        <v>8.34</v>
      </c>
      <c r="BN153">
        <v>63.95</v>
      </c>
      <c r="BO153">
        <v>63.95</v>
      </c>
      <c r="BQ153" t="s">
        <v>623</v>
      </c>
      <c r="BR153" t="s">
        <v>84</v>
      </c>
      <c r="BS153" s="3">
        <v>45841</v>
      </c>
      <c r="BT153" s="4">
        <v>0.35069444444444442</v>
      </c>
      <c r="BU153" t="s">
        <v>624</v>
      </c>
      <c r="BV153" t="s">
        <v>98</v>
      </c>
      <c r="BY153">
        <v>1200</v>
      </c>
      <c r="BZ153" t="s">
        <v>89</v>
      </c>
      <c r="CA153" t="s">
        <v>304</v>
      </c>
      <c r="CC153" t="s">
        <v>76</v>
      </c>
      <c r="CD153">
        <v>1601</v>
      </c>
      <c r="CE153" t="s">
        <v>239</v>
      </c>
      <c r="CF153" s="3">
        <v>45841</v>
      </c>
      <c r="CI153">
        <v>1</v>
      </c>
      <c r="CJ153">
        <v>1</v>
      </c>
      <c r="CK153">
        <v>22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"080066302146"</f>
        <v>080066302146</v>
      </c>
      <c r="F154" s="3">
        <v>45840</v>
      </c>
      <c r="G154">
        <v>202604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625</v>
      </c>
      <c r="O154" t="s">
        <v>82</v>
      </c>
      <c r="P154" t="str">
        <f>"4170046609                    "</f>
        <v xml:space="preserve">4170046609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22.6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71.2</v>
      </c>
      <c r="BM154">
        <v>10.68</v>
      </c>
      <c r="BN154">
        <v>81.88</v>
      </c>
      <c r="BO154">
        <v>81.88</v>
      </c>
      <c r="BQ154" t="s">
        <v>626</v>
      </c>
      <c r="BR154" t="s">
        <v>84</v>
      </c>
      <c r="BS154" s="3">
        <v>45841</v>
      </c>
      <c r="BT154" s="4">
        <v>0.3923611111111111</v>
      </c>
      <c r="BU154" t="s">
        <v>627</v>
      </c>
      <c r="BV154" t="s">
        <v>98</v>
      </c>
      <c r="BY154">
        <v>1200</v>
      </c>
      <c r="BZ154" t="s">
        <v>89</v>
      </c>
      <c r="CA154" t="s">
        <v>579</v>
      </c>
      <c r="CC154" t="s">
        <v>80</v>
      </c>
      <c r="CD154">
        <v>7480</v>
      </c>
      <c r="CE154" t="s">
        <v>239</v>
      </c>
      <c r="CF154" s="3">
        <v>45842</v>
      </c>
      <c r="CI154">
        <v>1</v>
      </c>
      <c r="CJ154">
        <v>1</v>
      </c>
      <c r="CK154">
        <v>21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"080066302177"</f>
        <v>080066302177</v>
      </c>
      <c r="F155" s="3">
        <v>45840</v>
      </c>
      <c r="G155">
        <v>202604</v>
      </c>
      <c r="H155" t="s">
        <v>75</v>
      </c>
      <c r="I155" t="s">
        <v>76</v>
      </c>
      <c r="J155" t="s">
        <v>77</v>
      </c>
      <c r="K155" t="s">
        <v>78</v>
      </c>
      <c r="L155" t="s">
        <v>240</v>
      </c>
      <c r="M155" t="s">
        <v>241</v>
      </c>
      <c r="N155" t="s">
        <v>628</v>
      </c>
      <c r="O155" t="s">
        <v>82</v>
      </c>
      <c r="P155" t="str">
        <f>"4170046574                    "</f>
        <v xml:space="preserve">4170046574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17.649999999999999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55.61</v>
      </c>
      <c r="BM155">
        <v>8.34</v>
      </c>
      <c r="BN155">
        <v>63.95</v>
      </c>
      <c r="BO155">
        <v>63.95</v>
      </c>
      <c r="BQ155" t="s">
        <v>629</v>
      </c>
      <c r="BR155" t="s">
        <v>84</v>
      </c>
      <c r="BS155" s="3">
        <v>45841</v>
      </c>
      <c r="BT155" s="4">
        <v>0.41319444444444442</v>
      </c>
      <c r="BU155" t="s">
        <v>630</v>
      </c>
      <c r="BV155" t="s">
        <v>98</v>
      </c>
      <c r="BY155">
        <v>1200</v>
      </c>
      <c r="BZ155" t="s">
        <v>89</v>
      </c>
      <c r="CA155" t="s">
        <v>245</v>
      </c>
      <c r="CC155" t="s">
        <v>241</v>
      </c>
      <c r="CD155">
        <v>2013</v>
      </c>
      <c r="CE155" t="s">
        <v>239</v>
      </c>
      <c r="CF155" s="3">
        <v>45842</v>
      </c>
      <c r="CI155">
        <v>1</v>
      </c>
      <c r="CJ155">
        <v>1</v>
      </c>
      <c r="CK155">
        <v>22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"080066302199"</f>
        <v>080066302199</v>
      </c>
      <c r="F156" s="3">
        <v>45840</v>
      </c>
      <c r="G156">
        <v>202604</v>
      </c>
      <c r="H156" t="s">
        <v>75</v>
      </c>
      <c r="I156" t="s">
        <v>76</v>
      </c>
      <c r="J156" t="s">
        <v>77</v>
      </c>
      <c r="K156" t="s">
        <v>78</v>
      </c>
      <c r="L156" t="s">
        <v>234</v>
      </c>
      <c r="M156" t="s">
        <v>235</v>
      </c>
      <c r="N156" t="s">
        <v>236</v>
      </c>
      <c r="O156" t="s">
        <v>82</v>
      </c>
      <c r="P156" t="str">
        <f>"4170046596                    "</f>
        <v xml:space="preserve">4170046596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17.649999999999999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55.61</v>
      </c>
      <c r="BM156">
        <v>8.34</v>
      </c>
      <c r="BN156">
        <v>63.95</v>
      </c>
      <c r="BO156">
        <v>63.95</v>
      </c>
      <c r="BQ156" t="s">
        <v>237</v>
      </c>
      <c r="BR156" t="s">
        <v>84</v>
      </c>
      <c r="BS156" s="3">
        <v>45841</v>
      </c>
      <c r="BT156" s="4">
        <v>0.40972222222222221</v>
      </c>
      <c r="BU156" t="s">
        <v>631</v>
      </c>
      <c r="BV156" t="s">
        <v>98</v>
      </c>
      <c r="BY156">
        <v>1200</v>
      </c>
      <c r="BZ156" t="s">
        <v>89</v>
      </c>
      <c r="CA156" t="s">
        <v>632</v>
      </c>
      <c r="CC156" t="s">
        <v>235</v>
      </c>
      <c r="CD156">
        <v>1682</v>
      </c>
      <c r="CE156" t="s">
        <v>239</v>
      </c>
      <c r="CF156" s="3">
        <v>45842</v>
      </c>
      <c r="CI156">
        <v>1</v>
      </c>
      <c r="CJ156">
        <v>1</v>
      </c>
      <c r="CK156">
        <v>22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"080066302526"</f>
        <v>080066302526</v>
      </c>
      <c r="F157" s="3">
        <v>45840</v>
      </c>
      <c r="G157">
        <v>202604</v>
      </c>
      <c r="H157" t="s">
        <v>75</v>
      </c>
      <c r="I157" t="s">
        <v>76</v>
      </c>
      <c r="J157" t="s">
        <v>77</v>
      </c>
      <c r="K157" t="s">
        <v>78</v>
      </c>
      <c r="L157" t="s">
        <v>146</v>
      </c>
      <c r="M157" t="s">
        <v>146</v>
      </c>
      <c r="N157" t="s">
        <v>633</v>
      </c>
      <c r="O157" t="s">
        <v>82</v>
      </c>
      <c r="P157" t="str">
        <f>"4170046606                    "</f>
        <v xml:space="preserve">4170046606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43.78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137.94</v>
      </c>
      <c r="BM157">
        <v>20.69</v>
      </c>
      <c r="BN157">
        <v>158.63</v>
      </c>
      <c r="BO157">
        <v>158.63</v>
      </c>
      <c r="BQ157" t="s">
        <v>634</v>
      </c>
      <c r="BR157" t="s">
        <v>84</v>
      </c>
      <c r="BS157" s="3">
        <v>45841</v>
      </c>
      <c r="BT157" s="4">
        <v>0.53819444444444442</v>
      </c>
      <c r="BU157" t="s">
        <v>635</v>
      </c>
      <c r="BV157" t="s">
        <v>98</v>
      </c>
      <c r="BY157">
        <v>1200</v>
      </c>
      <c r="BZ157" t="s">
        <v>89</v>
      </c>
      <c r="CA157" t="s">
        <v>150</v>
      </c>
      <c r="CC157" t="s">
        <v>146</v>
      </c>
      <c r="CD157">
        <v>7646</v>
      </c>
      <c r="CE157" t="s">
        <v>239</v>
      </c>
      <c r="CF157" s="3">
        <v>45842</v>
      </c>
      <c r="CI157">
        <v>1</v>
      </c>
      <c r="CJ157">
        <v>1</v>
      </c>
      <c r="CK157">
        <v>23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"080066302556"</f>
        <v>080066302556</v>
      </c>
      <c r="F158" s="3">
        <v>45840</v>
      </c>
      <c r="G158">
        <v>202604</v>
      </c>
      <c r="H158" t="s">
        <v>75</v>
      </c>
      <c r="I158" t="s">
        <v>76</v>
      </c>
      <c r="J158" t="s">
        <v>77</v>
      </c>
      <c r="K158" t="s">
        <v>78</v>
      </c>
      <c r="L158" t="s">
        <v>128</v>
      </c>
      <c r="M158" t="s">
        <v>129</v>
      </c>
      <c r="N158" t="s">
        <v>636</v>
      </c>
      <c r="O158" t="s">
        <v>82</v>
      </c>
      <c r="P158" t="str">
        <f>"4170046598                    "</f>
        <v xml:space="preserve">4170046598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43.78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137.94</v>
      </c>
      <c r="BM158">
        <v>20.69</v>
      </c>
      <c r="BN158">
        <v>158.63</v>
      </c>
      <c r="BO158">
        <v>158.63</v>
      </c>
      <c r="BQ158" t="s">
        <v>637</v>
      </c>
      <c r="BR158" t="s">
        <v>84</v>
      </c>
      <c r="BS158" s="3">
        <v>45845</v>
      </c>
      <c r="BT158" s="4">
        <v>0.28958333333333336</v>
      </c>
      <c r="BU158" t="s">
        <v>638</v>
      </c>
      <c r="BV158" t="s">
        <v>86</v>
      </c>
      <c r="BY158">
        <v>1200</v>
      </c>
      <c r="BZ158" t="s">
        <v>89</v>
      </c>
      <c r="CA158" t="s">
        <v>639</v>
      </c>
      <c r="CC158" t="s">
        <v>129</v>
      </c>
      <c r="CD158" s="5" t="s">
        <v>134</v>
      </c>
      <c r="CE158" t="s">
        <v>239</v>
      </c>
      <c r="CI158">
        <v>1</v>
      </c>
      <c r="CJ158">
        <v>3</v>
      </c>
      <c r="CK158">
        <v>23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"080066302584"</f>
        <v>080066302584</v>
      </c>
      <c r="F159" s="3">
        <v>45840</v>
      </c>
      <c r="G159">
        <v>202604</v>
      </c>
      <c r="H159" t="s">
        <v>75</v>
      </c>
      <c r="I159" t="s">
        <v>76</v>
      </c>
      <c r="J159" t="s">
        <v>77</v>
      </c>
      <c r="K159" t="s">
        <v>78</v>
      </c>
      <c r="L159" t="s">
        <v>168</v>
      </c>
      <c r="M159" t="s">
        <v>169</v>
      </c>
      <c r="N159" t="s">
        <v>206</v>
      </c>
      <c r="O159" t="s">
        <v>95</v>
      </c>
      <c r="P159" t="str">
        <f>"4170046528                    "</f>
        <v xml:space="preserve">4170046528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106.85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2</v>
      </c>
      <c r="BI159">
        <v>36</v>
      </c>
      <c r="BJ159">
        <v>49.8</v>
      </c>
      <c r="BK159">
        <v>50</v>
      </c>
      <c r="BL159">
        <v>342.5</v>
      </c>
      <c r="BM159">
        <v>51.38</v>
      </c>
      <c r="BN159">
        <v>393.88</v>
      </c>
      <c r="BO159">
        <v>393.88</v>
      </c>
      <c r="BQ159" t="s">
        <v>207</v>
      </c>
      <c r="BR159" t="s">
        <v>84</v>
      </c>
      <c r="BS159" s="3">
        <v>45842</v>
      </c>
      <c r="BT159" s="4">
        <v>0.39930555555555558</v>
      </c>
      <c r="BU159" t="s">
        <v>208</v>
      </c>
      <c r="BV159" t="s">
        <v>98</v>
      </c>
      <c r="BY159">
        <v>249184</v>
      </c>
      <c r="BZ159" t="s">
        <v>99</v>
      </c>
      <c r="CA159" t="s">
        <v>196</v>
      </c>
      <c r="CC159" t="s">
        <v>169</v>
      </c>
      <c r="CD159">
        <v>6000</v>
      </c>
      <c r="CE159" t="s">
        <v>117</v>
      </c>
      <c r="CF159" s="3">
        <v>45842</v>
      </c>
      <c r="CI159">
        <v>3</v>
      </c>
      <c r="CJ159">
        <v>2</v>
      </c>
      <c r="CK159">
        <v>41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"080066304088"</f>
        <v>080066304088</v>
      </c>
      <c r="F160" s="3">
        <v>45840</v>
      </c>
      <c r="G160">
        <v>202604</v>
      </c>
      <c r="H160" t="s">
        <v>75</v>
      </c>
      <c r="I160" t="s">
        <v>76</v>
      </c>
      <c r="J160" t="s">
        <v>77</v>
      </c>
      <c r="K160" t="s">
        <v>78</v>
      </c>
      <c r="L160" t="s">
        <v>305</v>
      </c>
      <c r="M160" t="s">
        <v>306</v>
      </c>
      <c r="N160" t="s">
        <v>640</v>
      </c>
      <c r="O160" t="s">
        <v>82</v>
      </c>
      <c r="P160" t="str">
        <f>"4170046575                    "</f>
        <v xml:space="preserve">4170046575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22.6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71.2</v>
      </c>
      <c r="BM160">
        <v>10.68</v>
      </c>
      <c r="BN160">
        <v>81.88</v>
      </c>
      <c r="BO160">
        <v>81.88</v>
      </c>
      <c r="BQ160" t="s">
        <v>641</v>
      </c>
      <c r="BR160" t="s">
        <v>84</v>
      </c>
      <c r="BS160" s="3">
        <v>45841</v>
      </c>
      <c r="BT160" s="4">
        <v>0.66666666666666663</v>
      </c>
      <c r="BU160" t="s">
        <v>642</v>
      </c>
      <c r="BV160" t="s">
        <v>86</v>
      </c>
      <c r="BY160">
        <v>1200</v>
      </c>
      <c r="BZ160" t="s">
        <v>89</v>
      </c>
      <c r="CA160" t="s">
        <v>310</v>
      </c>
      <c r="CC160" t="s">
        <v>306</v>
      </c>
      <c r="CD160">
        <v>5201</v>
      </c>
      <c r="CE160" t="s">
        <v>239</v>
      </c>
      <c r="CF160" s="3">
        <v>45842</v>
      </c>
      <c r="CI160">
        <v>1</v>
      </c>
      <c r="CJ160">
        <v>1</v>
      </c>
      <c r="CK160">
        <v>21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"080066304157"</f>
        <v>080066304157</v>
      </c>
      <c r="F161" s="3">
        <v>45840</v>
      </c>
      <c r="G161">
        <v>202604</v>
      </c>
      <c r="H161" t="s">
        <v>75</v>
      </c>
      <c r="I161" t="s">
        <v>76</v>
      </c>
      <c r="J161" t="s">
        <v>77</v>
      </c>
      <c r="K161" t="s">
        <v>78</v>
      </c>
      <c r="L161" t="s">
        <v>168</v>
      </c>
      <c r="M161" t="s">
        <v>169</v>
      </c>
      <c r="N161" t="s">
        <v>191</v>
      </c>
      <c r="O161" t="s">
        <v>82</v>
      </c>
      <c r="P161" t="str">
        <f>"4170046546                    "</f>
        <v xml:space="preserve">4170046546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22.6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71.2</v>
      </c>
      <c r="BM161">
        <v>10.68</v>
      </c>
      <c r="BN161">
        <v>81.88</v>
      </c>
      <c r="BO161">
        <v>81.88</v>
      </c>
      <c r="BQ161" t="s">
        <v>192</v>
      </c>
      <c r="BR161" t="s">
        <v>84</v>
      </c>
      <c r="BS161" s="3">
        <v>45841</v>
      </c>
      <c r="BT161" s="4">
        <v>0.43263888888888891</v>
      </c>
      <c r="BU161" t="s">
        <v>193</v>
      </c>
      <c r="BV161" t="s">
        <v>98</v>
      </c>
      <c r="BY161">
        <v>1200</v>
      </c>
      <c r="BZ161" t="s">
        <v>89</v>
      </c>
      <c r="CA161" t="s">
        <v>196</v>
      </c>
      <c r="CC161" t="s">
        <v>169</v>
      </c>
      <c r="CD161">
        <v>6056</v>
      </c>
      <c r="CE161" t="s">
        <v>239</v>
      </c>
      <c r="CF161" s="3">
        <v>45841</v>
      </c>
      <c r="CI161">
        <v>1</v>
      </c>
      <c r="CJ161">
        <v>1</v>
      </c>
      <c r="CK161">
        <v>21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"080066304291"</f>
        <v>080066304291</v>
      </c>
      <c r="F162" s="3">
        <v>45840</v>
      </c>
      <c r="G162">
        <v>202604</v>
      </c>
      <c r="H162" t="s">
        <v>75</v>
      </c>
      <c r="I162" t="s">
        <v>76</v>
      </c>
      <c r="J162" t="s">
        <v>77</v>
      </c>
      <c r="K162" t="s">
        <v>78</v>
      </c>
      <c r="L162" t="s">
        <v>240</v>
      </c>
      <c r="M162" t="s">
        <v>241</v>
      </c>
      <c r="N162" t="s">
        <v>628</v>
      </c>
      <c r="O162" t="s">
        <v>82</v>
      </c>
      <c r="P162" t="str">
        <f>"4170046527                    "</f>
        <v xml:space="preserve">4170046527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17.649999999999999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</v>
      </c>
      <c r="BJ162">
        <v>1.1000000000000001</v>
      </c>
      <c r="BK162">
        <v>2</v>
      </c>
      <c r="BL162">
        <v>55.61</v>
      </c>
      <c r="BM162">
        <v>8.34</v>
      </c>
      <c r="BN162">
        <v>63.95</v>
      </c>
      <c r="BO162">
        <v>63.95</v>
      </c>
      <c r="BQ162" t="s">
        <v>629</v>
      </c>
      <c r="BR162" t="s">
        <v>84</v>
      </c>
      <c r="BS162" s="3">
        <v>45841</v>
      </c>
      <c r="BT162" s="4">
        <v>0.41319444444444442</v>
      </c>
      <c r="BU162" t="s">
        <v>630</v>
      </c>
      <c r="BV162" t="s">
        <v>98</v>
      </c>
      <c r="BY162">
        <v>5320</v>
      </c>
      <c r="BZ162" t="s">
        <v>89</v>
      </c>
      <c r="CA162" t="s">
        <v>245</v>
      </c>
      <c r="CC162" t="s">
        <v>241</v>
      </c>
      <c r="CD162">
        <v>2013</v>
      </c>
      <c r="CE162" t="s">
        <v>117</v>
      </c>
      <c r="CF162" s="3">
        <v>45842</v>
      </c>
      <c r="CI162">
        <v>1</v>
      </c>
      <c r="CJ162">
        <v>1</v>
      </c>
      <c r="CK162">
        <v>22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"080066304349"</f>
        <v>080066304349</v>
      </c>
      <c r="F163" s="3">
        <v>45840</v>
      </c>
      <c r="G163">
        <v>202604</v>
      </c>
      <c r="H163" t="s">
        <v>75</v>
      </c>
      <c r="I163" t="s">
        <v>76</v>
      </c>
      <c r="J163" t="s">
        <v>77</v>
      </c>
      <c r="K163" t="s">
        <v>78</v>
      </c>
      <c r="L163" t="s">
        <v>295</v>
      </c>
      <c r="M163" t="s">
        <v>296</v>
      </c>
      <c r="N163" t="s">
        <v>297</v>
      </c>
      <c r="O163" t="s">
        <v>82</v>
      </c>
      <c r="P163" t="str">
        <f>"4170046594                    "</f>
        <v xml:space="preserve">4170046594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17.649999999999999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1.1000000000000001</v>
      </c>
      <c r="BK163">
        <v>2</v>
      </c>
      <c r="BL163">
        <v>55.61</v>
      </c>
      <c r="BM163">
        <v>8.34</v>
      </c>
      <c r="BN163">
        <v>63.95</v>
      </c>
      <c r="BO163">
        <v>63.95</v>
      </c>
      <c r="BQ163" t="s">
        <v>298</v>
      </c>
      <c r="BR163" t="s">
        <v>84</v>
      </c>
      <c r="BS163" s="3">
        <v>45841</v>
      </c>
      <c r="BT163" s="4">
        <v>0.34236111111111112</v>
      </c>
      <c r="BU163" t="s">
        <v>643</v>
      </c>
      <c r="BV163" t="s">
        <v>98</v>
      </c>
      <c r="BY163">
        <v>5320</v>
      </c>
      <c r="BZ163" t="s">
        <v>89</v>
      </c>
      <c r="CA163" t="s">
        <v>522</v>
      </c>
      <c r="CC163" t="s">
        <v>296</v>
      </c>
      <c r="CD163">
        <v>1459</v>
      </c>
      <c r="CE163" t="s">
        <v>117</v>
      </c>
      <c r="CF163" s="3">
        <v>45842</v>
      </c>
      <c r="CI163">
        <v>1</v>
      </c>
      <c r="CJ163">
        <v>1</v>
      </c>
      <c r="CK163">
        <v>22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"080066304466"</f>
        <v>080066304466</v>
      </c>
      <c r="F164" s="3">
        <v>45840</v>
      </c>
      <c r="G164">
        <v>202604</v>
      </c>
      <c r="H164" t="s">
        <v>75</v>
      </c>
      <c r="I164" t="s">
        <v>76</v>
      </c>
      <c r="J164" t="s">
        <v>77</v>
      </c>
      <c r="K164" t="s">
        <v>78</v>
      </c>
      <c r="L164" t="s">
        <v>644</v>
      </c>
      <c r="M164" t="s">
        <v>645</v>
      </c>
      <c r="N164" t="s">
        <v>646</v>
      </c>
      <c r="O164" t="s">
        <v>82</v>
      </c>
      <c r="P164" t="str">
        <f>"4170046507                    "</f>
        <v xml:space="preserve">4170046507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22.6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1.1000000000000001</v>
      </c>
      <c r="BK164">
        <v>1.5</v>
      </c>
      <c r="BL164">
        <v>71.2</v>
      </c>
      <c r="BM164">
        <v>10.68</v>
      </c>
      <c r="BN164">
        <v>81.88</v>
      </c>
      <c r="BO164">
        <v>81.88</v>
      </c>
      <c r="BQ164" t="s">
        <v>647</v>
      </c>
      <c r="BR164" t="s">
        <v>84</v>
      </c>
      <c r="BS164" s="3">
        <v>45841</v>
      </c>
      <c r="BT164" s="4">
        <v>0.39374999999999999</v>
      </c>
      <c r="BU164" t="s">
        <v>648</v>
      </c>
      <c r="BV164" t="s">
        <v>98</v>
      </c>
      <c r="BY164">
        <v>5320</v>
      </c>
      <c r="BZ164" t="s">
        <v>89</v>
      </c>
      <c r="CA164" t="s">
        <v>649</v>
      </c>
      <c r="CC164" t="s">
        <v>645</v>
      </c>
      <c r="CD164">
        <v>1200</v>
      </c>
      <c r="CE164" t="s">
        <v>117</v>
      </c>
      <c r="CF164" s="3">
        <v>45841</v>
      </c>
      <c r="CI164">
        <v>1</v>
      </c>
      <c r="CJ164">
        <v>1</v>
      </c>
      <c r="CK164">
        <v>21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"080066304511"</f>
        <v>080066304511</v>
      </c>
      <c r="F165" s="3">
        <v>45840</v>
      </c>
      <c r="G165">
        <v>202604</v>
      </c>
      <c r="H165" t="s">
        <v>75</v>
      </c>
      <c r="I165" t="s">
        <v>76</v>
      </c>
      <c r="J165" t="s">
        <v>77</v>
      </c>
      <c r="K165" t="s">
        <v>78</v>
      </c>
      <c r="L165" t="s">
        <v>135</v>
      </c>
      <c r="M165" t="s">
        <v>136</v>
      </c>
      <c r="N165" t="s">
        <v>416</v>
      </c>
      <c r="O165" t="s">
        <v>82</v>
      </c>
      <c r="P165" t="str">
        <f>"4170046577                    "</f>
        <v xml:space="preserve">4170046577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22.6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1.1000000000000001</v>
      </c>
      <c r="BK165">
        <v>1.5</v>
      </c>
      <c r="BL165">
        <v>71.2</v>
      </c>
      <c r="BM165">
        <v>10.68</v>
      </c>
      <c r="BN165">
        <v>81.88</v>
      </c>
      <c r="BO165">
        <v>81.88</v>
      </c>
      <c r="BQ165" t="s">
        <v>417</v>
      </c>
      <c r="BR165" t="s">
        <v>84</v>
      </c>
      <c r="BS165" s="3">
        <v>45841</v>
      </c>
      <c r="BT165" s="4">
        <v>0.41666666666666669</v>
      </c>
      <c r="BU165" t="s">
        <v>650</v>
      </c>
      <c r="BV165" t="s">
        <v>98</v>
      </c>
      <c r="BY165">
        <v>5320</v>
      </c>
      <c r="BZ165" t="s">
        <v>89</v>
      </c>
      <c r="CC165" t="s">
        <v>136</v>
      </c>
      <c r="CD165">
        <v>3201</v>
      </c>
      <c r="CE165" t="s">
        <v>117</v>
      </c>
      <c r="CF165" s="3">
        <v>45841</v>
      </c>
      <c r="CI165">
        <v>1</v>
      </c>
      <c r="CJ165">
        <v>1</v>
      </c>
      <c r="CK165">
        <v>21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"080066304554"</f>
        <v>080066304554</v>
      </c>
      <c r="F166" s="3">
        <v>45840</v>
      </c>
      <c r="G166">
        <v>202604</v>
      </c>
      <c r="H166" t="s">
        <v>75</v>
      </c>
      <c r="I166" t="s">
        <v>76</v>
      </c>
      <c r="J166" t="s">
        <v>77</v>
      </c>
      <c r="K166" t="s">
        <v>78</v>
      </c>
      <c r="L166" t="s">
        <v>277</v>
      </c>
      <c r="M166" t="s">
        <v>278</v>
      </c>
      <c r="N166" t="s">
        <v>651</v>
      </c>
      <c r="O166" t="s">
        <v>82</v>
      </c>
      <c r="P166" t="str">
        <f>"4170046559                    "</f>
        <v xml:space="preserve">4170046559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112.92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2</v>
      </c>
      <c r="BI166">
        <v>10</v>
      </c>
      <c r="BJ166">
        <v>9.6</v>
      </c>
      <c r="BK166">
        <v>10</v>
      </c>
      <c r="BL166">
        <v>355.76</v>
      </c>
      <c r="BM166">
        <v>53.36</v>
      </c>
      <c r="BN166">
        <v>409.12</v>
      </c>
      <c r="BO166">
        <v>409.12</v>
      </c>
      <c r="BQ166" t="s">
        <v>652</v>
      </c>
      <c r="BR166" t="s">
        <v>84</v>
      </c>
      <c r="BS166" s="3">
        <v>45842</v>
      </c>
      <c r="BT166" s="4">
        <v>0.44791666666666669</v>
      </c>
      <c r="BU166" t="s">
        <v>653</v>
      </c>
      <c r="BV166" t="s">
        <v>86</v>
      </c>
      <c r="BW166" t="s">
        <v>194</v>
      </c>
      <c r="BX166" t="s">
        <v>654</v>
      </c>
      <c r="BY166">
        <v>48092</v>
      </c>
      <c r="BZ166" t="s">
        <v>89</v>
      </c>
      <c r="CC166" t="s">
        <v>278</v>
      </c>
      <c r="CD166">
        <v>6229</v>
      </c>
      <c r="CE166" t="s">
        <v>117</v>
      </c>
      <c r="CF166" s="3">
        <v>45842</v>
      </c>
      <c r="CI166">
        <v>1</v>
      </c>
      <c r="CJ166">
        <v>2</v>
      </c>
      <c r="CK166">
        <v>21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"080066305161"</f>
        <v>080066305161</v>
      </c>
      <c r="F167" s="3">
        <v>45840</v>
      </c>
      <c r="G167">
        <v>202604</v>
      </c>
      <c r="H167" t="s">
        <v>75</v>
      </c>
      <c r="I167" t="s">
        <v>76</v>
      </c>
      <c r="J167" t="s">
        <v>77</v>
      </c>
      <c r="K167" t="s">
        <v>78</v>
      </c>
      <c r="L167" t="s">
        <v>79</v>
      </c>
      <c r="M167" t="s">
        <v>80</v>
      </c>
      <c r="N167" t="s">
        <v>655</v>
      </c>
      <c r="O167" t="s">
        <v>82</v>
      </c>
      <c r="P167" t="str">
        <f>"4170046586                    "</f>
        <v xml:space="preserve">4170046586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73.400000000000006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4</v>
      </c>
      <c r="BJ167">
        <v>6.1</v>
      </c>
      <c r="BK167">
        <v>6.5</v>
      </c>
      <c r="BL167">
        <v>231.26</v>
      </c>
      <c r="BM167">
        <v>34.69</v>
      </c>
      <c r="BN167">
        <v>265.95</v>
      </c>
      <c r="BO167">
        <v>265.95</v>
      </c>
      <c r="BQ167" t="s">
        <v>656</v>
      </c>
      <c r="BR167" t="s">
        <v>84</v>
      </c>
      <c r="BS167" s="3">
        <v>45841</v>
      </c>
      <c r="BT167" s="4">
        <v>0.43194444444444446</v>
      </c>
      <c r="BU167" t="s">
        <v>657</v>
      </c>
      <c r="BV167" t="s">
        <v>98</v>
      </c>
      <c r="BY167">
        <v>30492</v>
      </c>
      <c r="BZ167" t="s">
        <v>89</v>
      </c>
      <c r="CA167" t="s">
        <v>658</v>
      </c>
      <c r="CC167" t="s">
        <v>80</v>
      </c>
      <c r="CD167">
        <v>7405</v>
      </c>
      <c r="CE167" t="s">
        <v>117</v>
      </c>
      <c r="CF167" s="3">
        <v>45842</v>
      </c>
      <c r="CI167">
        <v>1</v>
      </c>
      <c r="CJ167">
        <v>1</v>
      </c>
      <c r="CK167">
        <v>21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"080066305197"</f>
        <v>080066305197</v>
      </c>
      <c r="F168" s="3">
        <v>45840</v>
      </c>
      <c r="G168">
        <v>202604</v>
      </c>
      <c r="H168" t="s">
        <v>75</v>
      </c>
      <c r="I168" t="s">
        <v>76</v>
      </c>
      <c r="J168" t="s">
        <v>77</v>
      </c>
      <c r="K168" t="s">
        <v>78</v>
      </c>
      <c r="L168" t="s">
        <v>174</v>
      </c>
      <c r="M168" t="s">
        <v>175</v>
      </c>
      <c r="N168" t="s">
        <v>659</v>
      </c>
      <c r="O168" t="s">
        <v>82</v>
      </c>
      <c r="P168" t="str">
        <f>"4170046548                    "</f>
        <v xml:space="preserve">4170046548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45.18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4</v>
      </c>
      <c r="BJ168">
        <v>3.2</v>
      </c>
      <c r="BK168">
        <v>4</v>
      </c>
      <c r="BL168">
        <v>142.34</v>
      </c>
      <c r="BM168">
        <v>21.35</v>
      </c>
      <c r="BN168">
        <v>163.69</v>
      </c>
      <c r="BO168">
        <v>163.69</v>
      </c>
      <c r="BQ168" t="s">
        <v>660</v>
      </c>
      <c r="BR168" t="s">
        <v>84</v>
      </c>
      <c r="BS168" s="3">
        <v>45841</v>
      </c>
      <c r="BT168" s="4">
        <v>0.43472222222222223</v>
      </c>
      <c r="BU168" t="s">
        <v>661</v>
      </c>
      <c r="BV168" t="s">
        <v>98</v>
      </c>
      <c r="BY168">
        <v>16000</v>
      </c>
      <c r="BZ168" t="s">
        <v>89</v>
      </c>
      <c r="CA168" t="s">
        <v>173</v>
      </c>
      <c r="CC168" t="s">
        <v>175</v>
      </c>
      <c r="CD168">
        <v>6220</v>
      </c>
      <c r="CE168" t="s">
        <v>91</v>
      </c>
      <c r="CF168" s="3">
        <v>45842</v>
      </c>
      <c r="CI168">
        <v>1</v>
      </c>
      <c r="CJ168">
        <v>1</v>
      </c>
      <c r="CK168">
        <v>21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"080066305229"</f>
        <v>080066305229</v>
      </c>
      <c r="F169" s="3">
        <v>45840</v>
      </c>
      <c r="G169">
        <v>202604</v>
      </c>
      <c r="H169" t="s">
        <v>75</v>
      </c>
      <c r="I169" t="s">
        <v>76</v>
      </c>
      <c r="J169" t="s">
        <v>77</v>
      </c>
      <c r="K169" t="s">
        <v>78</v>
      </c>
      <c r="L169" t="s">
        <v>79</v>
      </c>
      <c r="M169" t="s">
        <v>80</v>
      </c>
      <c r="N169" t="s">
        <v>662</v>
      </c>
      <c r="O169" t="s">
        <v>82</v>
      </c>
      <c r="P169" t="str">
        <f>"4170046550                    "</f>
        <v xml:space="preserve">4170046550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22.6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1.1000000000000001</v>
      </c>
      <c r="BK169">
        <v>2</v>
      </c>
      <c r="BL169">
        <v>71.2</v>
      </c>
      <c r="BM169">
        <v>10.68</v>
      </c>
      <c r="BN169">
        <v>81.88</v>
      </c>
      <c r="BO169">
        <v>81.88</v>
      </c>
      <c r="BQ169" t="s">
        <v>663</v>
      </c>
      <c r="BR169" t="s">
        <v>84</v>
      </c>
      <c r="BS169" s="3">
        <v>45841</v>
      </c>
      <c r="BT169" s="4">
        <v>0.4236111111111111</v>
      </c>
      <c r="BU169" t="s">
        <v>664</v>
      </c>
      <c r="BV169" t="s">
        <v>98</v>
      </c>
      <c r="BY169">
        <v>5320</v>
      </c>
      <c r="BZ169" t="s">
        <v>89</v>
      </c>
      <c r="CA169" t="s">
        <v>665</v>
      </c>
      <c r="CC169" t="s">
        <v>80</v>
      </c>
      <c r="CD169">
        <v>7945</v>
      </c>
      <c r="CE169" t="s">
        <v>117</v>
      </c>
      <c r="CF169" s="3">
        <v>45842</v>
      </c>
      <c r="CI169">
        <v>1</v>
      </c>
      <c r="CJ169">
        <v>1</v>
      </c>
      <c r="CK169">
        <v>21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"080066305274"</f>
        <v>080066305274</v>
      </c>
      <c r="F170" s="3">
        <v>45840</v>
      </c>
      <c r="G170">
        <v>202604</v>
      </c>
      <c r="H170" t="s">
        <v>75</v>
      </c>
      <c r="I170" t="s">
        <v>76</v>
      </c>
      <c r="J170" t="s">
        <v>77</v>
      </c>
      <c r="K170" t="s">
        <v>78</v>
      </c>
      <c r="L170" t="s">
        <v>197</v>
      </c>
      <c r="M170" t="s">
        <v>198</v>
      </c>
      <c r="N170" t="s">
        <v>666</v>
      </c>
      <c r="O170" t="s">
        <v>82</v>
      </c>
      <c r="P170" t="str">
        <f>"4170046576                    "</f>
        <v xml:space="preserve">4170046576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21.88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6</v>
      </c>
      <c r="BJ170">
        <v>9.1</v>
      </c>
      <c r="BK170">
        <v>10</v>
      </c>
      <c r="BL170">
        <v>68.94</v>
      </c>
      <c r="BM170">
        <v>10.34</v>
      </c>
      <c r="BN170">
        <v>79.28</v>
      </c>
      <c r="BO170">
        <v>79.28</v>
      </c>
      <c r="BQ170" t="s">
        <v>667</v>
      </c>
      <c r="BR170" t="s">
        <v>84</v>
      </c>
      <c r="BS170" s="3">
        <v>45841</v>
      </c>
      <c r="BT170" s="4">
        <v>0.43472222222222223</v>
      </c>
      <c r="BU170" t="s">
        <v>668</v>
      </c>
      <c r="BV170" t="s">
        <v>98</v>
      </c>
      <c r="BY170">
        <v>45632</v>
      </c>
      <c r="BZ170" t="s">
        <v>89</v>
      </c>
      <c r="CA170" t="s">
        <v>669</v>
      </c>
      <c r="CC170" t="s">
        <v>198</v>
      </c>
      <c r="CD170">
        <v>1401</v>
      </c>
      <c r="CE170" t="s">
        <v>117</v>
      </c>
      <c r="CF170" s="3">
        <v>45841</v>
      </c>
      <c r="CI170">
        <v>1</v>
      </c>
      <c r="CJ170">
        <v>1</v>
      </c>
      <c r="CK170">
        <v>22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"080066305334"</f>
        <v>080066305334</v>
      </c>
      <c r="F171" s="3">
        <v>45840</v>
      </c>
      <c r="G171">
        <v>202604</v>
      </c>
      <c r="H171" t="s">
        <v>75</v>
      </c>
      <c r="I171" t="s">
        <v>76</v>
      </c>
      <c r="J171" t="s">
        <v>77</v>
      </c>
      <c r="K171" t="s">
        <v>78</v>
      </c>
      <c r="L171" t="s">
        <v>670</v>
      </c>
      <c r="M171" t="s">
        <v>671</v>
      </c>
      <c r="N171" t="s">
        <v>672</v>
      </c>
      <c r="O171" t="s">
        <v>82</v>
      </c>
      <c r="P171" t="str">
        <f>"4170046539                    "</f>
        <v xml:space="preserve">4170046539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17.649999999999999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7</v>
      </c>
      <c r="BJ171">
        <v>2</v>
      </c>
      <c r="BK171">
        <v>7</v>
      </c>
      <c r="BL171">
        <v>55.61</v>
      </c>
      <c r="BM171">
        <v>8.34</v>
      </c>
      <c r="BN171">
        <v>63.95</v>
      </c>
      <c r="BO171">
        <v>63.95</v>
      </c>
      <c r="BQ171" t="s">
        <v>673</v>
      </c>
      <c r="BR171" t="s">
        <v>84</v>
      </c>
      <c r="BS171" s="3">
        <v>45841</v>
      </c>
      <c r="BT171" s="4">
        <v>0.6430555555555556</v>
      </c>
      <c r="BU171" t="s">
        <v>674</v>
      </c>
      <c r="BV171" t="s">
        <v>86</v>
      </c>
      <c r="BW171" t="s">
        <v>395</v>
      </c>
      <c r="BX171" t="s">
        <v>675</v>
      </c>
      <c r="BY171">
        <v>9900</v>
      </c>
      <c r="BZ171" t="s">
        <v>89</v>
      </c>
      <c r="CA171" t="s">
        <v>676</v>
      </c>
      <c r="CC171" t="s">
        <v>671</v>
      </c>
      <c r="CD171">
        <v>2163</v>
      </c>
      <c r="CE171" t="s">
        <v>117</v>
      </c>
      <c r="CF171" s="3">
        <v>45842</v>
      </c>
      <c r="CI171">
        <v>1</v>
      </c>
      <c r="CJ171">
        <v>1</v>
      </c>
      <c r="CK171">
        <v>22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"080066305401"</f>
        <v>080066305401</v>
      </c>
      <c r="F172" s="3">
        <v>45840</v>
      </c>
      <c r="G172">
        <v>202604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677</v>
      </c>
      <c r="O172" t="s">
        <v>95</v>
      </c>
      <c r="P172" t="str">
        <f>"4170046584                    "</f>
        <v xml:space="preserve">4170046584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73.150000000000006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3</v>
      </c>
      <c r="BI172">
        <v>34</v>
      </c>
      <c r="BJ172">
        <v>54.8</v>
      </c>
      <c r="BK172">
        <v>55</v>
      </c>
      <c r="BL172">
        <v>236.34</v>
      </c>
      <c r="BM172">
        <v>35.450000000000003</v>
      </c>
      <c r="BN172">
        <v>271.79000000000002</v>
      </c>
      <c r="BO172">
        <v>271.79000000000002</v>
      </c>
      <c r="BQ172" t="s">
        <v>678</v>
      </c>
      <c r="BR172" t="s">
        <v>84</v>
      </c>
      <c r="BS172" s="3">
        <v>45841</v>
      </c>
      <c r="BT172" s="4">
        <v>0.41319444444444442</v>
      </c>
      <c r="BU172" t="s">
        <v>679</v>
      </c>
      <c r="BV172" t="s">
        <v>98</v>
      </c>
      <c r="BY172">
        <v>182528</v>
      </c>
      <c r="BZ172" t="s">
        <v>99</v>
      </c>
      <c r="CC172" t="s">
        <v>76</v>
      </c>
      <c r="CD172">
        <v>1685</v>
      </c>
      <c r="CE172" t="s">
        <v>117</v>
      </c>
      <c r="CF172" s="3">
        <v>45841</v>
      </c>
      <c r="CI172">
        <v>1</v>
      </c>
      <c r="CJ172">
        <v>1</v>
      </c>
      <c r="CK172">
        <v>42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"080066305428"</f>
        <v>080066305428</v>
      </c>
      <c r="F173" s="3">
        <v>45840</v>
      </c>
      <c r="G173">
        <v>202604</v>
      </c>
      <c r="H173" t="s">
        <v>75</v>
      </c>
      <c r="I173" t="s">
        <v>76</v>
      </c>
      <c r="J173" t="s">
        <v>77</v>
      </c>
      <c r="K173" t="s">
        <v>78</v>
      </c>
      <c r="L173" t="s">
        <v>151</v>
      </c>
      <c r="M173" t="s">
        <v>152</v>
      </c>
      <c r="N173" t="s">
        <v>680</v>
      </c>
      <c r="O173" t="s">
        <v>82</v>
      </c>
      <c r="P173" t="str">
        <f>"4170046579                    "</f>
        <v xml:space="preserve">4170046579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22.6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1.1000000000000001</v>
      </c>
      <c r="BK173">
        <v>1.5</v>
      </c>
      <c r="BL173">
        <v>71.2</v>
      </c>
      <c r="BM173">
        <v>10.68</v>
      </c>
      <c r="BN173">
        <v>81.88</v>
      </c>
      <c r="BO173">
        <v>81.88</v>
      </c>
      <c r="BQ173" t="s">
        <v>681</v>
      </c>
      <c r="BR173" t="s">
        <v>84</v>
      </c>
      <c r="BS173" s="3">
        <v>45841</v>
      </c>
      <c r="BT173" s="4">
        <v>0.36666666666666664</v>
      </c>
      <c r="BU173" t="s">
        <v>682</v>
      </c>
      <c r="BV173" t="s">
        <v>98</v>
      </c>
      <c r="BY173">
        <v>5320</v>
      </c>
      <c r="BZ173" t="s">
        <v>89</v>
      </c>
      <c r="CA173" t="s">
        <v>683</v>
      </c>
      <c r="CC173" t="s">
        <v>152</v>
      </c>
      <c r="CD173" s="5" t="s">
        <v>684</v>
      </c>
      <c r="CE173" t="s">
        <v>117</v>
      </c>
      <c r="CF173" s="3">
        <v>45841</v>
      </c>
      <c r="CI173">
        <v>1</v>
      </c>
      <c r="CJ173">
        <v>1</v>
      </c>
      <c r="CK173">
        <v>21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"080066305452"</f>
        <v>080066305452</v>
      </c>
      <c r="F174" s="3">
        <v>45840</v>
      </c>
      <c r="G174">
        <v>202604</v>
      </c>
      <c r="H174" t="s">
        <v>75</v>
      </c>
      <c r="I174" t="s">
        <v>76</v>
      </c>
      <c r="J174" t="s">
        <v>77</v>
      </c>
      <c r="K174" t="s">
        <v>78</v>
      </c>
      <c r="L174" t="s">
        <v>79</v>
      </c>
      <c r="M174" t="s">
        <v>80</v>
      </c>
      <c r="N174" t="s">
        <v>286</v>
      </c>
      <c r="O174" t="s">
        <v>82</v>
      </c>
      <c r="P174" t="str">
        <f>"4170046534                    "</f>
        <v xml:space="preserve">4170046534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84.7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4</v>
      </c>
      <c r="BJ174">
        <v>7.3</v>
      </c>
      <c r="BK174">
        <v>7.5</v>
      </c>
      <c r="BL174">
        <v>266.83999999999997</v>
      </c>
      <c r="BM174">
        <v>40.03</v>
      </c>
      <c r="BN174">
        <v>306.87</v>
      </c>
      <c r="BO174">
        <v>306.87</v>
      </c>
      <c r="BQ174" t="s">
        <v>287</v>
      </c>
      <c r="BR174" t="s">
        <v>84</v>
      </c>
      <c r="BS174" s="3">
        <v>45841</v>
      </c>
      <c r="BT174" s="4">
        <v>0.34027777777777779</v>
      </c>
      <c r="BU174" t="s">
        <v>685</v>
      </c>
      <c r="BV174" t="s">
        <v>98</v>
      </c>
      <c r="BY174">
        <v>36250</v>
      </c>
      <c r="BZ174" t="s">
        <v>89</v>
      </c>
      <c r="CA174" t="s">
        <v>289</v>
      </c>
      <c r="CC174" t="s">
        <v>80</v>
      </c>
      <c r="CD174">
        <v>7530</v>
      </c>
      <c r="CE174" t="s">
        <v>91</v>
      </c>
      <c r="CF174" s="3">
        <v>45842</v>
      </c>
      <c r="CI174">
        <v>1</v>
      </c>
      <c r="CJ174">
        <v>1</v>
      </c>
      <c r="CK174">
        <v>21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"080066305475"</f>
        <v>080066305475</v>
      </c>
      <c r="F175" s="3">
        <v>45840</v>
      </c>
      <c r="G175">
        <v>202604</v>
      </c>
      <c r="H175" t="s">
        <v>75</v>
      </c>
      <c r="I175" t="s">
        <v>76</v>
      </c>
      <c r="J175" t="s">
        <v>77</v>
      </c>
      <c r="K175" t="s">
        <v>78</v>
      </c>
      <c r="L175" t="s">
        <v>240</v>
      </c>
      <c r="M175" t="s">
        <v>241</v>
      </c>
      <c r="N175" t="s">
        <v>686</v>
      </c>
      <c r="O175" t="s">
        <v>82</v>
      </c>
      <c r="P175" t="str">
        <f>"4170046532                    "</f>
        <v xml:space="preserve">4170046532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17.649999999999999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4</v>
      </c>
      <c r="BJ175">
        <v>4.0999999999999996</v>
      </c>
      <c r="BK175">
        <v>5</v>
      </c>
      <c r="BL175">
        <v>55.61</v>
      </c>
      <c r="BM175">
        <v>8.34</v>
      </c>
      <c r="BN175">
        <v>63.95</v>
      </c>
      <c r="BO175">
        <v>63.95</v>
      </c>
      <c r="BQ175" t="s">
        <v>687</v>
      </c>
      <c r="BR175" t="s">
        <v>84</v>
      </c>
      <c r="BS175" s="3">
        <v>45841</v>
      </c>
      <c r="BT175" s="4">
        <v>0.34027777777777779</v>
      </c>
      <c r="BU175" t="s">
        <v>688</v>
      </c>
      <c r="BV175" t="s">
        <v>98</v>
      </c>
      <c r="BY175">
        <v>20358</v>
      </c>
      <c r="BZ175" t="s">
        <v>89</v>
      </c>
      <c r="CA175" t="s">
        <v>613</v>
      </c>
      <c r="CC175" t="s">
        <v>241</v>
      </c>
      <c r="CD175">
        <v>2094</v>
      </c>
      <c r="CE175" t="s">
        <v>117</v>
      </c>
      <c r="CF175" s="3">
        <v>45841</v>
      </c>
      <c r="CI175">
        <v>1</v>
      </c>
      <c r="CJ175">
        <v>1</v>
      </c>
      <c r="CK175">
        <v>22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"080066305504"</f>
        <v>080066305504</v>
      </c>
      <c r="F176" s="3">
        <v>45840</v>
      </c>
      <c r="G176">
        <v>202604</v>
      </c>
      <c r="H176" t="s">
        <v>75</v>
      </c>
      <c r="I176" t="s">
        <v>76</v>
      </c>
      <c r="J176" t="s">
        <v>77</v>
      </c>
      <c r="K176" t="s">
        <v>78</v>
      </c>
      <c r="L176" t="s">
        <v>79</v>
      </c>
      <c r="M176" t="s">
        <v>80</v>
      </c>
      <c r="N176" t="s">
        <v>141</v>
      </c>
      <c r="O176" t="s">
        <v>82</v>
      </c>
      <c r="P176" t="str">
        <f>"4170046611                    "</f>
        <v xml:space="preserve">4170046611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22.6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0.8</v>
      </c>
      <c r="BK176">
        <v>1</v>
      </c>
      <c r="BL176">
        <v>71.2</v>
      </c>
      <c r="BM176">
        <v>10.68</v>
      </c>
      <c r="BN176">
        <v>81.88</v>
      </c>
      <c r="BO176">
        <v>81.88</v>
      </c>
      <c r="BQ176" t="s">
        <v>142</v>
      </c>
      <c r="BR176" t="s">
        <v>84</v>
      </c>
      <c r="BS176" s="3">
        <v>45841</v>
      </c>
      <c r="BT176" s="4">
        <v>0.39513888888888887</v>
      </c>
      <c r="BU176" t="s">
        <v>618</v>
      </c>
      <c r="BV176" t="s">
        <v>98</v>
      </c>
      <c r="BY176">
        <v>4000</v>
      </c>
      <c r="BZ176" t="s">
        <v>89</v>
      </c>
      <c r="CA176" t="s">
        <v>144</v>
      </c>
      <c r="CC176" t="s">
        <v>80</v>
      </c>
      <c r="CD176">
        <v>7441</v>
      </c>
      <c r="CE176" t="s">
        <v>117</v>
      </c>
      <c r="CF176" s="3">
        <v>45842</v>
      </c>
      <c r="CI176">
        <v>1</v>
      </c>
      <c r="CJ176">
        <v>1</v>
      </c>
      <c r="CK176">
        <v>21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"080066305550"</f>
        <v>080066305550</v>
      </c>
      <c r="F177" s="3">
        <v>45840</v>
      </c>
      <c r="G177">
        <v>202604</v>
      </c>
      <c r="H177" t="s">
        <v>75</v>
      </c>
      <c r="I177" t="s">
        <v>76</v>
      </c>
      <c r="J177" t="s">
        <v>77</v>
      </c>
      <c r="K177" t="s">
        <v>78</v>
      </c>
      <c r="L177" t="s">
        <v>79</v>
      </c>
      <c r="M177" t="s">
        <v>80</v>
      </c>
      <c r="N177" t="s">
        <v>689</v>
      </c>
      <c r="O177" t="s">
        <v>82</v>
      </c>
      <c r="P177" t="str">
        <f>"4170046587                    "</f>
        <v xml:space="preserve">4170046587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22.6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2</v>
      </c>
      <c r="BK177">
        <v>2</v>
      </c>
      <c r="BL177">
        <v>71.2</v>
      </c>
      <c r="BM177">
        <v>10.68</v>
      </c>
      <c r="BN177">
        <v>81.88</v>
      </c>
      <c r="BO177">
        <v>81.88</v>
      </c>
      <c r="BQ177" t="s">
        <v>690</v>
      </c>
      <c r="BR177" t="s">
        <v>84</v>
      </c>
      <c r="BS177" s="3">
        <v>45841</v>
      </c>
      <c r="BT177" s="4">
        <v>0.43541666666666667</v>
      </c>
      <c r="BU177" t="s">
        <v>691</v>
      </c>
      <c r="BV177" t="s">
        <v>98</v>
      </c>
      <c r="BY177">
        <v>10206</v>
      </c>
      <c r="BZ177" t="s">
        <v>89</v>
      </c>
      <c r="CA177" t="s">
        <v>692</v>
      </c>
      <c r="CC177" t="s">
        <v>80</v>
      </c>
      <c r="CD177">
        <v>7800</v>
      </c>
      <c r="CE177" t="s">
        <v>91</v>
      </c>
      <c r="CF177" s="3">
        <v>45842</v>
      </c>
      <c r="CI177">
        <v>1</v>
      </c>
      <c r="CJ177">
        <v>1</v>
      </c>
      <c r="CK177">
        <v>21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"080066305577"</f>
        <v>080066305577</v>
      </c>
      <c r="F178" s="3">
        <v>45840</v>
      </c>
      <c r="G178">
        <v>202604</v>
      </c>
      <c r="H178" t="s">
        <v>75</v>
      </c>
      <c r="I178" t="s">
        <v>76</v>
      </c>
      <c r="J178" t="s">
        <v>77</v>
      </c>
      <c r="K178" t="s">
        <v>78</v>
      </c>
      <c r="L178" t="s">
        <v>135</v>
      </c>
      <c r="M178" t="s">
        <v>136</v>
      </c>
      <c r="N178" t="s">
        <v>482</v>
      </c>
      <c r="O178" t="s">
        <v>82</v>
      </c>
      <c r="P178" t="str">
        <f>"4170046608                    "</f>
        <v xml:space="preserve">4170046608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95.99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8.1</v>
      </c>
      <c r="BK178">
        <v>8.5</v>
      </c>
      <c r="BL178">
        <v>302.41000000000003</v>
      </c>
      <c r="BM178">
        <v>45.36</v>
      </c>
      <c r="BN178">
        <v>347.77</v>
      </c>
      <c r="BO178">
        <v>347.77</v>
      </c>
      <c r="BQ178" t="s">
        <v>483</v>
      </c>
      <c r="BR178" t="s">
        <v>84</v>
      </c>
      <c r="BS178" s="3">
        <v>45841</v>
      </c>
      <c r="BT178" s="4">
        <v>0.54166666666666663</v>
      </c>
      <c r="BU178" t="s">
        <v>693</v>
      </c>
      <c r="BV178" t="s">
        <v>98</v>
      </c>
      <c r="BY178">
        <v>40320</v>
      </c>
      <c r="BZ178" t="s">
        <v>89</v>
      </c>
      <c r="CC178" t="s">
        <v>136</v>
      </c>
      <c r="CD178">
        <v>3201</v>
      </c>
      <c r="CE178" t="s">
        <v>91</v>
      </c>
      <c r="CF178" s="3">
        <v>45841</v>
      </c>
      <c r="CI178">
        <v>1</v>
      </c>
      <c r="CJ178">
        <v>1</v>
      </c>
      <c r="CK178">
        <v>21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"080066305612"</f>
        <v>080066305612</v>
      </c>
      <c r="F179" s="3">
        <v>45840</v>
      </c>
      <c r="G179">
        <v>202604</v>
      </c>
      <c r="H179" t="s">
        <v>75</v>
      </c>
      <c r="I179" t="s">
        <v>76</v>
      </c>
      <c r="J179" t="s">
        <v>77</v>
      </c>
      <c r="K179" t="s">
        <v>78</v>
      </c>
      <c r="L179" t="s">
        <v>135</v>
      </c>
      <c r="M179" t="s">
        <v>136</v>
      </c>
      <c r="N179" t="s">
        <v>694</v>
      </c>
      <c r="O179" t="s">
        <v>82</v>
      </c>
      <c r="P179" t="str">
        <f>"4170046565                    "</f>
        <v xml:space="preserve">4170046565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107.28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16.739999999999998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8</v>
      </c>
      <c r="BJ179">
        <v>9.1</v>
      </c>
      <c r="BK179">
        <v>9.5</v>
      </c>
      <c r="BL179">
        <v>354.72</v>
      </c>
      <c r="BM179">
        <v>53.21</v>
      </c>
      <c r="BN179">
        <v>407.93</v>
      </c>
      <c r="BO179">
        <v>407.93</v>
      </c>
      <c r="BQ179" t="s">
        <v>695</v>
      </c>
      <c r="BR179" t="s">
        <v>84</v>
      </c>
      <c r="BS179" s="3">
        <v>45841</v>
      </c>
      <c r="BT179" s="4">
        <v>0.41666666666666669</v>
      </c>
      <c r="BU179" t="s">
        <v>696</v>
      </c>
      <c r="BV179" t="s">
        <v>98</v>
      </c>
      <c r="BY179">
        <v>45632</v>
      </c>
      <c r="BZ179" t="s">
        <v>460</v>
      </c>
      <c r="CA179" t="s">
        <v>697</v>
      </c>
      <c r="CC179" t="s">
        <v>136</v>
      </c>
      <c r="CD179">
        <v>3699</v>
      </c>
      <c r="CE179" t="s">
        <v>145</v>
      </c>
      <c r="CF179" s="3">
        <v>45842</v>
      </c>
      <c r="CI179">
        <v>1</v>
      </c>
      <c r="CJ179">
        <v>1</v>
      </c>
      <c r="CK179">
        <v>21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"080066305647"</f>
        <v>080066305647</v>
      </c>
      <c r="F180" s="3">
        <v>45840</v>
      </c>
      <c r="G180">
        <v>202604</v>
      </c>
      <c r="H180" t="s">
        <v>75</v>
      </c>
      <c r="I180" t="s">
        <v>76</v>
      </c>
      <c r="J180" t="s">
        <v>77</v>
      </c>
      <c r="K180" t="s">
        <v>78</v>
      </c>
      <c r="L180" t="s">
        <v>168</v>
      </c>
      <c r="M180" t="s">
        <v>169</v>
      </c>
      <c r="N180" t="s">
        <v>206</v>
      </c>
      <c r="O180" t="s">
        <v>82</v>
      </c>
      <c r="P180" t="str">
        <f>"4170046521                    "</f>
        <v xml:space="preserve">4170046521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56.47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5</v>
      </c>
      <c r="BJ180">
        <v>4.0999999999999996</v>
      </c>
      <c r="BK180">
        <v>5</v>
      </c>
      <c r="BL180">
        <v>177.91</v>
      </c>
      <c r="BM180">
        <v>26.69</v>
      </c>
      <c r="BN180">
        <v>204.6</v>
      </c>
      <c r="BO180">
        <v>204.6</v>
      </c>
      <c r="BQ180" t="s">
        <v>207</v>
      </c>
      <c r="BR180" t="s">
        <v>84</v>
      </c>
      <c r="BS180" s="3">
        <v>45841</v>
      </c>
      <c r="BT180" s="4">
        <v>0.41111111111111109</v>
      </c>
      <c r="BU180" t="s">
        <v>208</v>
      </c>
      <c r="BV180" t="s">
        <v>98</v>
      </c>
      <c r="BY180">
        <v>20358</v>
      </c>
      <c r="BZ180" t="s">
        <v>89</v>
      </c>
      <c r="CA180" t="s">
        <v>196</v>
      </c>
      <c r="CC180" t="s">
        <v>169</v>
      </c>
      <c r="CD180">
        <v>6001</v>
      </c>
      <c r="CE180" t="s">
        <v>145</v>
      </c>
      <c r="CF180" s="3">
        <v>45841</v>
      </c>
      <c r="CI180">
        <v>1</v>
      </c>
      <c r="CJ180">
        <v>1</v>
      </c>
      <c r="CK180">
        <v>21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"080066305681"</f>
        <v>080066305681</v>
      </c>
      <c r="F181" s="3">
        <v>45840</v>
      </c>
      <c r="G181">
        <v>202604</v>
      </c>
      <c r="H181" t="s">
        <v>75</v>
      </c>
      <c r="I181" t="s">
        <v>76</v>
      </c>
      <c r="J181" t="s">
        <v>77</v>
      </c>
      <c r="K181" t="s">
        <v>78</v>
      </c>
      <c r="L181" t="s">
        <v>79</v>
      </c>
      <c r="M181" t="s">
        <v>80</v>
      </c>
      <c r="N181" t="s">
        <v>698</v>
      </c>
      <c r="O181" t="s">
        <v>82</v>
      </c>
      <c r="P181" t="str">
        <f>"4170046549                    "</f>
        <v xml:space="preserve">4170046549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79.05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7</v>
      </c>
      <c r="BJ181">
        <v>4.0999999999999996</v>
      </c>
      <c r="BK181">
        <v>7</v>
      </c>
      <c r="BL181">
        <v>249.05</v>
      </c>
      <c r="BM181">
        <v>37.36</v>
      </c>
      <c r="BN181">
        <v>286.41000000000003</v>
      </c>
      <c r="BO181">
        <v>286.41000000000003</v>
      </c>
      <c r="BQ181" t="s">
        <v>699</v>
      </c>
      <c r="BR181" t="s">
        <v>84</v>
      </c>
      <c r="BS181" s="3">
        <v>45841</v>
      </c>
      <c r="BT181" s="4">
        <v>0.38541666666666669</v>
      </c>
      <c r="BU181" t="s">
        <v>700</v>
      </c>
      <c r="BV181" t="s">
        <v>98</v>
      </c>
      <c r="BY181">
        <v>20358</v>
      </c>
      <c r="BZ181" t="s">
        <v>89</v>
      </c>
      <c r="CA181" t="s">
        <v>289</v>
      </c>
      <c r="CC181" t="s">
        <v>80</v>
      </c>
      <c r="CD181">
        <v>7561</v>
      </c>
      <c r="CE181" t="s">
        <v>117</v>
      </c>
      <c r="CF181" s="3">
        <v>45842</v>
      </c>
      <c r="CI181">
        <v>1</v>
      </c>
      <c r="CJ181">
        <v>1</v>
      </c>
      <c r="CK181">
        <v>21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"080066305712"</f>
        <v>080066305712</v>
      </c>
      <c r="F182" s="3">
        <v>45840</v>
      </c>
      <c r="G182">
        <v>202604</v>
      </c>
      <c r="H182" t="s">
        <v>75</v>
      </c>
      <c r="I182" t="s">
        <v>76</v>
      </c>
      <c r="J182" t="s">
        <v>77</v>
      </c>
      <c r="K182" t="s">
        <v>78</v>
      </c>
      <c r="L182" t="s">
        <v>75</v>
      </c>
      <c r="M182" t="s">
        <v>76</v>
      </c>
      <c r="N182" t="s">
        <v>701</v>
      </c>
      <c r="O182" t="s">
        <v>82</v>
      </c>
      <c r="P182" t="str">
        <f>"4170046589                    "</f>
        <v xml:space="preserve">4170046589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17.649999999999999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1.1000000000000001</v>
      </c>
      <c r="BK182">
        <v>2</v>
      </c>
      <c r="BL182">
        <v>55.61</v>
      </c>
      <c r="BM182">
        <v>8.34</v>
      </c>
      <c r="BN182">
        <v>63.95</v>
      </c>
      <c r="BO182">
        <v>63.95</v>
      </c>
      <c r="BQ182" t="s">
        <v>702</v>
      </c>
      <c r="BR182" t="s">
        <v>84</v>
      </c>
      <c r="BS182" s="3">
        <v>45841</v>
      </c>
      <c r="BT182" s="4">
        <v>0.33333333333333331</v>
      </c>
      <c r="BU182" t="s">
        <v>703</v>
      </c>
      <c r="BV182" t="s">
        <v>98</v>
      </c>
      <c r="BY182">
        <v>5320</v>
      </c>
      <c r="BZ182" t="s">
        <v>89</v>
      </c>
      <c r="CA182" t="s">
        <v>617</v>
      </c>
      <c r="CC182" t="s">
        <v>76</v>
      </c>
      <c r="CD182">
        <v>1645</v>
      </c>
      <c r="CE182" t="s">
        <v>117</v>
      </c>
      <c r="CF182" s="3">
        <v>45841</v>
      </c>
      <c r="CI182">
        <v>1</v>
      </c>
      <c r="CJ182">
        <v>1</v>
      </c>
      <c r="CK182">
        <v>22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"080066305736"</f>
        <v>080066305736</v>
      </c>
      <c r="F183" s="3">
        <v>45840</v>
      </c>
      <c r="G183">
        <v>202604</v>
      </c>
      <c r="H183" t="s">
        <v>75</v>
      </c>
      <c r="I183" t="s">
        <v>76</v>
      </c>
      <c r="J183" t="s">
        <v>77</v>
      </c>
      <c r="K183" t="s">
        <v>78</v>
      </c>
      <c r="L183" t="s">
        <v>704</v>
      </c>
      <c r="M183" t="s">
        <v>705</v>
      </c>
      <c r="N183" t="s">
        <v>706</v>
      </c>
      <c r="O183" t="s">
        <v>82</v>
      </c>
      <c r="P183" t="str">
        <f>"4170046602                    "</f>
        <v xml:space="preserve">4170046602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43.78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137.94</v>
      </c>
      <c r="BM183">
        <v>20.69</v>
      </c>
      <c r="BN183">
        <v>158.63</v>
      </c>
      <c r="BO183">
        <v>158.63</v>
      </c>
      <c r="BQ183" t="s">
        <v>707</v>
      </c>
      <c r="BR183" t="s">
        <v>84</v>
      </c>
      <c r="BS183" s="3">
        <v>45841</v>
      </c>
      <c r="BT183" s="4">
        <v>0.65138888888888891</v>
      </c>
      <c r="BU183" t="s">
        <v>708</v>
      </c>
      <c r="BV183" t="s">
        <v>98</v>
      </c>
      <c r="BY183">
        <v>1200</v>
      </c>
      <c r="BZ183" t="s">
        <v>89</v>
      </c>
      <c r="CA183" t="s">
        <v>709</v>
      </c>
      <c r="CC183" t="s">
        <v>705</v>
      </c>
      <c r="CD183">
        <v>6849</v>
      </c>
      <c r="CE183" t="s">
        <v>239</v>
      </c>
      <c r="CF183" s="3">
        <v>45842</v>
      </c>
      <c r="CI183">
        <v>2</v>
      </c>
      <c r="CJ183">
        <v>1</v>
      </c>
      <c r="CK183">
        <v>23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"080066305769"</f>
        <v>080066305769</v>
      </c>
      <c r="F184" s="3">
        <v>45840</v>
      </c>
      <c r="G184">
        <v>202604</v>
      </c>
      <c r="H184" t="s">
        <v>75</v>
      </c>
      <c r="I184" t="s">
        <v>76</v>
      </c>
      <c r="J184" t="s">
        <v>77</v>
      </c>
      <c r="K184" t="s">
        <v>78</v>
      </c>
      <c r="L184" t="s">
        <v>168</v>
      </c>
      <c r="M184" t="s">
        <v>169</v>
      </c>
      <c r="N184" t="s">
        <v>206</v>
      </c>
      <c r="O184" t="s">
        <v>82</v>
      </c>
      <c r="P184" t="str">
        <f>"4170046552                    "</f>
        <v xml:space="preserve">4170046552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22.6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71.2</v>
      </c>
      <c r="BM184">
        <v>10.68</v>
      </c>
      <c r="BN184">
        <v>81.88</v>
      </c>
      <c r="BO184">
        <v>81.88</v>
      </c>
      <c r="BQ184" t="s">
        <v>207</v>
      </c>
      <c r="BR184" t="s">
        <v>84</v>
      </c>
      <c r="BS184" s="3">
        <v>45841</v>
      </c>
      <c r="BT184" s="4">
        <v>0.41111111111111109</v>
      </c>
      <c r="BU184" t="s">
        <v>208</v>
      </c>
      <c r="BV184" t="s">
        <v>98</v>
      </c>
      <c r="BY184">
        <v>1200</v>
      </c>
      <c r="BZ184" t="s">
        <v>89</v>
      </c>
      <c r="CA184" t="s">
        <v>196</v>
      </c>
      <c r="CC184" t="s">
        <v>169</v>
      </c>
      <c r="CD184">
        <v>6001</v>
      </c>
      <c r="CE184" t="s">
        <v>239</v>
      </c>
      <c r="CF184" s="3">
        <v>45841</v>
      </c>
      <c r="CI184">
        <v>1</v>
      </c>
      <c r="CJ184">
        <v>1</v>
      </c>
      <c r="CK184">
        <v>21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"080066305788"</f>
        <v>080066305788</v>
      </c>
      <c r="F185" s="3">
        <v>45840</v>
      </c>
      <c r="G185">
        <v>202604</v>
      </c>
      <c r="H185" t="s">
        <v>75</v>
      </c>
      <c r="I185" t="s">
        <v>76</v>
      </c>
      <c r="J185" t="s">
        <v>77</v>
      </c>
      <c r="K185" t="s">
        <v>78</v>
      </c>
      <c r="L185" t="s">
        <v>168</v>
      </c>
      <c r="M185" t="s">
        <v>169</v>
      </c>
      <c r="N185" t="s">
        <v>206</v>
      </c>
      <c r="O185" t="s">
        <v>82</v>
      </c>
      <c r="P185" t="str">
        <f>"4170046553                    "</f>
        <v xml:space="preserve">4170046553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22.6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71.2</v>
      </c>
      <c r="BM185">
        <v>10.68</v>
      </c>
      <c r="BN185">
        <v>81.88</v>
      </c>
      <c r="BO185">
        <v>81.88</v>
      </c>
      <c r="BQ185" t="s">
        <v>207</v>
      </c>
      <c r="BR185" t="s">
        <v>84</v>
      </c>
      <c r="BS185" s="3">
        <v>45841</v>
      </c>
      <c r="BT185" s="4">
        <v>0.41111111111111109</v>
      </c>
      <c r="BU185" t="s">
        <v>208</v>
      </c>
      <c r="BV185" t="s">
        <v>98</v>
      </c>
      <c r="BY185">
        <v>1200</v>
      </c>
      <c r="BZ185" t="s">
        <v>89</v>
      </c>
      <c r="CA185" t="s">
        <v>196</v>
      </c>
      <c r="CC185" t="s">
        <v>169</v>
      </c>
      <c r="CD185">
        <v>6001</v>
      </c>
      <c r="CE185" t="s">
        <v>239</v>
      </c>
      <c r="CF185" s="3">
        <v>45841</v>
      </c>
      <c r="CI185">
        <v>1</v>
      </c>
      <c r="CJ185">
        <v>1</v>
      </c>
      <c r="CK185">
        <v>21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"080066305809"</f>
        <v>080066305809</v>
      </c>
      <c r="F186" s="3">
        <v>45840</v>
      </c>
      <c r="G186">
        <v>202604</v>
      </c>
      <c r="H186" t="s">
        <v>75</v>
      </c>
      <c r="I186" t="s">
        <v>76</v>
      </c>
      <c r="J186" t="s">
        <v>77</v>
      </c>
      <c r="K186" t="s">
        <v>78</v>
      </c>
      <c r="L186" t="s">
        <v>305</v>
      </c>
      <c r="M186" t="s">
        <v>306</v>
      </c>
      <c r="N186" t="s">
        <v>710</v>
      </c>
      <c r="O186" t="s">
        <v>82</v>
      </c>
      <c r="P186" t="str">
        <f>"4170046516                    "</f>
        <v xml:space="preserve">4170046516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22.6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71.2</v>
      </c>
      <c r="BM186">
        <v>10.68</v>
      </c>
      <c r="BN186">
        <v>81.88</v>
      </c>
      <c r="BO186">
        <v>81.88</v>
      </c>
      <c r="BQ186" t="s">
        <v>711</v>
      </c>
      <c r="BR186" t="s">
        <v>84</v>
      </c>
      <c r="BS186" s="3">
        <v>45841</v>
      </c>
      <c r="BT186" s="4">
        <v>0.65902777777777777</v>
      </c>
      <c r="BU186" t="s">
        <v>712</v>
      </c>
      <c r="BV186" t="s">
        <v>86</v>
      </c>
      <c r="BY186">
        <v>1200</v>
      </c>
      <c r="BZ186" t="s">
        <v>89</v>
      </c>
      <c r="CA186" t="s">
        <v>575</v>
      </c>
      <c r="CC186" t="s">
        <v>306</v>
      </c>
      <c r="CD186">
        <v>5200</v>
      </c>
      <c r="CE186" t="s">
        <v>239</v>
      </c>
      <c r="CF186" s="3">
        <v>45842</v>
      </c>
      <c r="CI186">
        <v>1</v>
      </c>
      <c r="CJ186">
        <v>1</v>
      </c>
      <c r="CK186">
        <v>21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"080066305828"</f>
        <v>080066305828</v>
      </c>
      <c r="F187" s="3">
        <v>45840</v>
      </c>
      <c r="G187">
        <v>202604</v>
      </c>
      <c r="H187" t="s">
        <v>75</v>
      </c>
      <c r="I187" t="s">
        <v>76</v>
      </c>
      <c r="J187" t="s">
        <v>77</v>
      </c>
      <c r="K187" t="s">
        <v>78</v>
      </c>
      <c r="L187" t="s">
        <v>168</v>
      </c>
      <c r="M187" t="s">
        <v>169</v>
      </c>
      <c r="N187" t="s">
        <v>206</v>
      </c>
      <c r="O187" t="s">
        <v>82</v>
      </c>
      <c r="P187" t="str">
        <f>"4170046562                    "</f>
        <v xml:space="preserve">4170046562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22.6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71.2</v>
      </c>
      <c r="BM187">
        <v>10.68</v>
      </c>
      <c r="BN187">
        <v>81.88</v>
      </c>
      <c r="BO187">
        <v>81.88</v>
      </c>
      <c r="BQ187" t="s">
        <v>207</v>
      </c>
      <c r="BR187" t="s">
        <v>84</v>
      </c>
      <c r="BS187" s="3">
        <v>45841</v>
      </c>
      <c r="BT187" s="4">
        <v>0.41111111111111109</v>
      </c>
      <c r="BU187" t="s">
        <v>208</v>
      </c>
      <c r="BV187" t="s">
        <v>98</v>
      </c>
      <c r="BY187">
        <v>1200</v>
      </c>
      <c r="BZ187" t="s">
        <v>89</v>
      </c>
      <c r="CA187" t="s">
        <v>196</v>
      </c>
      <c r="CC187" t="s">
        <v>169</v>
      </c>
      <c r="CD187">
        <v>6001</v>
      </c>
      <c r="CE187" t="s">
        <v>239</v>
      </c>
      <c r="CF187" s="3">
        <v>45841</v>
      </c>
      <c r="CI187">
        <v>1</v>
      </c>
      <c r="CJ187">
        <v>1</v>
      </c>
      <c r="CK187">
        <v>21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"080066305862"</f>
        <v>080066305862</v>
      </c>
      <c r="F188" s="3">
        <v>45840</v>
      </c>
      <c r="G188">
        <v>202604</v>
      </c>
      <c r="H188" t="s">
        <v>75</v>
      </c>
      <c r="I188" t="s">
        <v>76</v>
      </c>
      <c r="J188" t="s">
        <v>77</v>
      </c>
      <c r="K188" t="s">
        <v>78</v>
      </c>
      <c r="L188" t="s">
        <v>240</v>
      </c>
      <c r="M188" t="s">
        <v>241</v>
      </c>
      <c r="N188" t="s">
        <v>686</v>
      </c>
      <c r="O188" t="s">
        <v>82</v>
      </c>
      <c r="P188" t="str">
        <f>"4170046570                    "</f>
        <v xml:space="preserve">4170046570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17.649999999999999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55.61</v>
      </c>
      <c r="BM188">
        <v>8.34</v>
      </c>
      <c r="BN188">
        <v>63.95</v>
      </c>
      <c r="BO188">
        <v>63.95</v>
      </c>
      <c r="BQ188" t="s">
        <v>687</v>
      </c>
      <c r="BR188" t="s">
        <v>84</v>
      </c>
      <c r="BS188" s="3">
        <v>45841</v>
      </c>
      <c r="BT188" s="4">
        <v>0.34027777777777779</v>
      </c>
      <c r="BU188" t="s">
        <v>688</v>
      </c>
      <c r="BV188" t="s">
        <v>98</v>
      </c>
      <c r="BY188">
        <v>1200</v>
      </c>
      <c r="BZ188" t="s">
        <v>89</v>
      </c>
      <c r="CA188" t="s">
        <v>613</v>
      </c>
      <c r="CC188" t="s">
        <v>241</v>
      </c>
      <c r="CD188">
        <v>2094</v>
      </c>
      <c r="CE188" t="s">
        <v>239</v>
      </c>
      <c r="CF188" s="3">
        <v>45841</v>
      </c>
      <c r="CI188">
        <v>1</v>
      </c>
      <c r="CJ188">
        <v>1</v>
      </c>
      <c r="CK188">
        <v>22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"080066305900"</f>
        <v>080066305900</v>
      </c>
      <c r="F189" s="3">
        <v>45840</v>
      </c>
      <c r="G189">
        <v>202604</v>
      </c>
      <c r="H189" t="s">
        <v>75</v>
      </c>
      <c r="I189" t="s">
        <v>76</v>
      </c>
      <c r="J189" t="s">
        <v>77</v>
      </c>
      <c r="K189" t="s">
        <v>78</v>
      </c>
      <c r="L189" t="s">
        <v>151</v>
      </c>
      <c r="M189" t="s">
        <v>152</v>
      </c>
      <c r="N189" t="s">
        <v>713</v>
      </c>
      <c r="O189" t="s">
        <v>82</v>
      </c>
      <c r="P189" t="str">
        <f>"4170046557                    "</f>
        <v xml:space="preserve">4170046557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22.6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71.2</v>
      </c>
      <c r="BM189">
        <v>10.68</v>
      </c>
      <c r="BN189">
        <v>81.88</v>
      </c>
      <c r="BO189">
        <v>81.88</v>
      </c>
      <c r="BQ189" t="s">
        <v>714</v>
      </c>
      <c r="BR189" t="s">
        <v>84</v>
      </c>
      <c r="BS189" s="3">
        <v>45841</v>
      </c>
      <c r="BT189" s="4">
        <v>0.40416666666666667</v>
      </c>
      <c r="BU189" t="s">
        <v>715</v>
      </c>
      <c r="BV189" t="s">
        <v>98</v>
      </c>
      <c r="BY189">
        <v>1200</v>
      </c>
      <c r="BZ189" t="s">
        <v>89</v>
      </c>
      <c r="CA189" t="s">
        <v>716</v>
      </c>
      <c r="CC189" t="s">
        <v>152</v>
      </c>
      <c r="CD189" s="5" t="s">
        <v>717</v>
      </c>
      <c r="CE189" t="s">
        <v>239</v>
      </c>
      <c r="CF189" s="3">
        <v>45841</v>
      </c>
      <c r="CI189">
        <v>1</v>
      </c>
      <c r="CJ189">
        <v>1</v>
      </c>
      <c r="CK189">
        <v>21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"080066305928"</f>
        <v>080066305928</v>
      </c>
      <c r="F190" s="3">
        <v>45840</v>
      </c>
      <c r="G190">
        <v>202604</v>
      </c>
      <c r="H190" t="s">
        <v>75</v>
      </c>
      <c r="I190" t="s">
        <v>76</v>
      </c>
      <c r="J190" t="s">
        <v>77</v>
      </c>
      <c r="K190" t="s">
        <v>78</v>
      </c>
      <c r="L190" t="s">
        <v>168</v>
      </c>
      <c r="M190" t="s">
        <v>169</v>
      </c>
      <c r="N190" t="s">
        <v>206</v>
      </c>
      <c r="O190" t="s">
        <v>82</v>
      </c>
      <c r="P190" t="str">
        <f>"4170046529                    "</f>
        <v xml:space="preserve">4170046529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22.6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71.2</v>
      </c>
      <c r="BM190">
        <v>10.68</v>
      </c>
      <c r="BN190">
        <v>81.88</v>
      </c>
      <c r="BO190">
        <v>81.88</v>
      </c>
      <c r="BQ190" t="s">
        <v>207</v>
      </c>
      <c r="BR190" t="s">
        <v>84</v>
      </c>
      <c r="BS190" s="3">
        <v>45841</v>
      </c>
      <c r="BT190" s="4">
        <v>0.41111111111111109</v>
      </c>
      <c r="BU190" t="s">
        <v>208</v>
      </c>
      <c r="BV190" t="s">
        <v>98</v>
      </c>
      <c r="BY190">
        <v>1200</v>
      </c>
      <c r="BZ190" t="s">
        <v>89</v>
      </c>
      <c r="CA190" t="s">
        <v>196</v>
      </c>
      <c r="CC190" t="s">
        <v>169</v>
      </c>
      <c r="CD190">
        <v>6001</v>
      </c>
      <c r="CE190" t="s">
        <v>239</v>
      </c>
      <c r="CF190" s="3">
        <v>45841</v>
      </c>
      <c r="CI190">
        <v>1</v>
      </c>
      <c r="CJ190">
        <v>1</v>
      </c>
      <c r="CK190">
        <v>21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"080066305952"</f>
        <v>080066305952</v>
      </c>
      <c r="F191" s="3">
        <v>45840</v>
      </c>
      <c r="G191">
        <v>202604</v>
      </c>
      <c r="H191" t="s">
        <v>75</v>
      </c>
      <c r="I191" t="s">
        <v>76</v>
      </c>
      <c r="J191" t="s">
        <v>77</v>
      </c>
      <c r="K191" t="s">
        <v>78</v>
      </c>
      <c r="L191" t="s">
        <v>260</v>
      </c>
      <c r="M191" t="s">
        <v>261</v>
      </c>
      <c r="N191" t="s">
        <v>718</v>
      </c>
      <c r="O191" t="s">
        <v>82</v>
      </c>
      <c r="P191" t="str">
        <f>"4170046541                    "</f>
        <v xml:space="preserve">4170046541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43.78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137.94</v>
      </c>
      <c r="BM191">
        <v>20.69</v>
      </c>
      <c r="BN191">
        <v>158.63</v>
      </c>
      <c r="BO191">
        <v>158.63</v>
      </c>
      <c r="BQ191" t="s">
        <v>719</v>
      </c>
      <c r="BR191" t="s">
        <v>84</v>
      </c>
      <c r="BS191" s="3">
        <v>45841</v>
      </c>
      <c r="BT191" s="4">
        <v>0.35833333333333334</v>
      </c>
      <c r="BU191" t="s">
        <v>720</v>
      </c>
      <c r="BV191" t="s">
        <v>98</v>
      </c>
      <c r="BY191">
        <v>1200</v>
      </c>
      <c r="BZ191" t="s">
        <v>89</v>
      </c>
      <c r="CA191" t="s">
        <v>721</v>
      </c>
      <c r="CC191" t="s">
        <v>261</v>
      </c>
      <c r="CD191">
        <v>1911</v>
      </c>
      <c r="CE191" t="s">
        <v>239</v>
      </c>
      <c r="CF191" s="3">
        <v>45841</v>
      </c>
      <c r="CI191">
        <v>1</v>
      </c>
      <c r="CJ191">
        <v>1</v>
      </c>
      <c r="CK191">
        <v>23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"080066305972"</f>
        <v>080066305972</v>
      </c>
      <c r="F192" s="3">
        <v>45840</v>
      </c>
      <c r="G192">
        <v>202604</v>
      </c>
      <c r="H192" t="s">
        <v>75</v>
      </c>
      <c r="I192" t="s">
        <v>76</v>
      </c>
      <c r="J192" t="s">
        <v>77</v>
      </c>
      <c r="K192" t="s">
        <v>78</v>
      </c>
      <c r="L192" t="s">
        <v>79</v>
      </c>
      <c r="M192" t="s">
        <v>80</v>
      </c>
      <c r="N192" t="s">
        <v>286</v>
      </c>
      <c r="O192" t="s">
        <v>82</v>
      </c>
      <c r="P192" t="str">
        <f>"4170046599                    "</f>
        <v xml:space="preserve">4170046599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22.6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71.2</v>
      </c>
      <c r="BM192">
        <v>10.68</v>
      </c>
      <c r="BN192">
        <v>81.88</v>
      </c>
      <c r="BO192">
        <v>81.88</v>
      </c>
      <c r="BQ192" t="s">
        <v>287</v>
      </c>
      <c r="BR192" t="s">
        <v>84</v>
      </c>
      <c r="BS192" s="3">
        <v>45841</v>
      </c>
      <c r="BT192" s="4">
        <v>0.34027777777777779</v>
      </c>
      <c r="BU192" t="s">
        <v>685</v>
      </c>
      <c r="BV192" t="s">
        <v>98</v>
      </c>
      <c r="BY192">
        <v>1200</v>
      </c>
      <c r="BZ192" t="s">
        <v>89</v>
      </c>
      <c r="CA192" t="s">
        <v>289</v>
      </c>
      <c r="CC192" t="s">
        <v>80</v>
      </c>
      <c r="CD192">
        <v>7530</v>
      </c>
      <c r="CE192" t="s">
        <v>239</v>
      </c>
      <c r="CF192" s="3">
        <v>45842</v>
      </c>
      <c r="CI192">
        <v>1</v>
      </c>
      <c r="CJ192">
        <v>1</v>
      </c>
      <c r="CK192">
        <v>21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"080066305994"</f>
        <v>080066305994</v>
      </c>
      <c r="F193" s="3">
        <v>45840</v>
      </c>
      <c r="G193">
        <v>202604</v>
      </c>
      <c r="H193" t="s">
        <v>75</v>
      </c>
      <c r="I193" t="s">
        <v>76</v>
      </c>
      <c r="J193" t="s">
        <v>77</v>
      </c>
      <c r="K193" t="s">
        <v>78</v>
      </c>
      <c r="L193" t="s">
        <v>122</v>
      </c>
      <c r="M193" t="s">
        <v>123</v>
      </c>
      <c r="N193" t="s">
        <v>267</v>
      </c>
      <c r="O193" t="s">
        <v>82</v>
      </c>
      <c r="P193" t="str">
        <f>"4170046525                    "</f>
        <v xml:space="preserve">4170046525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71.2</v>
      </c>
      <c r="BM193">
        <v>10.68</v>
      </c>
      <c r="BN193">
        <v>81.88</v>
      </c>
      <c r="BO193">
        <v>81.88</v>
      </c>
      <c r="BQ193" t="s">
        <v>268</v>
      </c>
      <c r="BR193" t="s">
        <v>84</v>
      </c>
      <c r="BS193" s="3">
        <v>45841</v>
      </c>
      <c r="BT193" s="4">
        <v>0.36736111111111114</v>
      </c>
      <c r="BU193" t="s">
        <v>722</v>
      </c>
      <c r="BV193" t="s">
        <v>98</v>
      </c>
      <c r="BY193">
        <v>1200</v>
      </c>
      <c r="BZ193" t="s">
        <v>89</v>
      </c>
      <c r="CA193" t="s">
        <v>270</v>
      </c>
      <c r="CC193" t="s">
        <v>123</v>
      </c>
      <c r="CD193">
        <v>3610</v>
      </c>
      <c r="CE193" t="s">
        <v>239</v>
      </c>
      <c r="CF193" s="3">
        <v>45841</v>
      </c>
      <c r="CI193">
        <v>1</v>
      </c>
      <c r="CJ193">
        <v>1</v>
      </c>
      <c r="CK193">
        <v>21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"080066306029"</f>
        <v>080066306029</v>
      </c>
      <c r="F194" s="3">
        <v>45840</v>
      </c>
      <c r="G194">
        <v>202604</v>
      </c>
      <c r="H194" t="s">
        <v>75</v>
      </c>
      <c r="I194" t="s">
        <v>76</v>
      </c>
      <c r="J194" t="s">
        <v>77</v>
      </c>
      <c r="K194" t="s">
        <v>78</v>
      </c>
      <c r="L194" t="s">
        <v>92</v>
      </c>
      <c r="M194" t="s">
        <v>93</v>
      </c>
      <c r="N194" t="s">
        <v>723</v>
      </c>
      <c r="O194" t="s">
        <v>82</v>
      </c>
      <c r="P194" t="str">
        <f>"4170046517                    "</f>
        <v xml:space="preserve">4170046517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22.6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71.2</v>
      </c>
      <c r="BM194">
        <v>10.68</v>
      </c>
      <c r="BN194">
        <v>81.88</v>
      </c>
      <c r="BO194">
        <v>81.88</v>
      </c>
      <c r="BQ194" t="s">
        <v>724</v>
      </c>
      <c r="BR194" t="s">
        <v>84</v>
      </c>
      <c r="BS194" s="3">
        <v>45841</v>
      </c>
      <c r="BT194" s="4">
        <v>0.38611111111111113</v>
      </c>
      <c r="BU194" t="s">
        <v>725</v>
      </c>
      <c r="BV194" t="s">
        <v>98</v>
      </c>
      <c r="BY194">
        <v>1200</v>
      </c>
      <c r="BZ194" t="s">
        <v>89</v>
      </c>
      <c r="CA194" t="s">
        <v>270</v>
      </c>
      <c r="CC194" t="s">
        <v>93</v>
      </c>
      <c r="CD194">
        <v>4000</v>
      </c>
      <c r="CE194" t="s">
        <v>239</v>
      </c>
      <c r="CF194" s="3">
        <v>45841</v>
      </c>
      <c r="CI194">
        <v>1</v>
      </c>
      <c r="CJ194">
        <v>1</v>
      </c>
      <c r="CK194">
        <v>21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"080066306569"</f>
        <v>080066306569</v>
      </c>
      <c r="F195" s="3">
        <v>45840</v>
      </c>
      <c r="G195">
        <v>202604</v>
      </c>
      <c r="H195" t="s">
        <v>75</v>
      </c>
      <c r="I195" t="s">
        <v>76</v>
      </c>
      <c r="J195" t="s">
        <v>77</v>
      </c>
      <c r="K195" t="s">
        <v>78</v>
      </c>
      <c r="L195" t="s">
        <v>168</v>
      </c>
      <c r="M195" t="s">
        <v>169</v>
      </c>
      <c r="N195" t="s">
        <v>206</v>
      </c>
      <c r="O195" t="s">
        <v>82</v>
      </c>
      <c r="P195" t="str">
        <f>"4170046514                    "</f>
        <v xml:space="preserve">4170046514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22.6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71.2</v>
      </c>
      <c r="BM195">
        <v>10.68</v>
      </c>
      <c r="BN195">
        <v>81.88</v>
      </c>
      <c r="BO195">
        <v>81.88</v>
      </c>
      <c r="BQ195" t="s">
        <v>207</v>
      </c>
      <c r="BR195" t="s">
        <v>84</v>
      </c>
      <c r="BS195" s="3">
        <v>45841</v>
      </c>
      <c r="BT195" s="4">
        <v>0.41111111111111109</v>
      </c>
      <c r="BU195" t="s">
        <v>208</v>
      </c>
      <c r="BV195" t="s">
        <v>98</v>
      </c>
      <c r="BY195">
        <v>1200</v>
      </c>
      <c r="BZ195" t="s">
        <v>89</v>
      </c>
      <c r="CA195" t="s">
        <v>196</v>
      </c>
      <c r="CC195" t="s">
        <v>169</v>
      </c>
      <c r="CD195">
        <v>6001</v>
      </c>
      <c r="CE195" t="s">
        <v>239</v>
      </c>
      <c r="CF195" s="3">
        <v>45841</v>
      </c>
      <c r="CI195">
        <v>1</v>
      </c>
      <c r="CJ195">
        <v>1</v>
      </c>
      <c r="CK195">
        <v>21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"080066306591"</f>
        <v>080066306591</v>
      </c>
      <c r="F196" s="3">
        <v>45840</v>
      </c>
      <c r="G196">
        <v>202604</v>
      </c>
      <c r="H196" t="s">
        <v>75</v>
      </c>
      <c r="I196" t="s">
        <v>76</v>
      </c>
      <c r="J196" t="s">
        <v>77</v>
      </c>
      <c r="K196" t="s">
        <v>78</v>
      </c>
      <c r="L196" t="s">
        <v>168</v>
      </c>
      <c r="M196" t="s">
        <v>169</v>
      </c>
      <c r="N196" t="s">
        <v>206</v>
      </c>
      <c r="O196" t="s">
        <v>82</v>
      </c>
      <c r="P196" t="str">
        <f>"4170046566                    "</f>
        <v xml:space="preserve">4170046566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22.6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71.2</v>
      </c>
      <c r="BM196">
        <v>10.68</v>
      </c>
      <c r="BN196">
        <v>81.88</v>
      </c>
      <c r="BO196">
        <v>81.88</v>
      </c>
      <c r="BQ196" t="s">
        <v>207</v>
      </c>
      <c r="BR196" t="s">
        <v>84</v>
      </c>
      <c r="BS196" s="3">
        <v>45841</v>
      </c>
      <c r="BT196" s="4">
        <v>0.41111111111111109</v>
      </c>
      <c r="BU196" t="s">
        <v>208</v>
      </c>
      <c r="BV196" t="s">
        <v>98</v>
      </c>
      <c r="BY196">
        <v>1200</v>
      </c>
      <c r="BZ196" t="s">
        <v>89</v>
      </c>
      <c r="CA196" t="s">
        <v>196</v>
      </c>
      <c r="CC196" t="s">
        <v>169</v>
      </c>
      <c r="CD196">
        <v>6001</v>
      </c>
      <c r="CE196" t="s">
        <v>239</v>
      </c>
      <c r="CF196" s="3">
        <v>45841</v>
      </c>
      <c r="CI196">
        <v>1</v>
      </c>
      <c r="CJ196">
        <v>1</v>
      </c>
      <c r="CK196">
        <v>21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"080066306618"</f>
        <v>080066306618</v>
      </c>
      <c r="F197" s="3">
        <v>45840</v>
      </c>
      <c r="G197">
        <v>202604</v>
      </c>
      <c r="H197" t="s">
        <v>75</v>
      </c>
      <c r="I197" t="s">
        <v>76</v>
      </c>
      <c r="J197" t="s">
        <v>77</v>
      </c>
      <c r="K197" t="s">
        <v>78</v>
      </c>
      <c r="L197" t="s">
        <v>168</v>
      </c>
      <c r="M197" t="s">
        <v>169</v>
      </c>
      <c r="N197" t="s">
        <v>206</v>
      </c>
      <c r="O197" t="s">
        <v>82</v>
      </c>
      <c r="P197" t="str">
        <f>"4170046513                    "</f>
        <v xml:space="preserve">4170046513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71.2</v>
      </c>
      <c r="BM197">
        <v>10.68</v>
      </c>
      <c r="BN197">
        <v>81.88</v>
      </c>
      <c r="BO197">
        <v>81.88</v>
      </c>
      <c r="BQ197" t="s">
        <v>207</v>
      </c>
      <c r="BR197" t="s">
        <v>84</v>
      </c>
      <c r="BS197" s="3">
        <v>45841</v>
      </c>
      <c r="BT197" s="4">
        <v>0.41111111111111109</v>
      </c>
      <c r="BU197" t="s">
        <v>208</v>
      </c>
      <c r="BV197" t="s">
        <v>98</v>
      </c>
      <c r="BY197">
        <v>1200</v>
      </c>
      <c r="BZ197" t="s">
        <v>89</v>
      </c>
      <c r="CA197" t="s">
        <v>196</v>
      </c>
      <c r="CC197" t="s">
        <v>169</v>
      </c>
      <c r="CD197">
        <v>6001</v>
      </c>
      <c r="CE197" t="s">
        <v>239</v>
      </c>
      <c r="CF197" s="3">
        <v>45841</v>
      </c>
      <c r="CI197">
        <v>1</v>
      </c>
      <c r="CJ197">
        <v>1</v>
      </c>
      <c r="CK197">
        <v>21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"080066306631"</f>
        <v>080066306631</v>
      </c>
      <c r="F198" s="3">
        <v>45840</v>
      </c>
      <c r="G198">
        <v>202604</v>
      </c>
      <c r="H198" t="s">
        <v>75</v>
      </c>
      <c r="I198" t="s">
        <v>76</v>
      </c>
      <c r="J198" t="s">
        <v>77</v>
      </c>
      <c r="K198" t="s">
        <v>78</v>
      </c>
      <c r="L198" t="s">
        <v>168</v>
      </c>
      <c r="M198" t="s">
        <v>169</v>
      </c>
      <c r="N198" t="s">
        <v>726</v>
      </c>
      <c r="O198" t="s">
        <v>82</v>
      </c>
      <c r="P198" t="str">
        <f>"4170046540                    "</f>
        <v xml:space="preserve">4170046540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22.6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71.2</v>
      </c>
      <c r="BM198">
        <v>10.68</v>
      </c>
      <c r="BN198">
        <v>81.88</v>
      </c>
      <c r="BO198">
        <v>81.88</v>
      </c>
      <c r="BQ198" t="s">
        <v>727</v>
      </c>
      <c r="BR198" t="s">
        <v>84</v>
      </c>
      <c r="BS198" s="3">
        <v>45841</v>
      </c>
      <c r="BT198" s="4">
        <v>0.43402777777777779</v>
      </c>
      <c r="BU198" t="s">
        <v>728</v>
      </c>
      <c r="BV198" t="s">
        <v>98</v>
      </c>
      <c r="BY198">
        <v>1200</v>
      </c>
      <c r="BZ198" t="s">
        <v>89</v>
      </c>
      <c r="CA198" t="s">
        <v>173</v>
      </c>
      <c r="CC198" t="s">
        <v>169</v>
      </c>
      <c r="CD198">
        <v>6001</v>
      </c>
      <c r="CE198" t="s">
        <v>239</v>
      </c>
      <c r="CF198" s="3">
        <v>45842</v>
      </c>
      <c r="CI198">
        <v>1</v>
      </c>
      <c r="CJ198">
        <v>1</v>
      </c>
      <c r="CK198">
        <v>21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"080066306651"</f>
        <v>080066306651</v>
      </c>
      <c r="F199" s="3">
        <v>45840</v>
      </c>
      <c r="G199">
        <v>202604</v>
      </c>
      <c r="H199" t="s">
        <v>75</v>
      </c>
      <c r="I199" t="s">
        <v>76</v>
      </c>
      <c r="J199" t="s">
        <v>77</v>
      </c>
      <c r="K199" t="s">
        <v>78</v>
      </c>
      <c r="L199" t="s">
        <v>329</v>
      </c>
      <c r="M199" t="s">
        <v>330</v>
      </c>
      <c r="N199" t="s">
        <v>331</v>
      </c>
      <c r="O199" t="s">
        <v>82</v>
      </c>
      <c r="P199" t="str">
        <f>"4170046616                    "</f>
        <v xml:space="preserve">4170046616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43.78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137.94</v>
      </c>
      <c r="BM199">
        <v>20.69</v>
      </c>
      <c r="BN199">
        <v>158.63</v>
      </c>
      <c r="BO199">
        <v>158.63</v>
      </c>
      <c r="BQ199" t="s">
        <v>332</v>
      </c>
      <c r="BR199" t="s">
        <v>84</v>
      </c>
      <c r="BS199" s="3">
        <v>45842</v>
      </c>
      <c r="BT199" s="4">
        <v>0.5</v>
      </c>
      <c r="BU199" t="s">
        <v>729</v>
      </c>
      <c r="BV199" t="s">
        <v>86</v>
      </c>
      <c r="BY199">
        <v>1200</v>
      </c>
      <c r="CC199" t="s">
        <v>330</v>
      </c>
      <c r="CD199">
        <v>6300</v>
      </c>
      <c r="CE199" t="s">
        <v>121</v>
      </c>
      <c r="CF199" s="3">
        <v>45846</v>
      </c>
      <c r="CI199">
        <v>2</v>
      </c>
      <c r="CJ199">
        <v>2</v>
      </c>
      <c r="CK199">
        <v>23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"080066306680"</f>
        <v>080066306680</v>
      </c>
      <c r="F200" s="3">
        <v>45840</v>
      </c>
      <c r="G200">
        <v>202604</v>
      </c>
      <c r="H200" t="s">
        <v>75</v>
      </c>
      <c r="I200" t="s">
        <v>76</v>
      </c>
      <c r="J200" t="s">
        <v>77</v>
      </c>
      <c r="K200" t="s">
        <v>78</v>
      </c>
      <c r="L200" t="s">
        <v>79</v>
      </c>
      <c r="M200" t="s">
        <v>80</v>
      </c>
      <c r="N200" t="s">
        <v>730</v>
      </c>
      <c r="O200" t="s">
        <v>82</v>
      </c>
      <c r="P200" t="str">
        <f>"4170046620                    "</f>
        <v xml:space="preserve">4170046620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22.6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71.2</v>
      </c>
      <c r="BM200">
        <v>10.68</v>
      </c>
      <c r="BN200">
        <v>81.88</v>
      </c>
      <c r="BO200">
        <v>81.88</v>
      </c>
      <c r="BQ200" t="s">
        <v>731</v>
      </c>
      <c r="BR200" t="s">
        <v>84</v>
      </c>
      <c r="BS200" s="3">
        <v>45841</v>
      </c>
      <c r="BT200" s="4">
        <v>0.4236111111111111</v>
      </c>
      <c r="BU200" t="s">
        <v>732</v>
      </c>
      <c r="BV200" t="s">
        <v>98</v>
      </c>
      <c r="BY200">
        <v>1200</v>
      </c>
      <c r="BZ200" t="s">
        <v>89</v>
      </c>
      <c r="CA200" t="s">
        <v>733</v>
      </c>
      <c r="CC200" t="s">
        <v>80</v>
      </c>
      <c r="CD200">
        <v>7500</v>
      </c>
      <c r="CE200" t="s">
        <v>239</v>
      </c>
      <c r="CF200" s="3">
        <v>45842</v>
      </c>
      <c r="CI200">
        <v>1</v>
      </c>
      <c r="CJ200">
        <v>1</v>
      </c>
      <c r="CK200">
        <v>21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"080066306727"</f>
        <v>080066306727</v>
      </c>
      <c r="F201" s="3">
        <v>45840</v>
      </c>
      <c r="G201">
        <v>202604</v>
      </c>
      <c r="H201" t="s">
        <v>75</v>
      </c>
      <c r="I201" t="s">
        <v>76</v>
      </c>
      <c r="J201" t="s">
        <v>77</v>
      </c>
      <c r="K201" t="s">
        <v>78</v>
      </c>
      <c r="L201" t="s">
        <v>168</v>
      </c>
      <c r="M201" t="s">
        <v>169</v>
      </c>
      <c r="N201" t="s">
        <v>206</v>
      </c>
      <c r="O201" t="s">
        <v>82</v>
      </c>
      <c r="P201" t="str">
        <f>"4170046568                    "</f>
        <v xml:space="preserve">4170046568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22.6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71.2</v>
      </c>
      <c r="BM201">
        <v>10.68</v>
      </c>
      <c r="BN201">
        <v>81.88</v>
      </c>
      <c r="BO201">
        <v>81.88</v>
      </c>
      <c r="BQ201" t="s">
        <v>207</v>
      </c>
      <c r="BR201" t="s">
        <v>84</v>
      </c>
      <c r="BS201" s="3">
        <v>45841</v>
      </c>
      <c r="BT201" s="4">
        <v>0.41111111111111109</v>
      </c>
      <c r="BU201" t="s">
        <v>208</v>
      </c>
      <c r="BV201" t="s">
        <v>98</v>
      </c>
      <c r="BY201">
        <v>1200</v>
      </c>
      <c r="BZ201" t="s">
        <v>89</v>
      </c>
      <c r="CA201" t="s">
        <v>196</v>
      </c>
      <c r="CC201" t="s">
        <v>169</v>
      </c>
      <c r="CD201">
        <v>6001</v>
      </c>
      <c r="CE201" t="s">
        <v>239</v>
      </c>
      <c r="CF201" s="3">
        <v>45842</v>
      </c>
      <c r="CI201">
        <v>1</v>
      </c>
      <c r="CJ201">
        <v>1</v>
      </c>
      <c r="CK201">
        <v>21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"080066306764"</f>
        <v>080066306764</v>
      </c>
      <c r="F202" s="3">
        <v>45840</v>
      </c>
      <c r="G202">
        <v>202604</v>
      </c>
      <c r="H202" t="s">
        <v>75</v>
      </c>
      <c r="I202" t="s">
        <v>76</v>
      </c>
      <c r="J202" t="s">
        <v>77</v>
      </c>
      <c r="K202" t="s">
        <v>78</v>
      </c>
      <c r="L202" t="s">
        <v>79</v>
      </c>
      <c r="M202" t="s">
        <v>80</v>
      </c>
      <c r="N202" t="s">
        <v>734</v>
      </c>
      <c r="O202" t="s">
        <v>82</v>
      </c>
      <c r="P202" t="str">
        <f>"4170046582                    "</f>
        <v xml:space="preserve">4170046582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22.6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71.2</v>
      </c>
      <c r="BM202">
        <v>10.68</v>
      </c>
      <c r="BN202">
        <v>81.88</v>
      </c>
      <c r="BO202">
        <v>81.88</v>
      </c>
      <c r="BQ202" t="s">
        <v>735</v>
      </c>
      <c r="BR202" t="s">
        <v>84</v>
      </c>
      <c r="BS202" s="3">
        <v>45841</v>
      </c>
      <c r="BT202" s="4">
        <v>0.41875000000000001</v>
      </c>
      <c r="BU202" t="s">
        <v>736</v>
      </c>
      <c r="BV202" t="s">
        <v>98</v>
      </c>
      <c r="BY202">
        <v>1200</v>
      </c>
      <c r="BZ202" t="s">
        <v>89</v>
      </c>
      <c r="CA202" t="s">
        <v>162</v>
      </c>
      <c r="CC202" t="s">
        <v>80</v>
      </c>
      <c r="CD202">
        <v>7441</v>
      </c>
      <c r="CE202" t="s">
        <v>239</v>
      </c>
      <c r="CF202" s="3">
        <v>45842</v>
      </c>
      <c r="CI202">
        <v>1</v>
      </c>
      <c r="CJ202">
        <v>1</v>
      </c>
      <c r="CK202">
        <v>21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"080066306780"</f>
        <v>080066306780</v>
      </c>
      <c r="F203" s="3">
        <v>45840</v>
      </c>
      <c r="G203">
        <v>202604</v>
      </c>
      <c r="H203" t="s">
        <v>75</v>
      </c>
      <c r="I203" t="s">
        <v>76</v>
      </c>
      <c r="J203" t="s">
        <v>77</v>
      </c>
      <c r="K203" t="s">
        <v>78</v>
      </c>
      <c r="L203" t="s">
        <v>92</v>
      </c>
      <c r="M203" t="s">
        <v>93</v>
      </c>
      <c r="N203" t="s">
        <v>737</v>
      </c>
      <c r="O203" t="s">
        <v>82</v>
      </c>
      <c r="P203" t="str">
        <f>"4170046621                    "</f>
        <v xml:space="preserve">4170046621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71.2</v>
      </c>
      <c r="BM203">
        <v>10.68</v>
      </c>
      <c r="BN203">
        <v>81.88</v>
      </c>
      <c r="BO203">
        <v>81.88</v>
      </c>
      <c r="BQ203" t="s">
        <v>738</v>
      </c>
      <c r="BR203" t="s">
        <v>84</v>
      </c>
      <c r="BS203" s="3">
        <v>45841</v>
      </c>
      <c r="BT203" s="4">
        <v>0.62430555555555556</v>
      </c>
      <c r="BU203" t="s">
        <v>186</v>
      </c>
      <c r="BV203" t="s">
        <v>86</v>
      </c>
      <c r="BW203" t="s">
        <v>194</v>
      </c>
      <c r="BX203" t="s">
        <v>739</v>
      </c>
      <c r="BY203">
        <v>1200</v>
      </c>
      <c r="BZ203" t="s">
        <v>89</v>
      </c>
      <c r="CA203" t="s">
        <v>740</v>
      </c>
      <c r="CC203" t="s">
        <v>93</v>
      </c>
      <c r="CD203">
        <v>4001</v>
      </c>
      <c r="CE203" t="s">
        <v>239</v>
      </c>
      <c r="CF203" s="3">
        <v>45842</v>
      </c>
      <c r="CI203">
        <v>1</v>
      </c>
      <c r="CJ203">
        <v>1</v>
      </c>
      <c r="CK203">
        <v>21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"080066306808"</f>
        <v>080066306808</v>
      </c>
      <c r="F204" s="3">
        <v>45840</v>
      </c>
      <c r="G204">
        <v>202604</v>
      </c>
      <c r="H204" t="s">
        <v>75</v>
      </c>
      <c r="I204" t="s">
        <v>76</v>
      </c>
      <c r="J204" t="s">
        <v>77</v>
      </c>
      <c r="K204" t="s">
        <v>78</v>
      </c>
      <c r="L204" t="s">
        <v>151</v>
      </c>
      <c r="M204" t="s">
        <v>152</v>
      </c>
      <c r="N204" t="s">
        <v>510</v>
      </c>
      <c r="O204" t="s">
        <v>82</v>
      </c>
      <c r="P204" t="str">
        <f>"4170046578                    "</f>
        <v xml:space="preserve">4170046578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22.6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71.2</v>
      </c>
      <c r="BM204">
        <v>10.68</v>
      </c>
      <c r="BN204">
        <v>81.88</v>
      </c>
      <c r="BO204">
        <v>81.88</v>
      </c>
      <c r="BQ204" t="s">
        <v>511</v>
      </c>
      <c r="BR204" t="s">
        <v>84</v>
      </c>
      <c r="BS204" s="3">
        <v>45841</v>
      </c>
      <c r="BT204" s="4">
        <v>0.37361111111111112</v>
      </c>
      <c r="BU204" t="s">
        <v>512</v>
      </c>
      <c r="BV204" t="s">
        <v>98</v>
      </c>
      <c r="BY204">
        <v>1200</v>
      </c>
      <c r="BZ204" t="s">
        <v>89</v>
      </c>
      <c r="CA204" t="s">
        <v>513</v>
      </c>
      <c r="CC204" t="s">
        <v>152</v>
      </c>
      <c r="CD204" s="5" t="s">
        <v>514</v>
      </c>
      <c r="CE204" t="s">
        <v>239</v>
      </c>
      <c r="CF204" s="3">
        <v>45841</v>
      </c>
      <c r="CI204">
        <v>1</v>
      </c>
      <c r="CJ204">
        <v>1</v>
      </c>
      <c r="CK204">
        <v>21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"080066306829"</f>
        <v>080066306829</v>
      </c>
      <c r="F205" s="3">
        <v>45840</v>
      </c>
      <c r="G205">
        <v>202604</v>
      </c>
      <c r="H205" t="s">
        <v>75</v>
      </c>
      <c r="I205" t="s">
        <v>76</v>
      </c>
      <c r="J205" t="s">
        <v>77</v>
      </c>
      <c r="K205" t="s">
        <v>78</v>
      </c>
      <c r="L205" t="s">
        <v>277</v>
      </c>
      <c r="M205" t="s">
        <v>278</v>
      </c>
      <c r="N205" t="s">
        <v>279</v>
      </c>
      <c r="O205" t="s">
        <v>82</v>
      </c>
      <c r="P205" t="str">
        <f>"4170046605                    "</f>
        <v xml:space="preserve">4170046605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22.6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71.2</v>
      </c>
      <c r="BM205">
        <v>10.68</v>
      </c>
      <c r="BN205">
        <v>81.88</v>
      </c>
      <c r="BO205">
        <v>81.88</v>
      </c>
      <c r="BQ205" t="s">
        <v>280</v>
      </c>
      <c r="BR205" t="s">
        <v>84</v>
      </c>
      <c r="BS205" s="3">
        <v>45841</v>
      </c>
      <c r="BT205" s="4">
        <v>0.40069444444444446</v>
      </c>
      <c r="BU205" t="s">
        <v>741</v>
      </c>
      <c r="BV205" t="s">
        <v>98</v>
      </c>
      <c r="BY205">
        <v>1200</v>
      </c>
      <c r="BZ205" t="s">
        <v>89</v>
      </c>
      <c r="CA205" t="s">
        <v>282</v>
      </c>
      <c r="CC205" t="s">
        <v>278</v>
      </c>
      <c r="CD205">
        <v>6230</v>
      </c>
      <c r="CE205" t="s">
        <v>239</v>
      </c>
      <c r="CF205" s="3">
        <v>45841</v>
      </c>
      <c r="CI205">
        <v>1</v>
      </c>
      <c r="CJ205">
        <v>1</v>
      </c>
      <c r="CK205">
        <v>21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"080066306843"</f>
        <v>080066306843</v>
      </c>
      <c r="F206" s="3">
        <v>45840</v>
      </c>
      <c r="G206">
        <v>202604</v>
      </c>
      <c r="H206" t="s">
        <v>75</v>
      </c>
      <c r="I206" t="s">
        <v>76</v>
      </c>
      <c r="J206" t="s">
        <v>77</v>
      </c>
      <c r="K206" t="s">
        <v>78</v>
      </c>
      <c r="L206" t="s">
        <v>168</v>
      </c>
      <c r="M206" t="s">
        <v>169</v>
      </c>
      <c r="N206" t="s">
        <v>202</v>
      </c>
      <c r="O206" t="s">
        <v>82</v>
      </c>
      <c r="P206" t="str">
        <f>"4170046520                    "</f>
        <v xml:space="preserve">4170046520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22.6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1.1000000000000001</v>
      </c>
      <c r="BK206">
        <v>1.5</v>
      </c>
      <c r="BL206">
        <v>71.2</v>
      </c>
      <c r="BM206">
        <v>10.68</v>
      </c>
      <c r="BN206">
        <v>81.88</v>
      </c>
      <c r="BO206">
        <v>81.88</v>
      </c>
      <c r="BQ206" t="s">
        <v>203</v>
      </c>
      <c r="BR206" t="s">
        <v>84</v>
      </c>
      <c r="BS206" s="3">
        <v>45841</v>
      </c>
      <c r="BT206" s="4">
        <v>0.40555555555555556</v>
      </c>
      <c r="BU206" t="s">
        <v>742</v>
      </c>
      <c r="BV206" t="s">
        <v>98</v>
      </c>
      <c r="BY206">
        <v>5320</v>
      </c>
      <c r="BZ206" t="s">
        <v>89</v>
      </c>
      <c r="CA206" t="s">
        <v>205</v>
      </c>
      <c r="CC206" t="s">
        <v>169</v>
      </c>
      <c r="CD206">
        <v>6001</v>
      </c>
      <c r="CE206" t="s">
        <v>117</v>
      </c>
      <c r="CF206" s="3">
        <v>45841</v>
      </c>
      <c r="CI206">
        <v>1</v>
      </c>
      <c r="CJ206">
        <v>1</v>
      </c>
      <c r="CK206">
        <v>21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"080066306864"</f>
        <v>080066306864</v>
      </c>
      <c r="F207" s="3">
        <v>45840</v>
      </c>
      <c r="G207">
        <v>202604</v>
      </c>
      <c r="H207" t="s">
        <v>75</v>
      </c>
      <c r="I207" t="s">
        <v>76</v>
      </c>
      <c r="J207" t="s">
        <v>77</v>
      </c>
      <c r="K207" t="s">
        <v>78</v>
      </c>
      <c r="L207" t="s">
        <v>295</v>
      </c>
      <c r="M207" t="s">
        <v>296</v>
      </c>
      <c r="N207" t="s">
        <v>539</v>
      </c>
      <c r="O207" t="s">
        <v>82</v>
      </c>
      <c r="P207" t="str">
        <f>"4170046617                    "</f>
        <v xml:space="preserve">4170046617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17.649999999999999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3</v>
      </c>
      <c r="BJ207">
        <v>2</v>
      </c>
      <c r="BK207">
        <v>3</v>
      </c>
      <c r="BL207">
        <v>55.61</v>
      </c>
      <c r="BM207">
        <v>8.34</v>
      </c>
      <c r="BN207">
        <v>63.95</v>
      </c>
      <c r="BO207">
        <v>63.95</v>
      </c>
      <c r="BQ207" t="s">
        <v>540</v>
      </c>
      <c r="BR207" t="s">
        <v>84</v>
      </c>
      <c r="BS207" s="3">
        <v>45841</v>
      </c>
      <c r="BT207" s="4">
        <v>0.37569444444444444</v>
      </c>
      <c r="BU207" t="s">
        <v>743</v>
      </c>
      <c r="BV207" t="s">
        <v>98</v>
      </c>
      <c r="BY207">
        <v>9918</v>
      </c>
      <c r="BZ207" t="s">
        <v>89</v>
      </c>
      <c r="CA207" t="s">
        <v>744</v>
      </c>
      <c r="CC207" t="s">
        <v>296</v>
      </c>
      <c r="CD207">
        <v>1460</v>
      </c>
      <c r="CE207" t="s">
        <v>117</v>
      </c>
      <c r="CF207" s="3">
        <v>45842</v>
      </c>
      <c r="CI207">
        <v>1</v>
      </c>
      <c r="CJ207">
        <v>1</v>
      </c>
      <c r="CK207">
        <v>22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"080066306877"</f>
        <v>080066306877</v>
      </c>
      <c r="F208" s="3">
        <v>45840</v>
      </c>
      <c r="G208">
        <v>202604</v>
      </c>
      <c r="H208" t="s">
        <v>75</v>
      </c>
      <c r="I208" t="s">
        <v>76</v>
      </c>
      <c r="J208" t="s">
        <v>77</v>
      </c>
      <c r="K208" t="s">
        <v>78</v>
      </c>
      <c r="L208" t="s">
        <v>542</v>
      </c>
      <c r="M208" t="s">
        <v>543</v>
      </c>
      <c r="N208" t="s">
        <v>745</v>
      </c>
      <c r="O208" t="s">
        <v>82</v>
      </c>
      <c r="P208" t="str">
        <f>"4170046537                    "</f>
        <v xml:space="preserve">4170046537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17.649999999999999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4</v>
      </c>
      <c r="BJ208">
        <v>4.0999999999999996</v>
      </c>
      <c r="BK208">
        <v>5</v>
      </c>
      <c r="BL208">
        <v>55.61</v>
      </c>
      <c r="BM208">
        <v>8.34</v>
      </c>
      <c r="BN208">
        <v>63.95</v>
      </c>
      <c r="BO208">
        <v>63.95</v>
      </c>
      <c r="BQ208" t="s">
        <v>746</v>
      </c>
      <c r="BR208" t="s">
        <v>84</v>
      </c>
      <c r="BS208" s="3">
        <v>45841</v>
      </c>
      <c r="BT208" s="4">
        <v>0.37013888888888891</v>
      </c>
      <c r="BU208" t="s">
        <v>747</v>
      </c>
      <c r="BV208" t="s">
        <v>98</v>
      </c>
      <c r="BY208">
        <v>20358</v>
      </c>
      <c r="BZ208" t="s">
        <v>89</v>
      </c>
      <c r="CA208" t="s">
        <v>748</v>
      </c>
      <c r="CC208" t="s">
        <v>543</v>
      </c>
      <c r="CD208">
        <v>1451</v>
      </c>
      <c r="CE208" t="s">
        <v>117</v>
      </c>
      <c r="CF208" s="3">
        <v>45841</v>
      </c>
      <c r="CI208">
        <v>1</v>
      </c>
      <c r="CJ208">
        <v>1</v>
      </c>
      <c r="CK208">
        <v>22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"080066306916"</f>
        <v>080066306916</v>
      </c>
      <c r="F209" s="3">
        <v>45840</v>
      </c>
      <c r="G209">
        <v>202604</v>
      </c>
      <c r="H209" t="s">
        <v>75</v>
      </c>
      <c r="I209" t="s">
        <v>76</v>
      </c>
      <c r="J209" t="s">
        <v>77</v>
      </c>
      <c r="K209" t="s">
        <v>78</v>
      </c>
      <c r="L209" t="s">
        <v>168</v>
      </c>
      <c r="M209" t="s">
        <v>169</v>
      </c>
      <c r="N209" t="s">
        <v>206</v>
      </c>
      <c r="O209" t="s">
        <v>82</v>
      </c>
      <c r="P209" t="str">
        <f>"4170046571                    "</f>
        <v xml:space="preserve">4170046571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22.6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2</v>
      </c>
      <c r="BK209">
        <v>2</v>
      </c>
      <c r="BL209">
        <v>71.2</v>
      </c>
      <c r="BM209">
        <v>10.68</v>
      </c>
      <c r="BN209">
        <v>81.88</v>
      </c>
      <c r="BO209">
        <v>81.88</v>
      </c>
      <c r="BQ209" t="s">
        <v>207</v>
      </c>
      <c r="BR209" t="s">
        <v>84</v>
      </c>
      <c r="BS209" s="3">
        <v>45841</v>
      </c>
      <c r="BT209" s="4">
        <v>0.41111111111111109</v>
      </c>
      <c r="BU209" t="s">
        <v>208</v>
      </c>
      <c r="BV209" t="s">
        <v>98</v>
      </c>
      <c r="BY209">
        <v>9918</v>
      </c>
      <c r="BZ209" t="s">
        <v>89</v>
      </c>
      <c r="CA209" t="s">
        <v>196</v>
      </c>
      <c r="CC209" t="s">
        <v>169</v>
      </c>
      <c r="CD209">
        <v>6001</v>
      </c>
      <c r="CE209" t="s">
        <v>117</v>
      </c>
      <c r="CF209" s="3">
        <v>45841</v>
      </c>
      <c r="CI209">
        <v>1</v>
      </c>
      <c r="CJ209">
        <v>1</v>
      </c>
      <c r="CK209">
        <v>21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"080066306946"</f>
        <v>080066306946</v>
      </c>
      <c r="F210" s="3">
        <v>45840</v>
      </c>
      <c r="G210">
        <v>202604</v>
      </c>
      <c r="H210" t="s">
        <v>75</v>
      </c>
      <c r="I210" t="s">
        <v>76</v>
      </c>
      <c r="J210" t="s">
        <v>77</v>
      </c>
      <c r="K210" t="s">
        <v>78</v>
      </c>
      <c r="L210" t="s">
        <v>168</v>
      </c>
      <c r="M210" t="s">
        <v>169</v>
      </c>
      <c r="N210" t="s">
        <v>206</v>
      </c>
      <c r="O210" t="s">
        <v>82</v>
      </c>
      <c r="P210" t="str">
        <f>"4170046533                    "</f>
        <v xml:space="preserve">4170046533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22.6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1.1000000000000001</v>
      </c>
      <c r="BK210">
        <v>1.5</v>
      </c>
      <c r="BL210">
        <v>71.2</v>
      </c>
      <c r="BM210">
        <v>10.68</v>
      </c>
      <c r="BN210">
        <v>81.88</v>
      </c>
      <c r="BO210">
        <v>81.88</v>
      </c>
      <c r="BQ210" t="s">
        <v>207</v>
      </c>
      <c r="BR210" t="s">
        <v>84</v>
      </c>
      <c r="BS210" s="3">
        <v>45841</v>
      </c>
      <c r="BT210" s="4">
        <v>0.41111111111111109</v>
      </c>
      <c r="BU210" t="s">
        <v>208</v>
      </c>
      <c r="BV210" t="s">
        <v>98</v>
      </c>
      <c r="BY210">
        <v>5320</v>
      </c>
      <c r="BZ210" t="s">
        <v>89</v>
      </c>
      <c r="CA210" t="s">
        <v>196</v>
      </c>
      <c r="CC210" t="s">
        <v>169</v>
      </c>
      <c r="CD210">
        <v>6001</v>
      </c>
      <c r="CE210" t="s">
        <v>117</v>
      </c>
      <c r="CF210" s="3">
        <v>45841</v>
      </c>
      <c r="CI210">
        <v>1</v>
      </c>
      <c r="CJ210">
        <v>1</v>
      </c>
      <c r="CK210">
        <v>21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"080066306989"</f>
        <v>080066306989</v>
      </c>
      <c r="F211" s="3">
        <v>45840</v>
      </c>
      <c r="G211">
        <v>202604</v>
      </c>
      <c r="H211" t="s">
        <v>75</v>
      </c>
      <c r="I211" t="s">
        <v>76</v>
      </c>
      <c r="J211" t="s">
        <v>77</v>
      </c>
      <c r="K211" t="s">
        <v>78</v>
      </c>
      <c r="L211" t="s">
        <v>92</v>
      </c>
      <c r="M211" t="s">
        <v>93</v>
      </c>
      <c r="N211" t="s">
        <v>749</v>
      </c>
      <c r="O211" t="s">
        <v>82</v>
      </c>
      <c r="P211" t="str">
        <f>"4170046597                    "</f>
        <v xml:space="preserve">4170046597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73.400000000000006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4</v>
      </c>
      <c r="BJ211">
        <v>6.5</v>
      </c>
      <c r="BK211">
        <v>6.5</v>
      </c>
      <c r="BL211">
        <v>231.26</v>
      </c>
      <c r="BM211">
        <v>34.69</v>
      </c>
      <c r="BN211">
        <v>265.95</v>
      </c>
      <c r="BO211">
        <v>265.95</v>
      </c>
      <c r="BQ211" t="s">
        <v>750</v>
      </c>
      <c r="BR211" t="s">
        <v>84</v>
      </c>
      <c r="BS211" s="3">
        <v>45841</v>
      </c>
      <c r="BT211" s="4">
        <v>0.39444444444444443</v>
      </c>
      <c r="BU211" t="s">
        <v>751</v>
      </c>
      <c r="BV211" t="s">
        <v>98</v>
      </c>
      <c r="BY211">
        <v>32368</v>
      </c>
      <c r="BZ211" t="s">
        <v>89</v>
      </c>
      <c r="CA211" t="s">
        <v>491</v>
      </c>
      <c r="CC211" t="s">
        <v>93</v>
      </c>
      <c r="CD211">
        <v>4001</v>
      </c>
      <c r="CE211" t="s">
        <v>91</v>
      </c>
      <c r="CF211" s="3">
        <v>45842</v>
      </c>
      <c r="CI211">
        <v>1</v>
      </c>
      <c r="CJ211">
        <v>1</v>
      </c>
      <c r="CK211">
        <v>21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"080066307366"</f>
        <v>080066307366</v>
      </c>
      <c r="F212" s="3">
        <v>45840</v>
      </c>
      <c r="G212">
        <v>202604</v>
      </c>
      <c r="H212" t="s">
        <v>75</v>
      </c>
      <c r="I212" t="s">
        <v>76</v>
      </c>
      <c r="J212" t="s">
        <v>77</v>
      </c>
      <c r="K212" t="s">
        <v>78</v>
      </c>
      <c r="L212" t="s">
        <v>350</v>
      </c>
      <c r="M212" t="s">
        <v>351</v>
      </c>
      <c r="N212" t="s">
        <v>752</v>
      </c>
      <c r="O212" t="s">
        <v>82</v>
      </c>
      <c r="P212" t="str">
        <f>"4170046535                    "</f>
        <v xml:space="preserve">4170046535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22.6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71.2</v>
      </c>
      <c r="BM212">
        <v>10.68</v>
      </c>
      <c r="BN212">
        <v>81.88</v>
      </c>
      <c r="BO212">
        <v>81.88</v>
      </c>
      <c r="BQ212" t="s">
        <v>753</v>
      </c>
      <c r="BR212" t="s">
        <v>84</v>
      </c>
      <c r="BS212" s="3">
        <v>45842</v>
      </c>
      <c r="BT212" s="4">
        <v>0.55625000000000002</v>
      </c>
      <c r="BU212" t="s">
        <v>754</v>
      </c>
      <c r="BV212" t="s">
        <v>86</v>
      </c>
      <c r="BW212" t="s">
        <v>194</v>
      </c>
      <c r="BX212" t="s">
        <v>739</v>
      </c>
      <c r="BY212">
        <v>1200</v>
      </c>
      <c r="BZ212" t="s">
        <v>89</v>
      </c>
      <c r="CA212" t="s">
        <v>337</v>
      </c>
      <c r="CC212" t="s">
        <v>351</v>
      </c>
      <c r="CD212">
        <v>4113</v>
      </c>
      <c r="CE212" t="s">
        <v>239</v>
      </c>
      <c r="CF212" s="3">
        <v>45842</v>
      </c>
      <c r="CI212">
        <v>1</v>
      </c>
      <c r="CJ212">
        <v>2</v>
      </c>
      <c r="CK212">
        <v>21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"080066307394"</f>
        <v>080066307394</v>
      </c>
      <c r="F213" s="3">
        <v>45840</v>
      </c>
      <c r="G213">
        <v>202604</v>
      </c>
      <c r="H213" t="s">
        <v>75</v>
      </c>
      <c r="I213" t="s">
        <v>76</v>
      </c>
      <c r="J213" t="s">
        <v>77</v>
      </c>
      <c r="K213" t="s">
        <v>78</v>
      </c>
      <c r="L213" t="s">
        <v>151</v>
      </c>
      <c r="M213" t="s">
        <v>152</v>
      </c>
      <c r="N213" t="s">
        <v>713</v>
      </c>
      <c r="O213" t="s">
        <v>82</v>
      </c>
      <c r="P213" t="str">
        <f>"4170046558                    "</f>
        <v xml:space="preserve">4170046558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22.6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71.2</v>
      </c>
      <c r="BM213">
        <v>10.68</v>
      </c>
      <c r="BN213">
        <v>81.88</v>
      </c>
      <c r="BO213">
        <v>81.88</v>
      </c>
      <c r="BQ213" t="s">
        <v>714</v>
      </c>
      <c r="BR213" t="s">
        <v>84</v>
      </c>
      <c r="BS213" s="3">
        <v>45841</v>
      </c>
      <c r="BT213" s="4">
        <v>0.40486111111111112</v>
      </c>
      <c r="BU213" t="s">
        <v>715</v>
      </c>
      <c r="BV213" t="s">
        <v>98</v>
      </c>
      <c r="BY213">
        <v>1200</v>
      </c>
      <c r="BZ213" t="s">
        <v>89</v>
      </c>
      <c r="CA213" t="s">
        <v>716</v>
      </c>
      <c r="CC213" t="s">
        <v>152</v>
      </c>
      <c r="CD213" s="5" t="s">
        <v>717</v>
      </c>
      <c r="CE213" t="s">
        <v>239</v>
      </c>
      <c r="CF213" s="3">
        <v>45841</v>
      </c>
      <c r="CI213">
        <v>1</v>
      </c>
      <c r="CJ213">
        <v>1</v>
      </c>
      <c r="CK213">
        <v>21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"080066307417"</f>
        <v>080066307417</v>
      </c>
      <c r="F214" s="3">
        <v>45840</v>
      </c>
      <c r="G214">
        <v>202604</v>
      </c>
      <c r="H214" t="s">
        <v>75</v>
      </c>
      <c r="I214" t="s">
        <v>76</v>
      </c>
      <c r="J214" t="s">
        <v>77</v>
      </c>
      <c r="K214" t="s">
        <v>78</v>
      </c>
      <c r="L214" t="s">
        <v>168</v>
      </c>
      <c r="M214" t="s">
        <v>169</v>
      </c>
      <c r="N214" t="s">
        <v>202</v>
      </c>
      <c r="O214" t="s">
        <v>82</v>
      </c>
      <c r="P214" t="str">
        <f>"4170046551                    "</f>
        <v xml:space="preserve">4170046551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22.6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71.2</v>
      </c>
      <c r="BM214">
        <v>10.68</v>
      </c>
      <c r="BN214">
        <v>81.88</v>
      </c>
      <c r="BO214">
        <v>81.88</v>
      </c>
      <c r="BQ214" t="s">
        <v>203</v>
      </c>
      <c r="BR214" t="s">
        <v>84</v>
      </c>
      <c r="BS214" s="3">
        <v>45841</v>
      </c>
      <c r="BT214" s="4">
        <v>0.40902777777777777</v>
      </c>
      <c r="BU214" t="s">
        <v>742</v>
      </c>
      <c r="BV214" t="s">
        <v>98</v>
      </c>
      <c r="BY214">
        <v>1200</v>
      </c>
      <c r="BZ214" t="s">
        <v>89</v>
      </c>
      <c r="CA214" t="s">
        <v>205</v>
      </c>
      <c r="CC214" t="s">
        <v>169</v>
      </c>
      <c r="CD214">
        <v>6001</v>
      </c>
      <c r="CE214" t="s">
        <v>239</v>
      </c>
      <c r="CF214" s="3">
        <v>45841</v>
      </c>
      <c r="CI214">
        <v>1</v>
      </c>
      <c r="CJ214">
        <v>1</v>
      </c>
      <c r="CK214">
        <v>21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"080066307444"</f>
        <v>080066307444</v>
      </c>
      <c r="F215" s="3">
        <v>45840</v>
      </c>
      <c r="G215">
        <v>202604</v>
      </c>
      <c r="H215" t="s">
        <v>75</v>
      </c>
      <c r="I215" t="s">
        <v>76</v>
      </c>
      <c r="J215" t="s">
        <v>77</v>
      </c>
      <c r="K215" t="s">
        <v>78</v>
      </c>
      <c r="L215" t="s">
        <v>79</v>
      </c>
      <c r="M215" t="s">
        <v>80</v>
      </c>
      <c r="N215" t="s">
        <v>755</v>
      </c>
      <c r="O215" t="s">
        <v>82</v>
      </c>
      <c r="P215" t="str">
        <f>"4170046615                    "</f>
        <v xml:space="preserve">4170046615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22.6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1.8</v>
      </c>
      <c r="BK215">
        <v>2</v>
      </c>
      <c r="BL215">
        <v>71.2</v>
      </c>
      <c r="BM215">
        <v>10.68</v>
      </c>
      <c r="BN215">
        <v>81.88</v>
      </c>
      <c r="BO215">
        <v>81.88</v>
      </c>
      <c r="BQ215" t="s">
        <v>756</v>
      </c>
      <c r="BR215" t="s">
        <v>84</v>
      </c>
      <c r="BS215" s="3">
        <v>45841</v>
      </c>
      <c r="BT215" s="4">
        <v>0.3923611111111111</v>
      </c>
      <c r="BU215" t="s">
        <v>757</v>
      </c>
      <c r="BV215" t="s">
        <v>98</v>
      </c>
      <c r="BY215">
        <v>8775</v>
      </c>
      <c r="BZ215" t="s">
        <v>89</v>
      </c>
      <c r="CA215" t="s">
        <v>665</v>
      </c>
      <c r="CC215" t="s">
        <v>80</v>
      </c>
      <c r="CD215">
        <v>7945</v>
      </c>
      <c r="CE215" t="s">
        <v>117</v>
      </c>
      <c r="CF215" s="3">
        <v>45842</v>
      </c>
      <c r="CI215">
        <v>1</v>
      </c>
      <c r="CJ215">
        <v>1</v>
      </c>
      <c r="CK215">
        <v>21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"080066307469"</f>
        <v>080066307469</v>
      </c>
      <c r="F216" s="3">
        <v>45840</v>
      </c>
      <c r="G216">
        <v>202604</v>
      </c>
      <c r="H216" t="s">
        <v>75</v>
      </c>
      <c r="I216" t="s">
        <v>76</v>
      </c>
      <c r="J216" t="s">
        <v>77</v>
      </c>
      <c r="K216" t="s">
        <v>78</v>
      </c>
      <c r="L216" t="s">
        <v>758</v>
      </c>
      <c r="M216" t="s">
        <v>759</v>
      </c>
      <c r="N216" t="s">
        <v>760</v>
      </c>
      <c r="O216" t="s">
        <v>82</v>
      </c>
      <c r="P216" t="str">
        <f>"4170046618                    "</f>
        <v xml:space="preserve">4170046618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122.87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6</v>
      </c>
      <c r="BJ216">
        <v>2.2999999999999998</v>
      </c>
      <c r="BK216">
        <v>6</v>
      </c>
      <c r="BL216">
        <v>387.11</v>
      </c>
      <c r="BM216">
        <v>58.07</v>
      </c>
      <c r="BN216">
        <v>445.18</v>
      </c>
      <c r="BO216">
        <v>445.18</v>
      </c>
      <c r="BQ216" t="s">
        <v>761</v>
      </c>
      <c r="BR216" t="s">
        <v>84</v>
      </c>
      <c r="BS216" s="3">
        <v>45841</v>
      </c>
      <c r="BT216" s="4">
        <v>0.39444444444444443</v>
      </c>
      <c r="BU216" t="s">
        <v>762</v>
      </c>
      <c r="BV216" t="s">
        <v>98</v>
      </c>
      <c r="BY216">
        <v>11564</v>
      </c>
      <c r="BZ216" t="s">
        <v>89</v>
      </c>
      <c r="CA216" t="s">
        <v>763</v>
      </c>
      <c r="CC216" t="s">
        <v>759</v>
      </c>
      <c r="CD216">
        <v>2531</v>
      </c>
      <c r="CE216" t="s">
        <v>91</v>
      </c>
      <c r="CF216" s="3">
        <v>45842</v>
      </c>
      <c r="CI216">
        <v>1</v>
      </c>
      <c r="CJ216">
        <v>1</v>
      </c>
      <c r="CK216">
        <v>23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"080066307502"</f>
        <v>080066307502</v>
      </c>
      <c r="F217" s="3">
        <v>45840</v>
      </c>
      <c r="G217">
        <v>202604</v>
      </c>
      <c r="H217" t="s">
        <v>75</v>
      </c>
      <c r="I217" t="s">
        <v>76</v>
      </c>
      <c r="J217" t="s">
        <v>77</v>
      </c>
      <c r="K217" t="s">
        <v>78</v>
      </c>
      <c r="L217" t="s">
        <v>168</v>
      </c>
      <c r="M217" t="s">
        <v>169</v>
      </c>
      <c r="N217" t="s">
        <v>202</v>
      </c>
      <c r="O217" t="s">
        <v>82</v>
      </c>
      <c r="P217" t="str">
        <f>"4170046628                    "</f>
        <v xml:space="preserve">4170046628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45.18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4</v>
      </c>
      <c r="BJ217">
        <v>1.7</v>
      </c>
      <c r="BK217">
        <v>4</v>
      </c>
      <c r="BL217">
        <v>142.34</v>
      </c>
      <c r="BM217">
        <v>21.35</v>
      </c>
      <c r="BN217">
        <v>163.69</v>
      </c>
      <c r="BO217">
        <v>163.69</v>
      </c>
      <c r="BQ217" t="s">
        <v>203</v>
      </c>
      <c r="BR217" t="s">
        <v>84</v>
      </c>
      <c r="BS217" s="3">
        <v>45841</v>
      </c>
      <c r="BT217" s="4">
        <v>0.40763888888888888</v>
      </c>
      <c r="BU217" t="s">
        <v>742</v>
      </c>
      <c r="BV217" t="s">
        <v>98</v>
      </c>
      <c r="BY217">
        <v>8550</v>
      </c>
      <c r="BZ217" t="s">
        <v>89</v>
      </c>
      <c r="CA217" t="s">
        <v>205</v>
      </c>
      <c r="CC217" t="s">
        <v>169</v>
      </c>
      <c r="CD217">
        <v>6001</v>
      </c>
      <c r="CE217" t="s">
        <v>91</v>
      </c>
      <c r="CF217" s="3">
        <v>45841</v>
      </c>
      <c r="CI217">
        <v>1</v>
      </c>
      <c r="CJ217">
        <v>1</v>
      </c>
      <c r="CK217">
        <v>21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"080066307539"</f>
        <v>080066307539</v>
      </c>
      <c r="F218" s="3">
        <v>45840</v>
      </c>
      <c r="G218">
        <v>202604</v>
      </c>
      <c r="H218" t="s">
        <v>75</v>
      </c>
      <c r="I218" t="s">
        <v>76</v>
      </c>
      <c r="J218" t="s">
        <v>77</v>
      </c>
      <c r="K218" t="s">
        <v>78</v>
      </c>
      <c r="L218" t="s">
        <v>146</v>
      </c>
      <c r="M218" t="s">
        <v>146</v>
      </c>
      <c r="N218" t="s">
        <v>147</v>
      </c>
      <c r="O218" t="s">
        <v>82</v>
      </c>
      <c r="P218" t="str">
        <f>"4170046593                    "</f>
        <v xml:space="preserve">4170046593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103.1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2</v>
      </c>
      <c r="BI218">
        <v>5</v>
      </c>
      <c r="BJ218">
        <v>3</v>
      </c>
      <c r="BK218">
        <v>5</v>
      </c>
      <c r="BL218">
        <v>324.82</v>
      </c>
      <c r="BM218">
        <v>48.72</v>
      </c>
      <c r="BN218">
        <v>373.54</v>
      </c>
      <c r="BO218">
        <v>373.54</v>
      </c>
      <c r="BQ218" t="s">
        <v>764</v>
      </c>
      <c r="BR218" t="s">
        <v>84</v>
      </c>
      <c r="BS218" s="3">
        <v>45841</v>
      </c>
      <c r="BT218" s="4">
        <v>0.53472222222222221</v>
      </c>
      <c r="BU218" t="s">
        <v>149</v>
      </c>
      <c r="BV218" t="s">
        <v>98</v>
      </c>
      <c r="BY218">
        <v>14824</v>
      </c>
      <c r="BZ218" t="s">
        <v>89</v>
      </c>
      <c r="CA218" t="s">
        <v>150</v>
      </c>
      <c r="CC218" t="s">
        <v>146</v>
      </c>
      <c r="CD218">
        <v>7646</v>
      </c>
      <c r="CE218" t="s">
        <v>117</v>
      </c>
      <c r="CF218" s="3">
        <v>45842</v>
      </c>
      <c r="CI218">
        <v>1</v>
      </c>
      <c r="CJ218">
        <v>1</v>
      </c>
      <c r="CK218">
        <v>23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"080066307565"</f>
        <v>080066307565</v>
      </c>
      <c r="F219" s="3">
        <v>45840</v>
      </c>
      <c r="G219">
        <v>202604</v>
      </c>
      <c r="H219" t="s">
        <v>75</v>
      </c>
      <c r="I219" t="s">
        <v>76</v>
      </c>
      <c r="J219" t="s">
        <v>77</v>
      </c>
      <c r="K219" t="s">
        <v>78</v>
      </c>
      <c r="L219" t="s">
        <v>146</v>
      </c>
      <c r="M219" t="s">
        <v>146</v>
      </c>
      <c r="N219" t="s">
        <v>633</v>
      </c>
      <c r="O219" t="s">
        <v>82</v>
      </c>
      <c r="P219" t="str">
        <f>"4170046604                    "</f>
        <v xml:space="preserve">4170046604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83.33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4</v>
      </c>
      <c r="BJ219">
        <v>2</v>
      </c>
      <c r="BK219">
        <v>4</v>
      </c>
      <c r="BL219">
        <v>262.52999999999997</v>
      </c>
      <c r="BM219">
        <v>39.380000000000003</v>
      </c>
      <c r="BN219">
        <v>301.91000000000003</v>
      </c>
      <c r="BO219">
        <v>301.91000000000003</v>
      </c>
      <c r="BQ219" t="s">
        <v>634</v>
      </c>
      <c r="BR219" t="s">
        <v>84</v>
      </c>
      <c r="BS219" s="3">
        <v>45841</v>
      </c>
      <c r="BT219" s="4">
        <v>0.53819444444444442</v>
      </c>
      <c r="BU219" t="s">
        <v>635</v>
      </c>
      <c r="BV219" t="s">
        <v>98</v>
      </c>
      <c r="BY219">
        <v>9900</v>
      </c>
      <c r="BZ219" t="s">
        <v>89</v>
      </c>
      <c r="CA219" t="s">
        <v>150</v>
      </c>
      <c r="CC219" t="s">
        <v>146</v>
      </c>
      <c r="CD219">
        <v>7646</v>
      </c>
      <c r="CE219" t="s">
        <v>117</v>
      </c>
      <c r="CF219" s="3">
        <v>45842</v>
      </c>
      <c r="CI219">
        <v>1</v>
      </c>
      <c r="CJ219">
        <v>1</v>
      </c>
      <c r="CK219">
        <v>23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"080066307598"</f>
        <v>080066307598</v>
      </c>
      <c r="F220" s="3">
        <v>45840</v>
      </c>
      <c r="G220">
        <v>202604</v>
      </c>
      <c r="H220" t="s">
        <v>75</v>
      </c>
      <c r="I220" t="s">
        <v>76</v>
      </c>
      <c r="J220" t="s">
        <v>77</v>
      </c>
      <c r="K220" t="s">
        <v>78</v>
      </c>
      <c r="L220" t="s">
        <v>554</v>
      </c>
      <c r="M220" t="s">
        <v>555</v>
      </c>
      <c r="N220" t="s">
        <v>765</v>
      </c>
      <c r="O220" t="s">
        <v>82</v>
      </c>
      <c r="P220" t="str">
        <f>"4170046510                    "</f>
        <v xml:space="preserve">4170046510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33.89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3</v>
      </c>
      <c r="BJ220">
        <v>2</v>
      </c>
      <c r="BK220">
        <v>3</v>
      </c>
      <c r="BL220">
        <v>106.77</v>
      </c>
      <c r="BM220">
        <v>16.02</v>
      </c>
      <c r="BN220">
        <v>122.79</v>
      </c>
      <c r="BO220">
        <v>122.79</v>
      </c>
      <c r="BQ220" t="s">
        <v>766</v>
      </c>
      <c r="BR220" t="s">
        <v>84</v>
      </c>
      <c r="BS220" s="3">
        <v>45841</v>
      </c>
      <c r="BT220" s="4">
        <v>0.37430555555555556</v>
      </c>
      <c r="BU220" t="s">
        <v>767</v>
      </c>
      <c r="BV220" t="s">
        <v>98</v>
      </c>
      <c r="BY220">
        <v>9900</v>
      </c>
      <c r="BZ220" t="s">
        <v>89</v>
      </c>
      <c r="CA220" t="s">
        <v>559</v>
      </c>
      <c r="CC220" t="s">
        <v>555</v>
      </c>
      <c r="CD220" s="5" t="s">
        <v>560</v>
      </c>
      <c r="CE220" t="s">
        <v>145</v>
      </c>
      <c r="CF220" s="3">
        <v>45841</v>
      </c>
      <c r="CI220">
        <v>1</v>
      </c>
      <c r="CJ220">
        <v>1</v>
      </c>
      <c r="CK220">
        <v>21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"080066307627"</f>
        <v>080066307627</v>
      </c>
      <c r="F221" s="3">
        <v>45840</v>
      </c>
      <c r="G221">
        <v>202604</v>
      </c>
      <c r="H221" t="s">
        <v>75</v>
      </c>
      <c r="I221" t="s">
        <v>76</v>
      </c>
      <c r="J221" t="s">
        <v>77</v>
      </c>
      <c r="K221" t="s">
        <v>78</v>
      </c>
      <c r="L221" t="s">
        <v>168</v>
      </c>
      <c r="M221" t="s">
        <v>169</v>
      </c>
      <c r="N221" t="s">
        <v>206</v>
      </c>
      <c r="O221" t="s">
        <v>82</v>
      </c>
      <c r="P221" t="str">
        <f>"4170046512                    "</f>
        <v xml:space="preserve">4170046512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22.6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0.5</v>
      </c>
      <c r="BK221">
        <v>2</v>
      </c>
      <c r="BL221">
        <v>71.2</v>
      </c>
      <c r="BM221">
        <v>10.68</v>
      </c>
      <c r="BN221">
        <v>81.88</v>
      </c>
      <c r="BO221">
        <v>81.88</v>
      </c>
      <c r="BQ221" t="s">
        <v>207</v>
      </c>
      <c r="BR221" t="s">
        <v>84</v>
      </c>
      <c r="BS221" s="3">
        <v>45841</v>
      </c>
      <c r="BT221" s="4">
        <v>0.41111111111111109</v>
      </c>
      <c r="BU221" t="s">
        <v>208</v>
      </c>
      <c r="BV221" t="s">
        <v>98</v>
      </c>
      <c r="BY221">
        <v>2700</v>
      </c>
      <c r="BZ221" t="s">
        <v>89</v>
      </c>
      <c r="CA221" t="s">
        <v>196</v>
      </c>
      <c r="CC221" t="s">
        <v>169</v>
      </c>
      <c r="CD221">
        <v>6001</v>
      </c>
      <c r="CE221" t="s">
        <v>91</v>
      </c>
      <c r="CF221" s="3">
        <v>45841</v>
      </c>
      <c r="CI221">
        <v>1</v>
      </c>
      <c r="CJ221">
        <v>1</v>
      </c>
      <c r="CK221">
        <v>21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"080066307643"</f>
        <v>080066307643</v>
      </c>
      <c r="F222" s="3">
        <v>45840</v>
      </c>
      <c r="G222">
        <v>202604</v>
      </c>
      <c r="H222" t="s">
        <v>75</v>
      </c>
      <c r="I222" t="s">
        <v>76</v>
      </c>
      <c r="J222" t="s">
        <v>77</v>
      </c>
      <c r="K222" t="s">
        <v>78</v>
      </c>
      <c r="L222" t="s">
        <v>168</v>
      </c>
      <c r="M222" t="s">
        <v>169</v>
      </c>
      <c r="N222" t="s">
        <v>206</v>
      </c>
      <c r="O222" t="s">
        <v>82</v>
      </c>
      <c r="P222" t="str">
        <f>"4170046526                    "</f>
        <v xml:space="preserve">4170046526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22.6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1.1000000000000001</v>
      </c>
      <c r="BK222">
        <v>1.5</v>
      </c>
      <c r="BL222">
        <v>71.2</v>
      </c>
      <c r="BM222">
        <v>10.68</v>
      </c>
      <c r="BN222">
        <v>81.88</v>
      </c>
      <c r="BO222">
        <v>81.88</v>
      </c>
      <c r="BQ222" t="s">
        <v>207</v>
      </c>
      <c r="BR222" t="s">
        <v>84</v>
      </c>
      <c r="BS222" s="3">
        <v>45841</v>
      </c>
      <c r="BT222" s="4">
        <v>0.41111111111111109</v>
      </c>
      <c r="BU222" t="s">
        <v>208</v>
      </c>
      <c r="BV222" t="s">
        <v>98</v>
      </c>
      <c r="BY222">
        <v>5320</v>
      </c>
      <c r="BZ222" t="s">
        <v>89</v>
      </c>
      <c r="CA222" t="s">
        <v>196</v>
      </c>
      <c r="CC222" t="s">
        <v>169</v>
      </c>
      <c r="CD222">
        <v>6001</v>
      </c>
      <c r="CE222" t="s">
        <v>145</v>
      </c>
      <c r="CF222" s="3">
        <v>45841</v>
      </c>
      <c r="CI222">
        <v>1</v>
      </c>
      <c r="CJ222">
        <v>1</v>
      </c>
      <c r="CK222">
        <v>21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"080066307950"</f>
        <v>080066307950</v>
      </c>
      <c r="F223" s="3">
        <v>45840</v>
      </c>
      <c r="G223">
        <v>202604</v>
      </c>
      <c r="H223" t="s">
        <v>75</v>
      </c>
      <c r="I223" t="s">
        <v>76</v>
      </c>
      <c r="J223" t="s">
        <v>77</v>
      </c>
      <c r="K223" t="s">
        <v>78</v>
      </c>
      <c r="L223" t="s">
        <v>75</v>
      </c>
      <c r="M223" t="s">
        <v>76</v>
      </c>
      <c r="N223" t="s">
        <v>118</v>
      </c>
      <c r="O223" t="s">
        <v>95</v>
      </c>
      <c r="P223" t="str">
        <f>"4170046656                    "</f>
        <v xml:space="preserve">4170046656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95.83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55</v>
      </c>
      <c r="BJ223">
        <v>77.8</v>
      </c>
      <c r="BK223">
        <v>78</v>
      </c>
      <c r="BL223">
        <v>307.77999999999997</v>
      </c>
      <c r="BM223">
        <v>46.17</v>
      </c>
      <c r="BN223">
        <v>353.95</v>
      </c>
      <c r="BO223">
        <v>353.95</v>
      </c>
      <c r="BQ223" t="s">
        <v>119</v>
      </c>
      <c r="BR223" t="s">
        <v>84</v>
      </c>
      <c r="BS223" s="3">
        <v>45841</v>
      </c>
      <c r="BT223" s="4">
        <v>0.39027777777777778</v>
      </c>
      <c r="BU223" t="s">
        <v>768</v>
      </c>
      <c r="BV223" t="s">
        <v>98</v>
      </c>
      <c r="BY223">
        <v>388960</v>
      </c>
      <c r="BZ223" t="s">
        <v>99</v>
      </c>
      <c r="CA223" t="s">
        <v>769</v>
      </c>
      <c r="CC223" t="s">
        <v>76</v>
      </c>
      <c r="CD223">
        <v>1600</v>
      </c>
      <c r="CE223" t="s">
        <v>770</v>
      </c>
      <c r="CF223" s="3">
        <v>45841</v>
      </c>
      <c r="CI223">
        <v>1</v>
      </c>
      <c r="CJ223">
        <v>1</v>
      </c>
      <c r="CK223">
        <v>42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"080066308038"</f>
        <v>080066308038</v>
      </c>
      <c r="F224" s="3">
        <v>45840</v>
      </c>
      <c r="G224">
        <v>202604</v>
      </c>
      <c r="H224" t="s">
        <v>75</v>
      </c>
      <c r="I224" t="s">
        <v>76</v>
      </c>
      <c r="J224" t="s">
        <v>77</v>
      </c>
      <c r="K224" t="s">
        <v>78</v>
      </c>
      <c r="L224" t="s">
        <v>92</v>
      </c>
      <c r="M224" t="s">
        <v>93</v>
      </c>
      <c r="N224" t="s">
        <v>723</v>
      </c>
      <c r="O224" t="s">
        <v>82</v>
      </c>
      <c r="P224" t="str">
        <f>"4170046661                    "</f>
        <v xml:space="preserve">4170046661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79.05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7</v>
      </c>
      <c r="BJ224">
        <v>1.1000000000000001</v>
      </c>
      <c r="BK224">
        <v>7</v>
      </c>
      <c r="BL224">
        <v>249.05</v>
      </c>
      <c r="BM224">
        <v>37.36</v>
      </c>
      <c r="BN224">
        <v>286.41000000000003</v>
      </c>
      <c r="BO224">
        <v>286.41000000000003</v>
      </c>
      <c r="BQ224" t="s">
        <v>724</v>
      </c>
      <c r="BR224" t="s">
        <v>84</v>
      </c>
      <c r="BS224" s="3">
        <v>45841</v>
      </c>
      <c r="BT224" s="4">
        <v>0.38680555555555557</v>
      </c>
      <c r="BU224" t="s">
        <v>725</v>
      </c>
      <c r="BV224" t="s">
        <v>98</v>
      </c>
      <c r="BY224">
        <v>5320</v>
      </c>
      <c r="BZ224" t="s">
        <v>89</v>
      </c>
      <c r="CA224" t="s">
        <v>270</v>
      </c>
      <c r="CC224" t="s">
        <v>93</v>
      </c>
      <c r="CD224">
        <v>4000</v>
      </c>
      <c r="CE224" t="s">
        <v>117</v>
      </c>
      <c r="CF224" s="3">
        <v>45841</v>
      </c>
      <c r="CI224">
        <v>1</v>
      </c>
      <c r="CJ224">
        <v>1</v>
      </c>
      <c r="CK224">
        <v>21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"080066308052"</f>
        <v>080066308052</v>
      </c>
      <c r="F225" s="3">
        <v>45840</v>
      </c>
      <c r="G225">
        <v>202604</v>
      </c>
      <c r="H225" t="s">
        <v>75</v>
      </c>
      <c r="I225" t="s">
        <v>76</v>
      </c>
      <c r="J225" t="s">
        <v>77</v>
      </c>
      <c r="K225" t="s">
        <v>78</v>
      </c>
      <c r="L225" t="s">
        <v>503</v>
      </c>
      <c r="M225" t="s">
        <v>504</v>
      </c>
      <c r="N225" t="s">
        <v>505</v>
      </c>
      <c r="O225" t="s">
        <v>82</v>
      </c>
      <c r="P225" t="str">
        <f>"4170046650                    "</f>
        <v xml:space="preserve">4170046650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43.78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137.94</v>
      </c>
      <c r="BM225">
        <v>20.69</v>
      </c>
      <c r="BN225">
        <v>158.63</v>
      </c>
      <c r="BO225">
        <v>158.63</v>
      </c>
      <c r="BQ225" t="s">
        <v>506</v>
      </c>
      <c r="BR225" t="s">
        <v>84</v>
      </c>
      <c r="BS225" s="3">
        <v>45841</v>
      </c>
      <c r="BT225" s="4">
        <v>0.42083333333333334</v>
      </c>
      <c r="BU225" t="s">
        <v>771</v>
      </c>
      <c r="BV225" t="s">
        <v>98</v>
      </c>
      <c r="BY225">
        <v>1200</v>
      </c>
      <c r="BZ225" t="s">
        <v>89</v>
      </c>
      <c r="CA225" t="s">
        <v>772</v>
      </c>
      <c r="CC225" t="s">
        <v>504</v>
      </c>
      <c r="CD225">
        <v>7130</v>
      </c>
      <c r="CE225" t="s">
        <v>239</v>
      </c>
      <c r="CF225" s="3">
        <v>45842</v>
      </c>
      <c r="CI225">
        <v>1</v>
      </c>
      <c r="CJ225">
        <v>1</v>
      </c>
      <c r="CK225">
        <v>23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"080066308073"</f>
        <v>080066308073</v>
      </c>
      <c r="F226" s="3">
        <v>45840</v>
      </c>
      <c r="G226">
        <v>202604</v>
      </c>
      <c r="H226" t="s">
        <v>75</v>
      </c>
      <c r="I226" t="s">
        <v>76</v>
      </c>
      <c r="J226" t="s">
        <v>77</v>
      </c>
      <c r="K226" t="s">
        <v>78</v>
      </c>
      <c r="L226" t="s">
        <v>168</v>
      </c>
      <c r="M226" t="s">
        <v>169</v>
      </c>
      <c r="N226" t="s">
        <v>202</v>
      </c>
      <c r="O226" t="s">
        <v>82</v>
      </c>
      <c r="P226" t="str">
        <f>"4170046638                    "</f>
        <v xml:space="preserve">4170046638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22.6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71.2</v>
      </c>
      <c r="BM226">
        <v>10.68</v>
      </c>
      <c r="BN226">
        <v>81.88</v>
      </c>
      <c r="BO226">
        <v>81.88</v>
      </c>
      <c r="BQ226" t="s">
        <v>203</v>
      </c>
      <c r="BR226" t="s">
        <v>84</v>
      </c>
      <c r="BS226" s="3">
        <v>45841</v>
      </c>
      <c r="BT226" s="4">
        <v>0.40694444444444444</v>
      </c>
      <c r="BU226" t="s">
        <v>742</v>
      </c>
      <c r="BV226" t="s">
        <v>98</v>
      </c>
      <c r="BY226">
        <v>1200</v>
      </c>
      <c r="BZ226" t="s">
        <v>89</v>
      </c>
      <c r="CA226" t="s">
        <v>205</v>
      </c>
      <c r="CC226" t="s">
        <v>169</v>
      </c>
      <c r="CD226">
        <v>6001</v>
      </c>
      <c r="CE226" t="s">
        <v>239</v>
      </c>
      <c r="CF226" s="3">
        <v>45841</v>
      </c>
      <c r="CI226">
        <v>1</v>
      </c>
      <c r="CJ226">
        <v>1</v>
      </c>
      <c r="CK226">
        <v>21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"080066308090"</f>
        <v>080066308090</v>
      </c>
      <c r="F227" s="3">
        <v>45840</v>
      </c>
      <c r="G227">
        <v>202604</v>
      </c>
      <c r="H227" t="s">
        <v>75</v>
      </c>
      <c r="I227" t="s">
        <v>76</v>
      </c>
      <c r="J227" t="s">
        <v>77</v>
      </c>
      <c r="K227" t="s">
        <v>78</v>
      </c>
      <c r="L227" t="s">
        <v>168</v>
      </c>
      <c r="M227" t="s">
        <v>169</v>
      </c>
      <c r="N227" t="s">
        <v>773</v>
      </c>
      <c r="O227" t="s">
        <v>82</v>
      </c>
      <c r="P227" t="str">
        <f>"4170046623                    "</f>
        <v xml:space="preserve">4170046623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22.6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71.2</v>
      </c>
      <c r="BM227">
        <v>10.68</v>
      </c>
      <c r="BN227">
        <v>81.88</v>
      </c>
      <c r="BO227">
        <v>81.88</v>
      </c>
      <c r="BQ227" t="s">
        <v>774</v>
      </c>
      <c r="BR227" t="s">
        <v>84</v>
      </c>
      <c r="BS227" s="3">
        <v>45841</v>
      </c>
      <c r="BT227" s="4">
        <v>0.41666666666666669</v>
      </c>
      <c r="BU227" t="s">
        <v>618</v>
      </c>
      <c r="BV227" t="s">
        <v>98</v>
      </c>
      <c r="BY227">
        <v>1200</v>
      </c>
      <c r="BZ227" t="s">
        <v>89</v>
      </c>
      <c r="CA227" t="s">
        <v>345</v>
      </c>
      <c r="CC227" t="s">
        <v>169</v>
      </c>
      <c r="CD227">
        <v>6020</v>
      </c>
      <c r="CE227" t="s">
        <v>239</v>
      </c>
      <c r="CF227" s="3">
        <v>45841</v>
      </c>
      <c r="CI227">
        <v>1</v>
      </c>
      <c r="CJ227">
        <v>1</v>
      </c>
      <c r="CK227">
        <v>21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"080066308108"</f>
        <v>080066308108</v>
      </c>
      <c r="F228" s="3">
        <v>45840</v>
      </c>
      <c r="G228">
        <v>202604</v>
      </c>
      <c r="H228" t="s">
        <v>75</v>
      </c>
      <c r="I228" t="s">
        <v>76</v>
      </c>
      <c r="J228" t="s">
        <v>77</v>
      </c>
      <c r="K228" t="s">
        <v>78</v>
      </c>
      <c r="L228" t="s">
        <v>146</v>
      </c>
      <c r="M228" t="s">
        <v>146</v>
      </c>
      <c r="N228" t="s">
        <v>147</v>
      </c>
      <c r="O228" t="s">
        <v>82</v>
      </c>
      <c r="P228" t="str">
        <f>"4170046653                    "</f>
        <v xml:space="preserve">4170046653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43.78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137.94</v>
      </c>
      <c r="BM228">
        <v>20.69</v>
      </c>
      <c r="BN228">
        <v>158.63</v>
      </c>
      <c r="BO228">
        <v>158.63</v>
      </c>
      <c r="BQ228" t="s">
        <v>764</v>
      </c>
      <c r="BR228" t="s">
        <v>84</v>
      </c>
      <c r="BS228" s="3">
        <v>45841</v>
      </c>
      <c r="BT228" s="4">
        <v>0.53472222222222221</v>
      </c>
      <c r="BU228" t="s">
        <v>149</v>
      </c>
      <c r="BV228" t="s">
        <v>98</v>
      </c>
      <c r="BY228">
        <v>1200</v>
      </c>
      <c r="BZ228" t="s">
        <v>89</v>
      </c>
      <c r="CA228" t="s">
        <v>150</v>
      </c>
      <c r="CC228" t="s">
        <v>146</v>
      </c>
      <c r="CD228">
        <v>7646</v>
      </c>
      <c r="CE228" t="s">
        <v>239</v>
      </c>
      <c r="CF228" s="3">
        <v>45842</v>
      </c>
      <c r="CI228">
        <v>1</v>
      </c>
      <c r="CJ228">
        <v>1</v>
      </c>
      <c r="CK228">
        <v>23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"080066308126"</f>
        <v>080066308126</v>
      </c>
      <c r="F229" s="3">
        <v>45840</v>
      </c>
      <c r="G229">
        <v>202604</v>
      </c>
      <c r="H229" t="s">
        <v>75</v>
      </c>
      <c r="I229" t="s">
        <v>76</v>
      </c>
      <c r="J229" t="s">
        <v>77</v>
      </c>
      <c r="K229" t="s">
        <v>78</v>
      </c>
      <c r="L229" t="s">
        <v>92</v>
      </c>
      <c r="M229" t="s">
        <v>93</v>
      </c>
      <c r="N229" t="s">
        <v>723</v>
      </c>
      <c r="O229" t="s">
        <v>82</v>
      </c>
      <c r="P229" t="str">
        <f>"4170046658                    "</f>
        <v xml:space="preserve">4170046658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22.6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71.2</v>
      </c>
      <c r="BM229">
        <v>10.68</v>
      </c>
      <c r="BN229">
        <v>81.88</v>
      </c>
      <c r="BO229">
        <v>81.88</v>
      </c>
      <c r="BQ229" t="s">
        <v>724</v>
      </c>
      <c r="BR229" t="s">
        <v>84</v>
      </c>
      <c r="BS229" s="3">
        <v>45841</v>
      </c>
      <c r="BT229" s="4">
        <v>0.38680555555555557</v>
      </c>
      <c r="BU229" t="s">
        <v>725</v>
      </c>
      <c r="BV229" t="s">
        <v>98</v>
      </c>
      <c r="BY229">
        <v>1200</v>
      </c>
      <c r="BZ229" t="s">
        <v>89</v>
      </c>
      <c r="CA229" t="s">
        <v>270</v>
      </c>
      <c r="CC229" t="s">
        <v>93</v>
      </c>
      <c r="CD229">
        <v>4000</v>
      </c>
      <c r="CE229" t="s">
        <v>239</v>
      </c>
      <c r="CF229" s="3">
        <v>45841</v>
      </c>
      <c r="CI229">
        <v>1</v>
      </c>
      <c r="CJ229">
        <v>1</v>
      </c>
      <c r="CK229">
        <v>21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"080066308824"</f>
        <v>080066308824</v>
      </c>
      <c r="F230" s="3">
        <v>45840</v>
      </c>
      <c r="G230">
        <v>202604</v>
      </c>
      <c r="H230" t="s">
        <v>75</v>
      </c>
      <c r="I230" t="s">
        <v>76</v>
      </c>
      <c r="J230" t="s">
        <v>77</v>
      </c>
      <c r="K230" t="s">
        <v>78</v>
      </c>
      <c r="L230" t="s">
        <v>75</v>
      </c>
      <c r="M230" t="s">
        <v>76</v>
      </c>
      <c r="N230" t="s">
        <v>775</v>
      </c>
      <c r="O230" t="s">
        <v>82</v>
      </c>
      <c r="P230" t="str">
        <f>"4170046573                    "</f>
        <v xml:space="preserve">4170046573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17.649999999999999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55.61</v>
      </c>
      <c r="BM230">
        <v>8.34</v>
      </c>
      <c r="BN230">
        <v>63.95</v>
      </c>
      <c r="BO230">
        <v>63.95</v>
      </c>
      <c r="BQ230" t="s">
        <v>776</v>
      </c>
      <c r="BR230" t="s">
        <v>84</v>
      </c>
      <c r="BS230" s="3">
        <v>45841</v>
      </c>
      <c r="BT230" s="4">
        <v>0.36805555555555558</v>
      </c>
      <c r="BU230" t="s">
        <v>777</v>
      </c>
      <c r="BV230" t="s">
        <v>98</v>
      </c>
      <c r="BY230">
        <v>1200</v>
      </c>
      <c r="BZ230" t="s">
        <v>89</v>
      </c>
      <c r="CA230" t="s">
        <v>778</v>
      </c>
      <c r="CC230" t="s">
        <v>76</v>
      </c>
      <c r="CD230">
        <v>1609</v>
      </c>
      <c r="CE230" t="s">
        <v>239</v>
      </c>
      <c r="CF230" s="3">
        <v>45841</v>
      </c>
      <c r="CI230">
        <v>1</v>
      </c>
      <c r="CJ230">
        <v>1</v>
      </c>
      <c r="CK230">
        <v>22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"080066308837"</f>
        <v>080066308837</v>
      </c>
      <c r="F231" s="3">
        <v>45840</v>
      </c>
      <c r="G231">
        <v>202604</v>
      </c>
      <c r="H231" t="s">
        <v>75</v>
      </c>
      <c r="I231" t="s">
        <v>76</v>
      </c>
      <c r="J231" t="s">
        <v>77</v>
      </c>
      <c r="K231" t="s">
        <v>78</v>
      </c>
      <c r="L231" t="s">
        <v>240</v>
      </c>
      <c r="M231" t="s">
        <v>241</v>
      </c>
      <c r="N231" t="s">
        <v>779</v>
      </c>
      <c r="O231" t="s">
        <v>82</v>
      </c>
      <c r="P231" t="str">
        <f>"4170046601                    "</f>
        <v xml:space="preserve">4170046601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17.649999999999999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55.61</v>
      </c>
      <c r="BM231">
        <v>8.34</v>
      </c>
      <c r="BN231">
        <v>63.95</v>
      </c>
      <c r="BO231">
        <v>63.95</v>
      </c>
      <c r="BQ231" t="s">
        <v>780</v>
      </c>
      <c r="BR231" t="s">
        <v>84</v>
      </c>
      <c r="BS231" s="3">
        <v>45841</v>
      </c>
      <c r="BT231" s="4">
        <v>0.46875</v>
      </c>
      <c r="BU231" t="s">
        <v>781</v>
      </c>
      <c r="BV231" t="s">
        <v>98</v>
      </c>
      <c r="BY231">
        <v>1200</v>
      </c>
      <c r="BZ231" t="s">
        <v>89</v>
      </c>
      <c r="CC231" t="s">
        <v>241</v>
      </c>
      <c r="CD231">
        <v>2092</v>
      </c>
      <c r="CE231" t="s">
        <v>239</v>
      </c>
      <c r="CF231" s="3">
        <v>45842</v>
      </c>
      <c r="CI231">
        <v>1</v>
      </c>
      <c r="CJ231">
        <v>1</v>
      </c>
      <c r="CK231">
        <v>22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"080066308854"</f>
        <v>080066308854</v>
      </c>
      <c r="F232" s="3">
        <v>45840</v>
      </c>
      <c r="G232">
        <v>202604</v>
      </c>
      <c r="H232" t="s">
        <v>75</v>
      </c>
      <c r="I232" t="s">
        <v>76</v>
      </c>
      <c r="J232" t="s">
        <v>77</v>
      </c>
      <c r="K232" t="s">
        <v>78</v>
      </c>
      <c r="L232" t="s">
        <v>75</v>
      </c>
      <c r="M232" t="s">
        <v>76</v>
      </c>
      <c r="N232" t="s">
        <v>782</v>
      </c>
      <c r="O232" t="s">
        <v>82</v>
      </c>
      <c r="P232" t="str">
        <f>"4170046600                    "</f>
        <v xml:space="preserve">4170046600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17.649999999999999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55.61</v>
      </c>
      <c r="BM232">
        <v>8.34</v>
      </c>
      <c r="BN232">
        <v>63.95</v>
      </c>
      <c r="BO232">
        <v>63.95</v>
      </c>
      <c r="BQ232" t="s">
        <v>783</v>
      </c>
      <c r="BR232" t="s">
        <v>84</v>
      </c>
      <c r="BS232" s="3">
        <v>45841</v>
      </c>
      <c r="BT232" s="4">
        <v>0.40277777777777779</v>
      </c>
      <c r="BU232" t="s">
        <v>784</v>
      </c>
      <c r="BV232" t="s">
        <v>98</v>
      </c>
      <c r="BY232">
        <v>1200</v>
      </c>
      <c r="BZ232" t="s">
        <v>89</v>
      </c>
      <c r="CA232" t="s">
        <v>304</v>
      </c>
      <c r="CC232" t="s">
        <v>76</v>
      </c>
      <c r="CD232">
        <v>1601</v>
      </c>
      <c r="CE232" t="s">
        <v>239</v>
      </c>
      <c r="CF232" s="3">
        <v>45841</v>
      </c>
      <c r="CI232">
        <v>1</v>
      </c>
      <c r="CJ232">
        <v>1</v>
      </c>
      <c r="CK232">
        <v>22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"080066308864"</f>
        <v>080066308864</v>
      </c>
      <c r="F233" s="3">
        <v>45840</v>
      </c>
      <c r="G233">
        <v>202604</v>
      </c>
      <c r="H233" t="s">
        <v>75</v>
      </c>
      <c r="I233" t="s">
        <v>76</v>
      </c>
      <c r="J233" t="s">
        <v>77</v>
      </c>
      <c r="K233" t="s">
        <v>78</v>
      </c>
      <c r="L233" t="s">
        <v>319</v>
      </c>
      <c r="M233" t="s">
        <v>320</v>
      </c>
      <c r="N233" t="s">
        <v>785</v>
      </c>
      <c r="O233" t="s">
        <v>82</v>
      </c>
      <c r="P233" t="str">
        <f>"4170046585                    "</f>
        <v xml:space="preserve">4170046585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43.78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137.94</v>
      </c>
      <c r="BM233">
        <v>20.69</v>
      </c>
      <c r="BN233">
        <v>158.63</v>
      </c>
      <c r="BO233">
        <v>158.63</v>
      </c>
      <c r="BQ233" t="s">
        <v>786</v>
      </c>
      <c r="BR233" t="s">
        <v>84</v>
      </c>
      <c r="BS233" s="3">
        <v>45841</v>
      </c>
      <c r="BT233" s="4">
        <v>0.56527777777777777</v>
      </c>
      <c r="BU233" t="s">
        <v>787</v>
      </c>
      <c r="BV233" t="s">
        <v>98</v>
      </c>
      <c r="BY233">
        <v>1200</v>
      </c>
      <c r="BZ233" t="s">
        <v>89</v>
      </c>
      <c r="CA233" t="s">
        <v>324</v>
      </c>
      <c r="CC233" t="s">
        <v>320</v>
      </c>
      <c r="CD233">
        <v>1028</v>
      </c>
      <c r="CE233" t="s">
        <v>239</v>
      </c>
      <c r="CF233" s="3">
        <v>45841</v>
      </c>
      <c r="CI233">
        <v>1</v>
      </c>
      <c r="CJ233">
        <v>1</v>
      </c>
      <c r="CK233">
        <v>23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"080066308884"</f>
        <v>080066308884</v>
      </c>
      <c r="F234" s="3">
        <v>45840</v>
      </c>
      <c r="G234">
        <v>202604</v>
      </c>
      <c r="H234" t="s">
        <v>75</v>
      </c>
      <c r="I234" t="s">
        <v>76</v>
      </c>
      <c r="J234" t="s">
        <v>77</v>
      </c>
      <c r="K234" t="s">
        <v>78</v>
      </c>
      <c r="L234" t="s">
        <v>788</v>
      </c>
      <c r="M234" t="s">
        <v>789</v>
      </c>
      <c r="N234" t="s">
        <v>272</v>
      </c>
      <c r="O234" t="s">
        <v>82</v>
      </c>
      <c r="P234" t="str">
        <f>"4170046556                    "</f>
        <v xml:space="preserve">4170046556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71.2</v>
      </c>
      <c r="BM234">
        <v>10.68</v>
      </c>
      <c r="BN234">
        <v>81.88</v>
      </c>
      <c r="BO234">
        <v>81.88</v>
      </c>
      <c r="BQ234" t="s">
        <v>273</v>
      </c>
      <c r="BR234" t="s">
        <v>84</v>
      </c>
      <c r="BS234" s="3">
        <v>45841</v>
      </c>
      <c r="BT234" s="4">
        <v>0.375</v>
      </c>
      <c r="BU234" t="s">
        <v>790</v>
      </c>
      <c r="BV234" t="s">
        <v>98</v>
      </c>
      <c r="BY234">
        <v>1200</v>
      </c>
      <c r="BZ234" t="s">
        <v>89</v>
      </c>
      <c r="CC234" t="s">
        <v>789</v>
      </c>
      <c r="CD234" s="5" t="s">
        <v>791</v>
      </c>
      <c r="CE234" t="s">
        <v>239</v>
      </c>
      <c r="CF234" s="3">
        <v>45841</v>
      </c>
      <c r="CI234">
        <v>1</v>
      </c>
      <c r="CJ234">
        <v>1</v>
      </c>
      <c r="CK234">
        <v>21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"080066308916"</f>
        <v>080066308916</v>
      </c>
      <c r="F235" s="3">
        <v>45840</v>
      </c>
      <c r="G235">
        <v>202604</v>
      </c>
      <c r="H235" t="s">
        <v>75</v>
      </c>
      <c r="I235" t="s">
        <v>76</v>
      </c>
      <c r="J235" t="s">
        <v>77</v>
      </c>
      <c r="K235" t="s">
        <v>78</v>
      </c>
      <c r="L235" t="s">
        <v>554</v>
      </c>
      <c r="M235" t="s">
        <v>555</v>
      </c>
      <c r="N235" t="s">
        <v>792</v>
      </c>
      <c r="O235" t="s">
        <v>95</v>
      </c>
      <c r="P235" t="str">
        <f>"4170046663                    "</f>
        <v xml:space="preserve">4170046663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43.7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4</v>
      </c>
      <c r="BJ235">
        <v>12</v>
      </c>
      <c r="BK235">
        <v>12</v>
      </c>
      <c r="BL235">
        <v>143.55000000000001</v>
      </c>
      <c r="BM235">
        <v>21.53</v>
      </c>
      <c r="BN235">
        <v>165.08</v>
      </c>
      <c r="BO235">
        <v>165.08</v>
      </c>
      <c r="BQ235" t="s">
        <v>793</v>
      </c>
      <c r="BR235" t="s">
        <v>84</v>
      </c>
      <c r="BS235" s="3">
        <v>45845</v>
      </c>
      <c r="BT235" s="4">
        <v>0.375</v>
      </c>
      <c r="BU235" t="s">
        <v>794</v>
      </c>
      <c r="BV235" t="s">
        <v>86</v>
      </c>
      <c r="BW235" t="s">
        <v>395</v>
      </c>
      <c r="BX235" t="s">
        <v>795</v>
      </c>
      <c r="BY235">
        <v>60000</v>
      </c>
      <c r="BZ235" t="s">
        <v>99</v>
      </c>
      <c r="CC235" t="s">
        <v>555</v>
      </c>
      <c r="CD235" s="5" t="s">
        <v>560</v>
      </c>
      <c r="CE235" t="s">
        <v>117</v>
      </c>
      <c r="CF235" s="3">
        <v>45845</v>
      </c>
      <c r="CI235">
        <v>1</v>
      </c>
      <c r="CJ235">
        <v>3</v>
      </c>
      <c r="CK235">
        <v>41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"080066308932"</f>
        <v>080066308932</v>
      </c>
      <c r="F236" s="3">
        <v>45840</v>
      </c>
      <c r="G236">
        <v>202604</v>
      </c>
      <c r="H236" t="s">
        <v>75</v>
      </c>
      <c r="I236" t="s">
        <v>76</v>
      </c>
      <c r="J236" t="s">
        <v>77</v>
      </c>
      <c r="K236" t="s">
        <v>78</v>
      </c>
      <c r="L236" t="s">
        <v>75</v>
      </c>
      <c r="M236" t="s">
        <v>76</v>
      </c>
      <c r="N236" t="s">
        <v>562</v>
      </c>
      <c r="O236" t="s">
        <v>95</v>
      </c>
      <c r="P236" t="str">
        <f>"4170046662                    "</f>
        <v xml:space="preserve">4170046662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37.67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19</v>
      </c>
      <c r="BJ236">
        <v>12</v>
      </c>
      <c r="BK236">
        <v>19</v>
      </c>
      <c r="BL236">
        <v>124.54</v>
      </c>
      <c r="BM236">
        <v>18.68</v>
      </c>
      <c r="BN236">
        <v>143.22</v>
      </c>
      <c r="BO236">
        <v>143.22</v>
      </c>
      <c r="BQ236" t="s">
        <v>563</v>
      </c>
      <c r="BR236" t="s">
        <v>84</v>
      </c>
      <c r="BS236" s="3">
        <v>45841</v>
      </c>
      <c r="BT236" s="4">
        <v>0.40763888888888888</v>
      </c>
      <c r="BU236" t="s">
        <v>796</v>
      </c>
      <c r="BV236" t="s">
        <v>98</v>
      </c>
      <c r="BY236">
        <v>60000</v>
      </c>
      <c r="BZ236" t="s">
        <v>99</v>
      </c>
      <c r="CA236" t="s">
        <v>797</v>
      </c>
      <c r="CC236" t="s">
        <v>76</v>
      </c>
      <c r="CD236">
        <v>1619</v>
      </c>
      <c r="CE236" t="s">
        <v>117</v>
      </c>
      <c r="CF236" s="3">
        <v>45842</v>
      </c>
      <c r="CI236">
        <v>1</v>
      </c>
      <c r="CJ236">
        <v>1</v>
      </c>
      <c r="CK236">
        <v>42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"080066309014"</f>
        <v>080066309014</v>
      </c>
      <c r="F237" s="3">
        <v>45840</v>
      </c>
      <c r="G237">
        <v>202604</v>
      </c>
      <c r="H237" t="s">
        <v>75</v>
      </c>
      <c r="I237" t="s">
        <v>76</v>
      </c>
      <c r="J237" t="s">
        <v>77</v>
      </c>
      <c r="K237" t="s">
        <v>78</v>
      </c>
      <c r="L237" t="s">
        <v>240</v>
      </c>
      <c r="M237" t="s">
        <v>241</v>
      </c>
      <c r="N237" t="s">
        <v>798</v>
      </c>
      <c r="O237" t="s">
        <v>311</v>
      </c>
      <c r="P237" t="str">
        <f>"4170046655                    "</f>
        <v xml:space="preserve">4170046655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21.62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7</v>
      </c>
      <c r="BJ237">
        <v>9.4</v>
      </c>
      <c r="BK237">
        <v>10</v>
      </c>
      <c r="BL237">
        <v>68.11</v>
      </c>
      <c r="BM237">
        <v>10.220000000000001</v>
      </c>
      <c r="BN237">
        <v>78.33</v>
      </c>
      <c r="BO237">
        <v>78.33</v>
      </c>
      <c r="BQ237" t="s">
        <v>799</v>
      </c>
      <c r="BR237" t="s">
        <v>84</v>
      </c>
      <c r="BS237" s="3">
        <v>45841</v>
      </c>
      <c r="BT237" s="4">
        <v>0.40486111111111112</v>
      </c>
      <c r="BU237" t="s">
        <v>800</v>
      </c>
      <c r="BV237" t="s">
        <v>98</v>
      </c>
      <c r="BY237">
        <v>46800</v>
      </c>
      <c r="BZ237" t="s">
        <v>99</v>
      </c>
      <c r="CA237" t="s">
        <v>245</v>
      </c>
      <c r="CC237" t="s">
        <v>241</v>
      </c>
      <c r="CD237">
        <v>2013</v>
      </c>
      <c r="CE237" t="s">
        <v>117</v>
      </c>
      <c r="CF237" s="3">
        <v>45842</v>
      </c>
      <c r="CI237">
        <v>1</v>
      </c>
      <c r="CJ237">
        <v>1</v>
      </c>
      <c r="CK237">
        <v>32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"080066309038"</f>
        <v>080066309038</v>
      </c>
      <c r="F238" s="3">
        <v>45840</v>
      </c>
      <c r="G238">
        <v>202604</v>
      </c>
      <c r="H238" t="s">
        <v>75</v>
      </c>
      <c r="I238" t="s">
        <v>76</v>
      </c>
      <c r="J238" t="s">
        <v>77</v>
      </c>
      <c r="K238" t="s">
        <v>78</v>
      </c>
      <c r="L238" t="s">
        <v>151</v>
      </c>
      <c r="M238" t="s">
        <v>152</v>
      </c>
      <c r="N238" t="s">
        <v>680</v>
      </c>
      <c r="O238" t="s">
        <v>82</v>
      </c>
      <c r="P238" t="str">
        <f>"4170046581                    "</f>
        <v xml:space="preserve">4170046581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22.6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1.1000000000000001</v>
      </c>
      <c r="BK238">
        <v>1.5</v>
      </c>
      <c r="BL238">
        <v>71.2</v>
      </c>
      <c r="BM238">
        <v>10.68</v>
      </c>
      <c r="BN238">
        <v>81.88</v>
      </c>
      <c r="BO238">
        <v>81.88</v>
      </c>
      <c r="BQ238" t="s">
        <v>681</v>
      </c>
      <c r="BR238" t="s">
        <v>84</v>
      </c>
      <c r="BS238" s="3">
        <v>45841</v>
      </c>
      <c r="BT238" s="4">
        <v>0.36666666666666664</v>
      </c>
      <c r="BU238" t="s">
        <v>682</v>
      </c>
      <c r="BV238" t="s">
        <v>98</v>
      </c>
      <c r="BY238">
        <v>5320</v>
      </c>
      <c r="BZ238" t="s">
        <v>89</v>
      </c>
      <c r="CA238" t="s">
        <v>683</v>
      </c>
      <c r="CC238" t="s">
        <v>152</v>
      </c>
      <c r="CD238" s="5" t="s">
        <v>684</v>
      </c>
      <c r="CE238" t="s">
        <v>117</v>
      </c>
      <c r="CF238" s="3">
        <v>45841</v>
      </c>
      <c r="CI238">
        <v>1</v>
      </c>
      <c r="CJ238">
        <v>1</v>
      </c>
      <c r="CK238">
        <v>21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"080066309663"</f>
        <v>080066309663</v>
      </c>
      <c r="F239" s="3">
        <v>45840</v>
      </c>
      <c r="G239">
        <v>202604</v>
      </c>
      <c r="H239" t="s">
        <v>75</v>
      </c>
      <c r="I239" t="s">
        <v>76</v>
      </c>
      <c r="J239" t="s">
        <v>77</v>
      </c>
      <c r="K239" t="s">
        <v>78</v>
      </c>
      <c r="L239" t="s">
        <v>151</v>
      </c>
      <c r="M239" t="s">
        <v>152</v>
      </c>
      <c r="N239" t="s">
        <v>801</v>
      </c>
      <c r="O239" t="s">
        <v>82</v>
      </c>
      <c r="P239" t="str">
        <f>"4170046675                    "</f>
        <v xml:space="preserve">4170046675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22.6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71.2</v>
      </c>
      <c r="BM239">
        <v>10.68</v>
      </c>
      <c r="BN239">
        <v>81.88</v>
      </c>
      <c r="BO239">
        <v>81.88</v>
      </c>
      <c r="BQ239" t="s">
        <v>802</v>
      </c>
      <c r="BR239" t="s">
        <v>84</v>
      </c>
      <c r="BS239" s="3">
        <v>45841</v>
      </c>
      <c r="BT239" s="4">
        <v>0.3923611111111111</v>
      </c>
      <c r="BU239" t="s">
        <v>803</v>
      </c>
      <c r="BV239" t="s">
        <v>98</v>
      </c>
      <c r="BY239">
        <v>1200</v>
      </c>
      <c r="BZ239" t="s">
        <v>89</v>
      </c>
      <c r="CA239" t="s">
        <v>716</v>
      </c>
      <c r="CC239" t="s">
        <v>152</v>
      </c>
      <c r="CD239" s="5" t="s">
        <v>717</v>
      </c>
      <c r="CE239" t="s">
        <v>239</v>
      </c>
      <c r="CF239" s="3">
        <v>45841</v>
      </c>
      <c r="CI239">
        <v>1</v>
      </c>
      <c r="CJ239">
        <v>1</v>
      </c>
      <c r="CK239">
        <v>21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"080066309688"</f>
        <v>080066309688</v>
      </c>
      <c r="F240" s="3">
        <v>45840</v>
      </c>
      <c r="G240">
        <v>202604</v>
      </c>
      <c r="H240" t="s">
        <v>75</v>
      </c>
      <c r="I240" t="s">
        <v>76</v>
      </c>
      <c r="J240" t="s">
        <v>77</v>
      </c>
      <c r="K240" t="s">
        <v>78</v>
      </c>
      <c r="L240" t="s">
        <v>79</v>
      </c>
      <c r="M240" t="s">
        <v>80</v>
      </c>
      <c r="N240" t="s">
        <v>804</v>
      </c>
      <c r="O240" t="s">
        <v>82</v>
      </c>
      <c r="P240" t="str">
        <f>"4170046640                    "</f>
        <v xml:space="preserve">4170046640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22.6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71.2</v>
      </c>
      <c r="BM240">
        <v>10.68</v>
      </c>
      <c r="BN240">
        <v>81.88</v>
      </c>
      <c r="BO240">
        <v>81.88</v>
      </c>
      <c r="BQ240" t="s">
        <v>805</v>
      </c>
      <c r="BR240" t="s">
        <v>84</v>
      </c>
      <c r="BS240" s="3">
        <v>45841</v>
      </c>
      <c r="BT240" s="4">
        <v>0.58750000000000002</v>
      </c>
      <c r="BU240" t="s">
        <v>806</v>
      </c>
      <c r="BV240" t="s">
        <v>86</v>
      </c>
      <c r="BW240" t="s">
        <v>87</v>
      </c>
      <c r="BX240" t="s">
        <v>88</v>
      </c>
      <c r="BY240">
        <v>1200</v>
      </c>
      <c r="BZ240" t="s">
        <v>89</v>
      </c>
      <c r="CA240" t="s">
        <v>807</v>
      </c>
      <c r="CC240" t="s">
        <v>80</v>
      </c>
      <c r="CD240">
        <v>7965</v>
      </c>
      <c r="CE240" t="s">
        <v>239</v>
      </c>
      <c r="CF240" s="3">
        <v>45842</v>
      </c>
      <c r="CI240">
        <v>1</v>
      </c>
      <c r="CJ240">
        <v>1</v>
      </c>
      <c r="CK240">
        <v>21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"080066309714"</f>
        <v>080066309714</v>
      </c>
      <c r="F241" s="3">
        <v>45840</v>
      </c>
      <c r="G241">
        <v>202604</v>
      </c>
      <c r="H241" t="s">
        <v>75</v>
      </c>
      <c r="I241" t="s">
        <v>76</v>
      </c>
      <c r="J241" t="s">
        <v>77</v>
      </c>
      <c r="K241" t="s">
        <v>78</v>
      </c>
      <c r="L241" t="s">
        <v>79</v>
      </c>
      <c r="M241" t="s">
        <v>80</v>
      </c>
      <c r="N241" t="s">
        <v>286</v>
      </c>
      <c r="O241" t="s">
        <v>82</v>
      </c>
      <c r="P241" t="str">
        <f>"4170046644                    "</f>
        <v xml:space="preserve">4170046644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67.760000000000005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2</v>
      </c>
      <c r="BI241">
        <v>6</v>
      </c>
      <c r="BJ241">
        <v>3.5</v>
      </c>
      <c r="BK241">
        <v>6</v>
      </c>
      <c r="BL241">
        <v>213.48</v>
      </c>
      <c r="BM241">
        <v>32.020000000000003</v>
      </c>
      <c r="BN241">
        <v>245.5</v>
      </c>
      <c r="BO241">
        <v>245.5</v>
      </c>
      <c r="BQ241" t="s">
        <v>287</v>
      </c>
      <c r="BR241" t="s">
        <v>84</v>
      </c>
      <c r="BS241" s="3">
        <v>45841</v>
      </c>
      <c r="BT241" s="4">
        <v>0.34027777777777779</v>
      </c>
      <c r="BU241" t="s">
        <v>685</v>
      </c>
      <c r="BV241" t="s">
        <v>98</v>
      </c>
      <c r="BY241">
        <v>17685</v>
      </c>
      <c r="BZ241" t="s">
        <v>89</v>
      </c>
      <c r="CA241" t="s">
        <v>289</v>
      </c>
      <c r="CC241" t="s">
        <v>80</v>
      </c>
      <c r="CD241">
        <v>7530</v>
      </c>
      <c r="CE241" t="s">
        <v>91</v>
      </c>
      <c r="CF241" s="3">
        <v>45842</v>
      </c>
      <c r="CI241">
        <v>1</v>
      </c>
      <c r="CJ241">
        <v>1</v>
      </c>
      <c r="CK241">
        <v>21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"080066309749"</f>
        <v>080066309749</v>
      </c>
      <c r="F242" s="3">
        <v>45840</v>
      </c>
      <c r="G242">
        <v>202604</v>
      </c>
      <c r="H242" t="s">
        <v>75</v>
      </c>
      <c r="I242" t="s">
        <v>76</v>
      </c>
      <c r="J242" t="s">
        <v>77</v>
      </c>
      <c r="K242" t="s">
        <v>78</v>
      </c>
      <c r="L242" t="s">
        <v>808</v>
      </c>
      <c r="M242" t="s">
        <v>808</v>
      </c>
      <c r="N242" t="s">
        <v>809</v>
      </c>
      <c r="O242" t="s">
        <v>82</v>
      </c>
      <c r="P242" t="str">
        <f>"4170046555                    "</f>
        <v xml:space="preserve">4170046555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31.78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1.1000000000000001</v>
      </c>
      <c r="BK242">
        <v>1.5</v>
      </c>
      <c r="BL242">
        <v>100.13</v>
      </c>
      <c r="BM242">
        <v>15.02</v>
      </c>
      <c r="BN242">
        <v>115.15</v>
      </c>
      <c r="BO242">
        <v>115.15</v>
      </c>
      <c r="BQ242" t="s">
        <v>810</v>
      </c>
      <c r="BR242" t="s">
        <v>84</v>
      </c>
      <c r="BS242" s="3">
        <v>45841</v>
      </c>
      <c r="BT242" s="4">
        <v>0.51736111111111116</v>
      </c>
      <c r="BU242" t="s">
        <v>811</v>
      </c>
      <c r="BV242" t="s">
        <v>98</v>
      </c>
      <c r="BY242">
        <v>5320</v>
      </c>
      <c r="BZ242" t="s">
        <v>89</v>
      </c>
      <c r="CA242" t="s">
        <v>812</v>
      </c>
      <c r="CC242" t="s">
        <v>808</v>
      </c>
      <c r="CD242">
        <v>1491</v>
      </c>
      <c r="CE242" t="s">
        <v>117</v>
      </c>
      <c r="CF242" s="3">
        <v>45841</v>
      </c>
      <c r="CI242">
        <v>1</v>
      </c>
      <c r="CJ242">
        <v>1</v>
      </c>
      <c r="CK242">
        <v>24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"080066309781"</f>
        <v>080066309781</v>
      </c>
      <c r="F243" s="3">
        <v>45840</v>
      </c>
      <c r="G243">
        <v>202604</v>
      </c>
      <c r="H243" t="s">
        <v>75</v>
      </c>
      <c r="I243" t="s">
        <v>76</v>
      </c>
      <c r="J243" t="s">
        <v>77</v>
      </c>
      <c r="K243" t="s">
        <v>78</v>
      </c>
      <c r="L243" t="s">
        <v>168</v>
      </c>
      <c r="M243" t="s">
        <v>169</v>
      </c>
      <c r="N243" t="s">
        <v>813</v>
      </c>
      <c r="O243" t="s">
        <v>82</v>
      </c>
      <c r="P243" t="str">
        <f>"4170046631                    "</f>
        <v xml:space="preserve">4170046631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22.6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1.1000000000000001</v>
      </c>
      <c r="BJ243">
        <v>1.6</v>
      </c>
      <c r="BK243">
        <v>2</v>
      </c>
      <c r="BL243">
        <v>71.2</v>
      </c>
      <c r="BM243">
        <v>10.68</v>
      </c>
      <c r="BN243">
        <v>81.88</v>
      </c>
      <c r="BO243">
        <v>81.88</v>
      </c>
      <c r="BQ243" t="s">
        <v>814</v>
      </c>
      <c r="BR243" t="s">
        <v>84</v>
      </c>
      <c r="BS243" s="3">
        <v>45842</v>
      </c>
      <c r="BT243" s="4">
        <v>0.3923611111111111</v>
      </c>
      <c r="BU243" t="s">
        <v>815</v>
      </c>
      <c r="BV243" t="s">
        <v>86</v>
      </c>
      <c r="BW243" t="s">
        <v>194</v>
      </c>
      <c r="BX243" t="s">
        <v>816</v>
      </c>
      <c r="BY243">
        <v>7859.43</v>
      </c>
      <c r="BZ243" t="s">
        <v>89</v>
      </c>
      <c r="CA243" t="s">
        <v>196</v>
      </c>
      <c r="CC243" t="s">
        <v>169</v>
      </c>
      <c r="CD243">
        <v>6001</v>
      </c>
      <c r="CE243" t="s">
        <v>117</v>
      </c>
      <c r="CF243" s="3">
        <v>45842</v>
      </c>
      <c r="CI243">
        <v>1</v>
      </c>
      <c r="CJ243">
        <v>2</v>
      </c>
      <c r="CK243">
        <v>21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"080066310019"</f>
        <v>080066310019</v>
      </c>
      <c r="F244" s="3">
        <v>45840</v>
      </c>
      <c r="G244">
        <v>202604</v>
      </c>
      <c r="H244" t="s">
        <v>75</v>
      </c>
      <c r="I244" t="s">
        <v>76</v>
      </c>
      <c r="J244" t="s">
        <v>77</v>
      </c>
      <c r="K244" t="s">
        <v>78</v>
      </c>
      <c r="L244" t="s">
        <v>128</v>
      </c>
      <c r="M244" t="s">
        <v>129</v>
      </c>
      <c r="N244" t="s">
        <v>130</v>
      </c>
      <c r="O244" t="s">
        <v>82</v>
      </c>
      <c r="P244" t="str">
        <f>"4170046634                    "</f>
        <v xml:space="preserve">4170046634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43.78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0.9</v>
      </c>
      <c r="BK244">
        <v>2</v>
      </c>
      <c r="BL244">
        <v>137.94</v>
      </c>
      <c r="BM244">
        <v>20.69</v>
      </c>
      <c r="BN244">
        <v>158.63</v>
      </c>
      <c r="BO244">
        <v>158.63</v>
      </c>
      <c r="BQ244" t="s">
        <v>131</v>
      </c>
      <c r="BR244" t="s">
        <v>84</v>
      </c>
      <c r="BS244" s="3">
        <v>45842</v>
      </c>
      <c r="BT244" s="4">
        <v>0.4236111111111111</v>
      </c>
      <c r="BU244" t="s">
        <v>817</v>
      </c>
      <c r="BV244" t="s">
        <v>86</v>
      </c>
      <c r="BW244" t="s">
        <v>818</v>
      </c>
      <c r="BX244" t="s">
        <v>819</v>
      </c>
      <c r="BY244">
        <v>4275</v>
      </c>
      <c r="BZ244" t="s">
        <v>89</v>
      </c>
      <c r="CA244" t="s">
        <v>820</v>
      </c>
      <c r="CC244" t="s">
        <v>129</v>
      </c>
      <c r="CD244" s="5" t="s">
        <v>134</v>
      </c>
      <c r="CE244" t="s">
        <v>117</v>
      </c>
      <c r="CF244" s="3">
        <v>45845</v>
      </c>
      <c r="CI244">
        <v>1</v>
      </c>
      <c r="CJ244">
        <v>2</v>
      </c>
      <c r="CK244">
        <v>23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"080066310048"</f>
        <v>080066310048</v>
      </c>
      <c r="F245" s="3">
        <v>45840</v>
      </c>
      <c r="G245">
        <v>202604</v>
      </c>
      <c r="H245" t="s">
        <v>75</v>
      </c>
      <c r="I245" t="s">
        <v>76</v>
      </c>
      <c r="J245" t="s">
        <v>77</v>
      </c>
      <c r="K245" t="s">
        <v>78</v>
      </c>
      <c r="L245" t="s">
        <v>252</v>
      </c>
      <c r="M245" t="s">
        <v>253</v>
      </c>
      <c r="N245" t="s">
        <v>254</v>
      </c>
      <c r="O245" t="s">
        <v>95</v>
      </c>
      <c r="P245" t="str">
        <f>"4170046636                    "</f>
        <v xml:space="preserve">4170046636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61.64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4</v>
      </c>
      <c r="BJ245">
        <v>2</v>
      </c>
      <c r="BK245">
        <v>4</v>
      </c>
      <c r="BL245">
        <v>200.06</v>
      </c>
      <c r="BM245">
        <v>30.01</v>
      </c>
      <c r="BN245">
        <v>230.07</v>
      </c>
      <c r="BO245">
        <v>230.07</v>
      </c>
      <c r="BQ245" t="s">
        <v>255</v>
      </c>
      <c r="BR245" t="s">
        <v>84</v>
      </c>
      <c r="BS245" s="3">
        <v>45841</v>
      </c>
      <c r="BT245" s="4">
        <v>0.35416666666666669</v>
      </c>
      <c r="BU245" t="s">
        <v>256</v>
      </c>
      <c r="BV245" t="s">
        <v>98</v>
      </c>
      <c r="BY245">
        <v>9918</v>
      </c>
      <c r="BZ245" t="s">
        <v>99</v>
      </c>
      <c r="CC245" t="s">
        <v>253</v>
      </c>
      <c r="CD245">
        <v>1947</v>
      </c>
      <c r="CE245" t="s">
        <v>117</v>
      </c>
      <c r="CF245" s="3">
        <v>45841</v>
      </c>
      <c r="CI245">
        <v>1</v>
      </c>
      <c r="CJ245">
        <v>1</v>
      </c>
      <c r="CK245">
        <v>43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"080066310080"</f>
        <v>080066310080</v>
      </c>
      <c r="F246" s="3">
        <v>45840</v>
      </c>
      <c r="G246">
        <v>202604</v>
      </c>
      <c r="H246" t="s">
        <v>75</v>
      </c>
      <c r="I246" t="s">
        <v>76</v>
      </c>
      <c r="J246" t="s">
        <v>77</v>
      </c>
      <c r="K246" t="s">
        <v>78</v>
      </c>
      <c r="L246" t="s">
        <v>821</v>
      </c>
      <c r="M246" t="s">
        <v>822</v>
      </c>
      <c r="N246" t="s">
        <v>823</v>
      </c>
      <c r="O246" t="s">
        <v>82</v>
      </c>
      <c r="P246" t="str">
        <f>"4170046569                    "</f>
        <v xml:space="preserve">4170046569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31.78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1.9</v>
      </c>
      <c r="BK246">
        <v>2</v>
      </c>
      <c r="BL246">
        <v>100.13</v>
      </c>
      <c r="BM246">
        <v>15.02</v>
      </c>
      <c r="BN246">
        <v>115.15</v>
      </c>
      <c r="BO246">
        <v>115.15</v>
      </c>
      <c r="BQ246" t="s">
        <v>824</v>
      </c>
      <c r="BR246" t="s">
        <v>84</v>
      </c>
      <c r="BS246" s="3">
        <v>45841</v>
      </c>
      <c r="BT246" s="4">
        <v>0.37986111111111109</v>
      </c>
      <c r="BU246" t="s">
        <v>825</v>
      </c>
      <c r="BV246" t="s">
        <v>98</v>
      </c>
      <c r="BY246">
        <v>9576</v>
      </c>
      <c r="BZ246" t="s">
        <v>89</v>
      </c>
      <c r="CA246" t="s">
        <v>826</v>
      </c>
      <c r="CC246" t="s">
        <v>822</v>
      </c>
      <c r="CD246">
        <v>1760</v>
      </c>
      <c r="CE246" t="s">
        <v>117</v>
      </c>
      <c r="CF246" s="3">
        <v>45841</v>
      </c>
      <c r="CI246">
        <v>1</v>
      </c>
      <c r="CJ246">
        <v>1</v>
      </c>
      <c r="CK246">
        <v>24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"080066310114"</f>
        <v>080066310114</v>
      </c>
      <c r="F247" s="3">
        <v>45840</v>
      </c>
      <c r="G247">
        <v>202604</v>
      </c>
      <c r="H247" t="s">
        <v>75</v>
      </c>
      <c r="I247" t="s">
        <v>76</v>
      </c>
      <c r="J247" t="s">
        <v>77</v>
      </c>
      <c r="K247" t="s">
        <v>78</v>
      </c>
      <c r="L247" t="s">
        <v>75</v>
      </c>
      <c r="M247" t="s">
        <v>76</v>
      </c>
      <c r="N247" t="s">
        <v>827</v>
      </c>
      <c r="O247" t="s">
        <v>82</v>
      </c>
      <c r="P247" t="str">
        <f>"4170046607                    "</f>
        <v xml:space="preserve">4170046607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17.649999999999999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</v>
      </c>
      <c r="BJ247">
        <v>1.8</v>
      </c>
      <c r="BK247">
        <v>2</v>
      </c>
      <c r="BL247">
        <v>55.61</v>
      </c>
      <c r="BM247">
        <v>8.34</v>
      </c>
      <c r="BN247">
        <v>63.95</v>
      </c>
      <c r="BO247">
        <v>63.95</v>
      </c>
      <c r="BQ247" t="s">
        <v>828</v>
      </c>
      <c r="BR247" t="s">
        <v>84</v>
      </c>
      <c r="BS247" s="3">
        <v>45841</v>
      </c>
      <c r="BT247" s="4">
        <v>0.43472222222222223</v>
      </c>
      <c r="BU247" t="s">
        <v>212</v>
      </c>
      <c r="BV247" t="s">
        <v>98</v>
      </c>
      <c r="BY247">
        <v>8775</v>
      </c>
      <c r="BZ247" t="s">
        <v>89</v>
      </c>
      <c r="CA247" t="s">
        <v>617</v>
      </c>
      <c r="CC247" t="s">
        <v>76</v>
      </c>
      <c r="CD247">
        <v>1610</v>
      </c>
      <c r="CE247" t="s">
        <v>117</v>
      </c>
      <c r="CF247" s="3">
        <v>45841</v>
      </c>
      <c r="CI247">
        <v>1</v>
      </c>
      <c r="CJ247">
        <v>1</v>
      </c>
      <c r="CK247">
        <v>22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"080066310466"</f>
        <v>080066310466</v>
      </c>
      <c r="F248" s="3">
        <v>45840</v>
      </c>
      <c r="G248">
        <v>202604</v>
      </c>
      <c r="H248" t="s">
        <v>75</v>
      </c>
      <c r="I248" t="s">
        <v>76</v>
      </c>
      <c r="J248" t="s">
        <v>77</v>
      </c>
      <c r="K248" t="s">
        <v>78</v>
      </c>
      <c r="L248" t="s">
        <v>704</v>
      </c>
      <c r="M248" t="s">
        <v>705</v>
      </c>
      <c r="N248" t="s">
        <v>829</v>
      </c>
      <c r="O248" t="s">
        <v>82</v>
      </c>
      <c r="P248" t="str">
        <f>"4170046682                    "</f>
        <v xml:space="preserve">4170046682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43.78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137.94</v>
      </c>
      <c r="BM248">
        <v>20.69</v>
      </c>
      <c r="BN248">
        <v>158.63</v>
      </c>
      <c r="BO248">
        <v>158.63</v>
      </c>
      <c r="BQ248" t="s">
        <v>830</v>
      </c>
      <c r="BR248" t="s">
        <v>84</v>
      </c>
      <c r="BS248" s="3">
        <v>45841</v>
      </c>
      <c r="BT248" s="4">
        <v>0.57638888888888884</v>
      </c>
      <c r="BU248" t="s">
        <v>831</v>
      </c>
      <c r="BV248" t="s">
        <v>98</v>
      </c>
      <c r="BY248">
        <v>1200</v>
      </c>
      <c r="BZ248" t="s">
        <v>89</v>
      </c>
      <c r="CA248" t="s">
        <v>709</v>
      </c>
      <c r="CC248" t="s">
        <v>705</v>
      </c>
      <c r="CD248">
        <v>6850</v>
      </c>
      <c r="CE248" t="s">
        <v>239</v>
      </c>
      <c r="CF248" s="3">
        <v>45842</v>
      </c>
      <c r="CI248">
        <v>2</v>
      </c>
      <c r="CJ248">
        <v>1</v>
      </c>
      <c r="CK248">
        <v>23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"080066310484"</f>
        <v>080066310484</v>
      </c>
      <c r="F249" s="3">
        <v>45840</v>
      </c>
      <c r="G249">
        <v>202604</v>
      </c>
      <c r="H249" t="s">
        <v>75</v>
      </c>
      <c r="I249" t="s">
        <v>76</v>
      </c>
      <c r="J249" t="s">
        <v>77</v>
      </c>
      <c r="K249" t="s">
        <v>78</v>
      </c>
      <c r="L249" t="s">
        <v>758</v>
      </c>
      <c r="M249" t="s">
        <v>759</v>
      </c>
      <c r="N249" t="s">
        <v>760</v>
      </c>
      <c r="O249" t="s">
        <v>82</v>
      </c>
      <c r="P249" t="str">
        <f>"4170046686                    "</f>
        <v xml:space="preserve">4170046686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43.78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137.94</v>
      </c>
      <c r="BM249">
        <v>20.69</v>
      </c>
      <c r="BN249">
        <v>158.63</v>
      </c>
      <c r="BO249">
        <v>158.63</v>
      </c>
      <c r="BQ249" t="s">
        <v>761</v>
      </c>
      <c r="BR249" t="s">
        <v>84</v>
      </c>
      <c r="BS249" s="3">
        <v>45841</v>
      </c>
      <c r="BT249" s="4">
        <v>0.39583333333333331</v>
      </c>
      <c r="BU249" t="s">
        <v>762</v>
      </c>
      <c r="BV249" t="s">
        <v>98</v>
      </c>
      <c r="BY249">
        <v>1200</v>
      </c>
      <c r="BZ249" t="s">
        <v>89</v>
      </c>
      <c r="CA249" t="s">
        <v>763</v>
      </c>
      <c r="CC249" t="s">
        <v>759</v>
      </c>
      <c r="CD249">
        <v>2531</v>
      </c>
      <c r="CE249" t="s">
        <v>239</v>
      </c>
      <c r="CF249" s="3">
        <v>45842</v>
      </c>
      <c r="CI249">
        <v>1</v>
      </c>
      <c r="CJ249">
        <v>1</v>
      </c>
      <c r="CK249">
        <v>23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"080066310497"</f>
        <v>080066310497</v>
      </c>
      <c r="F250" s="3">
        <v>45840</v>
      </c>
      <c r="G250">
        <v>202604</v>
      </c>
      <c r="H250" t="s">
        <v>75</v>
      </c>
      <c r="I250" t="s">
        <v>76</v>
      </c>
      <c r="J250" t="s">
        <v>77</v>
      </c>
      <c r="K250" t="s">
        <v>78</v>
      </c>
      <c r="L250" t="s">
        <v>75</v>
      </c>
      <c r="M250" t="s">
        <v>76</v>
      </c>
      <c r="N250" t="s">
        <v>118</v>
      </c>
      <c r="O250" t="s">
        <v>82</v>
      </c>
      <c r="P250" t="str">
        <f>"4170046637                    "</f>
        <v xml:space="preserve">4170046637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17.649999999999999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55.61</v>
      </c>
      <c r="BM250">
        <v>8.34</v>
      </c>
      <c r="BN250">
        <v>63.95</v>
      </c>
      <c r="BO250">
        <v>63.95</v>
      </c>
      <c r="BQ250" t="s">
        <v>119</v>
      </c>
      <c r="BR250" t="s">
        <v>84</v>
      </c>
      <c r="BS250" s="3">
        <v>45841</v>
      </c>
      <c r="BT250" s="4">
        <v>0.3263888888888889</v>
      </c>
      <c r="BU250" t="s">
        <v>832</v>
      </c>
      <c r="BV250" t="s">
        <v>98</v>
      </c>
      <c r="BY250">
        <v>1200</v>
      </c>
      <c r="BZ250" t="s">
        <v>89</v>
      </c>
      <c r="CA250" t="s">
        <v>213</v>
      </c>
      <c r="CC250" t="s">
        <v>76</v>
      </c>
      <c r="CD250">
        <v>1600</v>
      </c>
      <c r="CE250" t="s">
        <v>239</v>
      </c>
      <c r="CF250" s="3">
        <v>45842</v>
      </c>
      <c r="CI250">
        <v>1</v>
      </c>
      <c r="CJ250">
        <v>1</v>
      </c>
      <c r="CK250">
        <v>22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"080066310527"</f>
        <v>080066310527</v>
      </c>
      <c r="F251" s="3">
        <v>45840</v>
      </c>
      <c r="G251">
        <v>202604</v>
      </c>
      <c r="H251" t="s">
        <v>75</v>
      </c>
      <c r="I251" t="s">
        <v>76</v>
      </c>
      <c r="J251" t="s">
        <v>77</v>
      </c>
      <c r="K251" t="s">
        <v>78</v>
      </c>
      <c r="L251" t="s">
        <v>102</v>
      </c>
      <c r="M251" t="s">
        <v>103</v>
      </c>
      <c r="N251" t="s">
        <v>104</v>
      </c>
      <c r="O251" t="s">
        <v>82</v>
      </c>
      <c r="P251" t="str">
        <f>"4170046669                    "</f>
        <v xml:space="preserve">4170046669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31.78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100.13</v>
      </c>
      <c r="BM251">
        <v>15.02</v>
      </c>
      <c r="BN251">
        <v>115.15</v>
      </c>
      <c r="BO251">
        <v>115.15</v>
      </c>
      <c r="BQ251" t="s">
        <v>833</v>
      </c>
      <c r="BR251" t="s">
        <v>84</v>
      </c>
      <c r="BS251" s="3">
        <v>45841</v>
      </c>
      <c r="BT251" s="4">
        <v>0.37430555555555556</v>
      </c>
      <c r="BU251" t="s">
        <v>107</v>
      </c>
      <c r="BV251" t="s">
        <v>98</v>
      </c>
      <c r="BY251">
        <v>1200</v>
      </c>
      <c r="BZ251" t="s">
        <v>89</v>
      </c>
      <c r="CA251" t="s">
        <v>109</v>
      </c>
      <c r="CC251" t="s">
        <v>103</v>
      </c>
      <c r="CD251">
        <v>1748</v>
      </c>
      <c r="CE251" t="s">
        <v>239</v>
      </c>
      <c r="CF251" s="3">
        <v>45841</v>
      </c>
      <c r="CI251">
        <v>1</v>
      </c>
      <c r="CJ251">
        <v>1</v>
      </c>
      <c r="CK251">
        <v>24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"080066310546"</f>
        <v>080066310546</v>
      </c>
      <c r="F252" s="3">
        <v>45840</v>
      </c>
      <c r="G252">
        <v>202604</v>
      </c>
      <c r="H252" t="s">
        <v>75</v>
      </c>
      <c r="I252" t="s">
        <v>76</v>
      </c>
      <c r="J252" t="s">
        <v>77</v>
      </c>
      <c r="K252" t="s">
        <v>78</v>
      </c>
      <c r="L252" t="s">
        <v>168</v>
      </c>
      <c r="M252" t="s">
        <v>169</v>
      </c>
      <c r="N252" t="s">
        <v>170</v>
      </c>
      <c r="O252" t="s">
        <v>82</v>
      </c>
      <c r="P252" t="str">
        <f>"4170046678                    "</f>
        <v xml:space="preserve">4170046678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22.6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71.2</v>
      </c>
      <c r="BM252">
        <v>10.68</v>
      </c>
      <c r="BN252">
        <v>81.88</v>
      </c>
      <c r="BO252">
        <v>81.88</v>
      </c>
      <c r="BQ252" t="s">
        <v>171</v>
      </c>
      <c r="BR252" t="s">
        <v>84</v>
      </c>
      <c r="BS252" s="3">
        <v>45841</v>
      </c>
      <c r="BT252" s="4">
        <v>0.42638888888888887</v>
      </c>
      <c r="BU252" t="s">
        <v>834</v>
      </c>
      <c r="BV252" t="s">
        <v>98</v>
      </c>
      <c r="BY252">
        <v>1200</v>
      </c>
      <c r="BZ252" t="s">
        <v>89</v>
      </c>
      <c r="CA252" t="s">
        <v>173</v>
      </c>
      <c r="CC252" t="s">
        <v>169</v>
      </c>
      <c r="CD252">
        <v>6001</v>
      </c>
      <c r="CE252" t="s">
        <v>239</v>
      </c>
      <c r="CF252" s="3">
        <v>45842</v>
      </c>
      <c r="CI252">
        <v>1</v>
      </c>
      <c r="CJ252">
        <v>1</v>
      </c>
      <c r="CK252">
        <v>21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"080066310557"</f>
        <v>080066310557</v>
      </c>
      <c r="F253" s="3">
        <v>45840</v>
      </c>
      <c r="G253">
        <v>202604</v>
      </c>
      <c r="H253" t="s">
        <v>75</v>
      </c>
      <c r="I253" t="s">
        <v>76</v>
      </c>
      <c r="J253" t="s">
        <v>77</v>
      </c>
      <c r="K253" t="s">
        <v>78</v>
      </c>
      <c r="L253" t="s">
        <v>135</v>
      </c>
      <c r="M253" t="s">
        <v>136</v>
      </c>
      <c r="N253" t="s">
        <v>379</v>
      </c>
      <c r="O253" t="s">
        <v>82</v>
      </c>
      <c r="P253" t="str">
        <f>"4170046545                    "</f>
        <v xml:space="preserve">4170046545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22.6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71.2</v>
      </c>
      <c r="BM253">
        <v>10.68</v>
      </c>
      <c r="BN253">
        <v>81.88</v>
      </c>
      <c r="BO253">
        <v>81.88</v>
      </c>
      <c r="BQ253" t="s">
        <v>380</v>
      </c>
      <c r="BR253" t="s">
        <v>84</v>
      </c>
      <c r="BS253" s="3">
        <v>45841</v>
      </c>
      <c r="BT253" s="4">
        <v>0.41666666666666669</v>
      </c>
      <c r="BU253" t="s">
        <v>381</v>
      </c>
      <c r="BV253" t="s">
        <v>98</v>
      </c>
      <c r="BY253">
        <v>1200</v>
      </c>
      <c r="BZ253" t="s">
        <v>89</v>
      </c>
      <c r="CA253" t="s">
        <v>382</v>
      </c>
      <c r="CC253" t="s">
        <v>136</v>
      </c>
      <c r="CD253">
        <v>3212</v>
      </c>
      <c r="CE253" t="s">
        <v>239</v>
      </c>
      <c r="CF253" s="3">
        <v>45842</v>
      </c>
      <c r="CI253">
        <v>2</v>
      </c>
      <c r="CJ253">
        <v>1</v>
      </c>
      <c r="CK253">
        <v>21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"080066310578"</f>
        <v>080066310578</v>
      </c>
      <c r="F254" s="3">
        <v>45840</v>
      </c>
      <c r="G254">
        <v>202604</v>
      </c>
      <c r="H254" t="s">
        <v>75</v>
      </c>
      <c r="I254" t="s">
        <v>76</v>
      </c>
      <c r="J254" t="s">
        <v>77</v>
      </c>
      <c r="K254" t="s">
        <v>78</v>
      </c>
      <c r="L254" t="s">
        <v>168</v>
      </c>
      <c r="M254" t="s">
        <v>169</v>
      </c>
      <c r="N254" t="s">
        <v>170</v>
      </c>
      <c r="O254" t="s">
        <v>82</v>
      </c>
      <c r="P254" t="str">
        <f>"4170046676                    "</f>
        <v xml:space="preserve">4170046676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22.6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71.2</v>
      </c>
      <c r="BM254">
        <v>10.68</v>
      </c>
      <c r="BN254">
        <v>81.88</v>
      </c>
      <c r="BO254">
        <v>81.88</v>
      </c>
      <c r="BQ254" t="s">
        <v>171</v>
      </c>
      <c r="BR254" t="s">
        <v>84</v>
      </c>
      <c r="BS254" s="3">
        <v>45841</v>
      </c>
      <c r="BT254" s="4">
        <v>0.42638888888888887</v>
      </c>
      <c r="BU254" t="s">
        <v>834</v>
      </c>
      <c r="BV254" t="s">
        <v>98</v>
      </c>
      <c r="BY254">
        <v>1200</v>
      </c>
      <c r="BZ254" t="s">
        <v>89</v>
      </c>
      <c r="CA254" t="s">
        <v>173</v>
      </c>
      <c r="CC254" t="s">
        <v>169</v>
      </c>
      <c r="CD254">
        <v>6001</v>
      </c>
      <c r="CE254" t="s">
        <v>239</v>
      </c>
      <c r="CF254" s="3">
        <v>45842</v>
      </c>
      <c r="CI254">
        <v>1</v>
      </c>
      <c r="CJ254">
        <v>1</v>
      </c>
      <c r="CK254">
        <v>21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"080066310593"</f>
        <v>080066310593</v>
      </c>
      <c r="F255" s="3">
        <v>45840</v>
      </c>
      <c r="G255">
        <v>202604</v>
      </c>
      <c r="H255" t="s">
        <v>75</v>
      </c>
      <c r="I255" t="s">
        <v>76</v>
      </c>
      <c r="J255" t="s">
        <v>77</v>
      </c>
      <c r="K255" t="s">
        <v>78</v>
      </c>
      <c r="L255" t="s">
        <v>704</v>
      </c>
      <c r="M255" t="s">
        <v>705</v>
      </c>
      <c r="N255" t="s">
        <v>829</v>
      </c>
      <c r="O255" t="s">
        <v>82</v>
      </c>
      <c r="P255" t="str">
        <f>"4170046683                    "</f>
        <v xml:space="preserve">4170046683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43.78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137.94</v>
      </c>
      <c r="BM255">
        <v>20.69</v>
      </c>
      <c r="BN255">
        <v>158.63</v>
      </c>
      <c r="BO255">
        <v>158.63</v>
      </c>
      <c r="BQ255" t="s">
        <v>830</v>
      </c>
      <c r="BR255" t="s">
        <v>84</v>
      </c>
      <c r="BS255" s="3">
        <v>45841</v>
      </c>
      <c r="BT255" s="4">
        <v>0.57638888888888884</v>
      </c>
      <c r="BU255" t="s">
        <v>831</v>
      </c>
      <c r="BV255" t="s">
        <v>98</v>
      </c>
      <c r="BY255">
        <v>1200</v>
      </c>
      <c r="BZ255" t="s">
        <v>89</v>
      </c>
      <c r="CA255" t="s">
        <v>709</v>
      </c>
      <c r="CC255" t="s">
        <v>705</v>
      </c>
      <c r="CD255">
        <v>6850</v>
      </c>
      <c r="CE255" t="s">
        <v>239</v>
      </c>
      <c r="CF255" s="3">
        <v>45842</v>
      </c>
      <c r="CI255">
        <v>2</v>
      </c>
      <c r="CJ255">
        <v>1</v>
      </c>
      <c r="CK255">
        <v>23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"080066310684"</f>
        <v>080066310684</v>
      </c>
      <c r="F256" s="3">
        <v>45840</v>
      </c>
      <c r="G256">
        <v>202604</v>
      </c>
      <c r="H256" t="s">
        <v>75</v>
      </c>
      <c r="I256" t="s">
        <v>76</v>
      </c>
      <c r="J256" t="s">
        <v>77</v>
      </c>
      <c r="K256" t="s">
        <v>78</v>
      </c>
      <c r="L256" t="s">
        <v>151</v>
      </c>
      <c r="M256" t="s">
        <v>152</v>
      </c>
      <c r="N256" t="s">
        <v>835</v>
      </c>
      <c r="O256" t="s">
        <v>82</v>
      </c>
      <c r="P256" t="str">
        <f>"4170046668                    "</f>
        <v xml:space="preserve">4170046668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22.6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71.2</v>
      </c>
      <c r="BM256">
        <v>10.68</v>
      </c>
      <c r="BN256">
        <v>81.88</v>
      </c>
      <c r="BO256">
        <v>81.88</v>
      </c>
      <c r="BQ256" t="s">
        <v>836</v>
      </c>
      <c r="BR256" t="s">
        <v>84</v>
      </c>
      <c r="BS256" s="3">
        <v>45841</v>
      </c>
      <c r="BT256" s="4">
        <v>0.37986111111111109</v>
      </c>
      <c r="BU256" t="s">
        <v>837</v>
      </c>
      <c r="BV256" t="s">
        <v>98</v>
      </c>
      <c r="BY256">
        <v>1200</v>
      </c>
      <c r="BZ256" t="s">
        <v>89</v>
      </c>
      <c r="CA256" t="s">
        <v>716</v>
      </c>
      <c r="CC256" t="s">
        <v>152</v>
      </c>
      <c r="CD256" s="5" t="s">
        <v>717</v>
      </c>
      <c r="CE256" t="s">
        <v>239</v>
      </c>
      <c r="CF256" s="3">
        <v>45841</v>
      </c>
      <c r="CI256">
        <v>1</v>
      </c>
      <c r="CJ256">
        <v>1</v>
      </c>
      <c r="CK256">
        <v>21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"080066310709"</f>
        <v>080066310709</v>
      </c>
      <c r="F257" s="3">
        <v>45840</v>
      </c>
      <c r="G257">
        <v>202604</v>
      </c>
      <c r="H257" t="s">
        <v>75</v>
      </c>
      <c r="I257" t="s">
        <v>76</v>
      </c>
      <c r="J257" t="s">
        <v>77</v>
      </c>
      <c r="K257" t="s">
        <v>78</v>
      </c>
      <c r="L257" t="s">
        <v>151</v>
      </c>
      <c r="M257" t="s">
        <v>152</v>
      </c>
      <c r="N257" t="s">
        <v>838</v>
      </c>
      <c r="O257" t="s">
        <v>82</v>
      </c>
      <c r="P257" t="str">
        <f>"4170046671                    "</f>
        <v xml:space="preserve">4170046671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22.6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71.2</v>
      </c>
      <c r="BM257">
        <v>10.68</v>
      </c>
      <c r="BN257">
        <v>81.88</v>
      </c>
      <c r="BO257">
        <v>81.88</v>
      </c>
      <c r="BQ257" t="s">
        <v>839</v>
      </c>
      <c r="BR257" t="s">
        <v>84</v>
      </c>
      <c r="BS257" s="3">
        <v>45841</v>
      </c>
      <c r="BT257" s="4">
        <v>0.37361111111111112</v>
      </c>
      <c r="BU257" t="s">
        <v>840</v>
      </c>
      <c r="BV257" t="s">
        <v>98</v>
      </c>
      <c r="BY257">
        <v>1200</v>
      </c>
      <c r="BZ257" t="s">
        <v>89</v>
      </c>
      <c r="CA257" t="s">
        <v>716</v>
      </c>
      <c r="CC257" t="s">
        <v>152</v>
      </c>
      <c r="CD257" s="5" t="s">
        <v>717</v>
      </c>
      <c r="CE257" t="s">
        <v>239</v>
      </c>
      <c r="CF257" s="3">
        <v>45841</v>
      </c>
      <c r="CI257">
        <v>1</v>
      </c>
      <c r="CJ257">
        <v>1</v>
      </c>
      <c r="CK257">
        <v>21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"080066310742"</f>
        <v>080066310742</v>
      </c>
      <c r="F258" s="3">
        <v>45840</v>
      </c>
      <c r="G258">
        <v>202604</v>
      </c>
      <c r="H258" t="s">
        <v>75</v>
      </c>
      <c r="I258" t="s">
        <v>76</v>
      </c>
      <c r="J258" t="s">
        <v>77</v>
      </c>
      <c r="K258" t="s">
        <v>78</v>
      </c>
      <c r="L258" t="s">
        <v>79</v>
      </c>
      <c r="M258" t="s">
        <v>80</v>
      </c>
      <c r="N258" t="s">
        <v>141</v>
      </c>
      <c r="O258" t="s">
        <v>82</v>
      </c>
      <c r="P258" t="str">
        <f>"4170046689                    "</f>
        <v xml:space="preserve">4170046689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22.6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71.2</v>
      </c>
      <c r="BM258">
        <v>10.68</v>
      </c>
      <c r="BN258">
        <v>81.88</v>
      </c>
      <c r="BO258">
        <v>81.88</v>
      </c>
      <c r="BQ258" t="s">
        <v>142</v>
      </c>
      <c r="BR258" t="s">
        <v>84</v>
      </c>
      <c r="BS258" s="3">
        <v>45841</v>
      </c>
      <c r="BT258" s="4">
        <v>0.39513888888888887</v>
      </c>
      <c r="BU258" t="s">
        <v>841</v>
      </c>
      <c r="BV258" t="s">
        <v>98</v>
      </c>
      <c r="BY258">
        <v>1200</v>
      </c>
      <c r="BZ258" t="s">
        <v>89</v>
      </c>
      <c r="CA258" t="s">
        <v>842</v>
      </c>
      <c r="CC258" t="s">
        <v>80</v>
      </c>
      <c r="CD258">
        <v>7441</v>
      </c>
      <c r="CE258" t="s">
        <v>239</v>
      </c>
      <c r="CF258" s="3">
        <v>45842</v>
      </c>
      <c r="CI258">
        <v>1</v>
      </c>
      <c r="CJ258">
        <v>1</v>
      </c>
      <c r="CK258">
        <v>21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"080066310762"</f>
        <v>080066310762</v>
      </c>
      <c r="F259" s="3">
        <v>45840</v>
      </c>
      <c r="G259">
        <v>202604</v>
      </c>
      <c r="H259" t="s">
        <v>75</v>
      </c>
      <c r="I259" t="s">
        <v>76</v>
      </c>
      <c r="J259" t="s">
        <v>77</v>
      </c>
      <c r="K259" t="s">
        <v>78</v>
      </c>
      <c r="L259" t="s">
        <v>92</v>
      </c>
      <c r="M259" t="s">
        <v>93</v>
      </c>
      <c r="N259" t="s">
        <v>843</v>
      </c>
      <c r="O259" t="s">
        <v>82</v>
      </c>
      <c r="P259" t="str">
        <f>"4170046698                    "</f>
        <v xml:space="preserve">4170046698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22.6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0.9</v>
      </c>
      <c r="BK259">
        <v>1</v>
      </c>
      <c r="BL259">
        <v>71.2</v>
      </c>
      <c r="BM259">
        <v>10.68</v>
      </c>
      <c r="BN259">
        <v>81.88</v>
      </c>
      <c r="BO259">
        <v>81.88</v>
      </c>
      <c r="BQ259" t="s">
        <v>844</v>
      </c>
      <c r="BR259" t="s">
        <v>84</v>
      </c>
      <c r="BS259" s="3">
        <v>45841</v>
      </c>
      <c r="BT259" s="4">
        <v>0.36805555555555558</v>
      </c>
      <c r="BU259" t="s">
        <v>845</v>
      </c>
      <c r="BV259" t="s">
        <v>98</v>
      </c>
      <c r="BY259">
        <v>4256</v>
      </c>
      <c r="BZ259" t="s">
        <v>89</v>
      </c>
      <c r="CA259" t="s">
        <v>846</v>
      </c>
      <c r="CC259" t="s">
        <v>93</v>
      </c>
      <c r="CD259">
        <v>4001</v>
      </c>
      <c r="CE259" t="s">
        <v>117</v>
      </c>
      <c r="CF259" s="3">
        <v>45841</v>
      </c>
      <c r="CI259">
        <v>1</v>
      </c>
      <c r="CJ259">
        <v>1</v>
      </c>
      <c r="CK259">
        <v>21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"080066310801"</f>
        <v>080066310801</v>
      </c>
      <c r="F260" s="3">
        <v>45840</v>
      </c>
      <c r="G260">
        <v>202604</v>
      </c>
      <c r="H260" t="s">
        <v>75</v>
      </c>
      <c r="I260" t="s">
        <v>76</v>
      </c>
      <c r="J260" t="s">
        <v>77</v>
      </c>
      <c r="K260" t="s">
        <v>78</v>
      </c>
      <c r="L260" t="s">
        <v>92</v>
      </c>
      <c r="M260" t="s">
        <v>93</v>
      </c>
      <c r="N260" t="s">
        <v>291</v>
      </c>
      <c r="O260" t="s">
        <v>82</v>
      </c>
      <c r="P260" t="str">
        <f>"4170046679                    "</f>
        <v xml:space="preserve">4170046679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</v>
      </c>
      <c r="BJ260">
        <v>1.1000000000000001</v>
      </c>
      <c r="BK260">
        <v>2</v>
      </c>
      <c r="BL260">
        <v>71.2</v>
      </c>
      <c r="BM260">
        <v>10.68</v>
      </c>
      <c r="BN260">
        <v>81.88</v>
      </c>
      <c r="BO260">
        <v>81.88</v>
      </c>
      <c r="BQ260" t="s">
        <v>292</v>
      </c>
      <c r="BR260" t="s">
        <v>84</v>
      </c>
      <c r="BS260" s="3">
        <v>45841</v>
      </c>
      <c r="BT260" s="4">
        <v>0.33680555555555558</v>
      </c>
      <c r="BU260" t="s">
        <v>847</v>
      </c>
      <c r="BV260" t="s">
        <v>98</v>
      </c>
      <c r="BY260">
        <v>5320</v>
      </c>
      <c r="BZ260" t="s">
        <v>89</v>
      </c>
      <c r="CA260" t="s">
        <v>294</v>
      </c>
      <c r="CC260" t="s">
        <v>93</v>
      </c>
      <c r="CD260">
        <v>4000</v>
      </c>
      <c r="CE260" t="s">
        <v>117</v>
      </c>
      <c r="CF260" s="3">
        <v>45841</v>
      </c>
      <c r="CI260">
        <v>1</v>
      </c>
      <c r="CJ260">
        <v>1</v>
      </c>
      <c r="CK260">
        <v>21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"080066310830"</f>
        <v>080066310830</v>
      </c>
      <c r="F261" s="3">
        <v>45840</v>
      </c>
      <c r="G261">
        <v>202604</v>
      </c>
      <c r="H261" t="s">
        <v>75</v>
      </c>
      <c r="I261" t="s">
        <v>76</v>
      </c>
      <c r="J261" t="s">
        <v>77</v>
      </c>
      <c r="K261" t="s">
        <v>78</v>
      </c>
      <c r="L261" t="s">
        <v>704</v>
      </c>
      <c r="M261" t="s">
        <v>705</v>
      </c>
      <c r="N261" t="s">
        <v>848</v>
      </c>
      <c r="O261" t="s">
        <v>82</v>
      </c>
      <c r="P261" t="str">
        <f>"4170046632                    "</f>
        <v xml:space="preserve">4170046632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43.78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2</v>
      </c>
      <c r="BJ261">
        <v>0.9</v>
      </c>
      <c r="BK261">
        <v>2</v>
      </c>
      <c r="BL261">
        <v>137.94</v>
      </c>
      <c r="BM261">
        <v>20.69</v>
      </c>
      <c r="BN261">
        <v>158.63</v>
      </c>
      <c r="BO261">
        <v>158.63</v>
      </c>
      <c r="BQ261" t="s">
        <v>849</v>
      </c>
      <c r="BR261" t="s">
        <v>84</v>
      </c>
      <c r="BS261" s="3">
        <v>45841</v>
      </c>
      <c r="BT261" s="4">
        <v>0.59513888888888888</v>
      </c>
      <c r="BU261" t="s">
        <v>850</v>
      </c>
      <c r="BV261" t="s">
        <v>98</v>
      </c>
      <c r="BY261">
        <v>4275</v>
      </c>
      <c r="BZ261" t="s">
        <v>89</v>
      </c>
      <c r="CA261" t="s">
        <v>709</v>
      </c>
      <c r="CC261" t="s">
        <v>705</v>
      </c>
      <c r="CD261">
        <v>6850</v>
      </c>
      <c r="CE261" t="s">
        <v>117</v>
      </c>
      <c r="CF261" s="3">
        <v>45842</v>
      </c>
      <c r="CI261">
        <v>2</v>
      </c>
      <c r="CJ261">
        <v>1</v>
      </c>
      <c r="CK261">
        <v>23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"080066310869"</f>
        <v>080066310869</v>
      </c>
      <c r="F262" s="3">
        <v>45840</v>
      </c>
      <c r="G262">
        <v>202604</v>
      </c>
      <c r="H262" t="s">
        <v>75</v>
      </c>
      <c r="I262" t="s">
        <v>76</v>
      </c>
      <c r="J262" t="s">
        <v>77</v>
      </c>
      <c r="K262" t="s">
        <v>78</v>
      </c>
      <c r="L262" t="s">
        <v>240</v>
      </c>
      <c r="M262" t="s">
        <v>241</v>
      </c>
      <c r="N262" t="s">
        <v>851</v>
      </c>
      <c r="O262" t="s">
        <v>311</v>
      </c>
      <c r="P262" t="str">
        <f>"4170046633                    "</f>
        <v xml:space="preserve">4170046633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23.6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6</v>
      </c>
      <c r="BJ262">
        <v>10.1</v>
      </c>
      <c r="BK262">
        <v>11</v>
      </c>
      <c r="BL262">
        <v>74.349999999999994</v>
      </c>
      <c r="BM262">
        <v>11.15</v>
      </c>
      <c r="BN262">
        <v>85.5</v>
      </c>
      <c r="BO262">
        <v>85.5</v>
      </c>
      <c r="BQ262" t="s">
        <v>852</v>
      </c>
      <c r="BR262" t="s">
        <v>84</v>
      </c>
      <c r="BS262" s="3">
        <v>45841</v>
      </c>
      <c r="BT262" s="4">
        <v>0.35</v>
      </c>
      <c r="BU262" t="s">
        <v>853</v>
      </c>
      <c r="BV262" t="s">
        <v>98</v>
      </c>
      <c r="BY262">
        <v>50688</v>
      </c>
      <c r="BZ262" t="s">
        <v>99</v>
      </c>
      <c r="CA262" t="s">
        <v>613</v>
      </c>
      <c r="CC262" t="s">
        <v>241</v>
      </c>
      <c r="CD262">
        <v>2094</v>
      </c>
      <c r="CE262" t="s">
        <v>117</v>
      </c>
      <c r="CF262" s="3">
        <v>45841</v>
      </c>
      <c r="CI262">
        <v>1</v>
      </c>
      <c r="CJ262">
        <v>1</v>
      </c>
      <c r="CK262">
        <v>32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"080066310904"</f>
        <v>080066310904</v>
      </c>
      <c r="F263" s="3">
        <v>45840</v>
      </c>
      <c r="G263">
        <v>202604</v>
      </c>
      <c r="H263" t="s">
        <v>75</v>
      </c>
      <c r="I263" t="s">
        <v>76</v>
      </c>
      <c r="J263" t="s">
        <v>77</v>
      </c>
      <c r="K263" t="s">
        <v>78</v>
      </c>
      <c r="L263" t="s">
        <v>854</v>
      </c>
      <c r="M263" t="s">
        <v>855</v>
      </c>
      <c r="N263" t="s">
        <v>856</v>
      </c>
      <c r="O263" t="s">
        <v>82</v>
      </c>
      <c r="P263" t="str">
        <f>"4170046547                    "</f>
        <v xml:space="preserve">4170046547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63.56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16.739999999999998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3</v>
      </c>
      <c r="BK263">
        <v>3</v>
      </c>
      <c r="BL263">
        <v>216.98</v>
      </c>
      <c r="BM263">
        <v>32.549999999999997</v>
      </c>
      <c r="BN263">
        <v>249.53</v>
      </c>
      <c r="BO263">
        <v>249.53</v>
      </c>
      <c r="BQ263" t="s">
        <v>857</v>
      </c>
      <c r="BR263" t="s">
        <v>84</v>
      </c>
      <c r="BS263" s="3">
        <v>45841</v>
      </c>
      <c r="BT263" s="4">
        <v>0.4375</v>
      </c>
      <c r="BU263" t="s">
        <v>858</v>
      </c>
      <c r="BV263" t="s">
        <v>98</v>
      </c>
      <c r="BY263">
        <v>15246</v>
      </c>
      <c r="BZ263" t="s">
        <v>460</v>
      </c>
      <c r="CA263" t="s">
        <v>859</v>
      </c>
      <c r="CC263" t="s">
        <v>855</v>
      </c>
      <c r="CD263" s="5" t="s">
        <v>860</v>
      </c>
      <c r="CE263" t="s">
        <v>91</v>
      </c>
      <c r="CF263" s="3">
        <v>45842</v>
      </c>
      <c r="CI263">
        <v>1</v>
      </c>
      <c r="CJ263">
        <v>1</v>
      </c>
      <c r="CK263">
        <v>23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"080066310931"</f>
        <v>080066310931</v>
      </c>
      <c r="F264" s="3">
        <v>45840</v>
      </c>
      <c r="G264">
        <v>202604</v>
      </c>
      <c r="H264" t="s">
        <v>75</v>
      </c>
      <c r="I264" t="s">
        <v>76</v>
      </c>
      <c r="J264" t="s">
        <v>77</v>
      </c>
      <c r="K264" t="s">
        <v>78</v>
      </c>
      <c r="L264" t="s">
        <v>79</v>
      </c>
      <c r="M264" t="s">
        <v>80</v>
      </c>
      <c r="N264" t="s">
        <v>141</v>
      </c>
      <c r="O264" t="s">
        <v>82</v>
      </c>
      <c r="P264" t="str">
        <f>"4170046674                    "</f>
        <v xml:space="preserve">4170046674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22.6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1.1000000000000001</v>
      </c>
      <c r="BK264">
        <v>1.5</v>
      </c>
      <c r="BL264">
        <v>71.2</v>
      </c>
      <c r="BM264">
        <v>10.68</v>
      </c>
      <c r="BN264">
        <v>81.88</v>
      </c>
      <c r="BO264">
        <v>81.88</v>
      </c>
      <c r="BQ264" t="s">
        <v>142</v>
      </c>
      <c r="BR264" t="s">
        <v>84</v>
      </c>
      <c r="BS264" s="3">
        <v>45841</v>
      </c>
      <c r="BT264" s="4">
        <v>0.39513888888888887</v>
      </c>
      <c r="BU264" t="s">
        <v>841</v>
      </c>
      <c r="BV264" t="s">
        <v>98</v>
      </c>
      <c r="BY264">
        <v>5320</v>
      </c>
      <c r="BZ264" t="s">
        <v>89</v>
      </c>
      <c r="CA264" t="s">
        <v>842</v>
      </c>
      <c r="CC264" t="s">
        <v>80</v>
      </c>
      <c r="CD264">
        <v>7441</v>
      </c>
      <c r="CE264" t="s">
        <v>117</v>
      </c>
      <c r="CF264" s="3">
        <v>45842</v>
      </c>
      <c r="CI264">
        <v>1</v>
      </c>
      <c r="CJ264">
        <v>1</v>
      </c>
      <c r="CK264">
        <v>21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"080066311037"</f>
        <v>080066311037</v>
      </c>
      <c r="F265" s="3">
        <v>45840</v>
      </c>
      <c r="G265">
        <v>202604</v>
      </c>
      <c r="H265" t="s">
        <v>75</v>
      </c>
      <c r="I265" t="s">
        <v>76</v>
      </c>
      <c r="J265" t="s">
        <v>77</v>
      </c>
      <c r="K265" t="s">
        <v>78</v>
      </c>
      <c r="L265" t="s">
        <v>122</v>
      </c>
      <c r="M265" t="s">
        <v>123</v>
      </c>
      <c r="N265" t="s">
        <v>357</v>
      </c>
      <c r="O265" t="s">
        <v>82</v>
      </c>
      <c r="P265" t="str">
        <f>"4170046660                    "</f>
        <v xml:space="preserve">4170046660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22.6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2</v>
      </c>
      <c r="BK265">
        <v>2</v>
      </c>
      <c r="BL265">
        <v>71.2</v>
      </c>
      <c r="BM265">
        <v>10.68</v>
      </c>
      <c r="BN265">
        <v>81.88</v>
      </c>
      <c r="BO265">
        <v>81.88</v>
      </c>
      <c r="BQ265" t="s">
        <v>358</v>
      </c>
      <c r="BR265" t="s">
        <v>84</v>
      </c>
      <c r="BS265" s="3">
        <v>45841</v>
      </c>
      <c r="BT265" s="4">
        <v>0.37013888888888891</v>
      </c>
      <c r="BU265" t="s">
        <v>359</v>
      </c>
      <c r="BV265" t="s">
        <v>98</v>
      </c>
      <c r="BY265">
        <v>9900</v>
      </c>
      <c r="BZ265" t="s">
        <v>89</v>
      </c>
      <c r="CA265" t="s">
        <v>270</v>
      </c>
      <c r="CC265" t="s">
        <v>123</v>
      </c>
      <c r="CD265">
        <v>3610</v>
      </c>
      <c r="CE265" t="s">
        <v>117</v>
      </c>
      <c r="CF265" s="3">
        <v>45841</v>
      </c>
      <c r="CI265">
        <v>1</v>
      </c>
      <c r="CJ265">
        <v>1</v>
      </c>
      <c r="CK265">
        <v>21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"080066311064"</f>
        <v>080066311064</v>
      </c>
      <c r="F266" s="3">
        <v>45840</v>
      </c>
      <c r="G266">
        <v>202604</v>
      </c>
      <c r="H266" t="s">
        <v>75</v>
      </c>
      <c r="I266" t="s">
        <v>76</v>
      </c>
      <c r="J266" t="s">
        <v>77</v>
      </c>
      <c r="K266" t="s">
        <v>78</v>
      </c>
      <c r="L266" t="s">
        <v>79</v>
      </c>
      <c r="M266" t="s">
        <v>80</v>
      </c>
      <c r="N266" t="s">
        <v>755</v>
      </c>
      <c r="O266" t="s">
        <v>82</v>
      </c>
      <c r="P266" t="str">
        <f>"4170046642                    "</f>
        <v xml:space="preserve">4170046642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22.6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1.3</v>
      </c>
      <c r="BK266">
        <v>1.5</v>
      </c>
      <c r="BL266">
        <v>71.2</v>
      </c>
      <c r="BM266">
        <v>10.68</v>
      </c>
      <c r="BN266">
        <v>81.88</v>
      </c>
      <c r="BO266">
        <v>81.88</v>
      </c>
      <c r="BQ266" t="s">
        <v>756</v>
      </c>
      <c r="BR266" t="s">
        <v>84</v>
      </c>
      <c r="BS266" s="3">
        <v>45841</v>
      </c>
      <c r="BT266" s="4">
        <v>0.3923611111111111</v>
      </c>
      <c r="BU266" t="s">
        <v>757</v>
      </c>
      <c r="BV266" t="s">
        <v>98</v>
      </c>
      <c r="BY266">
        <v>6468</v>
      </c>
      <c r="BZ266" t="s">
        <v>89</v>
      </c>
      <c r="CA266" t="s">
        <v>665</v>
      </c>
      <c r="CC266" t="s">
        <v>80</v>
      </c>
      <c r="CD266">
        <v>7945</v>
      </c>
      <c r="CE266" t="s">
        <v>91</v>
      </c>
      <c r="CF266" s="3">
        <v>45842</v>
      </c>
      <c r="CI266">
        <v>1</v>
      </c>
      <c r="CJ266">
        <v>1</v>
      </c>
      <c r="CK266">
        <v>21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"080066311122"</f>
        <v>080066311122</v>
      </c>
      <c r="F267" s="3">
        <v>45840</v>
      </c>
      <c r="G267">
        <v>202604</v>
      </c>
      <c r="H267" t="s">
        <v>75</v>
      </c>
      <c r="I267" t="s">
        <v>76</v>
      </c>
      <c r="J267" t="s">
        <v>77</v>
      </c>
      <c r="K267" t="s">
        <v>78</v>
      </c>
      <c r="L267" t="s">
        <v>168</v>
      </c>
      <c r="M267" t="s">
        <v>169</v>
      </c>
      <c r="N267" t="s">
        <v>861</v>
      </c>
      <c r="O267" t="s">
        <v>82</v>
      </c>
      <c r="P267" t="str">
        <f>"4170046639                    "</f>
        <v xml:space="preserve">4170046639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56.47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5</v>
      </c>
      <c r="BJ267">
        <v>4.0999999999999996</v>
      </c>
      <c r="BK267">
        <v>5</v>
      </c>
      <c r="BL267">
        <v>177.91</v>
      </c>
      <c r="BM267">
        <v>26.69</v>
      </c>
      <c r="BN267">
        <v>204.6</v>
      </c>
      <c r="BO267">
        <v>204.6</v>
      </c>
      <c r="BQ267" t="s">
        <v>862</v>
      </c>
      <c r="BR267" t="s">
        <v>84</v>
      </c>
      <c r="BS267" s="3">
        <v>45841</v>
      </c>
      <c r="BT267" s="4">
        <v>0.30555555555555558</v>
      </c>
      <c r="BU267" t="s">
        <v>863</v>
      </c>
      <c r="BV267" t="s">
        <v>98</v>
      </c>
      <c r="BY267">
        <v>20358</v>
      </c>
      <c r="BZ267" t="s">
        <v>89</v>
      </c>
      <c r="CA267" t="s">
        <v>423</v>
      </c>
      <c r="CC267" t="s">
        <v>169</v>
      </c>
      <c r="CD267">
        <v>6045</v>
      </c>
      <c r="CE267" t="s">
        <v>117</v>
      </c>
      <c r="CF267" s="3">
        <v>45841</v>
      </c>
      <c r="CI267">
        <v>1</v>
      </c>
      <c r="CJ267">
        <v>1</v>
      </c>
      <c r="CK267">
        <v>21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"R080066276040"</f>
        <v>R080066276040</v>
      </c>
      <c r="F268" s="3">
        <v>45840</v>
      </c>
      <c r="G268">
        <v>202604</v>
      </c>
      <c r="H268" t="s">
        <v>122</v>
      </c>
      <c r="I268" t="s">
        <v>123</v>
      </c>
      <c r="J268" t="s">
        <v>357</v>
      </c>
      <c r="K268" t="s">
        <v>78</v>
      </c>
      <c r="L268" t="s">
        <v>75</v>
      </c>
      <c r="M268" t="s">
        <v>76</v>
      </c>
      <c r="N268" t="s">
        <v>77</v>
      </c>
      <c r="O268" t="s">
        <v>95</v>
      </c>
      <c r="P268" t="str">
        <f>"4170046428                    "</f>
        <v xml:space="preserve">4170046428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43.7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143.55000000000001</v>
      </c>
      <c r="BM268">
        <v>21.53</v>
      </c>
      <c r="BN268">
        <v>165.08</v>
      </c>
      <c r="BO268">
        <v>165.08</v>
      </c>
      <c r="BQ268" t="s">
        <v>84</v>
      </c>
      <c r="BR268" t="s">
        <v>358</v>
      </c>
      <c r="BS268" s="3">
        <v>45841</v>
      </c>
      <c r="BT268" s="4">
        <v>0.41319444444444442</v>
      </c>
      <c r="BU268" t="s">
        <v>864</v>
      </c>
      <c r="BV268" t="s">
        <v>98</v>
      </c>
      <c r="BY268">
        <v>1200</v>
      </c>
      <c r="BZ268" t="s">
        <v>99</v>
      </c>
      <c r="CC268" t="s">
        <v>76</v>
      </c>
      <c r="CD268">
        <v>1601</v>
      </c>
      <c r="CE268" t="s">
        <v>239</v>
      </c>
      <c r="CF268" s="3">
        <v>45841</v>
      </c>
      <c r="CI268">
        <v>1</v>
      </c>
      <c r="CJ268">
        <v>1</v>
      </c>
      <c r="CK268">
        <v>41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"080066311758"</f>
        <v>080066311758</v>
      </c>
      <c r="F269" s="3">
        <v>45840</v>
      </c>
      <c r="G269">
        <v>202604</v>
      </c>
      <c r="H269" t="s">
        <v>75</v>
      </c>
      <c r="I269" t="s">
        <v>76</v>
      </c>
      <c r="J269" t="s">
        <v>77</v>
      </c>
      <c r="K269" t="s">
        <v>78</v>
      </c>
      <c r="L269" t="s">
        <v>865</v>
      </c>
      <c r="M269" t="s">
        <v>866</v>
      </c>
      <c r="N269" t="s">
        <v>867</v>
      </c>
      <c r="O269" t="s">
        <v>82</v>
      </c>
      <c r="P269" t="str">
        <f>"4170046707                    "</f>
        <v xml:space="preserve">4170046707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162.41999999999999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8</v>
      </c>
      <c r="BJ269">
        <v>4.0999999999999996</v>
      </c>
      <c r="BK269">
        <v>8</v>
      </c>
      <c r="BL269">
        <v>511.7</v>
      </c>
      <c r="BM269">
        <v>76.760000000000005</v>
      </c>
      <c r="BN269">
        <v>588.46</v>
      </c>
      <c r="BO269">
        <v>588.46</v>
      </c>
      <c r="BQ269" t="s">
        <v>868</v>
      </c>
      <c r="BR269" t="s">
        <v>84</v>
      </c>
      <c r="BS269" s="3">
        <v>45841</v>
      </c>
      <c r="BT269" s="4">
        <v>0.54166666666666663</v>
      </c>
      <c r="BU269" t="s">
        <v>869</v>
      </c>
      <c r="BV269" t="s">
        <v>98</v>
      </c>
      <c r="BY269">
        <v>20358</v>
      </c>
      <c r="BZ269" t="s">
        <v>89</v>
      </c>
      <c r="CC269" t="s">
        <v>866</v>
      </c>
      <c r="CD269">
        <v>8446</v>
      </c>
      <c r="CE269" t="s">
        <v>117</v>
      </c>
      <c r="CF269" s="3">
        <v>45841</v>
      </c>
      <c r="CI269">
        <v>1</v>
      </c>
      <c r="CJ269">
        <v>1</v>
      </c>
      <c r="CK269">
        <v>23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"080066311820"</f>
        <v>080066311820</v>
      </c>
      <c r="F270" s="3">
        <v>45840</v>
      </c>
      <c r="G270">
        <v>202604</v>
      </c>
      <c r="H270" t="s">
        <v>75</v>
      </c>
      <c r="I270" t="s">
        <v>76</v>
      </c>
      <c r="J270" t="s">
        <v>77</v>
      </c>
      <c r="K270" t="s">
        <v>78</v>
      </c>
      <c r="L270" t="s">
        <v>452</v>
      </c>
      <c r="M270" t="s">
        <v>453</v>
      </c>
      <c r="N270" t="s">
        <v>870</v>
      </c>
      <c r="O270" t="s">
        <v>82</v>
      </c>
      <c r="P270" t="str">
        <f>"4170046524                    "</f>
        <v xml:space="preserve">4170046524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17.649999999999999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0.9</v>
      </c>
      <c r="BK270">
        <v>1</v>
      </c>
      <c r="BL270">
        <v>55.61</v>
      </c>
      <c r="BM270">
        <v>8.34</v>
      </c>
      <c r="BN270">
        <v>63.95</v>
      </c>
      <c r="BO270">
        <v>63.95</v>
      </c>
      <c r="BQ270" t="s">
        <v>871</v>
      </c>
      <c r="BR270" t="s">
        <v>84</v>
      </c>
      <c r="BS270" s="3">
        <v>45841</v>
      </c>
      <c r="BT270" s="4">
        <v>0.56458333333333333</v>
      </c>
      <c r="BU270" t="s">
        <v>872</v>
      </c>
      <c r="BV270" t="s">
        <v>86</v>
      </c>
      <c r="BW270" t="s">
        <v>395</v>
      </c>
      <c r="BX270" t="s">
        <v>528</v>
      </c>
      <c r="BY270">
        <v>4680</v>
      </c>
      <c r="BZ270" t="s">
        <v>89</v>
      </c>
      <c r="CA270" t="s">
        <v>873</v>
      </c>
      <c r="CC270" t="s">
        <v>453</v>
      </c>
      <c r="CD270">
        <v>1559</v>
      </c>
      <c r="CE270" t="s">
        <v>117</v>
      </c>
      <c r="CF270" s="3">
        <v>45841</v>
      </c>
      <c r="CI270">
        <v>1</v>
      </c>
      <c r="CJ270">
        <v>1</v>
      </c>
      <c r="CK270">
        <v>22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"080066311859"</f>
        <v>080066311859</v>
      </c>
      <c r="F271" s="3">
        <v>45840</v>
      </c>
      <c r="G271">
        <v>202604</v>
      </c>
      <c r="H271" t="s">
        <v>75</v>
      </c>
      <c r="I271" t="s">
        <v>76</v>
      </c>
      <c r="J271" t="s">
        <v>77</v>
      </c>
      <c r="K271" t="s">
        <v>78</v>
      </c>
      <c r="L271" t="s">
        <v>580</v>
      </c>
      <c r="M271" t="s">
        <v>581</v>
      </c>
      <c r="N271" t="s">
        <v>582</v>
      </c>
      <c r="O271" t="s">
        <v>82</v>
      </c>
      <c r="P271" t="str">
        <f>"4170046685                    "</f>
        <v xml:space="preserve">4170046685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50.82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3</v>
      </c>
      <c r="BJ271">
        <v>4.5</v>
      </c>
      <c r="BK271">
        <v>4.5</v>
      </c>
      <c r="BL271">
        <v>160.12</v>
      </c>
      <c r="BM271">
        <v>24.02</v>
      </c>
      <c r="BN271">
        <v>184.14</v>
      </c>
      <c r="BO271">
        <v>184.14</v>
      </c>
      <c r="BQ271" t="s">
        <v>583</v>
      </c>
      <c r="BR271" t="s">
        <v>84</v>
      </c>
      <c r="BS271" s="3">
        <v>45841</v>
      </c>
      <c r="BT271" s="4">
        <v>0.41666666666666669</v>
      </c>
      <c r="BU271" t="s">
        <v>584</v>
      </c>
      <c r="BV271" t="s">
        <v>98</v>
      </c>
      <c r="BY271">
        <v>22400</v>
      </c>
      <c r="BZ271" t="s">
        <v>89</v>
      </c>
      <c r="CA271" t="s">
        <v>585</v>
      </c>
      <c r="CC271" t="s">
        <v>581</v>
      </c>
      <c r="CD271">
        <v>4302</v>
      </c>
      <c r="CE271" t="s">
        <v>117</v>
      </c>
      <c r="CF271" s="3">
        <v>45842</v>
      </c>
      <c r="CI271">
        <v>1</v>
      </c>
      <c r="CJ271">
        <v>1</v>
      </c>
      <c r="CK271">
        <v>21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"080066311914"</f>
        <v>080066311914</v>
      </c>
      <c r="F272" s="3">
        <v>45840</v>
      </c>
      <c r="G272">
        <v>202604</v>
      </c>
      <c r="H272" t="s">
        <v>75</v>
      </c>
      <c r="I272" t="s">
        <v>76</v>
      </c>
      <c r="J272" t="s">
        <v>77</v>
      </c>
      <c r="K272" t="s">
        <v>78</v>
      </c>
      <c r="L272" t="s">
        <v>122</v>
      </c>
      <c r="M272" t="s">
        <v>123</v>
      </c>
      <c r="N272" t="s">
        <v>267</v>
      </c>
      <c r="O272" t="s">
        <v>95</v>
      </c>
      <c r="P272" t="str">
        <f>"4170046670                    "</f>
        <v xml:space="preserve">4170046670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54.53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21</v>
      </c>
      <c r="BJ272">
        <v>9.1</v>
      </c>
      <c r="BK272">
        <v>21</v>
      </c>
      <c r="BL272">
        <v>177.66</v>
      </c>
      <c r="BM272">
        <v>26.65</v>
      </c>
      <c r="BN272">
        <v>204.31</v>
      </c>
      <c r="BO272">
        <v>204.31</v>
      </c>
      <c r="BQ272" t="s">
        <v>268</v>
      </c>
      <c r="BR272" t="s">
        <v>84</v>
      </c>
      <c r="BS272" s="3">
        <v>45841</v>
      </c>
      <c r="BT272" s="4">
        <v>0.36736111111111114</v>
      </c>
      <c r="BU272" t="s">
        <v>722</v>
      </c>
      <c r="BV272" t="s">
        <v>98</v>
      </c>
      <c r="BY272">
        <v>45632</v>
      </c>
      <c r="BZ272" t="s">
        <v>99</v>
      </c>
      <c r="CA272" t="s">
        <v>270</v>
      </c>
      <c r="CC272" t="s">
        <v>123</v>
      </c>
      <c r="CD272">
        <v>3610</v>
      </c>
      <c r="CE272" t="s">
        <v>874</v>
      </c>
      <c r="CF272" s="3">
        <v>45841</v>
      </c>
      <c r="CI272">
        <v>1</v>
      </c>
      <c r="CJ272">
        <v>1</v>
      </c>
      <c r="CK272">
        <v>41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"080066311957"</f>
        <v>080066311957</v>
      </c>
      <c r="F273" s="3">
        <v>45840</v>
      </c>
      <c r="G273">
        <v>202604</v>
      </c>
      <c r="H273" t="s">
        <v>75</v>
      </c>
      <c r="I273" t="s">
        <v>76</v>
      </c>
      <c r="J273" t="s">
        <v>77</v>
      </c>
      <c r="K273" t="s">
        <v>78</v>
      </c>
      <c r="L273" t="s">
        <v>151</v>
      </c>
      <c r="M273" t="s">
        <v>152</v>
      </c>
      <c r="N273" t="s">
        <v>835</v>
      </c>
      <c r="O273" t="s">
        <v>95</v>
      </c>
      <c r="P273" t="str">
        <f>"4170046665                    "</f>
        <v xml:space="preserve">4170046665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43.7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9</v>
      </c>
      <c r="BJ273">
        <v>12</v>
      </c>
      <c r="BK273">
        <v>12</v>
      </c>
      <c r="BL273">
        <v>143.55000000000001</v>
      </c>
      <c r="BM273">
        <v>21.53</v>
      </c>
      <c r="BN273">
        <v>165.08</v>
      </c>
      <c r="BO273">
        <v>165.08</v>
      </c>
      <c r="BQ273" t="s">
        <v>836</v>
      </c>
      <c r="BR273" t="s">
        <v>84</v>
      </c>
      <c r="BS273" s="3">
        <v>45841</v>
      </c>
      <c r="BT273" s="4">
        <v>0.37986111111111109</v>
      </c>
      <c r="BU273" t="s">
        <v>837</v>
      </c>
      <c r="BV273" t="s">
        <v>98</v>
      </c>
      <c r="BY273">
        <v>60025</v>
      </c>
      <c r="BZ273" t="s">
        <v>99</v>
      </c>
      <c r="CA273" t="s">
        <v>716</v>
      </c>
      <c r="CC273" t="s">
        <v>152</v>
      </c>
      <c r="CD273" s="5" t="s">
        <v>717</v>
      </c>
      <c r="CE273" t="s">
        <v>875</v>
      </c>
      <c r="CF273" s="3">
        <v>45841</v>
      </c>
      <c r="CI273">
        <v>1</v>
      </c>
      <c r="CJ273">
        <v>1</v>
      </c>
      <c r="CK273">
        <v>41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"080066311989"</f>
        <v>080066311989</v>
      </c>
      <c r="F274" s="3">
        <v>45840</v>
      </c>
      <c r="G274">
        <v>202604</v>
      </c>
      <c r="H274" t="s">
        <v>75</v>
      </c>
      <c r="I274" t="s">
        <v>76</v>
      </c>
      <c r="J274" t="s">
        <v>77</v>
      </c>
      <c r="K274" t="s">
        <v>78</v>
      </c>
      <c r="L274" t="s">
        <v>79</v>
      </c>
      <c r="M274" t="s">
        <v>80</v>
      </c>
      <c r="N274" t="s">
        <v>876</v>
      </c>
      <c r="O274" t="s">
        <v>82</v>
      </c>
      <c r="P274" t="str">
        <f>"4170046654                    "</f>
        <v xml:space="preserve">4170046654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84.7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5</v>
      </c>
      <c r="BJ274">
        <v>7.2</v>
      </c>
      <c r="BK274">
        <v>7.5</v>
      </c>
      <c r="BL274">
        <v>266.83999999999997</v>
      </c>
      <c r="BM274">
        <v>40.03</v>
      </c>
      <c r="BN274">
        <v>306.87</v>
      </c>
      <c r="BO274">
        <v>306.87</v>
      </c>
      <c r="BQ274" t="s">
        <v>877</v>
      </c>
      <c r="BR274" t="s">
        <v>84</v>
      </c>
      <c r="BS274" s="3">
        <v>45841</v>
      </c>
      <c r="BT274" s="4">
        <v>0.39513888888888887</v>
      </c>
      <c r="BU274" t="s">
        <v>878</v>
      </c>
      <c r="BV274" t="s">
        <v>98</v>
      </c>
      <c r="BY274">
        <v>36000</v>
      </c>
      <c r="BZ274" t="s">
        <v>89</v>
      </c>
      <c r="CA274" t="s">
        <v>162</v>
      </c>
      <c r="CC274" t="s">
        <v>80</v>
      </c>
      <c r="CD274">
        <v>7441</v>
      </c>
      <c r="CE274" t="s">
        <v>91</v>
      </c>
      <c r="CF274" s="3">
        <v>45842</v>
      </c>
      <c r="CI274">
        <v>1</v>
      </c>
      <c r="CJ274">
        <v>1</v>
      </c>
      <c r="CK274">
        <v>21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"080066312017"</f>
        <v>080066312017</v>
      </c>
      <c r="F275" s="3">
        <v>45840</v>
      </c>
      <c r="G275">
        <v>202604</v>
      </c>
      <c r="H275" t="s">
        <v>75</v>
      </c>
      <c r="I275" t="s">
        <v>76</v>
      </c>
      <c r="J275" t="s">
        <v>77</v>
      </c>
      <c r="K275" t="s">
        <v>78</v>
      </c>
      <c r="L275" t="s">
        <v>79</v>
      </c>
      <c r="M275" t="s">
        <v>80</v>
      </c>
      <c r="N275" t="s">
        <v>879</v>
      </c>
      <c r="O275" t="s">
        <v>95</v>
      </c>
      <c r="P275" t="str">
        <f>"4170046657                    "</f>
        <v xml:space="preserve">4170046657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56.33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22</v>
      </c>
      <c r="BJ275">
        <v>12</v>
      </c>
      <c r="BK275">
        <v>22</v>
      </c>
      <c r="BL275">
        <v>183.34</v>
      </c>
      <c r="BM275">
        <v>27.5</v>
      </c>
      <c r="BN275">
        <v>210.84</v>
      </c>
      <c r="BO275">
        <v>210.84</v>
      </c>
      <c r="BQ275" t="s">
        <v>880</v>
      </c>
      <c r="BR275" t="s">
        <v>84</v>
      </c>
      <c r="BS275" s="3">
        <v>45842</v>
      </c>
      <c r="BT275" s="4">
        <v>0.52638888888888891</v>
      </c>
      <c r="BU275" t="s">
        <v>881</v>
      </c>
      <c r="BV275" t="s">
        <v>98</v>
      </c>
      <c r="BY275">
        <v>60000</v>
      </c>
      <c r="BZ275" t="s">
        <v>99</v>
      </c>
      <c r="CA275" t="s">
        <v>658</v>
      </c>
      <c r="CC275" t="s">
        <v>80</v>
      </c>
      <c r="CD275">
        <v>8000</v>
      </c>
      <c r="CE275" t="s">
        <v>117</v>
      </c>
      <c r="CF275" s="3">
        <v>45845</v>
      </c>
      <c r="CI275">
        <v>3</v>
      </c>
      <c r="CJ275">
        <v>2</v>
      </c>
      <c r="CK275">
        <v>41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"080066312104"</f>
        <v>080066312104</v>
      </c>
      <c r="F276" s="3">
        <v>45840</v>
      </c>
      <c r="G276">
        <v>202604</v>
      </c>
      <c r="H276" t="s">
        <v>75</v>
      </c>
      <c r="I276" t="s">
        <v>76</v>
      </c>
      <c r="J276" t="s">
        <v>77</v>
      </c>
      <c r="K276" t="s">
        <v>78</v>
      </c>
      <c r="L276" t="s">
        <v>151</v>
      </c>
      <c r="M276" t="s">
        <v>152</v>
      </c>
      <c r="N276" t="s">
        <v>838</v>
      </c>
      <c r="O276" t="s">
        <v>82</v>
      </c>
      <c r="P276" t="str">
        <f>"4170046673                    "</f>
        <v xml:space="preserve">4170046673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22.6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71.2</v>
      </c>
      <c r="BM276">
        <v>10.68</v>
      </c>
      <c r="BN276">
        <v>81.88</v>
      </c>
      <c r="BO276">
        <v>81.88</v>
      </c>
      <c r="BQ276" t="s">
        <v>839</v>
      </c>
      <c r="BR276" t="s">
        <v>84</v>
      </c>
      <c r="BS276" s="3">
        <v>45841</v>
      </c>
      <c r="BT276" s="4">
        <v>0.37361111111111112</v>
      </c>
      <c r="BU276" t="s">
        <v>840</v>
      </c>
      <c r="BV276" t="s">
        <v>98</v>
      </c>
      <c r="BY276">
        <v>1200</v>
      </c>
      <c r="BZ276" t="s">
        <v>89</v>
      </c>
      <c r="CA276" t="s">
        <v>716</v>
      </c>
      <c r="CC276" t="s">
        <v>152</v>
      </c>
      <c r="CD276" s="5" t="s">
        <v>717</v>
      </c>
      <c r="CE276" t="s">
        <v>239</v>
      </c>
      <c r="CF276" s="3">
        <v>45841</v>
      </c>
      <c r="CI276">
        <v>1</v>
      </c>
      <c r="CJ276">
        <v>1</v>
      </c>
      <c r="CK276">
        <v>21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"080066312137"</f>
        <v>080066312137</v>
      </c>
      <c r="F277" s="3">
        <v>45840</v>
      </c>
      <c r="G277">
        <v>202604</v>
      </c>
      <c r="H277" t="s">
        <v>75</v>
      </c>
      <c r="I277" t="s">
        <v>76</v>
      </c>
      <c r="J277" t="s">
        <v>77</v>
      </c>
      <c r="K277" t="s">
        <v>78</v>
      </c>
      <c r="L277" t="s">
        <v>75</v>
      </c>
      <c r="M277" t="s">
        <v>76</v>
      </c>
      <c r="N277" t="s">
        <v>809</v>
      </c>
      <c r="O277" t="s">
        <v>82</v>
      </c>
      <c r="P277" t="str">
        <f>"4170046538                    "</f>
        <v xml:space="preserve">4170046538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17.649999999999999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55.61</v>
      </c>
      <c r="BM277">
        <v>8.34</v>
      </c>
      <c r="BN277">
        <v>63.95</v>
      </c>
      <c r="BO277">
        <v>63.95</v>
      </c>
      <c r="BQ277" t="s">
        <v>810</v>
      </c>
      <c r="BR277" t="s">
        <v>84</v>
      </c>
      <c r="BS277" s="3">
        <v>45841</v>
      </c>
      <c r="BT277" s="4">
        <v>0.36666666666666664</v>
      </c>
      <c r="BU277" t="s">
        <v>882</v>
      </c>
      <c r="BV277" t="s">
        <v>98</v>
      </c>
      <c r="BY277">
        <v>1200</v>
      </c>
      <c r="BZ277" t="s">
        <v>89</v>
      </c>
      <c r="CA277" t="s">
        <v>883</v>
      </c>
      <c r="CC277" t="s">
        <v>76</v>
      </c>
      <c r="CD277">
        <v>1666</v>
      </c>
      <c r="CE277" t="s">
        <v>239</v>
      </c>
      <c r="CF277" s="3">
        <v>45841</v>
      </c>
      <c r="CI277">
        <v>1</v>
      </c>
      <c r="CJ277">
        <v>1</v>
      </c>
      <c r="CK277">
        <v>22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"080066312160"</f>
        <v>080066312160</v>
      </c>
      <c r="F278" s="3">
        <v>45840</v>
      </c>
      <c r="G278">
        <v>202604</v>
      </c>
      <c r="H278" t="s">
        <v>75</v>
      </c>
      <c r="I278" t="s">
        <v>76</v>
      </c>
      <c r="J278" t="s">
        <v>77</v>
      </c>
      <c r="K278" t="s">
        <v>78</v>
      </c>
      <c r="L278" t="s">
        <v>111</v>
      </c>
      <c r="M278" t="s">
        <v>112</v>
      </c>
      <c r="N278" t="s">
        <v>884</v>
      </c>
      <c r="O278" t="s">
        <v>82</v>
      </c>
      <c r="P278" t="str">
        <f>"4170046543                    "</f>
        <v xml:space="preserve">4170046543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43.78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137.94</v>
      </c>
      <c r="BM278">
        <v>20.69</v>
      </c>
      <c r="BN278">
        <v>158.63</v>
      </c>
      <c r="BO278">
        <v>158.63</v>
      </c>
      <c r="BQ278" t="s">
        <v>885</v>
      </c>
      <c r="BR278" t="s">
        <v>84</v>
      </c>
      <c r="BS278" s="3">
        <v>45841</v>
      </c>
      <c r="BT278" s="4">
        <v>0.4375</v>
      </c>
      <c r="BU278" t="s">
        <v>886</v>
      </c>
      <c r="BV278" t="s">
        <v>98</v>
      </c>
      <c r="BY278">
        <v>1200</v>
      </c>
      <c r="BZ278" t="s">
        <v>89</v>
      </c>
      <c r="CA278" t="s">
        <v>116</v>
      </c>
      <c r="CC278" t="s">
        <v>112</v>
      </c>
      <c r="CD278">
        <v>1871</v>
      </c>
      <c r="CE278" t="s">
        <v>239</v>
      </c>
      <c r="CF278" s="3">
        <v>45841</v>
      </c>
      <c r="CI278">
        <v>1</v>
      </c>
      <c r="CJ278">
        <v>1</v>
      </c>
      <c r="CK278">
        <v>23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"080066312202"</f>
        <v>080066312202</v>
      </c>
      <c r="F279" s="3">
        <v>45840</v>
      </c>
      <c r="G279">
        <v>202604</v>
      </c>
      <c r="H279" t="s">
        <v>75</v>
      </c>
      <c r="I279" t="s">
        <v>76</v>
      </c>
      <c r="J279" t="s">
        <v>77</v>
      </c>
      <c r="K279" t="s">
        <v>78</v>
      </c>
      <c r="L279" t="s">
        <v>122</v>
      </c>
      <c r="M279" t="s">
        <v>123</v>
      </c>
      <c r="N279" t="s">
        <v>357</v>
      </c>
      <c r="O279" t="s">
        <v>82</v>
      </c>
      <c r="P279" t="str">
        <f>"4170046664                    "</f>
        <v xml:space="preserve">4170046664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22.6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71.2</v>
      </c>
      <c r="BM279">
        <v>10.68</v>
      </c>
      <c r="BN279">
        <v>81.88</v>
      </c>
      <c r="BO279">
        <v>81.88</v>
      </c>
      <c r="BQ279" t="s">
        <v>358</v>
      </c>
      <c r="BR279" t="s">
        <v>84</v>
      </c>
      <c r="BS279" s="3">
        <v>45841</v>
      </c>
      <c r="BT279" s="4">
        <v>0.37013888888888891</v>
      </c>
      <c r="BU279" t="s">
        <v>359</v>
      </c>
      <c r="BV279" t="s">
        <v>98</v>
      </c>
      <c r="BY279">
        <v>1200</v>
      </c>
      <c r="BZ279" t="s">
        <v>89</v>
      </c>
      <c r="CA279" t="s">
        <v>270</v>
      </c>
      <c r="CC279" t="s">
        <v>123</v>
      </c>
      <c r="CD279">
        <v>3610</v>
      </c>
      <c r="CE279" t="s">
        <v>239</v>
      </c>
      <c r="CF279" s="3">
        <v>45841</v>
      </c>
      <c r="CI279">
        <v>1</v>
      </c>
      <c r="CJ279">
        <v>1</v>
      </c>
      <c r="CK279">
        <v>21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"080066312587"</f>
        <v>080066312587</v>
      </c>
      <c r="F280" s="3">
        <v>45840</v>
      </c>
      <c r="G280">
        <v>202604</v>
      </c>
      <c r="H280" t="s">
        <v>75</v>
      </c>
      <c r="I280" t="s">
        <v>76</v>
      </c>
      <c r="J280" t="s">
        <v>77</v>
      </c>
      <c r="K280" t="s">
        <v>78</v>
      </c>
      <c r="L280" t="s">
        <v>75</v>
      </c>
      <c r="M280" t="s">
        <v>76</v>
      </c>
      <c r="N280" t="s">
        <v>887</v>
      </c>
      <c r="O280" t="s">
        <v>82</v>
      </c>
      <c r="P280" t="str">
        <f>"4170046692                    "</f>
        <v xml:space="preserve">4170046692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17.649999999999999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55.61</v>
      </c>
      <c r="BM280">
        <v>8.34</v>
      </c>
      <c r="BN280">
        <v>63.95</v>
      </c>
      <c r="BO280">
        <v>63.95</v>
      </c>
      <c r="BQ280" t="s">
        <v>888</v>
      </c>
      <c r="BR280" t="s">
        <v>84</v>
      </c>
      <c r="BS280" s="3">
        <v>45841</v>
      </c>
      <c r="BT280" s="4">
        <v>0.39513888888888887</v>
      </c>
      <c r="BU280" t="s">
        <v>889</v>
      </c>
      <c r="BV280" t="s">
        <v>98</v>
      </c>
      <c r="BY280">
        <v>1200</v>
      </c>
      <c r="BZ280" t="s">
        <v>89</v>
      </c>
      <c r="CA280" t="s">
        <v>213</v>
      </c>
      <c r="CC280" t="s">
        <v>76</v>
      </c>
      <c r="CD280">
        <v>1625</v>
      </c>
      <c r="CE280" t="s">
        <v>239</v>
      </c>
      <c r="CF280" s="3">
        <v>45842</v>
      </c>
      <c r="CI280">
        <v>1</v>
      </c>
      <c r="CJ280">
        <v>1</v>
      </c>
      <c r="CK280">
        <v>22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"080066312632"</f>
        <v>080066312632</v>
      </c>
      <c r="F281" s="3">
        <v>45840</v>
      </c>
      <c r="G281">
        <v>202604</v>
      </c>
      <c r="H281" t="s">
        <v>75</v>
      </c>
      <c r="I281" t="s">
        <v>76</v>
      </c>
      <c r="J281" t="s">
        <v>77</v>
      </c>
      <c r="K281" t="s">
        <v>78</v>
      </c>
      <c r="L281" t="s">
        <v>92</v>
      </c>
      <c r="M281" t="s">
        <v>93</v>
      </c>
      <c r="N281" t="s">
        <v>291</v>
      </c>
      <c r="O281" t="s">
        <v>82</v>
      </c>
      <c r="P281" t="str">
        <f>"4170046703                    "</f>
        <v xml:space="preserve">4170046703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71.2</v>
      </c>
      <c r="BM281">
        <v>10.68</v>
      </c>
      <c r="BN281">
        <v>81.88</v>
      </c>
      <c r="BO281">
        <v>81.88</v>
      </c>
      <c r="BQ281" t="s">
        <v>292</v>
      </c>
      <c r="BR281" t="s">
        <v>84</v>
      </c>
      <c r="BS281" s="3">
        <v>45841</v>
      </c>
      <c r="BT281" s="4">
        <v>0.33680555555555558</v>
      </c>
      <c r="BU281" t="s">
        <v>847</v>
      </c>
      <c r="BV281" t="s">
        <v>98</v>
      </c>
      <c r="BY281">
        <v>1200</v>
      </c>
      <c r="BZ281" t="s">
        <v>89</v>
      </c>
      <c r="CA281" t="s">
        <v>294</v>
      </c>
      <c r="CC281" t="s">
        <v>93</v>
      </c>
      <c r="CD281">
        <v>4000</v>
      </c>
      <c r="CE281" t="s">
        <v>239</v>
      </c>
      <c r="CF281" s="3">
        <v>45841</v>
      </c>
      <c r="CI281">
        <v>1</v>
      </c>
      <c r="CJ281">
        <v>1</v>
      </c>
      <c r="CK281">
        <v>21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"080066312688"</f>
        <v>080066312688</v>
      </c>
      <c r="F282" s="3">
        <v>45840</v>
      </c>
      <c r="G282">
        <v>202604</v>
      </c>
      <c r="H282" t="s">
        <v>75</v>
      </c>
      <c r="I282" t="s">
        <v>76</v>
      </c>
      <c r="J282" t="s">
        <v>77</v>
      </c>
      <c r="K282" t="s">
        <v>78</v>
      </c>
      <c r="L282" t="s">
        <v>197</v>
      </c>
      <c r="M282" t="s">
        <v>198</v>
      </c>
      <c r="N282" t="s">
        <v>890</v>
      </c>
      <c r="O282" t="s">
        <v>82</v>
      </c>
      <c r="P282" t="str">
        <f>"4170046695                    "</f>
        <v xml:space="preserve">4170046695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17.649999999999999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55.61</v>
      </c>
      <c r="BM282">
        <v>8.34</v>
      </c>
      <c r="BN282">
        <v>63.95</v>
      </c>
      <c r="BO282">
        <v>63.95</v>
      </c>
      <c r="BQ282" t="s">
        <v>891</v>
      </c>
      <c r="BR282" t="s">
        <v>84</v>
      </c>
      <c r="BS282" s="3">
        <v>45841</v>
      </c>
      <c r="BT282" s="4">
        <v>0.43541666666666667</v>
      </c>
      <c r="BU282" t="s">
        <v>892</v>
      </c>
      <c r="BV282" t="s">
        <v>98</v>
      </c>
      <c r="BY282">
        <v>1200</v>
      </c>
      <c r="BZ282" t="s">
        <v>89</v>
      </c>
      <c r="CA282" t="s">
        <v>893</v>
      </c>
      <c r="CC282" t="s">
        <v>198</v>
      </c>
      <c r="CD282">
        <v>1401</v>
      </c>
      <c r="CE282" t="s">
        <v>121</v>
      </c>
      <c r="CF282" s="3">
        <v>45841</v>
      </c>
      <c r="CI282">
        <v>1</v>
      </c>
      <c r="CJ282">
        <v>1</v>
      </c>
      <c r="CK282">
        <v>22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"080066312713"</f>
        <v>080066312713</v>
      </c>
      <c r="F283" s="3">
        <v>45840</v>
      </c>
      <c r="G283">
        <v>202604</v>
      </c>
      <c r="H283" t="s">
        <v>75</v>
      </c>
      <c r="I283" t="s">
        <v>76</v>
      </c>
      <c r="J283" t="s">
        <v>77</v>
      </c>
      <c r="K283" t="s">
        <v>78</v>
      </c>
      <c r="L283" t="s">
        <v>92</v>
      </c>
      <c r="M283" t="s">
        <v>93</v>
      </c>
      <c r="N283" t="s">
        <v>291</v>
      </c>
      <c r="O283" t="s">
        <v>82</v>
      </c>
      <c r="P283" t="str">
        <f>"4170046702                    "</f>
        <v xml:space="preserve">4170046702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22.6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71.2</v>
      </c>
      <c r="BM283">
        <v>10.68</v>
      </c>
      <c r="BN283">
        <v>81.88</v>
      </c>
      <c r="BO283">
        <v>81.88</v>
      </c>
      <c r="BQ283" t="s">
        <v>292</v>
      </c>
      <c r="BR283" t="s">
        <v>84</v>
      </c>
      <c r="BS283" s="3">
        <v>45841</v>
      </c>
      <c r="BT283" s="4">
        <v>0.33680555555555558</v>
      </c>
      <c r="BU283" t="s">
        <v>847</v>
      </c>
      <c r="BV283" t="s">
        <v>98</v>
      </c>
      <c r="BY283">
        <v>1200</v>
      </c>
      <c r="BZ283" t="s">
        <v>89</v>
      </c>
      <c r="CA283" t="s">
        <v>294</v>
      </c>
      <c r="CC283" t="s">
        <v>93</v>
      </c>
      <c r="CD283">
        <v>4000</v>
      </c>
      <c r="CE283" t="s">
        <v>121</v>
      </c>
      <c r="CF283" s="3">
        <v>45841</v>
      </c>
      <c r="CI283">
        <v>1</v>
      </c>
      <c r="CJ283">
        <v>1</v>
      </c>
      <c r="CK283">
        <v>21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"080066312733"</f>
        <v>080066312733</v>
      </c>
      <c r="F284" s="3">
        <v>45840</v>
      </c>
      <c r="G284">
        <v>202604</v>
      </c>
      <c r="H284" t="s">
        <v>75</v>
      </c>
      <c r="I284" t="s">
        <v>76</v>
      </c>
      <c r="J284" t="s">
        <v>77</v>
      </c>
      <c r="K284" t="s">
        <v>78</v>
      </c>
      <c r="L284" t="s">
        <v>168</v>
      </c>
      <c r="M284" t="s">
        <v>169</v>
      </c>
      <c r="N284" t="s">
        <v>202</v>
      </c>
      <c r="O284" t="s">
        <v>82</v>
      </c>
      <c r="P284" t="str">
        <f>"4170046697                    "</f>
        <v xml:space="preserve">4170046697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22.6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71.2</v>
      </c>
      <c r="BM284">
        <v>10.68</v>
      </c>
      <c r="BN284">
        <v>81.88</v>
      </c>
      <c r="BO284">
        <v>81.88</v>
      </c>
      <c r="BQ284" t="s">
        <v>203</v>
      </c>
      <c r="BR284" t="s">
        <v>84</v>
      </c>
      <c r="BS284" s="3">
        <v>45841</v>
      </c>
      <c r="BT284" s="4">
        <v>0.40833333333333333</v>
      </c>
      <c r="BU284" t="s">
        <v>742</v>
      </c>
      <c r="BV284" t="s">
        <v>98</v>
      </c>
      <c r="BY284">
        <v>1200</v>
      </c>
      <c r="BZ284" t="s">
        <v>89</v>
      </c>
      <c r="CA284">
        <v>4170046628</v>
      </c>
      <c r="CC284" t="s">
        <v>169</v>
      </c>
      <c r="CD284">
        <v>6001</v>
      </c>
      <c r="CE284" t="s">
        <v>121</v>
      </c>
      <c r="CF284" s="3">
        <v>45841</v>
      </c>
      <c r="CI284">
        <v>1</v>
      </c>
      <c r="CJ284">
        <v>1</v>
      </c>
      <c r="CK284">
        <v>21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"080066312764"</f>
        <v>080066312764</v>
      </c>
      <c r="F285" s="3">
        <v>45840</v>
      </c>
      <c r="G285">
        <v>202604</v>
      </c>
      <c r="H285" t="s">
        <v>75</v>
      </c>
      <c r="I285" t="s">
        <v>76</v>
      </c>
      <c r="J285" t="s">
        <v>77</v>
      </c>
      <c r="K285" t="s">
        <v>78</v>
      </c>
      <c r="L285" t="s">
        <v>168</v>
      </c>
      <c r="M285" t="s">
        <v>169</v>
      </c>
      <c r="N285" t="s">
        <v>894</v>
      </c>
      <c r="O285" t="s">
        <v>82</v>
      </c>
      <c r="P285" t="str">
        <f>"4170046700                    "</f>
        <v xml:space="preserve">4170046700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22.6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71.2</v>
      </c>
      <c r="BM285">
        <v>10.68</v>
      </c>
      <c r="BN285">
        <v>81.88</v>
      </c>
      <c r="BO285">
        <v>81.88</v>
      </c>
      <c r="BQ285" t="s">
        <v>895</v>
      </c>
      <c r="BR285" t="s">
        <v>84</v>
      </c>
      <c r="BS285" s="3">
        <v>45841</v>
      </c>
      <c r="BT285" s="4">
        <v>0.4201388888888889</v>
      </c>
      <c r="BU285" t="s">
        <v>896</v>
      </c>
      <c r="BV285" t="s">
        <v>98</v>
      </c>
      <c r="BY285">
        <v>1200</v>
      </c>
      <c r="BZ285" t="s">
        <v>89</v>
      </c>
      <c r="CA285" t="s">
        <v>282</v>
      </c>
      <c r="CC285" t="s">
        <v>169</v>
      </c>
      <c r="CD285">
        <v>6001</v>
      </c>
      <c r="CE285" t="s">
        <v>121</v>
      </c>
      <c r="CF285" s="3">
        <v>45841</v>
      </c>
      <c r="CI285">
        <v>1</v>
      </c>
      <c r="CJ285">
        <v>1</v>
      </c>
      <c r="CK285">
        <v>21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"080066312832"</f>
        <v>080066312832</v>
      </c>
      <c r="F286" s="3">
        <v>45840</v>
      </c>
      <c r="G286">
        <v>202604</v>
      </c>
      <c r="H286" t="s">
        <v>75</v>
      </c>
      <c r="I286" t="s">
        <v>76</v>
      </c>
      <c r="J286" t="s">
        <v>77</v>
      </c>
      <c r="K286" t="s">
        <v>78</v>
      </c>
      <c r="L286" t="s">
        <v>234</v>
      </c>
      <c r="M286" t="s">
        <v>235</v>
      </c>
      <c r="N286" t="s">
        <v>897</v>
      </c>
      <c r="O286" t="s">
        <v>82</v>
      </c>
      <c r="P286" t="str">
        <f>"4170046684                    "</f>
        <v xml:space="preserve">4170046684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17.649999999999999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2</v>
      </c>
      <c r="BK286">
        <v>2</v>
      </c>
      <c r="BL286">
        <v>55.61</v>
      </c>
      <c r="BM286">
        <v>8.34</v>
      </c>
      <c r="BN286">
        <v>63.95</v>
      </c>
      <c r="BO286">
        <v>63.95</v>
      </c>
      <c r="BQ286" t="s">
        <v>898</v>
      </c>
      <c r="BR286" t="s">
        <v>84</v>
      </c>
      <c r="BS286" s="3">
        <v>45841</v>
      </c>
      <c r="BT286" s="4">
        <v>0.42499999999999999</v>
      </c>
      <c r="BU286" t="s">
        <v>899</v>
      </c>
      <c r="BV286" t="s">
        <v>98</v>
      </c>
      <c r="BY286">
        <v>10206</v>
      </c>
      <c r="BZ286" t="s">
        <v>89</v>
      </c>
      <c r="CA286" t="s">
        <v>900</v>
      </c>
      <c r="CC286" t="s">
        <v>235</v>
      </c>
      <c r="CD286">
        <v>1684</v>
      </c>
      <c r="CE286" t="s">
        <v>91</v>
      </c>
      <c r="CF286" s="3">
        <v>45842</v>
      </c>
      <c r="CI286">
        <v>1</v>
      </c>
      <c r="CJ286">
        <v>1</v>
      </c>
      <c r="CK286">
        <v>22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"080066312945"</f>
        <v>080066312945</v>
      </c>
      <c r="F287" s="3">
        <v>45840</v>
      </c>
      <c r="G287">
        <v>202604</v>
      </c>
      <c r="H287" t="s">
        <v>75</v>
      </c>
      <c r="I287" t="s">
        <v>76</v>
      </c>
      <c r="J287" t="s">
        <v>77</v>
      </c>
      <c r="K287" t="s">
        <v>78</v>
      </c>
      <c r="L287" t="s">
        <v>295</v>
      </c>
      <c r="M287" t="s">
        <v>296</v>
      </c>
      <c r="N287" t="s">
        <v>297</v>
      </c>
      <c r="O287" t="s">
        <v>82</v>
      </c>
      <c r="P287" t="str">
        <f>"4170046694                    "</f>
        <v xml:space="preserve">4170046694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17.649999999999999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3.4</v>
      </c>
      <c r="BK287">
        <v>4</v>
      </c>
      <c r="BL287">
        <v>55.61</v>
      </c>
      <c r="BM287">
        <v>8.34</v>
      </c>
      <c r="BN287">
        <v>63.95</v>
      </c>
      <c r="BO287">
        <v>63.95</v>
      </c>
      <c r="BQ287" t="s">
        <v>298</v>
      </c>
      <c r="BR287" t="s">
        <v>84</v>
      </c>
      <c r="BS287" s="3">
        <v>45841</v>
      </c>
      <c r="BT287" s="4">
        <v>0.34305555555555556</v>
      </c>
      <c r="BU287" t="s">
        <v>901</v>
      </c>
      <c r="BV287" t="s">
        <v>98</v>
      </c>
      <c r="BY287">
        <v>16820</v>
      </c>
      <c r="BZ287" t="s">
        <v>89</v>
      </c>
      <c r="CA287" t="s">
        <v>744</v>
      </c>
      <c r="CC287" t="s">
        <v>296</v>
      </c>
      <c r="CD287">
        <v>1459</v>
      </c>
      <c r="CE287" t="s">
        <v>91</v>
      </c>
      <c r="CF287" s="3">
        <v>45853</v>
      </c>
      <c r="CI287">
        <v>1</v>
      </c>
      <c r="CJ287">
        <v>1</v>
      </c>
      <c r="CK287">
        <v>22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"080066312972"</f>
        <v>080066312972</v>
      </c>
      <c r="F288" s="3">
        <v>45840</v>
      </c>
      <c r="G288">
        <v>202604</v>
      </c>
      <c r="H288" t="s">
        <v>75</v>
      </c>
      <c r="I288" t="s">
        <v>76</v>
      </c>
      <c r="J288" t="s">
        <v>77</v>
      </c>
      <c r="K288" t="s">
        <v>78</v>
      </c>
      <c r="L288" t="s">
        <v>151</v>
      </c>
      <c r="M288" t="s">
        <v>152</v>
      </c>
      <c r="N288" t="s">
        <v>902</v>
      </c>
      <c r="O288" t="s">
        <v>82</v>
      </c>
      <c r="P288" t="str">
        <f>"4170046544                    "</f>
        <v xml:space="preserve">4170046544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22.6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1.2</v>
      </c>
      <c r="BK288">
        <v>1.5</v>
      </c>
      <c r="BL288">
        <v>71.2</v>
      </c>
      <c r="BM288">
        <v>10.68</v>
      </c>
      <c r="BN288">
        <v>81.88</v>
      </c>
      <c r="BO288">
        <v>81.88</v>
      </c>
      <c r="BQ288" t="s">
        <v>903</v>
      </c>
      <c r="BR288" t="s">
        <v>84</v>
      </c>
      <c r="BS288" s="3">
        <v>45842</v>
      </c>
      <c r="BT288" s="4">
        <v>0.43055555555555558</v>
      </c>
      <c r="BU288" t="s">
        <v>904</v>
      </c>
      <c r="BV288" t="s">
        <v>86</v>
      </c>
      <c r="BW288" t="s">
        <v>395</v>
      </c>
      <c r="BX288" t="s">
        <v>905</v>
      </c>
      <c r="BY288">
        <v>6000</v>
      </c>
      <c r="BZ288" t="s">
        <v>89</v>
      </c>
      <c r="CA288" t="s">
        <v>906</v>
      </c>
      <c r="CC288" t="s">
        <v>152</v>
      </c>
      <c r="CD288" s="5" t="s">
        <v>907</v>
      </c>
      <c r="CE288" t="s">
        <v>91</v>
      </c>
      <c r="CF288" s="3">
        <v>45842</v>
      </c>
      <c r="CI288">
        <v>1</v>
      </c>
      <c r="CJ288">
        <v>2</v>
      </c>
      <c r="CK288">
        <v>21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"080066313013"</f>
        <v>080066313013</v>
      </c>
      <c r="F289" s="3">
        <v>45840</v>
      </c>
      <c r="G289">
        <v>202604</v>
      </c>
      <c r="H289" t="s">
        <v>75</v>
      </c>
      <c r="I289" t="s">
        <v>76</v>
      </c>
      <c r="J289" t="s">
        <v>77</v>
      </c>
      <c r="K289" t="s">
        <v>78</v>
      </c>
      <c r="L289" t="s">
        <v>151</v>
      </c>
      <c r="M289" t="s">
        <v>152</v>
      </c>
      <c r="N289" t="s">
        <v>908</v>
      </c>
      <c r="O289" t="s">
        <v>95</v>
      </c>
      <c r="P289" t="str">
        <f>"4170046523                    "</f>
        <v xml:space="preserve">4170046523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43.7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5</v>
      </c>
      <c r="BJ289">
        <v>1.9</v>
      </c>
      <c r="BK289">
        <v>5</v>
      </c>
      <c r="BL289">
        <v>143.55000000000001</v>
      </c>
      <c r="BM289">
        <v>21.53</v>
      </c>
      <c r="BN289">
        <v>165.08</v>
      </c>
      <c r="BO289">
        <v>165.08</v>
      </c>
      <c r="BQ289" t="s">
        <v>909</v>
      </c>
      <c r="BR289" t="s">
        <v>84</v>
      </c>
      <c r="BS289" s="3">
        <v>45841</v>
      </c>
      <c r="BT289" s="4">
        <v>0.49861111111111112</v>
      </c>
      <c r="BU289" t="s">
        <v>910</v>
      </c>
      <c r="BV289" t="s">
        <v>98</v>
      </c>
      <c r="BY289">
        <v>9396</v>
      </c>
      <c r="BZ289" t="s">
        <v>99</v>
      </c>
      <c r="CA289" t="s">
        <v>716</v>
      </c>
      <c r="CC289" t="s">
        <v>152</v>
      </c>
      <c r="CD289" s="5" t="s">
        <v>911</v>
      </c>
      <c r="CE289" t="s">
        <v>117</v>
      </c>
      <c r="CF289" s="3">
        <v>45841</v>
      </c>
      <c r="CI289">
        <v>1</v>
      </c>
      <c r="CJ289">
        <v>1</v>
      </c>
      <c r="CK289">
        <v>41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"080066313064"</f>
        <v>080066313064</v>
      </c>
      <c r="F290" s="3">
        <v>45840</v>
      </c>
      <c r="G290">
        <v>202604</v>
      </c>
      <c r="H290" t="s">
        <v>75</v>
      </c>
      <c r="I290" t="s">
        <v>76</v>
      </c>
      <c r="J290" t="s">
        <v>77</v>
      </c>
      <c r="K290" t="s">
        <v>78</v>
      </c>
      <c r="L290" t="s">
        <v>151</v>
      </c>
      <c r="M290" t="s">
        <v>152</v>
      </c>
      <c r="N290" t="s">
        <v>510</v>
      </c>
      <c r="O290" t="s">
        <v>82</v>
      </c>
      <c r="P290" t="str">
        <f>"4170046677                    "</f>
        <v xml:space="preserve">4170046677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33.89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2</v>
      </c>
      <c r="BJ290">
        <v>3</v>
      </c>
      <c r="BK290">
        <v>3</v>
      </c>
      <c r="BL290">
        <v>106.77</v>
      </c>
      <c r="BM290">
        <v>16.02</v>
      </c>
      <c r="BN290">
        <v>122.79</v>
      </c>
      <c r="BO290">
        <v>122.79</v>
      </c>
      <c r="BQ290" t="s">
        <v>511</v>
      </c>
      <c r="BR290" t="s">
        <v>84</v>
      </c>
      <c r="BS290" s="3">
        <v>45841</v>
      </c>
      <c r="BT290" s="4">
        <v>0.37361111111111112</v>
      </c>
      <c r="BU290" t="s">
        <v>512</v>
      </c>
      <c r="BV290" t="s">
        <v>98</v>
      </c>
      <c r="BY290">
        <v>15246</v>
      </c>
      <c r="BZ290" t="s">
        <v>89</v>
      </c>
      <c r="CA290" t="s">
        <v>513</v>
      </c>
      <c r="CC290" t="s">
        <v>152</v>
      </c>
      <c r="CD290" s="5" t="s">
        <v>514</v>
      </c>
      <c r="CE290" t="s">
        <v>91</v>
      </c>
      <c r="CF290" s="3">
        <v>45841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"080066313107"</f>
        <v>080066313107</v>
      </c>
      <c r="F291" s="3">
        <v>45840</v>
      </c>
      <c r="G291">
        <v>202604</v>
      </c>
      <c r="H291" t="s">
        <v>75</v>
      </c>
      <c r="I291" t="s">
        <v>76</v>
      </c>
      <c r="J291" t="s">
        <v>77</v>
      </c>
      <c r="K291" t="s">
        <v>78</v>
      </c>
      <c r="L291" t="s">
        <v>151</v>
      </c>
      <c r="M291" t="s">
        <v>152</v>
      </c>
      <c r="N291" t="s">
        <v>838</v>
      </c>
      <c r="O291" t="s">
        <v>95</v>
      </c>
      <c r="P291" t="str">
        <f>"4170046672                    "</f>
        <v xml:space="preserve">4170046672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43.7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11</v>
      </c>
      <c r="BJ291">
        <v>5.2</v>
      </c>
      <c r="BK291">
        <v>11</v>
      </c>
      <c r="BL291">
        <v>143.55000000000001</v>
      </c>
      <c r="BM291">
        <v>21.53</v>
      </c>
      <c r="BN291">
        <v>165.08</v>
      </c>
      <c r="BO291">
        <v>165.08</v>
      </c>
      <c r="BQ291" t="s">
        <v>839</v>
      </c>
      <c r="BR291" t="s">
        <v>84</v>
      </c>
      <c r="BS291" s="3">
        <v>45841</v>
      </c>
      <c r="BT291" s="4">
        <v>0.37361111111111112</v>
      </c>
      <c r="BU291" t="s">
        <v>840</v>
      </c>
      <c r="BV291" t="s">
        <v>98</v>
      </c>
      <c r="BY291">
        <v>26013</v>
      </c>
      <c r="BZ291" t="s">
        <v>99</v>
      </c>
      <c r="CA291" t="s">
        <v>716</v>
      </c>
      <c r="CC291" t="s">
        <v>152</v>
      </c>
      <c r="CD291" s="5" t="s">
        <v>717</v>
      </c>
      <c r="CE291" t="s">
        <v>874</v>
      </c>
      <c r="CF291" s="3">
        <v>45841</v>
      </c>
      <c r="CI291">
        <v>1</v>
      </c>
      <c r="CJ291">
        <v>1</v>
      </c>
      <c r="CK291">
        <v>41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"080066313352"</f>
        <v>080066313352</v>
      </c>
      <c r="F292" s="3">
        <v>45840</v>
      </c>
      <c r="G292">
        <v>202604</v>
      </c>
      <c r="H292" t="s">
        <v>75</v>
      </c>
      <c r="I292" t="s">
        <v>76</v>
      </c>
      <c r="J292" t="s">
        <v>77</v>
      </c>
      <c r="K292" t="s">
        <v>78</v>
      </c>
      <c r="L292" t="s">
        <v>542</v>
      </c>
      <c r="M292" t="s">
        <v>543</v>
      </c>
      <c r="N292" t="s">
        <v>544</v>
      </c>
      <c r="O292" t="s">
        <v>82</v>
      </c>
      <c r="P292" t="str">
        <f>"4170046195                    "</f>
        <v xml:space="preserve">4170046195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17.649999999999999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55.61</v>
      </c>
      <c r="BM292">
        <v>8.34</v>
      </c>
      <c r="BN292">
        <v>63.95</v>
      </c>
      <c r="BO292">
        <v>63.95</v>
      </c>
      <c r="BQ292" t="s">
        <v>545</v>
      </c>
      <c r="BR292" t="s">
        <v>84</v>
      </c>
      <c r="BS292" s="3">
        <v>45841</v>
      </c>
      <c r="BT292" s="4">
        <v>0.3923611111111111</v>
      </c>
      <c r="BU292" t="s">
        <v>912</v>
      </c>
      <c r="BV292" t="s">
        <v>98</v>
      </c>
      <c r="BY292">
        <v>1200</v>
      </c>
      <c r="BZ292" t="s">
        <v>89</v>
      </c>
      <c r="CA292" t="s">
        <v>913</v>
      </c>
      <c r="CC292" t="s">
        <v>543</v>
      </c>
      <c r="CD292">
        <v>1449</v>
      </c>
      <c r="CE292" t="s">
        <v>239</v>
      </c>
      <c r="CF292" s="3">
        <v>45842</v>
      </c>
      <c r="CI292">
        <v>1</v>
      </c>
      <c r="CJ292">
        <v>1</v>
      </c>
      <c r="CK292">
        <v>22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"080066313405"</f>
        <v>080066313405</v>
      </c>
      <c r="F293" s="3">
        <v>45840</v>
      </c>
      <c r="G293">
        <v>202604</v>
      </c>
      <c r="H293" t="s">
        <v>75</v>
      </c>
      <c r="I293" t="s">
        <v>76</v>
      </c>
      <c r="J293" t="s">
        <v>77</v>
      </c>
      <c r="K293" t="s">
        <v>78</v>
      </c>
      <c r="L293" t="s">
        <v>554</v>
      </c>
      <c r="M293" t="s">
        <v>555</v>
      </c>
      <c r="N293" t="s">
        <v>556</v>
      </c>
      <c r="O293" t="s">
        <v>82</v>
      </c>
      <c r="P293" t="str">
        <f>"4170046691                    "</f>
        <v xml:space="preserve">4170046691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22.6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71.2</v>
      </c>
      <c r="BM293">
        <v>10.68</v>
      </c>
      <c r="BN293">
        <v>81.88</v>
      </c>
      <c r="BO293">
        <v>81.88</v>
      </c>
      <c r="BQ293" t="s">
        <v>557</v>
      </c>
      <c r="BR293" t="s">
        <v>84</v>
      </c>
      <c r="BS293" s="3">
        <v>45841</v>
      </c>
      <c r="BT293" s="4">
        <v>0.37152777777777779</v>
      </c>
      <c r="BU293" t="s">
        <v>558</v>
      </c>
      <c r="BV293" t="s">
        <v>98</v>
      </c>
      <c r="BY293">
        <v>1200</v>
      </c>
      <c r="BZ293" t="s">
        <v>89</v>
      </c>
      <c r="CA293" t="s">
        <v>559</v>
      </c>
      <c r="CC293" t="s">
        <v>555</v>
      </c>
      <c r="CD293" s="5" t="s">
        <v>560</v>
      </c>
      <c r="CE293" t="s">
        <v>239</v>
      </c>
      <c r="CF293" s="3">
        <v>45841</v>
      </c>
      <c r="CI293">
        <v>1</v>
      </c>
      <c r="CJ293">
        <v>1</v>
      </c>
      <c r="CK293">
        <v>21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"080066313425"</f>
        <v>080066313425</v>
      </c>
      <c r="F294" s="3">
        <v>45840</v>
      </c>
      <c r="G294">
        <v>202604</v>
      </c>
      <c r="H294" t="s">
        <v>75</v>
      </c>
      <c r="I294" t="s">
        <v>76</v>
      </c>
      <c r="J294" t="s">
        <v>77</v>
      </c>
      <c r="K294" t="s">
        <v>78</v>
      </c>
      <c r="L294" t="s">
        <v>79</v>
      </c>
      <c r="M294" t="s">
        <v>80</v>
      </c>
      <c r="N294" t="s">
        <v>914</v>
      </c>
      <c r="O294" t="s">
        <v>82</v>
      </c>
      <c r="P294" t="str">
        <f>"4170046690                    "</f>
        <v xml:space="preserve">4170046690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22.6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71.2</v>
      </c>
      <c r="BM294">
        <v>10.68</v>
      </c>
      <c r="BN294">
        <v>81.88</v>
      </c>
      <c r="BO294">
        <v>81.88</v>
      </c>
      <c r="BQ294" t="s">
        <v>915</v>
      </c>
      <c r="BR294" t="s">
        <v>84</v>
      </c>
      <c r="BS294" s="3">
        <v>45841</v>
      </c>
      <c r="BT294" s="4">
        <v>0.41944444444444445</v>
      </c>
      <c r="BU294" t="s">
        <v>916</v>
      </c>
      <c r="BV294" t="s">
        <v>98</v>
      </c>
      <c r="BY294">
        <v>1200</v>
      </c>
      <c r="BZ294" t="s">
        <v>89</v>
      </c>
      <c r="CA294" t="s">
        <v>733</v>
      </c>
      <c r="CC294" t="s">
        <v>80</v>
      </c>
      <c r="CD294">
        <v>7500</v>
      </c>
      <c r="CE294" t="s">
        <v>239</v>
      </c>
      <c r="CF294" s="3">
        <v>45842</v>
      </c>
      <c r="CI294">
        <v>1</v>
      </c>
      <c r="CJ294">
        <v>1</v>
      </c>
      <c r="CK294">
        <v>21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"080066313439"</f>
        <v>080066313439</v>
      </c>
      <c r="F295" s="3">
        <v>45840</v>
      </c>
      <c r="G295">
        <v>202604</v>
      </c>
      <c r="H295" t="s">
        <v>75</v>
      </c>
      <c r="I295" t="s">
        <v>76</v>
      </c>
      <c r="J295" t="s">
        <v>77</v>
      </c>
      <c r="K295" t="s">
        <v>78</v>
      </c>
      <c r="L295" t="s">
        <v>168</v>
      </c>
      <c r="M295" t="s">
        <v>169</v>
      </c>
      <c r="N295" t="s">
        <v>420</v>
      </c>
      <c r="O295" t="s">
        <v>82</v>
      </c>
      <c r="P295" t="str">
        <f>"4170046680                    "</f>
        <v xml:space="preserve">4170046680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22.6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71.2</v>
      </c>
      <c r="BM295">
        <v>10.68</v>
      </c>
      <c r="BN295">
        <v>81.88</v>
      </c>
      <c r="BO295">
        <v>81.88</v>
      </c>
      <c r="BQ295" t="s">
        <v>421</v>
      </c>
      <c r="BR295" t="s">
        <v>84</v>
      </c>
      <c r="BS295" s="3">
        <v>45841</v>
      </c>
      <c r="BT295" s="4">
        <v>0.39791666666666664</v>
      </c>
      <c r="BU295" t="s">
        <v>917</v>
      </c>
      <c r="BV295" t="s">
        <v>98</v>
      </c>
      <c r="BY295">
        <v>1200</v>
      </c>
      <c r="BZ295" t="s">
        <v>89</v>
      </c>
      <c r="CA295" t="s">
        <v>423</v>
      </c>
      <c r="CC295" t="s">
        <v>169</v>
      </c>
      <c r="CD295">
        <v>6001</v>
      </c>
      <c r="CE295" t="s">
        <v>239</v>
      </c>
      <c r="CF295" s="3">
        <v>45841</v>
      </c>
      <c r="CI295">
        <v>1</v>
      </c>
      <c r="CJ295">
        <v>1</v>
      </c>
      <c r="CK295">
        <v>21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"080066313469"</f>
        <v>080066313469</v>
      </c>
      <c r="F296" s="3">
        <v>45840</v>
      </c>
      <c r="G296">
        <v>202604</v>
      </c>
      <c r="H296" t="s">
        <v>75</v>
      </c>
      <c r="I296" t="s">
        <v>76</v>
      </c>
      <c r="J296" t="s">
        <v>77</v>
      </c>
      <c r="K296" t="s">
        <v>78</v>
      </c>
      <c r="L296" t="s">
        <v>277</v>
      </c>
      <c r="M296" t="s">
        <v>278</v>
      </c>
      <c r="N296" t="s">
        <v>918</v>
      </c>
      <c r="O296" t="s">
        <v>82</v>
      </c>
      <c r="P296" t="str">
        <f>"4170046542                    "</f>
        <v xml:space="preserve">4170046542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22.6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71.2</v>
      </c>
      <c r="BM296">
        <v>10.68</v>
      </c>
      <c r="BN296">
        <v>81.88</v>
      </c>
      <c r="BO296">
        <v>81.88</v>
      </c>
      <c r="BQ296" t="s">
        <v>919</v>
      </c>
      <c r="BR296" t="s">
        <v>84</v>
      </c>
      <c r="BS296" s="3">
        <v>45841</v>
      </c>
      <c r="BT296" s="4">
        <v>0.50277777777777777</v>
      </c>
      <c r="BU296" t="s">
        <v>920</v>
      </c>
      <c r="BV296" t="s">
        <v>86</v>
      </c>
      <c r="BY296">
        <v>1200</v>
      </c>
      <c r="BZ296" t="s">
        <v>89</v>
      </c>
      <c r="CA296" t="s">
        <v>282</v>
      </c>
      <c r="CC296" t="s">
        <v>278</v>
      </c>
      <c r="CD296">
        <v>6229</v>
      </c>
      <c r="CE296" t="s">
        <v>239</v>
      </c>
      <c r="CF296" s="3">
        <v>45841</v>
      </c>
      <c r="CI296">
        <v>1</v>
      </c>
      <c r="CJ296">
        <v>1</v>
      </c>
      <c r="CK296">
        <v>21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"080066313502"</f>
        <v>080066313502</v>
      </c>
      <c r="F297" s="3">
        <v>45840</v>
      </c>
      <c r="G297">
        <v>202604</v>
      </c>
      <c r="H297" t="s">
        <v>75</v>
      </c>
      <c r="I297" t="s">
        <v>76</v>
      </c>
      <c r="J297" t="s">
        <v>77</v>
      </c>
      <c r="K297" t="s">
        <v>78</v>
      </c>
      <c r="L297" t="s">
        <v>75</v>
      </c>
      <c r="M297" t="s">
        <v>76</v>
      </c>
      <c r="N297" t="s">
        <v>118</v>
      </c>
      <c r="O297" t="s">
        <v>82</v>
      </c>
      <c r="P297" t="str">
        <f>"4170046705                    "</f>
        <v xml:space="preserve">4170046705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17.649999999999999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55.61</v>
      </c>
      <c r="BM297">
        <v>8.34</v>
      </c>
      <c r="BN297">
        <v>63.95</v>
      </c>
      <c r="BO297">
        <v>63.95</v>
      </c>
      <c r="BQ297" t="s">
        <v>119</v>
      </c>
      <c r="BR297" t="s">
        <v>84</v>
      </c>
      <c r="BS297" s="3">
        <v>45841</v>
      </c>
      <c r="BT297" s="4">
        <v>0.32569444444444445</v>
      </c>
      <c r="BU297" t="s">
        <v>832</v>
      </c>
      <c r="BV297" t="s">
        <v>98</v>
      </c>
      <c r="BY297">
        <v>1200</v>
      </c>
      <c r="BZ297" t="s">
        <v>89</v>
      </c>
      <c r="CA297" t="s">
        <v>213</v>
      </c>
      <c r="CC297" t="s">
        <v>76</v>
      </c>
      <c r="CD297">
        <v>1600</v>
      </c>
      <c r="CE297" t="s">
        <v>239</v>
      </c>
      <c r="CF297" s="3">
        <v>45842</v>
      </c>
      <c r="CI297">
        <v>1</v>
      </c>
      <c r="CJ297">
        <v>1</v>
      </c>
      <c r="CK297">
        <v>22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"080066313532"</f>
        <v>080066313532</v>
      </c>
      <c r="F298" s="3">
        <v>45840</v>
      </c>
      <c r="G298">
        <v>202604</v>
      </c>
      <c r="H298" t="s">
        <v>75</v>
      </c>
      <c r="I298" t="s">
        <v>76</v>
      </c>
      <c r="J298" t="s">
        <v>77</v>
      </c>
      <c r="K298" t="s">
        <v>78</v>
      </c>
      <c r="L298" t="s">
        <v>122</v>
      </c>
      <c r="M298" t="s">
        <v>123</v>
      </c>
      <c r="N298" t="s">
        <v>283</v>
      </c>
      <c r="O298" t="s">
        <v>82</v>
      </c>
      <c r="P298" t="str">
        <f>"4170046536                    "</f>
        <v xml:space="preserve">4170046536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22.6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2</v>
      </c>
      <c r="BK298">
        <v>2</v>
      </c>
      <c r="BL298">
        <v>71.2</v>
      </c>
      <c r="BM298">
        <v>10.68</v>
      </c>
      <c r="BN298">
        <v>81.88</v>
      </c>
      <c r="BO298">
        <v>81.88</v>
      </c>
      <c r="BQ298" t="s">
        <v>284</v>
      </c>
      <c r="BR298" t="s">
        <v>84</v>
      </c>
      <c r="BS298" s="3">
        <v>45841</v>
      </c>
      <c r="BT298" s="4">
        <v>0.43055555555555558</v>
      </c>
      <c r="BU298" t="s">
        <v>921</v>
      </c>
      <c r="BV298" t="s">
        <v>98</v>
      </c>
      <c r="BY298">
        <v>9918</v>
      </c>
      <c r="BZ298" t="s">
        <v>89</v>
      </c>
      <c r="CA298" t="s">
        <v>922</v>
      </c>
      <c r="CC298" t="s">
        <v>123</v>
      </c>
      <c r="CD298">
        <v>3608</v>
      </c>
      <c r="CE298" t="s">
        <v>117</v>
      </c>
      <c r="CF298" s="3">
        <v>45841</v>
      </c>
      <c r="CI298">
        <v>1</v>
      </c>
      <c r="CJ298">
        <v>1</v>
      </c>
      <c r="CK298">
        <v>21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"080066313559"</f>
        <v>080066313559</v>
      </c>
      <c r="F299" s="3">
        <v>45840</v>
      </c>
      <c r="G299">
        <v>202604</v>
      </c>
      <c r="H299" t="s">
        <v>75</v>
      </c>
      <c r="I299" t="s">
        <v>76</v>
      </c>
      <c r="J299" t="s">
        <v>77</v>
      </c>
      <c r="K299" t="s">
        <v>78</v>
      </c>
      <c r="L299" t="s">
        <v>168</v>
      </c>
      <c r="M299" t="s">
        <v>169</v>
      </c>
      <c r="N299" t="s">
        <v>412</v>
      </c>
      <c r="O299" t="s">
        <v>82</v>
      </c>
      <c r="P299" t="str">
        <f>"4170046701                    "</f>
        <v xml:space="preserve">4170046701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22.6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1.1000000000000001</v>
      </c>
      <c r="BK299">
        <v>1.5</v>
      </c>
      <c r="BL299">
        <v>71.2</v>
      </c>
      <c r="BM299">
        <v>10.68</v>
      </c>
      <c r="BN299">
        <v>81.88</v>
      </c>
      <c r="BO299">
        <v>81.88</v>
      </c>
      <c r="BQ299" t="s">
        <v>413</v>
      </c>
      <c r="BR299" t="s">
        <v>84</v>
      </c>
      <c r="BS299" s="3">
        <v>45841</v>
      </c>
      <c r="BT299" s="4">
        <v>0.39583333333333331</v>
      </c>
      <c r="BU299" t="s">
        <v>923</v>
      </c>
      <c r="BV299" t="s">
        <v>98</v>
      </c>
      <c r="BY299">
        <v>5320</v>
      </c>
      <c r="BZ299" t="s">
        <v>89</v>
      </c>
      <c r="CA299" t="s">
        <v>415</v>
      </c>
      <c r="CC299" t="s">
        <v>169</v>
      </c>
      <c r="CD299">
        <v>6001</v>
      </c>
      <c r="CE299" t="s">
        <v>117</v>
      </c>
      <c r="CF299" s="3">
        <v>45841</v>
      </c>
      <c r="CI299">
        <v>1</v>
      </c>
      <c r="CJ299">
        <v>1</v>
      </c>
      <c r="CK299">
        <v>21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"080066313606"</f>
        <v>080066313606</v>
      </c>
      <c r="F300" s="3">
        <v>45840</v>
      </c>
      <c r="G300">
        <v>202604</v>
      </c>
      <c r="H300" t="s">
        <v>75</v>
      </c>
      <c r="I300" t="s">
        <v>76</v>
      </c>
      <c r="J300" t="s">
        <v>77</v>
      </c>
      <c r="K300" t="s">
        <v>78</v>
      </c>
      <c r="L300" t="s">
        <v>75</v>
      </c>
      <c r="M300" t="s">
        <v>76</v>
      </c>
      <c r="N300" t="s">
        <v>562</v>
      </c>
      <c r="O300" t="s">
        <v>82</v>
      </c>
      <c r="P300" t="str">
        <f>"4170046531                    "</f>
        <v xml:space="preserve">4170046531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17.649999999999999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0.8</v>
      </c>
      <c r="BK300">
        <v>1</v>
      </c>
      <c r="BL300">
        <v>55.61</v>
      </c>
      <c r="BM300">
        <v>8.34</v>
      </c>
      <c r="BN300">
        <v>63.95</v>
      </c>
      <c r="BO300">
        <v>63.95</v>
      </c>
      <c r="BQ300" t="s">
        <v>563</v>
      </c>
      <c r="BR300" t="s">
        <v>84</v>
      </c>
      <c r="BS300" s="3">
        <v>45841</v>
      </c>
      <c r="BT300" s="4">
        <v>0.40763888888888888</v>
      </c>
      <c r="BU300" t="s">
        <v>796</v>
      </c>
      <c r="BV300" t="s">
        <v>98</v>
      </c>
      <c r="BY300">
        <v>3840</v>
      </c>
      <c r="BZ300" t="s">
        <v>89</v>
      </c>
      <c r="CA300" t="s">
        <v>797</v>
      </c>
      <c r="CC300" t="s">
        <v>76</v>
      </c>
      <c r="CD300">
        <v>1619</v>
      </c>
      <c r="CE300" t="s">
        <v>91</v>
      </c>
      <c r="CF300" s="3">
        <v>45842</v>
      </c>
      <c r="CI300">
        <v>1</v>
      </c>
      <c r="CJ300">
        <v>1</v>
      </c>
      <c r="CK300">
        <v>22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"080066313768"</f>
        <v>080066313768</v>
      </c>
      <c r="F301" s="3">
        <v>45840</v>
      </c>
      <c r="G301">
        <v>202604</v>
      </c>
      <c r="H301" t="s">
        <v>75</v>
      </c>
      <c r="I301" t="s">
        <v>76</v>
      </c>
      <c r="J301" t="s">
        <v>77</v>
      </c>
      <c r="K301" t="s">
        <v>78</v>
      </c>
      <c r="L301" t="s">
        <v>168</v>
      </c>
      <c r="M301" t="s">
        <v>169</v>
      </c>
      <c r="N301" t="s">
        <v>924</v>
      </c>
      <c r="O301" t="s">
        <v>82</v>
      </c>
      <c r="P301" t="str">
        <f>"4170046709                    "</f>
        <v xml:space="preserve">4170046709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84.7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7</v>
      </c>
      <c r="BJ301">
        <v>7.3</v>
      </c>
      <c r="BK301">
        <v>7.5</v>
      </c>
      <c r="BL301">
        <v>266.83999999999997</v>
      </c>
      <c r="BM301">
        <v>40.03</v>
      </c>
      <c r="BN301">
        <v>306.87</v>
      </c>
      <c r="BO301">
        <v>306.87</v>
      </c>
      <c r="BQ301" t="s">
        <v>925</v>
      </c>
      <c r="BR301" t="s">
        <v>84</v>
      </c>
      <c r="BS301" s="3">
        <v>45841</v>
      </c>
      <c r="BT301" s="4">
        <v>0.42916666666666664</v>
      </c>
      <c r="BU301" t="s">
        <v>926</v>
      </c>
      <c r="BV301" t="s">
        <v>98</v>
      </c>
      <c r="BY301">
        <v>36400</v>
      </c>
      <c r="BZ301" t="s">
        <v>89</v>
      </c>
      <c r="CA301" t="s">
        <v>196</v>
      </c>
      <c r="CC301" t="s">
        <v>169</v>
      </c>
      <c r="CD301">
        <v>6056</v>
      </c>
      <c r="CE301" t="s">
        <v>91</v>
      </c>
      <c r="CF301" s="3">
        <v>45841</v>
      </c>
      <c r="CI301">
        <v>1</v>
      </c>
      <c r="CJ301">
        <v>1</v>
      </c>
      <c r="CK301">
        <v>21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"080066325766"</f>
        <v>080066325766</v>
      </c>
      <c r="F302" s="3">
        <v>45841</v>
      </c>
      <c r="G302">
        <v>202604</v>
      </c>
      <c r="H302" t="s">
        <v>75</v>
      </c>
      <c r="I302" t="s">
        <v>76</v>
      </c>
      <c r="J302" t="s">
        <v>77</v>
      </c>
      <c r="K302" t="s">
        <v>78</v>
      </c>
      <c r="L302" t="s">
        <v>221</v>
      </c>
      <c r="M302" t="s">
        <v>222</v>
      </c>
      <c r="N302" t="s">
        <v>223</v>
      </c>
      <c r="O302" t="s">
        <v>95</v>
      </c>
      <c r="P302" t="str">
        <f>"4170046733                    "</f>
        <v xml:space="preserve">4170046733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61.64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9.1999999999999993</v>
      </c>
      <c r="BJ302">
        <v>5.3</v>
      </c>
      <c r="BK302">
        <v>10</v>
      </c>
      <c r="BL302">
        <v>200.06</v>
      </c>
      <c r="BM302">
        <v>30.01</v>
      </c>
      <c r="BN302">
        <v>230.07</v>
      </c>
      <c r="BO302">
        <v>230.07</v>
      </c>
      <c r="BQ302" t="s">
        <v>224</v>
      </c>
      <c r="BR302" t="s">
        <v>84</v>
      </c>
      <c r="BS302" s="3">
        <v>45842</v>
      </c>
      <c r="BT302" s="4">
        <v>0.41666666666666669</v>
      </c>
      <c r="BU302" t="s">
        <v>927</v>
      </c>
      <c r="BV302" t="s">
        <v>98</v>
      </c>
      <c r="BY302">
        <v>26522.1</v>
      </c>
      <c r="BZ302" t="s">
        <v>99</v>
      </c>
      <c r="CC302" t="s">
        <v>222</v>
      </c>
      <c r="CD302">
        <v>2740</v>
      </c>
      <c r="CE302" t="s">
        <v>928</v>
      </c>
      <c r="CF302" s="3">
        <v>45845</v>
      </c>
      <c r="CI302">
        <v>1</v>
      </c>
      <c r="CJ302">
        <v>1</v>
      </c>
      <c r="CK302">
        <v>43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"080066325866"</f>
        <v>080066325866</v>
      </c>
      <c r="F303" s="3">
        <v>45841</v>
      </c>
      <c r="G303">
        <v>202604</v>
      </c>
      <c r="H303" t="s">
        <v>75</v>
      </c>
      <c r="I303" t="s">
        <v>76</v>
      </c>
      <c r="J303" t="s">
        <v>77</v>
      </c>
      <c r="K303" t="s">
        <v>78</v>
      </c>
      <c r="L303" t="s">
        <v>79</v>
      </c>
      <c r="M303" t="s">
        <v>80</v>
      </c>
      <c r="N303" t="s">
        <v>352</v>
      </c>
      <c r="O303" t="s">
        <v>82</v>
      </c>
      <c r="P303" t="str">
        <f>"4170046715                    "</f>
        <v xml:space="preserve">4170046715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22.6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71.2</v>
      </c>
      <c r="BM303">
        <v>10.68</v>
      </c>
      <c r="BN303">
        <v>81.88</v>
      </c>
      <c r="BO303">
        <v>81.88</v>
      </c>
      <c r="BQ303" t="s">
        <v>353</v>
      </c>
      <c r="BR303" t="s">
        <v>84</v>
      </c>
      <c r="BS303" s="3">
        <v>45842</v>
      </c>
      <c r="BT303" s="4">
        <v>0.41111111111111109</v>
      </c>
      <c r="BU303" t="s">
        <v>929</v>
      </c>
      <c r="BV303" t="s">
        <v>98</v>
      </c>
      <c r="BY303">
        <v>1200</v>
      </c>
      <c r="BZ303" t="s">
        <v>89</v>
      </c>
      <c r="CA303" t="s">
        <v>930</v>
      </c>
      <c r="CC303" t="s">
        <v>80</v>
      </c>
      <c r="CD303">
        <v>7700</v>
      </c>
      <c r="CE303" t="s">
        <v>239</v>
      </c>
      <c r="CF303" s="3">
        <v>45845</v>
      </c>
      <c r="CI303">
        <v>1</v>
      </c>
      <c r="CJ303">
        <v>1</v>
      </c>
      <c r="CK303">
        <v>21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"080066326122"</f>
        <v>080066326122</v>
      </c>
      <c r="F304" s="3">
        <v>45841</v>
      </c>
      <c r="G304">
        <v>202604</v>
      </c>
      <c r="H304" t="s">
        <v>75</v>
      </c>
      <c r="I304" t="s">
        <v>76</v>
      </c>
      <c r="J304" t="s">
        <v>77</v>
      </c>
      <c r="K304" t="s">
        <v>78</v>
      </c>
      <c r="L304" t="s">
        <v>79</v>
      </c>
      <c r="M304" t="s">
        <v>80</v>
      </c>
      <c r="N304" t="s">
        <v>931</v>
      </c>
      <c r="O304" t="s">
        <v>82</v>
      </c>
      <c r="P304" t="str">
        <f>"4170046719                    "</f>
        <v xml:space="preserve">4170046719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22.6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71.2</v>
      </c>
      <c r="BM304">
        <v>10.68</v>
      </c>
      <c r="BN304">
        <v>81.88</v>
      </c>
      <c r="BO304">
        <v>81.88</v>
      </c>
      <c r="BQ304" t="s">
        <v>932</v>
      </c>
      <c r="BR304" t="s">
        <v>84</v>
      </c>
      <c r="BS304" s="3">
        <v>45842</v>
      </c>
      <c r="BT304" s="4">
        <v>0.41249999999999998</v>
      </c>
      <c r="BU304" t="s">
        <v>933</v>
      </c>
      <c r="BV304" t="s">
        <v>98</v>
      </c>
      <c r="BY304">
        <v>1200</v>
      </c>
      <c r="BZ304" t="s">
        <v>89</v>
      </c>
      <c r="CA304" t="s">
        <v>934</v>
      </c>
      <c r="CC304" t="s">
        <v>80</v>
      </c>
      <c r="CD304">
        <v>7535</v>
      </c>
      <c r="CE304" t="s">
        <v>214</v>
      </c>
      <c r="CF304" s="3">
        <v>45845</v>
      </c>
      <c r="CI304">
        <v>1</v>
      </c>
      <c r="CJ304">
        <v>1</v>
      </c>
      <c r="CK304">
        <v>21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"080066327220"</f>
        <v>080066327220</v>
      </c>
      <c r="F305" s="3">
        <v>45841</v>
      </c>
      <c r="G305">
        <v>202604</v>
      </c>
      <c r="H305" t="s">
        <v>75</v>
      </c>
      <c r="I305" t="s">
        <v>76</v>
      </c>
      <c r="J305" t="s">
        <v>77</v>
      </c>
      <c r="K305" t="s">
        <v>78</v>
      </c>
      <c r="L305" t="s">
        <v>135</v>
      </c>
      <c r="M305" t="s">
        <v>136</v>
      </c>
      <c r="N305" t="s">
        <v>137</v>
      </c>
      <c r="O305" t="s">
        <v>82</v>
      </c>
      <c r="P305" t="str">
        <f>"4170046723                    "</f>
        <v xml:space="preserve">4170046723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22.6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16.739999999999998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87.94</v>
      </c>
      <c r="BM305">
        <v>13.19</v>
      </c>
      <c r="BN305">
        <v>101.13</v>
      </c>
      <c r="BO305">
        <v>101.13</v>
      </c>
      <c r="BQ305" t="s">
        <v>138</v>
      </c>
      <c r="BR305" t="s">
        <v>84</v>
      </c>
      <c r="BS305" s="3">
        <v>45842</v>
      </c>
      <c r="BT305" s="4">
        <v>0.41666666666666669</v>
      </c>
      <c r="BU305" t="s">
        <v>139</v>
      </c>
      <c r="BV305" t="s">
        <v>98</v>
      </c>
      <c r="BY305">
        <v>1200</v>
      </c>
      <c r="BZ305" t="s">
        <v>460</v>
      </c>
      <c r="CA305" t="s">
        <v>140</v>
      </c>
      <c r="CC305" t="s">
        <v>136</v>
      </c>
      <c r="CD305">
        <v>3699</v>
      </c>
      <c r="CE305" t="s">
        <v>239</v>
      </c>
      <c r="CF305" s="3">
        <v>45845</v>
      </c>
      <c r="CI305">
        <v>1</v>
      </c>
      <c r="CJ305">
        <v>1</v>
      </c>
      <c r="CK305">
        <v>21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"080066327250"</f>
        <v>080066327250</v>
      </c>
      <c r="F306" s="3">
        <v>45841</v>
      </c>
      <c r="G306">
        <v>202604</v>
      </c>
      <c r="H306" t="s">
        <v>75</v>
      </c>
      <c r="I306" t="s">
        <v>76</v>
      </c>
      <c r="J306" t="s">
        <v>77</v>
      </c>
      <c r="K306" t="s">
        <v>78</v>
      </c>
      <c r="L306" t="s">
        <v>168</v>
      </c>
      <c r="M306" t="s">
        <v>169</v>
      </c>
      <c r="N306" t="s">
        <v>412</v>
      </c>
      <c r="O306" t="s">
        <v>82</v>
      </c>
      <c r="P306" t="str">
        <f>"4170046729                    "</f>
        <v xml:space="preserve">4170046729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71.2</v>
      </c>
      <c r="BM306">
        <v>10.68</v>
      </c>
      <c r="BN306">
        <v>81.88</v>
      </c>
      <c r="BO306">
        <v>81.88</v>
      </c>
      <c r="BQ306" t="s">
        <v>413</v>
      </c>
      <c r="BR306" t="s">
        <v>84</v>
      </c>
      <c r="BS306" s="3">
        <v>45842</v>
      </c>
      <c r="BT306" s="4">
        <v>0.3659722222222222</v>
      </c>
      <c r="BU306" t="s">
        <v>414</v>
      </c>
      <c r="BV306" t="s">
        <v>98</v>
      </c>
      <c r="BY306">
        <v>1200</v>
      </c>
      <c r="BZ306" t="s">
        <v>89</v>
      </c>
      <c r="CA306" t="s">
        <v>415</v>
      </c>
      <c r="CC306" t="s">
        <v>169</v>
      </c>
      <c r="CD306">
        <v>6001</v>
      </c>
      <c r="CE306" t="s">
        <v>239</v>
      </c>
      <c r="CF306" s="3">
        <v>45842</v>
      </c>
      <c r="CI306">
        <v>1</v>
      </c>
      <c r="CJ306">
        <v>1</v>
      </c>
      <c r="CK306">
        <v>21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"080066327293"</f>
        <v>080066327293</v>
      </c>
      <c r="F307" s="3">
        <v>45841</v>
      </c>
      <c r="G307">
        <v>202604</v>
      </c>
      <c r="H307" t="s">
        <v>75</v>
      </c>
      <c r="I307" t="s">
        <v>76</v>
      </c>
      <c r="J307" t="s">
        <v>77</v>
      </c>
      <c r="K307" t="s">
        <v>78</v>
      </c>
      <c r="L307" t="s">
        <v>111</v>
      </c>
      <c r="M307" t="s">
        <v>112</v>
      </c>
      <c r="N307" t="s">
        <v>884</v>
      </c>
      <c r="O307" t="s">
        <v>82</v>
      </c>
      <c r="P307" t="str">
        <f>"4170046713                    "</f>
        <v xml:space="preserve">4170046713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43.78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137.94</v>
      </c>
      <c r="BM307">
        <v>20.69</v>
      </c>
      <c r="BN307">
        <v>158.63</v>
      </c>
      <c r="BO307">
        <v>158.63</v>
      </c>
      <c r="BQ307" t="s">
        <v>885</v>
      </c>
      <c r="BR307" t="s">
        <v>84</v>
      </c>
      <c r="BS307" s="3">
        <v>45845</v>
      </c>
      <c r="BT307" s="4">
        <v>0.4375</v>
      </c>
      <c r="BU307" t="s">
        <v>935</v>
      </c>
      <c r="BV307" t="s">
        <v>86</v>
      </c>
      <c r="BW307" t="s">
        <v>219</v>
      </c>
      <c r="BX307" t="s">
        <v>936</v>
      </c>
      <c r="BY307">
        <v>1200</v>
      </c>
      <c r="BZ307" t="s">
        <v>89</v>
      </c>
      <c r="CC307" t="s">
        <v>112</v>
      </c>
      <c r="CD307">
        <v>1871</v>
      </c>
      <c r="CE307" t="s">
        <v>239</v>
      </c>
      <c r="CF307" s="3">
        <v>45846</v>
      </c>
      <c r="CI307">
        <v>1</v>
      </c>
      <c r="CJ307">
        <v>2</v>
      </c>
      <c r="CK307">
        <v>23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"080066327335"</f>
        <v>080066327335</v>
      </c>
      <c r="F308" s="3">
        <v>45841</v>
      </c>
      <c r="G308">
        <v>202604</v>
      </c>
      <c r="H308" t="s">
        <v>75</v>
      </c>
      <c r="I308" t="s">
        <v>76</v>
      </c>
      <c r="J308" t="s">
        <v>77</v>
      </c>
      <c r="K308" t="s">
        <v>78</v>
      </c>
      <c r="L308" t="s">
        <v>542</v>
      </c>
      <c r="M308" t="s">
        <v>543</v>
      </c>
      <c r="N308" t="s">
        <v>352</v>
      </c>
      <c r="O308" t="s">
        <v>82</v>
      </c>
      <c r="P308" t="str">
        <f>"4170046714                    "</f>
        <v xml:space="preserve">4170046714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17.649999999999999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55.61</v>
      </c>
      <c r="BM308">
        <v>8.34</v>
      </c>
      <c r="BN308">
        <v>63.95</v>
      </c>
      <c r="BO308">
        <v>63.95</v>
      </c>
      <c r="BQ308" t="s">
        <v>353</v>
      </c>
      <c r="BR308" t="s">
        <v>84</v>
      </c>
      <c r="BS308" s="3">
        <v>45842</v>
      </c>
      <c r="BT308" s="4">
        <v>0.40277777777777779</v>
      </c>
      <c r="BU308" t="s">
        <v>937</v>
      </c>
      <c r="BV308" t="s">
        <v>98</v>
      </c>
      <c r="BY308">
        <v>1200</v>
      </c>
      <c r="BZ308" t="s">
        <v>89</v>
      </c>
      <c r="CA308" t="s">
        <v>748</v>
      </c>
      <c r="CC308" t="s">
        <v>543</v>
      </c>
      <c r="CD308">
        <v>1451</v>
      </c>
      <c r="CE308" t="s">
        <v>214</v>
      </c>
      <c r="CF308" s="3">
        <v>45842</v>
      </c>
      <c r="CI308">
        <v>1</v>
      </c>
      <c r="CJ308">
        <v>1</v>
      </c>
      <c r="CK308">
        <v>22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"080066327441"</f>
        <v>080066327441</v>
      </c>
      <c r="F309" s="3">
        <v>45841</v>
      </c>
      <c r="G309">
        <v>202604</v>
      </c>
      <c r="H309" t="s">
        <v>75</v>
      </c>
      <c r="I309" t="s">
        <v>76</v>
      </c>
      <c r="J309" t="s">
        <v>77</v>
      </c>
      <c r="K309" t="s">
        <v>78</v>
      </c>
      <c r="L309" t="s">
        <v>240</v>
      </c>
      <c r="M309" t="s">
        <v>241</v>
      </c>
      <c r="N309" t="s">
        <v>686</v>
      </c>
      <c r="O309" t="s">
        <v>82</v>
      </c>
      <c r="P309" t="str">
        <f>"4170046731                    "</f>
        <v xml:space="preserve">4170046731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17.649999999999999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55.61</v>
      </c>
      <c r="BM309">
        <v>8.34</v>
      </c>
      <c r="BN309">
        <v>63.95</v>
      </c>
      <c r="BO309">
        <v>63.95</v>
      </c>
      <c r="BQ309" t="s">
        <v>687</v>
      </c>
      <c r="BR309" t="s">
        <v>84</v>
      </c>
      <c r="BS309" s="3">
        <v>45842</v>
      </c>
      <c r="BT309" s="4">
        <v>0.38472222222222224</v>
      </c>
      <c r="BU309" t="s">
        <v>938</v>
      </c>
      <c r="BV309" t="s">
        <v>98</v>
      </c>
      <c r="BY309">
        <v>1200</v>
      </c>
      <c r="BZ309" t="s">
        <v>89</v>
      </c>
      <c r="CA309" t="s">
        <v>451</v>
      </c>
      <c r="CC309" t="s">
        <v>241</v>
      </c>
      <c r="CD309">
        <v>2094</v>
      </c>
      <c r="CE309" t="s">
        <v>239</v>
      </c>
      <c r="CF309" s="3">
        <v>45842</v>
      </c>
      <c r="CI309">
        <v>1</v>
      </c>
      <c r="CJ309">
        <v>1</v>
      </c>
      <c r="CK309">
        <v>22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"080066327609"</f>
        <v>080066327609</v>
      </c>
      <c r="F310" s="3">
        <v>45841</v>
      </c>
      <c r="G310">
        <v>202604</v>
      </c>
      <c r="H310" t="s">
        <v>75</v>
      </c>
      <c r="I310" t="s">
        <v>76</v>
      </c>
      <c r="J310" t="s">
        <v>77</v>
      </c>
      <c r="K310" t="s">
        <v>78</v>
      </c>
      <c r="L310" t="s">
        <v>122</v>
      </c>
      <c r="M310" t="s">
        <v>123</v>
      </c>
      <c r="N310" t="s">
        <v>267</v>
      </c>
      <c r="O310" t="s">
        <v>82</v>
      </c>
      <c r="P310" t="str">
        <f>"4170046727                    "</f>
        <v xml:space="preserve">4170046727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22.6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71.2</v>
      </c>
      <c r="BM310">
        <v>10.68</v>
      </c>
      <c r="BN310">
        <v>81.88</v>
      </c>
      <c r="BO310">
        <v>81.88</v>
      </c>
      <c r="BQ310" t="s">
        <v>268</v>
      </c>
      <c r="BR310" t="s">
        <v>84</v>
      </c>
      <c r="BS310" s="3">
        <v>45842</v>
      </c>
      <c r="BT310" s="4">
        <v>0.42430555555555555</v>
      </c>
      <c r="BU310" t="s">
        <v>939</v>
      </c>
      <c r="BV310" t="s">
        <v>98</v>
      </c>
      <c r="BY310">
        <v>1200</v>
      </c>
      <c r="BZ310" t="s">
        <v>89</v>
      </c>
      <c r="CA310" t="s">
        <v>270</v>
      </c>
      <c r="CC310" t="s">
        <v>123</v>
      </c>
      <c r="CD310">
        <v>3610</v>
      </c>
      <c r="CE310" t="s">
        <v>239</v>
      </c>
      <c r="CF310" s="3">
        <v>45843</v>
      </c>
      <c r="CI310">
        <v>1</v>
      </c>
      <c r="CJ310">
        <v>1</v>
      </c>
      <c r="CK310">
        <v>21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"080066327762"</f>
        <v>080066327762</v>
      </c>
      <c r="F311" s="3">
        <v>45841</v>
      </c>
      <c r="G311">
        <v>202604</v>
      </c>
      <c r="H311" t="s">
        <v>75</v>
      </c>
      <c r="I311" t="s">
        <v>76</v>
      </c>
      <c r="J311" t="s">
        <v>77</v>
      </c>
      <c r="K311" t="s">
        <v>78</v>
      </c>
      <c r="L311" t="s">
        <v>75</v>
      </c>
      <c r="M311" t="s">
        <v>76</v>
      </c>
      <c r="N311" t="s">
        <v>118</v>
      </c>
      <c r="O311" t="s">
        <v>82</v>
      </c>
      <c r="P311" t="str">
        <f>"4170046764                    "</f>
        <v xml:space="preserve">4170046764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17.649999999999999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55.61</v>
      </c>
      <c r="BM311">
        <v>8.34</v>
      </c>
      <c r="BN311">
        <v>63.95</v>
      </c>
      <c r="BO311">
        <v>63.95</v>
      </c>
      <c r="BQ311" t="s">
        <v>119</v>
      </c>
      <c r="BR311" t="s">
        <v>84</v>
      </c>
      <c r="BS311" s="3">
        <v>45842</v>
      </c>
      <c r="BT311" s="4">
        <v>0.32013888888888886</v>
      </c>
      <c r="BU311" t="s">
        <v>212</v>
      </c>
      <c r="BV311" t="s">
        <v>98</v>
      </c>
      <c r="BY311">
        <v>1200</v>
      </c>
      <c r="BZ311" t="s">
        <v>89</v>
      </c>
      <c r="CA311" t="s">
        <v>213</v>
      </c>
      <c r="CC311" t="s">
        <v>76</v>
      </c>
      <c r="CD311">
        <v>1600</v>
      </c>
      <c r="CE311" t="s">
        <v>239</v>
      </c>
      <c r="CF311" s="3">
        <v>45842</v>
      </c>
      <c r="CI311">
        <v>1</v>
      </c>
      <c r="CJ311">
        <v>1</v>
      </c>
      <c r="CK311">
        <v>22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"080066327863"</f>
        <v>080066327863</v>
      </c>
      <c r="F312" s="3">
        <v>45841</v>
      </c>
      <c r="G312">
        <v>202604</v>
      </c>
      <c r="H312" t="s">
        <v>75</v>
      </c>
      <c r="I312" t="s">
        <v>76</v>
      </c>
      <c r="J312" t="s">
        <v>77</v>
      </c>
      <c r="K312" t="s">
        <v>78</v>
      </c>
      <c r="L312" t="s">
        <v>221</v>
      </c>
      <c r="M312" t="s">
        <v>222</v>
      </c>
      <c r="N312" t="s">
        <v>223</v>
      </c>
      <c r="O312" t="s">
        <v>82</v>
      </c>
      <c r="P312" t="str">
        <f>"4170046735                    "</f>
        <v xml:space="preserve">4170046735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43.78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137.94</v>
      </c>
      <c r="BM312">
        <v>20.69</v>
      </c>
      <c r="BN312">
        <v>158.63</v>
      </c>
      <c r="BO312">
        <v>158.63</v>
      </c>
      <c r="BQ312" t="s">
        <v>224</v>
      </c>
      <c r="BR312" t="s">
        <v>84</v>
      </c>
      <c r="BS312" s="3">
        <v>45842</v>
      </c>
      <c r="BT312" s="4">
        <v>0.41666666666666669</v>
      </c>
      <c r="BU312" t="s">
        <v>225</v>
      </c>
      <c r="BV312" t="s">
        <v>98</v>
      </c>
      <c r="BY312">
        <v>1200</v>
      </c>
      <c r="BZ312" t="s">
        <v>89</v>
      </c>
      <c r="CC312" t="s">
        <v>222</v>
      </c>
      <c r="CD312">
        <v>2740</v>
      </c>
      <c r="CE312" t="s">
        <v>239</v>
      </c>
      <c r="CF312" s="3">
        <v>45845</v>
      </c>
      <c r="CI312">
        <v>1</v>
      </c>
      <c r="CJ312">
        <v>1</v>
      </c>
      <c r="CK312">
        <v>23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"080066327900"</f>
        <v>080066327900</v>
      </c>
      <c r="F313" s="3">
        <v>45841</v>
      </c>
      <c r="G313">
        <v>202604</v>
      </c>
      <c r="H313" t="s">
        <v>75</v>
      </c>
      <c r="I313" t="s">
        <v>76</v>
      </c>
      <c r="J313" t="s">
        <v>77</v>
      </c>
      <c r="K313" t="s">
        <v>78</v>
      </c>
      <c r="L313" t="s">
        <v>75</v>
      </c>
      <c r="M313" t="s">
        <v>76</v>
      </c>
      <c r="N313" t="s">
        <v>701</v>
      </c>
      <c r="O313" t="s">
        <v>82</v>
      </c>
      <c r="P313" t="str">
        <f>"4170046720                    "</f>
        <v xml:space="preserve">4170046720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17.649999999999999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55.61</v>
      </c>
      <c r="BM313">
        <v>8.34</v>
      </c>
      <c r="BN313">
        <v>63.95</v>
      </c>
      <c r="BO313">
        <v>63.95</v>
      </c>
      <c r="BQ313" t="s">
        <v>702</v>
      </c>
      <c r="BR313" t="s">
        <v>84</v>
      </c>
      <c r="BS313" s="3">
        <v>45842</v>
      </c>
      <c r="BT313" s="4">
        <v>0.33333333333333331</v>
      </c>
      <c r="BU313" t="s">
        <v>940</v>
      </c>
      <c r="BV313" t="s">
        <v>98</v>
      </c>
      <c r="BY313">
        <v>1200</v>
      </c>
      <c r="BZ313" t="s">
        <v>89</v>
      </c>
      <c r="CA313" t="s">
        <v>941</v>
      </c>
      <c r="CC313" t="s">
        <v>76</v>
      </c>
      <c r="CD313">
        <v>1645</v>
      </c>
      <c r="CE313" t="s">
        <v>239</v>
      </c>
      <c r="CF313" s="3">
        <v>45843</v>
      </c>
      <c r="CI313">
        <v>1</v>
      </c>
      <c r="CJ313">
        <v>1</v>
      </c>
      <c r="CK313">
        <v>22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"080066327967"</f>
        <v>080066327967</v>
      </c>
      <c r="F314" s="3">
        <v>45841</v>
      </c>
      <c r="G314">
        <v>202604</v>
      </c>
      <c r="H314" t="s">
        <v>75</v>
      </c>
      <c r="I314" t="s">
        <v>76</v>
      </c>
      <c r="J314" t="s">
        <v>77</v>
      </c>
      <c r="K314" t="s">
        <v>78</v>
      </c>
      <c r="L314" t="s">
        <v>295</v>
      </c>
      <c r="M314" t="s">
        <v>296</v>
      </c>
      <c r="N314" t="s">
        <v>942</v>
      </c>
      <c r="O314" t="s">
        <v>82</v>
      </c>
      <c r="P314" t="str">
        <f>"4170046722                    "</f>
        <v xml:space="preserve">4170046722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17.649999999999999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55.61</v>
      </c>
      <c r="BM314">
        <v>8.34</v>
      </c>
      <c r="BN314">
        <v>63.95</v>
      </c>
      <c r="BO314">
        <v>63.95</v>
      </c>
      <c r="BQ314" t="s">
        <v>943</v>
      </c>
      <c r="BR314" t="s">
        <v>84</v>
      </c>
      <c r="BS314" s="3">
        <v>45842</v>
      </c>
      <c r="BT314" s="4">
        <v>0.35555555555555557</v>
      </c>
      <c r="BU314" t="s">
        <v>944</v>
      </c>
      <c r="BV314" t="s">
        <v>98</v>
      </c>
      <c r="BY314">
        <v>1200</v>
      </c>
      <c r="BZ314" t="s">
        <v>89</v>
      </c>
      <c r="CA314" t="s">
        <v>300</v>
      </c>
      <c r="CC314" t="s">
        <v>296</v>
      </c>
      <c r="CD314">
        <v>1459</v>
      </c>
      <c r="CE314" t="s">
        <v>239</v>
      </c>
      <c r="CF314" s="3">
        <v>45842</v>
      </c>
      <c r="CI314">
        <v>1</v>
      </c>
      <c r="CJ314">
        <v>1</v>
      </c>
      <c r="CK314">
        <v>22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"080066328005"</f>
        <v>080066328005</v>
      </c>
      <c r="F315" s="3">
        <v>45841</v>
      </c>
      <c r="G315">
        <v>202604</v>
      </c>
      <c r="H315" t="s">
        <v>75</v>
      </c>
      <c r="I315" t="s">
        <v>76</v>
      </c>
      <c r="J315" t="s">
        <v>77</v>
      </c>
      <c r="K315" t="s">
        <v>78</v>
      </c>
      <c r="L315" t="s">
        <v>240</v>
      </c>
      <c r="M315" t="s">
        <v>241</v>
      </c>
      <c r="N315" t="s">
        <v>798</v>
      </c>
      <c r="O315" t="s">
        <v>82</v>
      </c>
      <c r="P315" t="str">
        <f>"4170046742                    "</f>
        <v xml:space="preserve">4170046742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17.649999999999999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55.61</v>
      </c>
      <c r="BM315">
        <v>8.34</v>
      </c>
      <c r="BN315">
        <v>63.95</v>
      </c>
      <c r="BO315">
        <v>63.95</v>
      </c>
      <c r="BQ315" t="s">
        <v>799</v>
      </c>
      <c r="BR315" t="s">
        <v>84</v>
      </c>
      <c r="BS315" s="3">
        <v>45842</v>
      </c>
      <c r="BT315" s="4">
        <v>0.37708333333333333</v>
      </c>
      <c r="BU315" t="s">
        <v>564</v>
      </c>
      <c r="BV315" t="s">
        <v>98</v>
      </c>
      <c r="BY315">
        <v>1200</v>
      </c>
      <c r="BZ315" t="s">
        <v>89</v>
      </c>
      <c r="CA315" t="s">
        <v>245</v>
      </c>
      <c r="CC315" t="s">
        <v>241</v>
      </c>
      <c r="CD315">
        <v>2013</v>
      </c>
      <c r="CE315" t="s">
        <v>239</v>
      </c>
      <c r="CF315" s="3">
        <v>45843</v>
      </c>
      <c r="CI315">
        <v>1</v>
      </c>
      <c r="CJ315">
        <v>1</v>
      </c>
      <c r="CK315">
        <v>22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"080066328035"</f>
        <v>080066328035</v>
      </c>
      <c r="F316" s="3">
        <v>45841</v>
      </c>
      <c r="G316">
        <v>202604</v>
      </c>
      <c r="H316" t="s">
        <v>75</v>
      </c>
      <c r="I316" t="s">
        <v>76</v>
      </c>
      <c r="J316" t="s">
        <v>77</v>
      </c>
      <c r="K316" t="s">
        <v>78</v>
      </c>
      <c r="L316" t="s">
        <v>197</v>
      </c>
      <c r="M316" t="s">
        <v>198</v>
      </c>
      <c r="N316" t="s">
        <v>945</v>
      </c>
      <c r="O316" t="s">
        <v>82</v>
      </c>
      <c r="P316" t="str">
        <f>"4170046756                    "</f>
        <v xml:space="preserve">4170046756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17.649999999999999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55.61</v>
      </c>
      <c r="BM316">
        <v>8.34</v>
      </c>
      <c r="BN316">
        <v>63.95</v>
      </c>
      <c r="BO316">
        <v>63.95</v>
      </c>
      <c r="BQ316" t="s">
        <v>946</v>
      </c>
      <c r="BR316" t="s">
        <v>84</v>
      </c>
      <c r="BS316" s="3">
        <v>45842</v>
      </c>
      <c r="BT316" s="4">
        <v>0.40972222222222221</v>
      </c>
      <c r="BU316" t="s">
        <v>947</v>
      </c>
      <c r="BV316" t="s">
        <v>98</v>
      </c>
      <c r="BY316">
        <v>1200</v>
      </c>
      <c r="BZ316" t="s">
        <v>89</v>
      </c>
      <c r="CA316" t="s">
        <v>948</v>
      </c>
      <c r="CC316" t="s">
        <v>198</v>
      </c>
      <c r="CD316">
        <v>1422</v>
      </c>
      <c r="CE316" t="s">
        <v>239</v>
      </c>
      <c r="CF316" s="3">
        <v>45843</v>
      </c>
      <c r="CI316">
        <v>1</v>
      </c>
      <c r="CJ316">
        <v>1</v>
      </c>
      <c r="CK316">
        <v>22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"080066328070"</f>
        <v>080066328070</v>
      </c>
      <c r="F317" s="3">
        <v>45841</v>
      </c>
      <c r="G317">
        <v>202604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949</v>
      </c>
      <c r="O317" t="s">
        <v>82</v>
      </c>
      <c r="P317" t="str">
        <f>"4170046753                    "</f>
        <v xml:space="preserve">4170046753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17.649999999999999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55.61</v>
      </c>
      <c r="BM317">
        <v>8.34</v>
      </c>
      <c r="BN317">
        <v>63.95</v>
      </c>
      <c r="BO317">
        <v>63.95</v>
      </c>
      <c r="BQ317" t="s">
        <v>950</v>
      </c>
      <c r="BR317" t="s">
        <v>84</v>
      </c>
      <c r="BS317" s="3">
        <v>45842</v>
      </c>
      <c r="BT317" s="4">
        <v>0.35208333333333336</v>
      </c>
      <c r="BU317" t="s">
        <v>951</v>
      </c>
      <c r="BV317" t="s">
        <v>98</v>
      </c>
      <c r="BY317">
        <v>1200</v>
      </c>
      <c r="BZ317" t="s">
        <v>89</v>
      </c>
      <c r="CA317" t="s">
        <v>952</v>
      </c>
      <c r="CC317" t="s">
        <v>76</v>
      </c>
      <c r="CD317">
        <v>1601</v>
      </c>
      <c r="CE317" t="s">
        <v>239</v>
      </c>
      <c r="CF317" s="3">
        <v>45843</v>
      </c>
      <c r="CI317">
        <v>1</v>
      </c>
      <c r="CJ317">
        <v>1</v>
      </c>
      <c r="CK317">
        <v>22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"080066328127"</f>
        <v>080066328127</v>
      </c>
      <c r="F318" s="3">
        <v>45841</v>
      </c>
      <c r="G318">
        <v>202604</v>
      </c>
      <c r="H318" t="s">
        <v>75</v>
      </c>
      <c r="I318" t="s">
        <v>76</v>
      </c>
      <c r="J318" t="s">
        <v>77</v>
      </c>
      <c r="K318" t="s">
        <v>78</v>
      </c>
      <c r="L318" t="s">
        <v>168</v>
      </c>
      <c r="M318" t="s">
        <v>169</v>
      </c>
      <c r="N318" t="s">
        <v>726</v>
      </c>
      <c r="O318" t="s">
        <v>82</v>
      </c>
      <c r="P318" t="str">
        <f>"4170046755                    "</f>
        <v xml:space="preserve">4170046755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22.6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71.2</v>
      </c>
      <c r="BM318">
        <v>10.68</v>
      </c>
      <c r="BN318">
        <v>81.88</v>
      </c>
      <c r="BO318">
        <v>81.88</v>
      </c>
      <c r="BQ318" t="s">
        <v>727</v>
      </c>
      <c r="BR318" t="s">
        <v>84</v>
      </c>
      <c r="BS318" s="3">
        <v>45842</v>
      </c>
      <c r="BT318" s="4">
        <v>0.39027777777777778</v>
      </c>
      <c r="BU318" t="s">
        <v>953</v>
      </c>
      <c r="BV318" t="s">
        <v>98</v>
      </c>
      <c r="BY318">
        <v>1200</v>
      </c>
      <c r="BZ318" t="s">
        <v>89</v>
      </c>
      <c r="CA318" t="s">
        <v>173</v>
      </c>
      <c r="CC318" t="s">
        <v>169</v>
      </c>
      <c r="CD318">
        <v>6001</v>
      </c>
      <c r="CE318" t="s">
        <v>239</v>
      </c>
      <c r="CF318" s="3">
        <v>45842</v>
      </c>
      <c r="CI318">
        <v>1</v>
      </c>
      <c r="CJ318">
        <v>1</v>
      </c>
      <c r="CK318">
        <v>21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"080066328167"</f>
        <v>080066328167</v>
      </c>
      <c r="F319" s="3">
        <v>45841</v>
      </c>
      <c r="G319">
        <v>202604</v>
      </c>
      <c r="H319" t="s">
        <v>75</v>
      </c>
      <c r="I319" t="s">
        <v>76</v>
      </c>
      <c r="J319" t="s">
        <v>77</v>
      </c>
      <c r="K319" t="s">
        <v>78</v>
      </c>
      <c r="L319" t="s">
        <v>92</v>
      </c>
      <c r="M319" t="s">
        <v>93</v>
      </c>
      <c r="N319" t="s">
        <v>749</v>
      </c>
      <c r="O319" t="s">
        <v>82</v>
      </c>
      <c r="P319" t="str">
        <f>"4170046744                    "</f>
        <v xml:space="preserve">4170046744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22.6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71.2</v>
      </c>
      <c r="BM319">
        <v>10.68</v>
      </c>
      <c r="BN319">
        <v>81.88</v>
      </c>
      <c r="BO319">
        <v>81.88</v>
      </c>
      <c r="BQ319" t="s">
        <v>750</v>
      </c>
      <c r="BR319" t="s">
        <v>84</v>
      </c>
      <c r="BS319" s="3">
        <v>45842</v>
      </c>
      <c r="BT319" s="4">
        <v>0.39791666666666664</v>
      </c>
      <c r="BU319" t="s">
        <v>751</v>
      </c>
      <c r="BV319" t="s">
        <v>98</v>
      </c>
      <c r="BY319">
        <v>1200</v>
      </c>
      <c r="BZ319" t="s">
        <v>89</v>
      </c>
      <c r="CA319" t="s">
        <v>491</v>
      </c>
      <c r="CC319" t="s">
        <v>93</v>
      </c>
      <c r="CD319">
        <v>4001</v>
      </c>
      <c r="CE319" t="s">
        <v>239</v>
      </c>
      <c r="CF319" s="3">
        <v>45843</v>
      </c>
      <c r="CI319">
        <v>1</v>
      </c>
      <c r="CJ319">
        <v>1</v>
      </c>
      <c r="CK319">
        <v>21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"080066328201"</f>
        <v>080066328201</v>
      </c>
      <c r="F320" s="3">
        <v>45841</v>
      </c>
      <c r="G320">
        <v>202604</v>
      </c>
      <c r="H320" t="s">
        <v>75</v>
      </c>
      <c r="I320" t="s">
        <v>76</v>
      </c>
      <c r="J320" t="s">
        <v>77</v>
      </c>
      <c r="K320" t="s">
        <v>78</v>
      </c>
      <c r="L320" t="s">
        <v>79</v>
      </c>
      <c r="M320" t="s">
        <v>80</v>
      </c>
      <c r="N320" t="s">
        <v>352</v>
      </c>
      <c r="O320" t="s">
        <v>82</v>
      </c>
      <c r="P320" t="str">
        <f>"4170046716                    "</f>
        <v xml:space="preserve">4170046716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22.6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71.2</v>
      </c>
      <c r="BM320">
        <v>10.68</v>
      </c>
      <c r="BN320">
        <v>81.88</v>
      </c>
      <c r="BO320">
        <v>81.88</v>
      </c>
      <c r="BQ320" t="s">
        <v>353</v>
      </c>
      <c r="BR320" t="s">
        <v>84</v>
      </c>
      <c r="BS320" s="3">
        <v>45842</v>
      </c>
      <c r="BT320" s="4">
        <v>0.41111111111111109</v>
      </c>
      <c r="BU320" t="s">
        <v>929</v>
      </c>
      <c r="BV320" t="s">
        <v>98</v>
      </c>
      <c r="BY320">
        <v>1200</v>
      </c>
      <c r="BZ320" t="s">
        <v>89</v>
      </c>
      <c r="CA320" t="s">
        <v>930</v>
      </c>
      <c r="CC320" t="s">
        <v>80</v>
      </c>
      <c r="CD320">
        <v>7700</v>
      </c>
      <c r="CE320" t="s">
        <v>239</v>
      </c>
      <c r="CF320" s="3">
        <v>45845</v>
      </c>
      <c r="CI320">
        <v>1</v>
      </c>
      <c r="CJ320">
        <v>1</v>
      </c>
      <c r="CK320">
        <v>21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"080066328355"</f>
        <v>080066328355</v>
      </c>
      <c r="F321" s="3">
        <v>45841</v>
      </c>
      <c r="G321">
        <v>202604</v>
      </c>
      <c r="H321" t="s">
        <v>75</v>
      </c>
      <c r="I321" t="s">
        <v>76</v>
      </c>
      <c r="J321" t="s">
        <v>77</v>
      </c>
      <c r="K321" t="s">
        <v>78</v>
      </c>
      <c r="L321" t="s">
        <v>197</v>
      </c>
      <c r="M321" t="s">
        <v>198</v>
      </c>
      <c r="N321" t="s">
        <v>954</v>
      </c>
      <c r="O321" t="s">
        <v>82</v>
      </c>
      <c r="P321" t="str">
        <f>"4170046712                    "</f>
        <v xml:space="preserve">4170046712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17.649999999999999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55.61</v>
      </c>
      <c r="BM321">
        <v>8.34</v>
      </c>
      <c r="BN321">
        <v>63.95</v>
      </c>
      <c r="BO321">
        <v>63.95</v>
      </c>
      <c r="BQ321" t="s">
        <v>955</v>
      </c>
      <c r="BR321" t="s">
        <v>84</v>
      </c>
      <c r="BS321" s="3">
        <v>45842</v>
      </c>
      <c r="BT321" s="4">
        <v>0.44305555555555554</v>
      </c>
      <c r="BU321" t="s">
        <v>956</v>
      </c>
      <c r="BV321" t="s">
        <v>86</v>
      </c>
      <c r="BW321" t="s">
        <v>395</v>
      </c>
      <c r="BX321" t="s">
        <v>957</v>
      </c>
      <c r="BY321">
        <v>1200</v>
      </c>
      <c r="BZ321" t="s">
        <v>89</v>
      </c>
      <c r="CC321" t="s">
        <v>198</v>
      </c>
      <c r="CD321">
        <v>1401</v>
      </c>
      <c r="CE321" t="s">
        <v>214</v>
      </c>
      <c r="CF321" s="3">
        <v>45842</v>
      </c>
      <c r="CI321">
        <v>1</v>
      </c>
      <c r="CJ321">
        <v>1</v>
      </c>
      <c r="CK321">
        <v>22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"080066328400"</f>
        <v>080066328400</v>
      </c>
      <c r="F322" s="3">
        <v>45841</v>
      </c>
      <c r="G322">
        <v>202604</v>
      </c>
      <c r="H322" t="s">
        <v>75</v>
      </c>
      <c r="I322" t="s">
        <v>76</v>
      </c>
      <c r="J322" t="s">
        <v>77</v>
      </c>
      <c r="K322" t="s">
        <v>78</v>
      </c>
      <c r="L322" t="s">
        <v>580</v>
      </c>
      <c r="M322" t="s">
        <v>581</v>
      </c>
      <c r="N322" t="s">
        <v>582</v>
      </c>
      <c r="O322" t="s">
        <v>82</v>
      </c>
      <c r="P322" t="str">
        <f>"4170046760                    "</f>
        <v xml:space="preserve">4170046760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22.6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71.2</v>
      </c>
      <c r="BM322">
        <v>10.68</v>
      </c>
      <c r="BN322">
        <v>81.88</v>
      </c>
      <c r="BO322">
        <v>81.88</v>
      </c>
      <c r="BQ322" t="s">
        <v>583</v>
      </c>
      <c r="BR322" t="s">
        <v>84</v>
      </c>
      <c r="BS322" s="3">
        <v>45842</v>
      </c>
      <c r="BT322" s="4">
        <v>0.35069444444444442</v>
      </c>
      <c r="BU322" t="s">
        <v>584</v>
      </c>
      <c r="BV322" t="s">
        <v>98</v>
      </c>
      <c r="BY322">
        <v>1200</v>
      </c>
      <c r="BZ322" t="s">
        <v>89</v>
      </c>
      <c r="CA322" t="s">
        <v>585</v>
      </c>
      <c r="CC322" t="s">
        <v>581</v>
      </c>
      <c r="CD322">
        <v>4302</v>
      </c>
      <c r="CE322" t="s">
        <v>239</v>
      </c>
      <c r="CF322" s="3">
        <v>45842</v>
      </c>
      <c r="CI322">
        <v>1</v>
      </c>
      <c r="CJ322">
        <v>1</v>
      </c>
      <c r="CK322">
        <v>21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"080066328447"</f>
        <v>080066328447</v>
      </c>
      <c r="F323" s="3">
        <v>45841</v>
      </c>
      <c r="G323">
        <v>202604</v>
      </c>
      <c r="H323" t="s">
        <v>75</v>
      </c>
      <c r="I323" t="s">
        <v>76</v>
      </c>
      <c r="J323" t="s">
        <v>77</v>
      </c>
      <c r="K323" t="s">
        <v>78</v>
      </c>
      <c r="L323" t="s">
        <v>604</v>
      </c>
      <c r="M323" t="s">
        <v>605</v>
      </c>
      <c r="N323" t="s">
        <v>606</v>
      </c>
      <c r="O323" t="s">
        <v>82</v>
      </c>
      <c r="P323" t="str">
        <f>"4170046717                    "</f>
        <v xml:space="preserve">4170046717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43.78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137.94</v>
      </c>
      <c r="BM323">
        <v>20.69</v>
      </c>
      <c r="BN323">
        <v>158.63</v>
      </c>
      <c r="BO323">
        <v>158.63</v>
      </c>
      <c r="BQ323" t="s">
        <v>607</v>
      </c>
      <c r="BR323" t="s">
        <v>84</v>
      </c>
      <c r="BS323" s="3">
        <v>45847</v>
      </c>
      <c r="BT323" s="4">
        <v>0.59930555555555554</v>
      </c>
      <c r="BU323" t="s">
        <v>958</v>
      </c>
      <c r="BV323" t="s">
        <v>98</v>
      </c>
      <c r="BY323">
        <v>1200</v>
      </c>
      <c r="BZ323" t="s">
        <v>89</v>
      </c>
      <c r="CA323" t="s">
        <v>609</v>
      </c>
      <c r="CC323" t="s">
        <v>605</v>
      </c>
      <c r="CD323">
        <v>4490</v>
      </c>
      <c r="CE323" t="s">
        <v>214</v>
      </c>
      <c r="CF323" s="3">
        <v>45847</v>
      </c>
      <c r="CI323">
        <v>5</v>
      </c>
      <c r="CJ323">
        <v>4</v>
      </c>
      <c r="CK323">
        <v>23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"080066328506"</f>
        <v>080066328506</v>
      </c>
      <c r="F324" s="3">
        <v>45841</v>
      </c>
      <c r="G324">
        <v>202604</v>
      </c>
      <c r="H324" t="s">
        <v>75</v>
      </c>
      <c r="I324" t="s">
        <v>76</v>
      </c>
      <c r="J324" t="s">
        <v>77</v>
      </c>
      <c r="K324" t="s">
        <v>78</v>
      </c>
      <c r="L324" t="s">
        <v>168</v>
      </c>
      <c r="M324" t="s">
        <v>169</v>
      </c>
      <c r="N324" t="s">
        <v>959</v>
      </c>
      <c r="O324" t="s">
        <v>82</v>
      </c>
      <c r="P324" t="str">
        <f>"4170046752                    "</f>
        <v xml:space="preserve">4170046752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101.63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4</v>
      </c>
      <c r="BJ324">
        <v>8.9</v>
      </c>
      <c r="BK324">
        <v>9</v>
      </c>
      <c r="BL324">
        <v>320.19</v>
      </c>
      <c r="BM324">
        <v>48.03</v>
      </c>
      <c r="BN324">
        <v>368.22</v>
      </c>
      <c r="BO324">
        <v>368.22</v>
      </c>
      <c r="BQ324" t="s">
        <v>960</v>
      </c>
      <c r="BR324" t="s">
        <v>84</v>
      </c>
      <c r="BS324" s="3">
        <v>45842</v>
      </c>
      <c r="BT324" s="4">
        <v>0.375</v>
      </c>
      <c r="BU324" t="s">
        <v>961</v>
      </c>
      <c r="BV324" t="s">
        <v>98</v>
      </c>
      <c r="BY324">
        <v>44640</v>
      </c>
      <c r="BZ324" t="s">
        <v>89</v>
      </c>
      <c r="CA324" t="s">
        <v>345</v>
      </c>
      <c r="CC324" t="s">
        <v>169</v>
      </c>
      <c r="CD324">
        <v>6001</v>
      </c>
      <c r="CE324" t="s">
        <v>117</v>
      </c>
      <c r="CF324" s="3">
        <v>45842</v>
      </c>
      <c r="CI324">
        <v>1</v>
      </c>
      <c r="CJ324">
        <v>1</v>
      </c>
      <c r="CK324">
        <v>21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"080066328592"</f>
        <v>080066328592</v>
      </c>
      <c r="F325" s="3">
        <v>45841</v>
      </c>
      <c r="G325">
        <v>202604</v>
      </c>
      <c r="H325" t="s">
        <v>75</v>
      </c>
      <c r="I325" t="s">
        <v>76</v>
      </c>
      <c r="J325" t="s">
        <v>77</v>
      </c>
      <c r="K325" t="s">
        <v>78</v>
      </c>
      <c r="L325" t="s">
        <v>295</v>
      </c>
      <c r="M325" t="s">
        <v>296</v>
      </c>
      <c r="N325" t="s">
        <v>962</v>
      </c>
      <c r="O325" t="s">
        <v>311</v>
      </c>
      <c r="P325" t="str">
        <f>"4170046743                    "</f>
        <v xml:space="preserve">4170046743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21.62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10</v>
      </c>
      <c r="BJ325">
        <v>8.9</v>
      </c>
      <c r="BK325">
        <v>10</v>
      </c>
      <c r="BL325">
        <v>68.11</v>
      </c>
      <c r="BM325">
        <v>10.220000000000001</v>
      </c>
      <c r="BN325">
        <v>78.33</v>
      </c>
      <c r="BO325">
        <v>78.33</v>
      </c>
      <c r="BQ325" t="s">
        <v>963</v>
      </c>
      <c r="BR325" t="s">
        <v>84</v>
      </c>
      <c r="BS325" s="3">
        <v>45842</v>
      </c>
      <c r="BT325" s="4">
        <v>0.39097222222222222</v>
      </c>
      <c r="BU325" t="s">
        <v>964</v>
      </c>
      <c r="BV325" t="s">
        <v>98</v>
      </c>
      <c r="BY325">
        <v>44640</v>
      </c>
      <c r="BZ325" t="s">
        <v>99</v>
      </c>
      <c r="CA325" t="s">
        <v>965</v>
      </c>
      <c r="CC325" t="s">
        <v>296</v>
      </c>
      <c r="CD325">
        <v>1459</v>
      </c>
      <c r="CE325" t="s">
        <v>966</v>
      </c>
      <c r="CF325" s="3">
        <v>45842</v>
      </c>
      <c r="CI325">
        <v>1</v>
      </c>
      <c r="CJ325">
        <v>1</v>
      </c>
      <c r="CK325">
        <v>32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"080066328644"</f>
        <v>080066328644</v>
      </c>
      <c r="F326" s="3">
        <v>45841</v>
      </c>
      <c r="G326">
        <v>202604</v>
      </c>
      <c r="H326" t="s">
        <v>75</v>
      </c>
      <c r="I326" t="s">
        <v>76</v>
      </c>
      <c r="J326" t="s">
        <v>77</v>
      </c>
      <c r="K326" t="s">
        <v>78</v>
      </c>
      <c r="L326" t="s">
        <v>406</v>
      </c>
      <c r="M326" t="s">
        <v>407</v>
      </c>
      <c r="N326" t="s">
        <v>408</v>
      </c>
      <c r="O326" t="s">
        <v>82</v>
      </c>
      <c r="P326" t="str">
        <f>"4170046758                    "</f>
        <v xml:space="preserve">4170046758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43.78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2</v>
      </c>
      <c r="BJ326">
        <v>1.1000000000000001</v>
      </c>
      <c r="BK326">
        <v>2</v>
      </c>
      <c r="BL326">
        <v>137.94</v>
      </c>
      <c r="BM326">
        <v>20.69</v>
      </c>
      <c r="BN326">
        <v>158.63</v>
      </c>
      <c r="BO326">
        <v>158.63</v>
      </c>
      <c r="BQ326" t="s">
        <v>409</v>
      </c>
      <c r="BR326" t="s">
        <v>84</v>
      </c>
      <c r="BS326" s="3">
        <v>45842</v>
      </c>
      <c r="BT326" s="4">
        <v>0.37986111111111109</v>
      </c>
      <c r="BU326" t="s">
        <v>967</v>
      </c>
      <c r="BV326" t="s">
        <v>98</v>
      </c>
      <c r="BY326">
        <v>5320</v>
      </c>
      <c r="BZ326" t="s">
        <v>89</v>
      </c>
      <c r="CC326" t="s">
        <v>407</v>
      </c>
      <c r="CD326">
        <v>4420</v>
      </c>
      <c r="CE326" t="s">
        <v>117</v>
      </c>
      <c r="CF326" s="3">
        <v>45843</v>
      </c>
      <c r="CI326">
        <v>1</v>
      </c>
      <c r="CJ326">
        <v>1</v>
      </c>
      <c r="CK326">
        <v>23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"080066328683"</f>
        <v>080066328683</v>
      </c>
      <c r="F327" s="3">
        <v>45841</v>
      </c>
      <c r="G327">
        <v>202604</v>
      </c>
      <c r="H327" t="s">
        <v>75</v>
      </c>
      <c r="I327" t="s">
        <v>76</v>
      </c>
      <c r="J327" t="s">
        <v>77</v>
      </c>
      <c r="K327" t="s">
        <v>78</v>
      </c>
      <c r="L327" t="s">
        <v>151</v>
      </c>
      <c r="M327" t="s">
        <v>152</v>
      </c>
      <c r="N327" t="s">
        <v>968</v>
      </c>
      <c r="O327" t="s">
        <v>82</v>
      </c>
      <c r="P327" t="str">
        <f>"4170046757                    "</f>
        <v xml:space="preserve">4170046757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1.1000000000000001</v>
      </c>
      <c r="BK327">
        <v>1.5</v>
      </c>
      <c r="BL327">
        <v>71.2</v>
      </c>
      <c r="BM327">
        <v>10.68</v>
      </c>
      <c r="BN327">
        <v>81.88</v>
      </c>
      <c r="BO327">
        <v>81.88</v>
      </c>
      <c r="BQ327" t="s">
        <v>969</v>
      </c>
      <c r="BR327" t="s">
        <v>84</v>
      </c>
      <c r="BS327" s="3">
        <v>45842</v>
      </c>
      <c r="BT327" s="4">
        <v>0.41041666666666665</v>
      </c>
      <c r="BU327" t="s">
        <v>970</v>
      </c>
      <c r="BV327" t="s">
        <v>98</v>
      </c>
      <c r="BY327">
        <v>5320</v>
      </c>
      <c r="BZ327" t="s">
        <v>89</v>
      </c>
      <c r="CA327" t="s">
        <v>716</v>
      </c>
      <c r="CC327" t="s">
        <v>152</v>
      </c>
      <c r="CD327" s="5" t="s">
        <v>717</v>
      </c>
      <c r="CE327" t="s">
        <v>117</v>
      </c>
      <c r="CF327" s="3">
        <v>45842</v>
      </c>
      <c r="CI327">
        <v>1</v>
      </c>
      <c r="CJ327">
        <v>1</v>
      </c>
      <c r="CK327">
        <v>21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"080066328725"</f>
        <v>080066328725</v>
      </c>
      <c r="F328" s="3">
        <v>45841</v>
      </c>
      <c r="G328">
        <v>202604</v>
      </c>
      <c r="H328" t="s">
        <v>75</v>
      </c>
      <c r="I328" t="s">
        <v>76</v>
      </c>
      <c r="J328" t="s">
        <v>77</v>
      </c>
      <c r="K328" t="s">
        <v>78</v>
      </c>
      <c r="L328" t="s">
        <v>92</v>
      </c>
      <c r="M328" t="s">
        <v>93</v>
      </c>
      <c r="N328" t="s">
        <v>291</v>
      </c>
      <c r="O328" t="s">
        <v>82</v>
      </c>
      <c r="P328" t="str">
        <f>"4170046726                    "</f>
        <v xml:space="preserve">4170046726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22.6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1.1000000000000001</v>
      </c>
      <c r="BK328">
        <v>1.5</v>
      </c>
      <c r="BL328">
        <v>71.2</v>
      </c>
      <c r="BM328">
        <v>10.68</v>
      </c>
      <c r="BN328">
        <v>81.88</v>
      </c>
      <c r="BO328">
        <v>81.88</v>
      </c>
      <c r="BQ328" t="s">
        <v>292</v>
      </c>
      <c r="BR328" t="s">
        <v>84</v>
      </c>
      <c r="BS328" s="3">
        <v>45842</v>
      </c>
      <c r="BT328" s="4">
        <v>0.3347222222222222</v>
      </c>
      <c r="BU328" t="s">
        <v>971</v>
      </c>
      <c r="BV328" t="s">
        <v>98</v>
      </c>
      <c r="BY328">
        <v>5320</v>
      </c>
      <c r="BZ328" t="s">
        <v>89</v>
      </c>
      <c r="CA328" t="s">
        <v>294</v>
      </c>
      <c r="CC328" t="s">
        <v>93</v>
      </c>
      <c r="CD328">
        <v>4051</v>
      </c>
      <c r="CE328" t="s">
        <v>117</v>
      </c>
      <c r="CF328" s="3">
        <v>45842</v>
      </c>
      <c r="CI328">
        <v>1</v>
      </c>
      <c r="CJ328">
        <v>1</v>
      </c>
      <c r="CK328">
        <v>21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"080066328751"</f>
        <v>080066328751</v>
      </c>
      <c r="F329" s="3">
        <v>45841</v>
      </c>
      <c r="G329">
        <v>202604</v>
      </c>
      <c r="H329" t="s">
        <v>75</v>
      </c>
      <c r="I329" t="s">
        <v>76</v>
      </c>
      <c r="J329" t="s">
        <v>77</v>
      </c>
      <c r="K329" t="s">
        <v>78</v>
      </c>
      <c r="L329" t="s">
        <v>168</v>
      </c>
      <c r="M329" t="s">
        <v>169</v>
      </c>
      <c r="N329" t="s">
        <v>206</v>
      </c>
      <c r="O329" t="s">
        <v>82</v>
      </c>
      <c r="P329" t="str">
        <f>"4170046750                    "</f>
        <v xml:space="preserve">4170046750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22.6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1.1000000000000001</v>
      </c>
      <c r="BK329">
        <v>1.5</v>
      </c>
      <c r="BL329">
        <v>71.2</v>
      </c>
      <c r="BM329">
        <v>10.68</v>
      </c>
      <c r="BN329">
        <v>81.88</v>
      </c>
      <c r="BO329">
        <v>81.88</v>
      </c>
      <c r="BQ329" t="s">
        <v>207</v>
      </c>
      <c r="BR329" t="s">
        <v>84</v>
      </c>
      <c r="BS329" s="3">
        <v>45842</v>
      </c>
      <c r="BT329" s="4">
        <v>0.39930555555555558</v>
      </c>
      <c r="BU329" t="s">
        <v>208</v>
      </c>
      <c r="BV329" t="s">
        <v>98</v>
      </c>
      <c r="BY329">
        <v>5320</v>
      </c>
      <c r="BZ329" t="s">
        <v>89</v>
      </c>
      <c r="CA329" t="s">
        <v>196</v>
      </c>
      <c r="CC329" t="s">
        <v>169</v>
      </c>
      <c r="CD329">
        <v>6001</v>
      </c>
      <c r="CE329" t="s">
        <v>117</v>
      </c>
      <c r="CF329" s="3">
        <v>45842</v>
      </c>
      <c r="CI329">
        <v>1</v>
      </c>
      <c r="CJ329">
        <v>1</v>
      </c>
      <c r="CK329">
        <v>21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"080066328772"</f>
        <v>080066328772</v>
      </c>
      <c r="F330" s="3">
        <v>45841</v>
      </c>
      <c r="G330">
        <v>202604</v>
      </c>
      <c r="H330" t="s">
        <v>75</v>
      </c>
      <c r="I330" t="s">
        <v>76</v>
      </c>
      <c r="J330" t="s">
        <v>77</v>
      </c>
      <c r="K330" t="s">
        <v>78</v>
      </c>
      <c r="L330" t="s">
        <v>122</v>
      </c>
      <c r="M330" t="s">
        <v>123</v>
      </c>
      <c r="N330" t="s">
        <v>972</v>
      </c>
      <c r="O330" t="s">
        <v>82</v>
      </c>
      <c r="P330" t="str">
        <f>"4170046761                    "</f>
        <v xml:space="preserve">4170046761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22.6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</v>
      </c>
      <c r="BJ330">
        <v>1.9</v>
      </c>
      <c r="BK330">
        <v>2</v>
      </c>
      <c r="BL330">
        <v>71.2</v>
      </c>
      <c r="BM330">
        <v>10.68</v>
      </c>
      <c r="BN330">
        <v>81.88</v>
      </c>
      <c r="BO330">
        <v>81.88</v>
      </c>
      <c r="BQ330" t="s">
        <v>973</v>
      </c>
      <c r="BR330" t="s">
        <v>84</v>
      </c>
      <c r="BS330" s="3">
        <v>45842</v>
      </c>
      <c r="BT330" s="4">
        <v>0.43055555555555558</v>
      </c>
      <c r="BU330" t="s">
        <v>974</v>
      </c>
      <c r="BV330" t="s">
        <v>98</v>
      </c>
      <c r="BY330">
        <v>9600</v>
      </c>
      <c r="BZ330" t="s">
        <v>89</v>
      </c>
      <c r="CA330" t="s">
        <v>270</v>
      </c>
      <c r="CC330" t="s">
        <v>123</v>
      </c>
      <c r="CD330">
        <v>3610</v>
      </c>
      <c r="CE330" t="s">
        <v>117</v>
      </c>
      <c r="CF330" s="3">
        <v>45843</v>
      </c>
      <c r="CI330">
        <v>1</v>
      </c>
      <c r="CJ330">
        <v>1</v>
      </c>
      <c r="CK330">
        <v>21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"080066328807"</f>
        <v>080066328807</v>
      </c>
      <c r="F331" s="3">
        <v>45841</v>
      </c>
      <c r="G331">
        <v>202604</v>
      </c>
      <c r="H331" t="s">
        <v>75</v>
      </c>
      <c r="I331" t="s">
        <v>76</v>
      </c>
      <c r="J331" t="s">
        <v>77</v>
      </c>
      <c r="K331" t="s">
        <v>78</v>
      </c>
      <c r="L331" t="s">
        <v>305</v>
      </c>
      <c r="M331" t="s">
        <v>306</v>
      </c>
      <c r="N331" t="s">
        <v>640</v>
      </c>
      <c r="O331" t="s">
        <v>82</v>
      </c>
      <c r="P331" t="str">
        <f>"4170046734                    "</f>
        <v xml:space="preserve">4170046734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0.6</v>
      </c>
      <c r="BK331">
        <v>1</v>
      </c>
      <c r="BL331">
        <v>71.2</v>
      </c>
      <c r="BM331">
        <v>10.68</v>
      </c>
      <c r="BN331">
        <v>81.88</v>
      </c>
      <c r="BO331">
        <v>81.88</v>
      </c>
      <c r="BQ331" t="s">
        <v>641</v>
      </c>
      <c r="BR331" t="s">
        <v>84</v>
      </c>
      <c r="BS331" s="3">
        <v>45842</v>
      </c>
      <c r="BT331" s="4">
        <v>0.46319444444444446</v>
      </c>
      <c r="BU331" t="s">
        <v>975</v>
      </c>
      <c r="BV331" t="s">
        <v>86</v>
      </c>
      <c r="BY331">
        <v>3192</v>
      </c>
      <c r="BZ331" t="s">
        <v>89</v>
      </c>
      <c r="CA331" t="s">
        <v>310</v>
      </c>
      <c r="CC331" t="s">
        <v>306</v>
      </c>
      <c r="CD331">
        <v>5201</v>
      </c>
      <c r="CE331" t="s">
        <v>117</v>
      </c>
      <c r="CF331" s="3">
        <v>45842</v>
      </c>
      <c r="CI331">
        <v>1</v>
      </c>
      <c r="CJ331">
        <v>1</v>
      </c>
      <c r="CK331">
        <v>21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"080066328841"</f>
        <v>080066328841</v>
      </c>
      <c r="F332" s="3">
        <v>45841</v>
      </c>
      <c r="G332">
        <v>202604</v>
      </c>
      <c r="H332" t="s">
        <v>75</v>
      </c>
      <c r="I332" t="s">
        <v>76</v>
      </c>
      <c r="J332" t="s">
        <v>77</v>
      </c>
      <c r="K332" t="s">
        <v>78</v>
      </c>
      <c r="L332" t="s">
        <v>168</v>
      </c>
      <c r="M332" t="s">
        <v>169</v>
      </c>
      <c r="N332" t="s">
        <v>206</v>
      </c>
      <c r="O332" t="s">
        <v>82</v>
      </c>
      <c r="P332" t="str">
        <f>"4170046749                    "</f>
        <v xml:space="preserve">4170046749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22.6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1.9</v>
      </c>
      <c r="BK332">
        <v>2</v>
      </c>
      <c r="BL332">
        <v>71.2</v>
      </c>
      <c r="BM332">
        <v>10.68</v>
      </c>
      <c r="BN332">
        <v>81.88</v>
      </c>
      <c r="BO332">
        <v>81.88</v>
      </c>
      <c r="BQ332" t="s">
        <v>207</v>
      </c>
      <c r="BR332" t="s">
        <v>84</v>
      </c>
      <c r="BS332" s="3">
        <v>45842</v>
      </c>
      <c r="BT332" s="4">
        <v>0.39930555555555558</v>
      </c>
      <c r="BU332" t="s">
        <v>208</v>
      </c>
      <c r="BV332" t="s">
        <v>98</v>
      </c>
      <c r="BY332">
        <v>9600</v>
      </c>
      <c r="BZ332" t="s">
        <v>89</v>
      </c>
      <c r="CA332" t="s">
        <v>196</v>
      </c>
      <c r="CC332" t="s">
        <v>169</v>
      </c>
      <c r="CD332">
        <v>6001</v>
      </c>
      <c r="CE332" t="s">
        <v>117</v>
      </c>
      <c r="CF332" s="3">
        <v>45842</v>
      </c>
      <c r="CI332">
        <v>1</v>
      </c>
      <c r="CJ332">
        <v>1</v>
      </c>
      <c r="CK332">
        <v>21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"080066328877"</f>
        <v>080066328877</v>
      </c>
      <c r="F333" s="3">
        <v>45841</v>
      </c>
      <c r="G333">
        <v>202604</v>
      </c>
      <c r="H333" t="s">
        <v>75</v>
      </c>
      <c r="I333" t="s">
        <v>76</v>
      </c>
      <c r="J333" t="s">
        <v>77</v>
      </c>
      <c r="K333" t="s">
        <v>78</v>
      </c>
      <c r="L333" t="s">
        <v>79</v>
      </c>
      <c r="M333" t="s">
        <v>80</v>
      </c>
      <c r="N333" t="s">
        <v>141</v>
      </c>
      <c r="O333" t="s">
        <v>82</v>
      </c>
      <c r="P333" t="str">
        <f>"4170046732                    "</f>
        <v xml:space="preserve">4170046732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22.6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</v>
      </c>
      <c r="BJ333">
        <v>1.9</v>
      </c>
      <c r="BK333">
        <v>2</v>
      </c>
      <c r="BL333">
        <v>71.2</v>
      </c>
      <c r="BM333">
        <v>10.68</v>
      </c>
      <c r="BN333">
        <v>81.88</v>
      </c>
      <c r="BO333">
        <v>81.88</v>
      </c>
      <c r="BQ333" t="s">
        <v>142</v>
      </c>
      <c r="BR333" t="s">
        <v>84</v>
      </c>
      <c r="BS333" s="3">
        <v>45842</v>
      </c>
      <c r="BT333" s="4">
        <v>0.39652777777777776</v>
      </c>
      <c r="BU333" t="s">
        <v>976</v>
      </c>
      <c r="BV333" t="s">
        <v>98</v>
      </c>
      <c r="BY333">
        <v>9600</v>
      </c>
      <c r="BZ333" t="s">
        <v>89</v>
      </c>
      <c r="CA333" t="s">
        <v>144</v>
      </c>
      <c r="CC333" t="s">
        <v>80</v>
      </c>
      <c r="CD333">
        <v>7441</v>
      </c>
      <c r="CE333" t="s">
        <v>117</v>
      </c>
      <c r="CF333" s="3">
        <v>45845</v>
      </c>
      <c r="CI333">
        <v>1</v>
      </c>
      <c r="CJ333">
        <v>1</v>
      </c>
      <c r="CK333">
        <v>21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"080066328929"</f>
        <v>080066328929</v>
      </c>
      <c r="F334" s="3">
        <v>45841</v>
      </c>
      <c r="G334">
        <v>202604</v>
      </c>
      <c r="H334" t="s">
        <v>75</v>
      </c>
      <c r="I334" t="s">
        <v>76</v>
      </c>
      <c r="J334" t="s">
        <v>77</v>
      </c>
      <c r="K334" t="s">
        <v>78</v>
      </c>
      <c r="L334" t="s">
        <v>92</v>
      </c>
      <c r="M334" t="s">
        <v>93</v>
      </c>
      <c r="N334" t="s">
        <v>291</v>
      </c>
      <c r="O334" t="s">
        <v>82</v>
      </c>
      <c r="P334" t="str">
        <f>"4170046725                    "</f>
        <v xml:space="preserve">4170046725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33.89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1.1000000000000001</v>
      </c>
      <c r="BK334">
        <v>3</v>
      </c>
      <c r="BL334">
        <v>106.77</v>
      </c>
      <c r="BM334">
        <v>16.02</v>
      </c>
      <c r="BN334">
        <v>122.79</v>
      </c>
      <c r="BO334">
        <v>122.79</v>
      </c>
      <c r="BQ334" t="s">
        <v>292</v>
      </c>
      <c r="BR334" t="s">
        <v>84</v>
      </c>
      <c r="BS334" s="3">
        <v>45842</v>
      </c>
      <c r="BT334" s="4">
        <v>0.3347222222222222</v>
      </c>
      <c r="BU334" t="s">
        <v>971</v>
      </c>
      <c r="BV334" t="s">
        <v>98</v>
      </c>
      <c r="BY334">
        <v>5320</v>
      </c>
      <c r="BZ334" t="s">
        <v>89</v>
      </c>
      <c r="CA334" t="s">
        <v>294</v>
      </c>
      <c r="CC334" t="s">
        <v>93</v>
      </c>
      <c r="CD334">
        <v>4051</v>
      </c>
      <c r="CE334" t="s">
        <v>117</v>
      </c>
      <c r="CF334" s="3">
        <v>45842</v>
      </c>
      <c r="CI334">
        <v>1</v>
      </c>
      <c r="CJ334">
        <v>1</v>
      </c>
      <c r="CK334">
        <v>21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"080066329460"</f>
        <v>080066329460</v>
      </c>
      <c r="F335" s="3">
        <v>45841</v>
      </c>
      <c r="G335">
        <v>202604</v>
      </c>
      <c r="H335" t="s">
        <v>75</v>
      </c>
      <c r="I335" t="s">
        <v>76</v>
      </c>
      <c r="J335" t="s">
        <v>77</v>
      </c>
      <c r="K335" t="s">
        <v>78</v>
      </c>
      <c r="L335" t="s">
        <v>79</v>
      </c>
      <c r="M335" t="s">
        <v>80</v>
      </c>
      <c r="N335" t="s">
        <v>141</v>
      </c>
      <c r="O335" t="s">
        <v>82</v>
      </c>
      <c r="P335" t="str">
        <f>"4170046730                    "</f>
        <v xml:space="preserve">4170046730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22.6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71.2</v>
      </c>
      <c r="BM335">
        <v>10.68</v>
      </c>
      <c r="BN335">
        <v>81.88</v>
      </c>
      <c r="BO335">
        <v>81.88</v>
      </c>
      <c r="BQ335" t="s">
        <v>142</v>
      </c>
      <c r="BR335" t="s">
        <v>84</v>
      </c>
      <c r="BS335" s="3">
        <v>45842</v>
      </c>
      <c r="BT335" s="4">
        <v>0.39652777777777776</v>
      </c>
      <c r="BU335" t="s">
        <v>976</v>
      </c>
      <c r="BV335" t="s">
        <v>98</v>
      </c>
      <c r="BY335">
        <v>1200</v>
      </c>
      <c r="BZ335" t="s">
        <v>89</v>
      </c>
      <c r="CA335" t="s">
        <v>144</v>
      </c>
      <c r="CC335" t="s">
        <v>80</v>
      </c>
      <c r="CD335">
        <v>7441</v>
      </c>
      <c r="CE335" t="s">
        <v>239</v>
      </c>
      <c r="CF335" s="3">
        <v>45845</v>
      </c>
      <c r="CI335">
        <v>1</v>
      </c>
      <c r="CJ335">
        <v>1</v>
      </c>
      <c r="CK335">
        <v>21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"080066329518"</f>
        <v>080066329518</v>
      </c>
      <c r="F336" s="3">
        <v>45841</v>
      </c>
      <c r="G336">
        <v>202604</v>
      </c>
      <c r="H336" t="s">
        <v>75</v>
      </c>
      <c r="I336" t="s">
        <v>76</v>
      </c>
      <c r="J336" t="s">
        <v>77</v>
      </c>
      <c r="K336" t="s">
        <v>78</v>
      </c>
      <c r="L336" t="s">
        <v>277</v>
      </c>
      <c r="M336" t="s">
        <v>278</v>
      </c>
      <c r="N336" t="s">
        <v>977</v>
      </c>
      <c r="O336" t="s">
        <v>82</v>
      </c>
      <c r="P336" t="str">
        <f>"4170046762                    "</f>
        <v xml:space="preserve">4170046762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71.2</v>
      </c>
      <c r="BM336">
        <v>10.68</v>
      </c>
      <c r="BN336">
        <v>81.88</v>
      </c>
      <c r="BO336">
        <v>81.88</v>
      </c>
      <c r="BQ336" t="s">
        <v>978</v>
      </c>
      <c r="BR336" t="s">
        <v>84</v>
      </c>
      <c r="BS336" s="3">
        <v>45842</v>
      </c>
      <c r="BT336" s="4">
        <v>0.36458333333333331</v>
      </c>
      <c r="BU336" t="s">
        <v>979</v>
      </c>
      <c r="BV336" t="s">
        <v>98</v>
      </c>
      <c r="BY336">
        <v>1200</v>
      </c>
      <c r="BZ336" t="s">
        <v>89</v>
      </c>
      <c r="CA336" t="s">
        <v>282</v>
      </c>
      <c r="CC336" t="s">
        <v>278</v>
      </c>
      <c r="CD336">
        <v>6229</v>
      </c>
      <c r="CE336" t="s">
        <v>239</v>
      </c>
      <c r="CF336" s="3">
        <v>45842</v>
      </c>
      <c r="CI336">
        <v>1</v>
      </c>
      <c r="CJ336">
        <v>1</v>
      </c>
      <c r="CK336">
        <v>21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"080066329540"</f>
        <v>080066329540</v>
      </c>
      <c r="F337" s="3">
        <v>45841</v>
      </c>
      <c r="G337">
        <v>202604</v>
      </c>
      <c r="H337" t="s">
        <v>75</v>
      </c>
      <c r="I337" t="s">
        <v>76</v>
      </c>
      <c r="J337" t="s">
        <v>77</v>
      </c>
      <c r="K337" t="s">
        <v>78</v>
      </c>
      <c r="L337" t="s">
        <v>980</v>
      </c>
      <c r="M337" t="s">
        <v>981</v>
      </c>
      <c r="N337" t="s">
        <v>982</v>
      </c>
      <c r="O337" t="s">
        <v>82</v>
      </c>
      <c r="P337" t="str">
        <f>"4170046769                    "</f>
        <v xml:space="preserve">4170046769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22.6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71.2</v>
      </c>
      <c r="BM337">
        <v>10.68</v>
      </c>
      <c r="BN337">
        <v>81.88</v>
      </c>
      <c r="BO337">
        <v>81.88</v>
      </c>
      <c r="BQ337" t="s">
        <v>983</v>
      </c>
      <c r="BR337" t="s">
        <v>84</v>
      </c>
      <c r="BS337" s="3">
        <v>45842</v>
      </c>
      <c r="BT337" s="4">
        <v>0.4236111111111111</v>
      </c>
      <c r="BU337" t="s">
        <v>984</v>
      </c>
      <c r="BV337" t="s">
        <v>98</v>
      </c>
      <c r="BY337">
        <v>1200</v>
      </c>
      <c r="BZ337" t="s">
        <v>89</v>
      </c>
      <c r="CA337" t="s">
        <v>985</v>
      </c>
      <c r="CC337" t="s">
        <v>981</v>
      </c>
      <c r="CD337">
        <v>6529</v>
      </c>
      <c r="CE337" t="s">
        <v>239</v>
      </c>
      <c r="CF337" s="3">
        <v>45842</v>
      </c>
      <c r="CI337">
        <v>1</v>
      </c>
      <c r="CJ337">
        <v>1</v>
      </c>
      <c r="CK337">
        <v>21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"080066329558"</f>
        <v>080066329558</v>
      </c>
      <c r="F338" s="3">
        <v>45841</v>
      </c>
      <c r="G338">
        <v>202604</v>
      </c>
      <c r="H338" t="s">
        <v>75</v>
      </c>
      <c r="I338" t="s">
        <v>76</v>
      </c>
      <c r="J338" t="s">
        <v>77</v>
      </c>
      <c r="K338" t="s">
        <v>78</v>
      </c>
      <c r="L338" t="s">
        <v>980</v>
      </c>
      <c r="M338" t="s">
        <v>981</v>
      </c>
      <c r="N338" t="s">
        <v>982</v>
      </c>
      <c r="O338" t="s">
        <v>82</v>
      </c>
      <c r="P338" t="str">
        <f>"4170046768                    "</f>
        <v xml:space="preserve">4170046768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22.6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71.2</v>
      </c>
      <c r="BM338">
        <v>10.68</v>
      </c>
      <c r="BN338">
        <v>81.88</v>
      </c>
      <c r="BO338">
        <v>81.88</v>
      </c>
      <c r="BQ338" t="s">
        <v>983</v>
      </c>
      <c r="BR338" t="s">
        <v>84</v>
      </c>
      <c r="BS338" s="3">
        <v>45842</v>
      </c>
      <c r="BT338" s="4">
        <v>0.4236111111111111</v>
      </c>
      <c r="BU338" t="s">
        <v>984</v>
      </c>
      <c r="BV338" t="s">
        <v>98</v>
      </c>
      <c r="BY338">
        <v>1200</v>
      </c>
      <c r="BZ338" t="s">
        <v>89</v>
      </c>
      <c r="CA338" t="s">
        <v>985</v>
      </c>
      <c r="CC338" t="s">
        <v>981</v>
      </c>
      <c r="CD338">
        <v>6529</v>
      </c>
      <c r="CE338" t="s">
        <v>239</v>
      </c>
      <c r="CF338" s="3">
        <v>45842</v>
      </c>
      <c r="CI338">
        <v>1</v>
      </c>
      <c r="CJ338">
        <v>1</v>
      </c>
      <c r="CK338">
        <v>21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"080066329596"</f>
        <v>080066329596</v>
      </c>
      <c r="F339" s="3">
        <v>45841</v>
      </c>
      <c r="G339">
        <v>202604</v>
      </c>
      <c r="H339" t="s">
        <v>75</v>
      </c>
      <c r="I339" t="s">
        <v>76</v>
      </c>
      <c r="J339" t="s">
        <v>77</v>
      </c>
      <c r="K339" t="s">
        <v>78</v>
      </c>
      <c r="L339" t="s">
        <v>168</v>
      </c>
      <c r="M339" t="s">
        <v>169</v>
      </c>
      <c r="N339" t="s">
        <v>726</v>
      </c>
      <c r="O339" t="s">
        <v>82</v>
      </c>
      <c r="P339" t="str">
        <f>"4170046728                    "</f>
        <v xml:space="preserve">4170046728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22.6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1.9</v>
      </c>
      <c r="BK339">
        <v>2</v>
      </c>
      <c r="BL339">
        <v>71.2</v>
      </c>
      <c r="BM339">
        <v>10.68</v>
      </c>
      <c r="BN339">
        <v>81.88</v>
      </c>
      <c r="BO339">
        <v>81.88</v>
      </c>
      <c r="BQ339" t="s">
        <v>727</v>
      </c>
      <c r="BR339" t="s">
        <v>84</v>
      </c>
      <c r="BS339" s="3">
        <v>45842</v>
      </c>
      <c r="BT339" s="4">
        <v>0.39027777777777778</v>
      </c>
      <c r="BU339" t="s">
        <v>953</v>
      </c>
      <c r="BV339" t="s">
        <v>98</v>
      </c>
      <c r="BY339">
        <v>9600</v>
      </c>
      <c r="BZ339" t="s">
        <v>89</v>
      </c>
      <c r="CA339" t="s">
        <v>173</v>
      </c>
      <c r="CC339" t="s">
        <v>169</v>
      </c>
      <c r="CD339">
        <v>6001</v>
      </c>
      <c r="CE339" t="s">
        <v>117</v>
      </c>
      <c r="CF339" s="3">
        <v>45842</v>
      </c>
      <c r="CI339">
        <v>1</v>
      </c>
      <c r="CJ339">
        <v>1</v>
      </c>
      <c r="CK339">
        <v>21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"080066329621"</f>
        <v>080066329621</v>
      </c>
      <c r="F340" s="3">
        <v>45841</v>
      </c>
      <c r="G340">
        <v>202604</v>
      </c>
      <c r="H340" t="s">
        <v>75</v>
      </c>
      <c r="I340" t="s">
        <v>76</v>
      </c>
      <c r="J340" t="s">
        <v>77</v>
      </c>
      <c r="K340" t="s">
        <v>78</v>
      </c>
      <c r="L340" t="s">
        <v>79</v>
      </c>
      <c r="M340" t="s">
        <v>80</v>
      </c>
      <c r="N340" t="s">
        <v>141</v>
      </c>
      <c r="O340" t="s">
        <v>82</v>
      </c>
      <c r="P340" t="str">
        <f>"4170046747                    "</f>
        <v xml:space="preserve">4170046747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22.6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0.9</v>
      </c>
      <c r="BK340">
        <v>2</v>
      </c>
      <c r="BL340">
        <v>71.2</v>
      </c>
      <c r="BM340">
        <v>10.68</v>
      </c>
      <c r="BN340">
        <v>81.88</v>
      </c>
      <c r="BO340">
        <v>81.88</v>
      </c>
      <c r="BQ340" t="s">
        <v>142</v>
      </c>
      <c r="BR340" t="s">
        <v>84</v>
      </c>
      <c r="BS340" s="3">
        <v>45842</v>
      </c>
      <c r="BT340" s="4">
        <v>0.39652777777777776</v>
      </c>
      <c r="BU340" t="s">
        <v>976</v>
      </c>
      <c r="BV340" t="s">
        <v>98</v>
      </c>
      <c r="BY340">
        <v>4560</v>
      </c>
      <c r="BZ340" t="s">
        <v>89</v>
      </c>
      <c r="CA340" t="s">
        <v>144</v>
      </c>
      <c r="CC340" t="s">
        <v>80</v>
      </c>
      <c r="CD340">
        <v>7441</v>
      </c>
      <c r="CE340" t="s">
        <v>117</v>
      </c>
      <c r="CF340" s="3">
        <v>45845</v>
      </c>
      <c r="CI340">
        <v>1</v>
      </c>
      <c r="CJ340">
        <v>1</v>
      </c>
      <c r="CK340">
        <v>21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"080066329816"</f>
        <v>080066329816</v>
      </c>
      <c r="F341" s="3">
        <v>45841</v>
      </c>
      <c r="G341">
        <v>202604</v>
      </c>
      <c r="H341" t="s">
        <v>75</v>
      </c>
      <c r="I341" t="s">
        <v>76</v>
      </c>
      <c r="J341" t="s">
        <v>77</v>
      </c>
      <c r="K341" t="s">
        <v>78</v>
      </c>
      <c r="L341" t="s">
        <v>350</v>
      </c>
      <c r="M341" t="s">
        <v>351</v>
      </c>
      <c r="N341" t="s">
        <v>752</v>
      </c>
      <c r="O341" t="s">
        <v>82</v>
      </c>
      <c r="P341" t="str">
        <f>"4170046721                    "</f>
        <v xml:space="preserve">4170046721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112.92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10</v>
      </c>
      <c r="BJ341">
        <v>3.6</v>
      </c>
      <c r="BK341">
        <v>10</v>
      </c>
      <c r="BL341">
        <v>355.76</v>
      </c>
      <c r="BM341">
        <v>53.36</v>
      </c>
      <c r="BN341">
        <v>409.12</v>
      </c>
      <c r="BO341">
        <v>409.12</v>
      </c>
      <c r="BQ341" t="s">
        <v>753</v>
      </c>
      <c r="BR341" t="s">
        <v>84</v>
      </c>
      <c r="BS341" s="3">
        <v>45842</v>
      </c>
      <c r="BT341" s="4">
        <v>0.55833333333333335</v>
      </c>
      <c r="BU341" t="s">
        <v>754</v>
      </c>
      <c r="BV341" t="s">
        <v>86</v>
      </c>
      <c r="BW341" t="s">
        <v>818</v>
      </c>
      <c r="BX341" t="s">
        <v>739</v>
      </c>
      <c r="BY341">
        <v>18144</v>
      </c>
      <c r="BZ341" t="s">
        <v>89</v>
      </c>
      <c r="CA341" t="s">
        <v>337</v>
      </c>
      <c r="CC341" t="s">
        <v>351</v>
      </c>
      <c r="CD341">
        <v>4113</v>
      </c>
      <c r="CE341" t="s">
        <v>91</v>
      </c>
      <c r="CF341" s="3">
        <v>45842</v>
      </c>
      <c r="CI341">
        <v>1</v>
      </c>
      <c r="CJ341">
        <v>1</v>
      </c>
      <c r="CK341">
        <v>21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"080066329864"</f>
        <v>080066329864</v>
      </c>
      <c r="F342" s="3">
        <v>45841</v>
      </c>
      <c r="G342">
        <v>202604</v>
      </c>
      <c r="H342" t="s">
        <v>75</v>
      </c>
      <c r="I342" t="s">
        <v>76</v>
      </c>
      <c r="J342" t="s">
        <v>77</v>
      </c>
      <c r="K342" t="s">
        <v>78</v>
      </c>
      <c r="L342" t="s">
        <v>151</v>
      </c>
      <c r="M342" t="s">
        <v>152</v>
      </c>
      <c r="N342" t="s">
        <v>153</v>
      </c>
      <c r="O342" t="s">
        <v>82</v>
      </c>
      <c r="P342" t="str">
        <f>"4170046710                    "</f>
        <v xml:space="preserve">4170046710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45.18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4</v>
      </c>
      <c r="BJ342">
        <v>2.6</v>
      </c>
      <c r="BK342">
        <v>4</v>
      </c>
      <c r="BL342">
        <v>142.34</v>
      </c>
      <c r="BM342">
        <v>21.35</v>
      </c>
      <c r="BN342">
        <v>163.69</v>
      </c>
      <c r="BO342">
        <v>163.69</v>
      </c>
      <c r="BQ342" t="s">
        <v>154</v>
      </c>
      <c r="BR342" t="s">
        <v>84</v>
      </c>
      <c r="BS342" s="3">
        <v>45842</v>
      </c>
      <c r="BT342" s="4">
        <v>0.35625000000000001</v>
      </c>
      <c r="BU342" t="s">
        <v>257</v>
      </c>
      <c r="BV342" t="s">
        <v>98</v>
      </c>
      <c r="BY342">
        <v>13050</v>
      </c>
      <c r="BZ342" t="s">
        <v>89</v>
      </c>
      <c r="CA342" t="s">
        <v>156</v>
      </c>
      <c r="CC342" t="s">
        <v>152</v>
      </c>
      <c r="CD342" s="5" t="s">
        <v>157</v>
      </c>
      <c r="CE342" t="s">
        <v>91</v>
      </c>
      <c r="CF342" s="3">
        <v>45842</v>
      </c>
      <c r="CI342">
        <v>1</v>
      </c>
      <c r="CJ342">
        <v>1</v>
      </c>
      <c r="CK342">
        <v>21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"080066329902"</f>
        <v>080066329902</v>
      </c>
      <c r="F343" s="3">
        <v>45841</v>
      </c>
      <c r="G343">
        <v>202604</v>
      </c>
      <c r="H343" t="s">
        <v>75</v>
      </c>
      <c r="I343" t="s">
        <v>76</v>
      </c>
      <c r="J343" t="s">
        <v>77</v>
      </c>
      <c r="K343" t="s">
        <v>78</v>
      </c>
      <c r="L343" t="s">
        <v>146</v>
      </c>
      <c r="M343" t="s">
        <v>146</v>
      </c>
      <c r="N343" t="s">
        <v>986</v>
      </c>
      <c r="O343" t="s">
        <v>82</v>
      </c>
      <c r="P343" t="str">
        <f>"4170046746                    "</f>
        <v xml:space="preserve">4170046746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43.78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0.6</v>
      </c>
      <c r="BK343">
        <v>1</v>
      </c>
      <c r="BL343">
        <v>137.94</v>
      </c>
      <c r="BM343">
        <v>20.69</v>
      </c>
      <c r="BN343">
        <v>158.63</v>
      </c>
      <c r="BO343">
        <v>158.63</v>
      </c>
      <c r="BQ343" t="s">
        <v>987</v>
      </c>
      <c r="BR343" t="s">
        <v>84</v>
      </c>
      <c r="BS343" s="3">
        <v>45842</v>
      </c>
      <c r="BT343" s="4">
        <v>0.53611111111111109</v>
      </c>
      <c r="BU343" t="s">
        <v>988</v>
      </c>
      <c r="BV343" t="s">
        <v>98</v>
      </c>
      <c r="BY343">
        <v>3192</v>
      </c>
      <c r="BZ343" t="s">
        <v>89</v>
      </c>
      <c r="CA343" t="s">
        <v>989</v>
      </c>
      <c r="CC343" t="s">
        <v>146</v>
      </c>
      <c r="CD343">
        <v>7646</v>
      </c>
      <c r="CE343" t="s">
        <v>266</v>
      </c>
      <c r="CF343" s="3">
        <v>45845</v>
      </c>
      <c r="CI343">
        <v>1</v>
      </c>
      <c r="CJ343">
        <v>1</v>
      </c>
      <c r="CK343">
        <v>23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"080066329973"</f>
        <v>080066329973</v>
      </c>
      <c r="F344" s="3">
        <v>45841</v>
      </c>
      <c r="G344">
        <v>202604</v>
      </c>
      <c r="H344" t="s">
        <v>75</v>
      </c>
      <c r="I344" t="s">
        <v>76</v>
      </c>
      <c r="J344" t="s">
        <v>77</v>
      </c>
      <c r="K344" t="s">
        <v>78</v>
      </c>
      <c r="L344" t="s">
        <v>168</v>
      </c>
      <c r="M344" t="s">
        <v>169</v>
      </c>
      <c r="N344" t="s">
        <v>206</v>
      </c>
      <c r="O344" t="s">
        <v>82</v>
      </c>
      <c r="P344" t="str">
        <f>"4170046740                    "</f>
        <v xml:space="preserve">4170046740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22.6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1.7</v>
      </c>
      <c r="BK344">
        <v>2</v>
      </c>
      <c r="BL344">
        <v>71.2</v>
      </c>
      <c r="BM344">
        <v>10.68</v>
      </c>
      <c r="BN344">
        <v>81.88</v>
      </c>
      <c r="BO344">
        <v>81.88</v>
      </c>
      <c r="BQ344" t="s">
        <v>207</v>
      </c>
      <c r="BR344" t="s">
        <v>84</v>
      </c>
      <c r="BS344" s="3">
        <v>45842</v>
      </c>
      <c r="BT344" s="4">
        <v>0.39930555555555558</v>
      </c>
      <c r="BU344" t="s">
        <v>208</v>
      </c>
      <c r="BV344" t="s">
        <v>98</v>
      </c>
      <c r="BY344">
        <v>8512</v>
      </c>
      <c r="BZ344" t="s">
        <v>89</v>
      </c>
      <c r="CA344" t="s">
        <v>196</v>
      </c>
      <c r="CC344" t="s">
        <v>169</v>
      </c>
      <c r="CD344">
        <v>6001</v>
      </c>
      <c r="CE344" t="s">
        <v>145</v>
      </c>
      <c r="CF344" s="3">
        <v>45842</v>
      </c>
      <c r="CI344">
        <v>1</v>
      </c>
      <c r="CJ344">
        <v>1</v>
      </c>
      <c r="CK344">
        <v>21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"080066330002"</f>
        <v>080066330002</v>
      </c>
      <c r="F345" s="3">
        <v>45841</v>
      </c>
      <c r="G345">
        <v>202604</v>
      </c>
      <c r="H345" t="s">
        <v>75</v>
      </c>
      <c r="I345" t="s">
        <v>76</v>
      </c>
      <c r="J345" t="s">
        <v>77</v>
      </c>
      <c r="K345" t="s">
        <v>78</v>
      </c>
      <c r="L345" t="s">
        <v>854</v>
      </c>
      <c r="M345" t="s">
        <v>855</v>
      </c>
      <c r="N345" t="s">
        <v>429</v>
      </c>
      <c r="O345" t="s">
        <v>95</v>
      </c>
      <c r="P345" t="str">
        <f>"4170046718                    "</f>
        <v xml:space="preserve">4170046718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112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16.739999999999998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11</v>
      </c>
      <c r="BJ345">
        <v>30.4</v>
      </c>
      <c r="BK345">
        <v>31</v>
      </c>
      <c r="BL345">
        <v>375.48</v>
      </c>
      <c r="BM345">
        <v>56.32</v>
      </c>
      <c r="BN345">
        <v>431.8</v>
      </c>
      <c r="BO345">
        <v>431.8</v>
      </c>
      <c r="BQ345" t="s">
        <v>430</v>
      </c>
      <c r="BR345" t="s">
        <v>84</v>
      </c>
      <c r="BS345" s="3">
        <v>45842</v>
      </c>
      <c r="BT345" s="4">
        <v>0.63888888888888884</v>
      </c>
      <c r="BU345" t="s">
        <v>990</v>
      </c>
      <c r="BV345" t="s">
        <v>98</v>
      </c>
      <c r="BY345">
        <v>151800</v>
      </c>
      <c r="BZ345" t="s">
        <v>991</v>
      </c>
      <c r="CA345" t="s">
        <v>992</v>
      </c>
      <c r="CC345" t="s">
        <v>855</v>
      </c>
      <c r="CD345" s="5" t="s">
        <v>993</v>
      </c>
      <c r="CE345" t="s">
        <v>117</v>
      </c>
      <c r="CF345" s="3">
        <v>45842</v>
      </c>
      <c r="CI345">
        <v>1</v>
      </c>
      <c r="CJ345">
        <v>1</v>
      </c>
      <c r="CK345">
        <v>43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"080066331218"</f>
        <v>080066331218</v>
      </c>
      <c r="F346" s="3">
        <v>45841</v>
      </c>
      <c r="G346">
        <v>202604</v>
      </c>
      <c r="H346" t="s">
        <v>75</v>
      </c>
      <c r="I346" t="s">
        <v>76</v>
      </c>
      <c r="J346" t="s">
        <v>77</v>
      </c>
      <c r="K346" t="s">
        <v>78</v>
      </c>
      <c r="L346" t="s">
        <v>75</v>
      </c>
      <c r="M346" t="s">
        <v>76</v>
      </c>
      <c r="N346" t="s">
        <v>994</v>
      </c>
      <c r="O346" t="s">
        <v>82</v>
      </c>
      <c r="P346" t="str">
        <f>"4170046785                    "</f>
        <v xml:space="preserve">4170046785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17.649999999999999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55.61</v>
      </c>
      <c r="BM346">
        <v>8.34</v>
      </c>
      <c r="BN346">
        <v>63.95</v>
      </c>
      <c r="BO346">
        <v>63.95</v>
      </c>
      <c r="BQ346" t="s">
        <v>995</v>
      </c>
      <c r="BR346" t="s">
        <v>84</v>
      </c>
      <c r="BS346" s="3">
        <v>45842</v>
      </c>
      <c r="BT346" s="4">
        <v>0.40347222222222223</v>
      </c>
      <c r="BU346" t="s">
        <v>996</v>
      </c>
      <c r="BV346" t="s">
        <v>98</v>
      </c>
      <c r="BY346">
        <v>1200</v>
      </c>
      <c r="BZ346" t="s">
        <v>89</v>
      </c>
      <c r="CA346" t="s">
        <v>997</v>
      </c>
      <c r="CC346" t="s">
        <v>76</v>
      </c>
      <c r="CD346">
        <v>1619</v>
      </c>
      <c r="CE346" t="s">
        <v>239</v>
      </c>
      <c r="CF346" s="3">
        <v>45843</v>
      </c>
      <c r="CI346">
        <v>1</v>
      </c>
      <c r="CJ346">
        <v>1</v>
      </c>
      <c r="CK346">
        <v>22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"080066331254"</f>
        <v>080066331254</v>
      </c>
      <c r="F347" s="3">
        <v>45841</v>
      </c>
      <c r="G347">
        <v>202604</v>
      </c>
      <c r="H347" t="s">
        <v>75</v>
      </c>
      <c r="I347" t="s">
        <v>76</v>
      </c>
      <c r="J347" t="s">
        <v>77</v>
      </c>
      <c r="K347" t="s">
        <v>78</v>
      </c>
      <c r="L347" t="s">
        <v>240</v>
      </c>
      <c r="M347" t="s">
        <v>241</v>
      </c>
      <c r="N347" t="s">
        <v>998</v>
      </c>
      <c r="O347" t="s">
        <v>82</v>
      </c>
      <c r="P347" t="str">
        <f>"4170046790                    "</f>
        <v xml:space="preserve">4170046790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17.649999999999999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55.61</v>
      </c>
      <c r="BM347">
        <v>8.34</v>
      </c>
      <c r="BN347">
        <v>63.95</v>
      </c>
      <c r="BO347">
        <v>63.95</v>
      </c>
      <c r="BQ347" t="s">
        <v>999</v>
      </c>
      <c r="BR347" t="s">
        <v>84</v>
      </c>
      <c r="BS347" s="3">
        <v>45842</v>
      </c>
      <c r="BT347" s="4">
        <v>0.35069444444444442</v>
      </c>
      <c r="BU347" t="s">
        <v>923</v>
      </c>
      <c r="BV347" t="s">
        <v>98</v>
      </c>
      <c r="BY347">
        <v>1200</v>
      </c>
      <c r="BZ347" t="s">
        <v>89</v>
      </c>
      <c r="CA347" t="s">
        <v>245</v>
      </c>
      <c r="CC347" t="s">
        <v>241</v>
      </c>
      <c r="CD347">
        <v>2091</v>
      </c>
      <c r="CE347" t="s">
        <v>239</v>
      </c>
      <c r="CF347" s="3">
        <v>45843</v>
      </c>
      <c r="CI347">
        <v>1</v>
      </c>
      <c r="CJ347">
        <v>1</v>
      </c>
      <c r="CK347">
        <v>22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"080066331282"</f>
        <v>080066331282</v>
      </c>
      <c r="F348" s="3">
        <v>45841</v>
      </c>
      <c r="G348">
        <v>202604</v>
      </c>
      <c r="H348" t="s">
        <v>75</v>
      </c>
      <c r="I348" t="s">
        <v>76</v>
      </c>
      <c r="J348" t="s">
        <v>77</v>
      </c>
      <c r="K348" t="s">
        <v>78</v>
      </c>
      <c r="L348" t="s">
        <v>1000</v>
      </c>
      <c r="M348" t="s">
        <v>1001</v>
      </c>
      <c r="N348" t="s">
        <v>1002</v>
      </c>
      <c r="O348" t="s">
        <v>82</v>
      </c>
      <c r="P348" t="str">
        <f>"4170046794                    "</f>
        <v xml:space="preserve">4170046794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31.78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100.13</v>
      </c>
      <c r="BM348">
        <v>15.02</v>
      </c>
      <c r="BN348">
        <v>115.15</v>
      </c>
      <c r="BO348">
        <v>115.15</v>
      </c>
      <c r="BQ348" t="s">
        <v>1003</v>
      </c>
      <c r="BR348" t="s">
        <v>84</v>
      </c>
      <c r="BS348" s="3">
        <v>45842</v>
      </c>
      <c r="BT348" s="4">
        <v>0.36041666666666666</v>
      </c>
      <c r="BU348" t="s">
        <v>1004</v>
      </c>
      <c r="BV348" t="s">
        <v>98</v>
      </c>
      <c r="BY348">
        <v>1200</v>
      </c>
      <c r="BZ348" t="s">
        <v>89</v>
      </c>
      <c r="CA348" t="s">
        <v>1005</v>
      </c>
      <c r="CC348" t="s">
        <v>1001</v>
      </c>
      <c r="CD348">
        <v>2410</v>
      </c>
      <c r="CE348" t="s">
        <v>239</v>
      </c>
      <c r="CF348" s="3">
        <v>45843</v>
      </c>
      <c r="CI348">
        <v>1</v>
      </c>
      <c r="CJ348">
        <v>1</v>
      </c>
      <c r="CK348">
        <v>24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"080066331301"</f>
        <v>080066331301</v>
      </c>
      <c r="F349" s="3">
        <v>45841</v>
      </c>
      <c r="G349">
        <v>202604</v>
      </c>
      <c r="H349" t="s">
        <v>75</v>
      </c>
      <c r="I349" t="s">
        <v>76</v>
      </c>
      <c r="J349" t="s">
        <v>77</v>
      </c>
      <c r="K349" t="s">
        <v>78</v>
      </c>
      <c r="L349" t="s">
        <v>79</v>
      </c>
      <c r="M349" t="s">
        <v>80</v>
      </c>
      <c r="N349" t="s">
        <v>286</v>
      </c>
      <c r="O349" t="s">
        <v>82</v>
      </c>
      <c r="P349" t="str">
        <f>"4170046778                    "</f>
        <v xml:space="preserve">4170046778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71.2</v>
      </c>
      <c r="BM349">
        <v>10.68</v>
      </c>
      <c r="BN349">
        <v>81.88</v>
      </c>
      <c r="BO349">
        <v>81.88</v>
      </c>
      <c r="BQ349" t="s">
        <v>287</v>
      </c>
      <c r="BR349" t="s">
        <v>84</v>
      </c>
      <c r="BS349" s="3">
        <v>45842</v>
      </c>
      <c r="BT349" s="4">
        <v>0.31458333333333333</v>
      </c>
      <c r="BU349" t="s">
        <v>288</v>
      </c>
      <c r="BV349" t="s">
        <v>98</v>
      </c>
      <c r="BY349">
        <v>1200</v>
      </c>
      <c r="BZ349" t="s">
        <v>89</v>
      </c>
      <c r="CA349" t="s">
        <v>289</v>
      </c>
      <c r="CC349" t="s">
        <v>80</v>
      </c>
      <c r="CD349">
        <v>7530</v>
      </c>
      <c r="CE349" t="s">
        <v>239</v>
      </c>
      <c r="CF349" s="3">
        <v>45845</v>
      </c>
      <c r="CI349">
        <v>1</v>
      </c>
      <c r="CJ349">
        <v>1</v>
      </c>
      <c r="CK349">
        <v>21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"080066331331"</f>
        <v>080066331331</v>
      </c>
      <c r="F350" s="3">
        <v>45841</v>
      </c>
      <c r="G350">
        <v>202604</v>
      </c>
      <c r="H350" t="s">
        <v>75</v>
      </c>
      <c r="I350" t="s">
        <v>76</v>
      </c>
      <c r="J350" t="s">
        <v>77</v>
      </c>
      <c r="K350" t="s">
        <v>78</v>
      </c>
      <c r="L350" t="s">
        <v>75</v>
      </c>
      <c r="M350" t="s">
        <v>76</v>
      </c>
      <c r="N350" t="s">
        <v>1006</v>
      </c>
      <c r="O350" t="s">
        <v>82</v>
      </c>
      <c r="P350" t="str">
        <f>"4170046776                    "</f>
        <v xml:space="preserve">4170046776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17.649999999999999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55.61</v>
      </c>
      <c r="BM350">
        <v>8.34</v>
      </c>
      <c r="BN350">
        <v>63.95</v>
      </c>
      <c r="BO350">
        <v>63.95</v>
      </c>
      <c r="BQ350" t="s">
        <v>1007</v>
      </c>
      <c r="BR350" t="s">
        <v>84</v>
      </c>
      <c r="BS350" s="3">
        <v>45842</v>
      </c>
      <c r="BT350" s="4">
        <v>0.41944444444444445</v>
      </c>
      <c r="BU350" t="s">
        <v>1008</v>
      </c>
      <c r="BV350" t="s">
        <v>98</v>
      </c>
      <c r="BY350">
        <v>1200</v>
      </c>
      <c r="BZ350" t="s">
        <v>89</v>
      </c>
      <c r="CA350" t="s">
        <v>371</v>
      </c>
      <c r="CC350" t="s">
        <v>76</v>
      </c>
      <c r="CD350">
        <v>1665</v>
      </c>
      <c r="CE350" t="s">
        <v>239</v>
      </c>
      <c r="CF350" s="3">
        <v>45842</v>
      </c>
      <c r="CI350">
        <v>1</v>
      </c>
      <c r="CJ350">
        <v>1</v>
      </c>
      <c r="CK350">
        <v>22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"080066331361"</f>
        <v>080066331361</v>
      </c>
      <c r="F351" s="3">
        <v>45841</v>
      </c>
      <c r="G351">
        <v>202604</v>
      </c>
      <c r="H351" t="s">
        <v>75</v>
      </c>
      <c r="I351" t="s">
        <v>76</v>
      </c>
      <c r="J351" t="s">
        <v>77</v>
      </c>
      <c r="K351" t="s">
        <v>78</v>
      </c>
      <c r="L351" t="s">
        <v>151</v>
      </c>
      <c r="M351" t="s">
        <v>152</v>
      </c>
      <c r="N351" t="s">
        <v>1009</v>
      </c>
      <c r="O351" t="s">
        <v>82</v>
      </c>
      <c r="P351" t="str">
        <f>"4170046782                    "</f>
        <v xml:space="preserve">4170046782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22.6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71.2</v>
      </c>
      <c r="BM351">
        <v>10.68</v>
      </c>
      <c r="BN351">
        <v>81.88</v>
      </c>
      <c r="BO351">
        <v>81.88</v>
      </c>
      <c r="BQ351" t="s">
        <v>1010</v>
      </c>
      <c r="BR351" t="s">
        <v>84</v>
      </c>
      <c r="BS351" s="3">
        <v>45842</v>
      </c>
      <c r="BT351" s="4">
        <v>0.51041666666666663</v>
      </c>
      <c r="BU351" t="s">
        <v>1011</v>
      </c>
      <c r="BV351" t="s">
        <v>98</v>
      </c>
      <c r="BY351">
        <v>1200</v>
      </c>
      <c r="BZ351" t="s">
        <v>89</v>
      </c>
      <c r="CA351" t="s">
        <v>1012</v>
      </c>
      <c r="CC351" t="s">
        <v>152</v>
      </c>
      <c r="CD351" s="5" t="s">
        <v>1013</v>
      </c>
      <c r="CE351" t="s">
        <v>239</v>
      </c>
      <c r="CF351" s="3">
        <v>45842</v>
      </c>
      <c r="CI351">
        <v>1</v>
      </c>
      <c r="CJ351">
        <v>1</v>
      </c>
      <c r="CK351">
        <v>21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"080066331390"</f>
        <v>080066331390</v>
      </c>
      <c r="F352" s="3">
        <v>45841</v>
      </c>
      <c r="G352">
        <v>202604</v>
      </c>
      <c r="H352" t="s">
        <v>75</v>
      </c>
      <c r="I352" t="s">
        <v>76</v>
      </c>
      <c r="J352" t="s">
        <v>101</v>
      </c>
      <c r="K352" t="s">
        <v>78</v>
      </c>
      <c r="L352" t="s">
        <v>135</v>
      </c>
      <c r="M352" t="s">
        <v>136</v>
      </c>
      <c r="N352" t="s">
        <v>379</v>
      </c>
      <c r="O352" t="s">
        <v>82</v>
      </c>
      <c r="P352" t="str">
        <f>"4170046767                    "</f>
        <v xml:space="preserve">4170046767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16</v>
      </c>
      <c r="BJ352">
        <v>0.3</v>
      </c>
      <c r="BK352">
        <v>16</v>
      </c>
      <c r="BL352">
        <v>0</v>
      </c>
      <c r="BM352">
        <v>0</v>
      </c>
      <c r="BN352">
        <v>0</v>
      </c>
      <c r="BO352">
        <v>0</v>
      </c>
      <c r="BQ352" t="s">
        <v>1014</v>
      </c>
      <c r="BR352" t="s">
        <v>106</v>
      </c>
      <c r="BS352" s="3">
        <v>45841</v>
      </c>
      <c r="BT352" s="4">
        <v>0.54097222222222219</v>
      </c>
      <c r="BU352" t="s">
        <v>424</v>
      </c>
      <c r="BV352" t="s">
        <v>98</v>
      </c>
      <c r="BY352">
        <v>1440</v>
      </c>
      <c r="BZ352" t="s">
        <v>425</v>
      </c>
      <c r="CA352" t="s">
        <v>1015</v>
      </c>
      <c r="CC352" t="s">
        <v>136</v>
      </c>
      <c r="CD352">
        <v>3212</v>
      </c>
      <c r="CE352" t="s">
        <v>117</v>
      </c>
      <c r="CF352" s="3">
        <v>45842</v>
      </c>
      <c r="CI352">
        <v>2</v>
      </c>
      <c r="CJ352">
        <v>0</v>
      </c>
      <c r="CK352">
        <v>-1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"080066331442"</f>
        <v>080066331442</v>
      </c>
      <c r="F353" s="3">
        <v>45841</v>
      </c>
      <c r="G353">
        <v>202604</v>
      </c>
      <c r="H353" t="s">
        <v>75</v>
      </c>
      <c r="I353" t="s">
        <v>76</v>
      </c>
      <c r="J353" t="s">
        <v>77</v>
      </c>
      <c r="K353" t="s">
        <v>78</v>
      </c>
      <c r="L353" t="s">
        <v>174</v>
      </c>
      <c r="M353" t="s">
        <v>175</v>
      </c>
      <c r="N353" t="s">
        <v>1016</v>
      </c>
      <c r="O353" t="s">
        <v>82</v>
      </c>
      <c r="P353" t="str">
        <f>"4170046792                    "</f>
        <v xml:space="preserve">4170046792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22.6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1.1000000000000001</v>
      </c>
      <c r="BK353">
        <v>1.5</v>
      </c>
      <c r="BL353">
        <v>71.2</v>
      </c>
      <c r="BM353">
        <v>10.68</v>
      </c>
      <c r="BN353">
        <v>81.88</v>
      </c>
      <c r="BO353">
        <v>81.88</v>
      </c>
      <c r="BQ353" t="s">
        <v>1017</v>
      </c>
      <c r="BR353" t="s">
        <v>84</v>
      </c>
      <c r="BS353" s="3">
        <v>45842</v>
      </c>
      <c r="BT353" s="4">
        <v>0.43055555555555558</v>
      </c>
      <c r="BU353" t="s">
        <v>1018</v>
      </c>
      <c r="BV353" t="s">
        <v>98</v>
      </c>
      <c r="BY353">
        <v>5320</v>
      </c>
      <c r="BZ353" t="s">
        <v>89</v>
      </c>
      <c r="CA353" t="s">
        <v>173</v>
      </c>
      <c r="CC353" t="s">
        <v>175</v>
      </c>
      <c r="CD353">
        <v>6220</v>
      </c>
      <c r="CE353" t="s">
        <v>117</v>
      </c>
      <c r="CF353" s="3">
        <v>45842</v>
      </c>
      <c r="CI353">
        <v>1</v>
      </c>
      <c r="CJ353">
        <v>1</v>
      </c>
      <c r="CK353">
        <v>21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"080066331476"</f>
        <v>080066331476</v>
      </c>
      <c r="F354" s="3">
        <v>45841</v>
      </c>
      <c r="G354">
        <v>202604</v>
      </c>
      <c r="H354" t="s">
        <v>75</v>
      </c>
      <c r="I354" t="s">
        <v>76</v>
      </c>
      <c r="J354" t="s">
        <v>77</v>
      </c>
      <c r="K354" t="s">
        <v>78</v>
      </c>
      <c r="L354" t="s">
        <v>174</v>
      </c>
      <c r="M354" t="s">
        <v>175</v>
      </c>
      <c r="N354" t="s">
        <v>659</v>
      </c>
      <c r="O354" t="s">
        <v>82</v>
      </c>
      <c r="P354" t="str">
        <f>"4170046737                    "</f>
        <v xml:space="preserve">4170046737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1.7</v>
      </c>
      <c r="BK354">
        <v>2</v>
      </c>
      <c r="BL354">
        <v>71.2</v>
      </c>
      <c r="BM354">
        <v>10.68</v>
      </c>
      <c r="BN354">
        <v>81.88</v>
      </c>
      <c r="BO354">
        <v>81.88</v>
      </c>
      <c r="BQ354" t="s">
        <v>660</v>
      </c>
      <c r="BR354" t="s">
        <v>84</v>
      </c>
      <c r="BS354" s="3">
        <v>45842</v>
      </c>
      <c r="BT354" s="4">
        <v>0.42708333333333331</v>
      </c>
      <c r="BU354" t="s">
        <v>661</v>
      </c>
      <c r="BV354" t="s">
        <v>98</v>
      </c>
      <c r="BY354">
        <v>8512</v>
      </c>
      <c r="BZ354" t="s">
        <v>89</v>
      </c>
      <c r="CA354" t="s">
        <v>173</v>
      </c>
      <c r="CC354" t="s">
        <v>175</v>
      </c>
      <c r="CD354">
        <v>6220</v>
      </c>
      <c r="CE354" t="s">
        <v>117</v>
      </c>
      <c r="CF354" s="3">
        <v>45842</v>
      </c>
      <c r="CI354">
        <v>1</v>
      </c>
      <c r="CJ354">
        <v>1</v>
      </c>
      <c r="CK354">
        <v>21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"080066331537"</f>
        <v>080066331537</v>
      </c>
      <c r="F355" s="3">
        <v>45841</v>
      </c>
      <c r="G355">
        <v>202604</v>
      </c>
      <c r="H355" t="s">
        <v>75</v>
      </c>
      <c r="I355" t="s">
        <v>76</v>
      </c>
      <c r="J355" t="s">
        <v>77</v>
      </c>
      <c r="K355" t="s">
        <v>78</v>
      </c>
      <c r="L355" t="s">
        <v>79</v>
      </c>
      <c r="M355" t="s">
        <v>80</v>
      </c>
      <c r="N355" t="s">
        <v>1019</v>
      </c>
      <c r="O355" t="s">
        <v>82</v>
      </c>
      <c r="P355" t="str">
        <f>"4170046745                    "</f>
        <v xml:space="preserve">4170046745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50.82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4</v>
      </c>
      <c r="BJ355">
        <v>4.2</v>
      </c>
      <c r="BK355">
        <v>4.5</v>
      </c>
      <c r="BL355">
        <v>160.12</v>
      </c>
      <c r="BM355">
        <v>24.02</v>
      </c>
      <c r="BN355">
        <v>184.14</v>
      </c>
      <c r="BO355">
        <v>184.14</v>
      </c>
      <c r="BQ355" t="s">
        <v>1020</v>
      </c>
      <c r="BR355" t="s">
        <v>84</v>
      </c>
      <c r="BS355" s="3">
        <v>45842</v>
      </c>
      <c r="BT355" s="4">
        <v>0.4284722222222222</v>
      </c>
      <c r="BU355" t="s">
        <v>1021</v>
      </c>
      <c r="BV355" t="s">
        <v>98</v>
      </c>
      <c r="BY355">
        <v>21120</v>
      </c>
      <c r="BZ355" t="s">
        <v>89</v>
      </c>
      <c r="CA355" t="s">
        <v>579</v>
      </c>
      <c r="CC355" t="s">
        <v>80</v>
      </c>
      <c r="CD355">
        <v>7460</v>
      </c>
      <c r="CE355" t="s">
        <v>91</v>
      </c>
      <c r="CF355" s="3">
        <v>45845</v>
      </c>
      <c r="CI355">
        <v>1</v>
      </c>
      <c r="CJ355">
        <v>1</v>
      </c>
      <c r="CK355">
        <v>21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"080066331614"</f>
        <v>080066331614</v>
      </c>
      <c r="F356" s="3">
        <v>45841</v>
      </c>
      <c r="G356">
        <v>202604</v>
      </c>
      <c r="H356" t="s">
        <v>75</v>
      </c>
      <c r="I356" t="s">
        <v>76</v>
      </c>
      <c r="J356" t="s">
        <v>77</v>
      </c>
      <c r="K356" t="s">
        <v>78</v>
      </c>
      <c r="L356" t="s">
        <v>240</v>
      </c>
      <c r="M356" t="s">
        <v>241</v>
      </c>
      <c r="N356" t="s">
        <v>779</v>
      </c>
      <c r="O356" t="s">
        <v>82</v>
      </c>
      <c r="P356" t="str">
        <f>"4170046774                    "</f>
        <v xml:space="preserve">4170046774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17.649999999999999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5.6</v>
      </c>
      <c r="BK356">
        <v>6</v>
      </c>
      <c r="BL356">
        <v>55.61</v>
      </c>
      <c r="BM356">
        <v>8.34</v>
      </c>
      <c r="BN356">
        <v>63.95</v>
      </c>
      <c r="BO356">
        <v>63.95</v>
      </c>
      <c r="BQ356" t="s">
        <v>780</v>
      </c>
      <c r="BR356" t="s">
        <v>84</v>
      </c>
      <c r="BS356" s="3">
        <v>45845</v>
      </c>
      <c r="BT356" s="4">
        <v>0.40625</v>
      </c>
      <c r="BU356" t="s">
        <v>1022</v>
      </c>
      <c r="BV356" t="s">
        <v>86</v>
      </c>
      <c r="BW356" t="s">
        <v>395</v>
      </c>
      <c r="BX356" t="s">
        <v>1023</v>
      </c>
      <c r="BY356">
        <v>28224</v>
      </c>
      <c r="BZ356" t="s">
        <v>89</v>
      </c>
      <c r="CA356" t="s">
        <v>522</v>
      </c>
      <c r="CC356" t="s">
        <v>241</v>
      </c>
      <c r="CD356">
        <v>2092</v>
      </c>
      <c r="CE356" t="s">
        <v>91</v>
      </c>
      <c r="CF356" s="3">
        <v>45846</v>
      </c>
      <c r="CI356">
        <v>1</v>
      </c>
      <c r="CJ356">
        <v>2</v>
      </c>
      <c r="CK356">
        <v>22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"080066331795"</f>
        <v>080066331795</v>
      </c>
      <c r="F357" s="3">
        <v>45841</v>
      </c>
      <c r="G357">
        <v>202604</v>
      </c>
      <c r="H357" t="s">
        <v>75</v>
      </c>
      <c r="I357" t="s">
        <v>76</v>
      </c>
      <c r="J357" t="s">
        <v>77</v>
      </c>
      <c r="K357" t="s">
        <v>78</v>
      </c>
      <c r="L357" t="s">
        <v>135</v>
      </c>
      <c r="M357" t="s">
        <v>136</v>
      </c>
      <c r="N357" t="s">
        <v>379</v>
      </c>
      <c r="O357" t="s">
        <v>82</v>
      </c>
      <c r="P357" t="str">
        <f>"4170046767                    "</f>
        <v xml:space="preserve">4170046767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180.66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16</v>
      </c>
      <c r="BJ357">
        <v>8.9</v>
      </c>
      <c r="BK357">
        <v>16</v>
      </c>
      <c r="BL357">
        <v>569.17999999999995</v>
      </c>
      <c r="BM357">
        <v>85.38</v>
      </c>
      <c r="BN357">
        <v>654.55999999999995</v>
      </c>
      <c r="BO357">
        <v>654.55999999999995</v>
      </c>
      <c r="BQ357" t="s">
        <v>380</v>
      </c>
      <c r="BR357" t="s">
        <v>84</v>
      </c>
      <c r="BS357" s="3">
        <v>45842</v>
      </c>
      <c r="BT357" s="4">
        <v>0.56666666666666665</v>
      </c>
      <c r="BU357" t="s">
        <v>1024</v>
      </c>
      <c r="BV357" t="s">
        <v>98</v>
      </c>
      <c r="BY357">
        <v>44640</v>
      </c>
      <c r="BZ357" t="s">
        <v>89</v>
      </c>
      <c r="CA357" t="s">
        <v>382</v>
      </c>
      <c r="CC357" t="s">
        <v>136</v>
      </c>
      <c r="CD357">
        <v>3212</v>
      </c>
      <c r="CE357" t="s">
        <v>117</v>
      </c>
      <c r="CF357" s="3">
        <v>45845</v>
      </c>
      <c r="CI357">
        <v>2</v>
      </c>
      <c r="CJ357">
        <v>1</v>
      </c>
      <c r="CK357">
        <v>21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"080066332178"</f>
        <v>080066332178</v>
      </c>
      <c r="F358" s="3">
        <v>45841</v>
      </c>
      <c r="G358">
        <v>202604</v>
      </c>
      <c r="H358" t="s">
        <v>75</v>
      </c>
      <c r="I358" t="s">
        <v>76</v>
      </c>
      <c r="J358" t="s">
        <v>77</v>
      </c>
      <c r="K358" t="s">
        <v>78</v>
      </c>
      <c r="L358" t="s">
        <v>92</v>
      </c>
      <c r="M358" t="s">
        <v>93</v>
      </c>
      <c r="N358" t="s">
        <v>291</v>
      </c>
      <c r="O358" t="s">
        <v>82</v>
      </c>
      <c r="P358" t="str">
        <f>"4170046781                    "</f>
        <v xml:space="preserve">4170046781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22.6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71.2</v>
      </c>
      <c r="BM358">
        <v>10.68</v>
      </c>
      <c r="BN358">
        <v>81.88</v>
      </c>
      <c r="BO358">
        <v>81.88</v>
      </c>
      <c r="BQ358" t="s">
        <v>292</v>
      </c>
      <c r="BR358" t="s">
        <v>84</v>
      </c>
      <c r="BS358" s="3">
        <v>45842</v>
      </c>
      <c r="BT358" s="4">
        <v>0.3347222222222222</v>
      </c>
      <c r="BU358" t="s">
        <v>971</v>
      </c>
      <c r="BV358" t="s">
        <v>98</v>
      </c>
      <c r="BY358">
        <v>1200</v>
      </c>
      <c r="BZ358" t="s">
        <v>89</v>
      </c>
      <c r="CA358" t="s">
        <v>294</v>
      </c>
      <c r="CC358" t="s">
        <v>93</v>
      </c>
      <c r="CD358">
        <v>4051</v>
      </c>
      <c r="CE358" t="s">
        <v>239</v>
      </c>
      <c r="CF358" s="3">
        <v>45842</v>
      </c>
      <c r="CI358">
        <v>1</v>
      </c>
      <c r="CJ358">
        <v>1</v>
      </c>
      <c r="CK358">
        <v>21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"080066332215"</f>
        <v>080066332215</v>
      </c>
      <c r="F359" s="3">
        <v>45841</v>
      </c>
      <c r="G359">
        <v>202604</v>
      </c>
      <c r="H359" t="s">
        <v>75</v>
      </c>
      <c r="I359" t="s">
        <v>76</v>
      </c>
      <c r="J359" t="s">
        <v>77</v>
      </c>
      <c r="K359" t="s">
        <v>78</v>
      </c>
      <c r="L359" t="s">
        <v>240</v>
      </c>
      <c r="M359" t="s">
        <v>241</v>
      </c>
      <c r="N359" t="s">
        <v>242</v>
      </c>
      <c r="O359" t="s">
        <v>82</v>
      </c>
      <c r="P359" t="str">
        <f>"4170046809                    "</f>
        <v xml:space="preserve">4170046809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17.649999999999999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55.61</v>
      </c>
      <c r="BM359">
        <v>8.34</v>
      </c>
      <c r="BN359">
        <v>63.95</v>
      </c>
      <c r="BO359">
        <v>63.95</v>
      </c>
      <c r="BQ359" t="s">
        <v>243</v>
      </c>
      <c r="BR359" t="s">
        <v>84</v>
      </c>
      <c r="BS359" s="3">
        <v>45842</v>
      </c>
      <c r="BT359" s="4">
        <v>0.33680555555555558</v>
      </c>
      <c r="BU359" t="s">
        <v>244</v>
      </c>
      <c r="BV359" t="s">
        <v>98</v>
      </c>
      <c r="BY359">
        <v>1200</v>
      </c>
      <c r="BZ359" t="s">
        <v>89</v>
      </c>
      <c r="CA359" t="s">
        <v>245</v>
      </c>
      <c r="CC359" t="s">
        <v>241</v>
      </c>
      <c r="CD359">
        <v>2091</v>
      </c>
      <c r="CE359" t="s">
        <v>239</v>
      </c>
      <c r="CF359" s="3">
        <v>45843</v>
      </c>
      <c r="CI359">
        <v>1</v>
      </c>
      <c r="CJ359">
        <v>1</v>
      </c>
      <c r="CK359">
        <v>22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"080066332236"</f>
        <v>080066332236</v>
      </c>
      <c r="F360" s="3">
        <v>45841</v>
      </c>
      <c r="G360">
        <v>202604</v>
      </c>
      <c r="H360" t="s">
        <v>75</v>
      </c>
      <c r="I360" t="s">
        <v>76</v>
      </c>
      <c r="J360" t="s">
        <v>77</v>
      </c>
      <c r="K360" t="s">
        <v>78</v>
      </c>
      <c r="L360" t="s">
        <v>240</v>
      </c>
      <c r="M360" t="s">
        <v>241</v>
      </c>
      <c r="N360" t="s">
        <v>242</v>
      </c>
      <c r="O360" t="s">
        <v>82</v>
      </c>
      <c r="P360" t="str">
        <f>"4170046810                    "</f>
        <v xml:space="preserve">4170046810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17.649999999999999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55.61</v>
      </c>
      <c r="BM360">
        <v>8.34</v>
      </c>
      <c r="BN360">
        <v>63.95</v>
      </c>
      <c r="BO360">
        <v>63.95</v>
      </c>
      <c r="BQ360" t="s">
        <v>243</v>
      </c>
      <c r="BR360" t="s">
        <v>84</v>
      </c>
      <c r="BS360" s="3">
        <v>45842</v>
      </c>
      <c r="BT360" s="4">
        <v>0.33680555555555558</v>
      </c>
      <c r="BU360" t="s">
        <v>244</v>
      </c>
      <c r="BV360" t="s">
        <v>98</v>
      </c>
      <c r="BY360">
        <v>1200</v>
      </c>
      <c r="BZ360" t="s">
        <v>89</v>
      </c>
      <c r="CA360" t="s">
        <v>245</v>
      </c>
      <c r="CC360" t="s">
        <v>241</v>
      </c>
      <c r="CD360">
        <v>2091</v>
      </c>
      <c r="CE360" t="s">
        <v>239</v>
      </c>
      <c r="CF360" s="3">
        <v>45843</v>
      </c>
      <c r="CI360">
        <v>1</v>
      </c>
      <c r="CJ360">
        <v>1</v>
      </c>
      <c r="CK360">
        <v>22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"080066332291"</f>
        <v>080066332291</v>
      </c>
      <c r="F361" s="3">
        <v>45841</v>
      </c>
      <c r="G361">
        <v>202604</v>
      </c>
      <c r="H361" t="s">
        <v>75</v>
      </c>
      <c r="I361" t="s">
        <v>76</v>
      </c>
      <c r="J361" t="s">
        <v>77</v>
      </c>
      <c r="K361" t="s">
        <v>78</v>
      </c>
      <c r="L361" t="s">
        <v>240</v>
      </c>
      <c r="M361" t="s">
        <v>241</v>
      </c>
      <c r="N361" t="s">
        <v>1025</v>
      </c>
      <c r="O361" t="s">
        <v>82</v>
      </c>
      <c r="P361" t="str">
        <f>"4170046799                    "</f>
        <v xml:space="preserve">4170046799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17.649999999999999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55.61</v>
      </c>
      <c r="BM361">
        <v>8.34</v>
      </c>
      <c r="BN361">
        <v>63.95</v>
      </c>
      <c r="BO361">
        <v>63.95</v>
      </c>
      <c r="BQ361" t="s">
        <v>1026</v>
      </c>
      <c r="BR361" t="s">
        <v>84</v>
      </c>
      <c r="BS361" s="3">
        <v>45842</v>
      </c>
      <c r="BT361" s="4">
        <v>0.42777777777777776</v>
      </c>
      <c r="BU361" t="s">
        <v>1027</v>
      </c>
      <c r="BV361" t="s">
        <v>98</v>
      </c>
      <c r="BY361">
        <v>1200</v>
      </c>
      <c r="BZ361" t="s">
        <v>89</v>
      </c>
      <c r="CA361" t="s">
        <v>245</v>
      </c>
      <c r="CC361" t="s">
        <v>241</v>
      </c>
      <c r="CD361">
        <v>2092</v>
      </c>
      <c r="CE361" t="s">
        <v>239</v>
      </c>
      <c r="CF361" s="3">
        <v>45843</v>
      </c>
      <c r="CI361">
        <v>1</v>
      </c>
      <c r="CJ361">
        <v>1</v>
      </c>
      <c r="CK361">
        <v>22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"080066332349"</f>
        <v>080066332349</v>
      </c>
      <c r="F362" s="3">
        <v>45841</v>
      </c>
      <c r="G362">
        <v>202604</v>
      </c>
      <c r="H362" t="s">
        <v>75</v>
      </c>
      <c r="I362" t="s">
        <v>76</v>
      </c>
      <c r="J362" t="s">
        <v>77</v>
      </c>
      <c r="K362" t="s">
        <v>78</v>
      </c>
      <c r="L362" t="s">
        <v>363</v>
      </c>
      <c r="M362" t="s">
        <v>364</v>
      </c>
      <c r="N362" t="s">
        <v>365</v>
      </c>
      <c r="O362" t="s">
        <v>82</v>
      </c>
      <c r="P362" t="str">
        <f>"4170046803                    "</f>
        <v xml:space="preserve">4170046803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43.78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137.94</v>
      </c>
      <c r="BM362">
        <v>20.69</v>
      </c>
      <c r="BN362">
        <v>158.63</v>
      </c>
      <c r="BO362">
        <v>158.63</v>
      </c>
      <c r="BQ362" t="s">
        <v>366</v>
      </c>
      <c r="BR362" t="s">
        <v>84</v>
      </c>
      <c r="BS362" s="3">
        <v>45842</v>
      </c>
      <c r="BT362" s="4">
        <v>0.70138888888888884</v>
      </c>
      <c r="BU362" t="s">
        <v>1028</v>
      </c>
      <c r="BV362" t="s">
        <v>98</v>
      </c>
      <c r="BY362">
        <v>1200</v>
      </c>
      <c r="BZ362" t="s">
        <v>89</v>
      </c>
      <c r="CA362" t="s">
        <v>522</v>
      </c>
      <c r="CC362" t="s">
        <v>364</v>
      </c>
      <c r="CD362">
        <v>7300</v>
      </c>
      <c r="CE362" t="s">
        <v>239</v>
      </c>
      <c r="CF362" s="3">
        <v>45845</v>
      </c>
      <c r="CI362">
        <v>1</v>
      </c>
      <c r="CJ362">
        <v>1</v>
      </c>
      <c r="CK362">
        <v>23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"080066332375"</f>
        <v>080066332375</v>
      </c>
      <c r="F363" s="3">
        <v>45841</v>
      </c>
      <c r="G363">
        <v>202604</v>
      </c>
      <c r="H363" t="s">
        <v>75</v>
      </c>
      <c r="I363" t="s">
        <v>76</v>
      </c>
      <c r="J363" t="s">
        <v>77</v>
      </c>
      <c r="K363" t="s">
        <v>78</v>
      </c>
      <c r="L363" t="s">
        <v>135</v>
      </c>
      <c r="M363" t="s">
        <v>136</v>
      </c>
      <c r="N363" t="s">
        <v>482</v>
      </c>
      <c r="O363" t="s">
        <v>82</v>
      </c>
      <c r="P363" t="str">
        <f>"4170046812                    "</f>
        <v xml:space="preserve">4170046812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22.6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71.2</v>
      </c>
      <c r="BM363">
        <v>10.68</v>
      </c>
      <c r="BN363">
        <v>81.88</v>
      </c>
      <c r="BO363">
        <v>81.88</v>
      </c>
      <c r="BQ363" t="s">
        <v>483</v>
      </c>
      <c r="BR363" t="s">
        <v>84</v>
      </c>
      <c r="BS363" s="3">
        <v>45842</v>
      </c>
      <c r="BT363" s="4">
        <v>0.41666666666666669</v>
      </c>
      <c r="BU363" t="s">
        <v>1029</v>
      </c>
      <c r="BV363" t="s">
        <v>98</v>
      </c>
      <c r="BY363">
        <v>1200</v>
      </c>
      <c r="BZ363" t="s">
        <v>89</v>
      </c>
      <c r="CC363" t="s">
        <v>136</v>
      </c>
      <c r="CD363">
        <v>3201</v>
      </c>
      <c r="CE363" t="s">
        <v>239</v>
      </c>
      <c r="CF363" s="3">
        <v>45845</v>
      </c>
      <c r="CI363">
        <v>1</v>
      </c>
      <c r="CJ363">
        <v>1</v>
      </c>
      <c r="CK363">
        <v>21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"080066332443"</f>
        <v>080066332443</v>
      </c>
      <c r="F364" s="3">
        <v>45841</v>
      </c>
      <c r="G364">
        <v>202604</v>
      </c>
      <c r="H364" t="s">
        <v>75</v>
      </c>
      <c r="I364" t="s">
        <v>76</v>
      </c>
      <c r="J364" t="s">
        <v>77</v>
      </c>
      <c r="K364" t="s">
        <v>78</v>
      </c>
      <c r="L364" t="s">
        <v>75</v>
      </c>
      <c r="M364" t="s">
        <v>76</v>
      </c>
      <c r="N364" t="s">
        <v>1030</v>
      </c>
      <c r="O364" t="s">
        <v>82</v>
      </c>
      <c r="P364" t="str">
        <f>"4170046783                    "</f>
        <v xml:space="preserve">4170046783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17.649999999999999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55.61</v>
      </c>
      <c r="BM364">
        <v>8.34</v>
      </c>
      <c r="BN364">
        <v>63.95</v>
      </c>
      <c r="BO364">
        <v>63.95</v>
      </c>
      <c r="BQ364" t="s">
        <v>1031</v>
      </c>
      <c r="BR364" t="s">
        <v>84</v>
      </c>
      <c r="BS364" s="3">
        <v>45842</v>
      </c>
      <c r="BT364" s="4">
        <v>0.41180555555555554</v>
      </c>
      <c r="BU364" t="s">
        <v>1032</v>
      </c>
      <c r="BV364" t="s">
        <v>98</v>
      </c>
      <c r="BY364">
        <v>1200</v>
      </c>
      <c r="BZ364" t="s">
        <v>89</v>
      </c>
      <c r="CA364" t="s">
        <v>952</v>
      </c>
      <c r="CC364" t="s">
        <v>76</v>
      </c>
      <c r="CD364">
        <v>1600</v>
      </c>
      <c r="CE364" t="s">
        <v>239</v>
      </c>
      <c r="CF364" s="3">
        <v>45843</v>
      </c>
      <c r="CI364">
        <v>1</v>
      </c>
      <c r="CJ364">
        <v>1</v>
      </c>
      <c r="CK364">
        <v>22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"080066332482"</f>
        <v>080066332482</v>
      </c>
      <c r="F365" s="3">
        <v>45841</v>
      </c>
      <c r="G365">
        <v>202604</v>
      </c>
      <c r="H365" t="s">
        <v>75</v>
      </c>
      <c r="I365" t="s">
        <v>76</v>
      </c>
      <c r="J365" t="s">
        <v>77</v>
      </c>
      <c r="K365" t="s">
        <v>78</v>
      </c>
      <c r="L365" t="s">
        <v>350</v>
      </c>
      <c r="M365" t="s">
        <v>351</v>
      </c>
      <c r="N365" t="s">
        <v>1033</v>
      </c>
      <c r="O365" t="s">
        <v>311</v>
      </c>
      <c r="P365" t="str">
        <f>"4170046806                    "</f>
        <v xml:space="preserve">4170046806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42.38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16.739999999999998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150.25</v>
      </c>
      <c r="BM365">
        <v>22.54</v>
      </c>
      <c r="BN365">
        <v>172.79</v>
      </c>
      <c r="BO365">
        <v>172.79</v>
      </c>
      <c r="BQ365" t="s">
        <v>1034</v>
      </c>
      <c r="BR365" t="s">
        <v>84</v>
      </c>
      <c r="BS365" s="3">
        <v>45842</v>
      </c>
      <c r="BT365" s="4">
        <v>0.43194444444444446</v>
      </c>
      <c r="BU365" t="s">
        <v>1035</v>
      </c>
      <c r="BV365" t="s">
        <v>98</v>
      </c>
      <c r="BY365">
        <v>1200</v>
      </c>
      <c r="BZ365" t="s">
        <v>991</v>
      </c>
      <c r="CA365" t="s">
        <v>337</v>
      </c>
      <c r="CC365" t="s">
        <v>351</v>
      </c>
      <c r="CD365">
        <v>4133</v>
      </c>
      <c r="CE365" t="s">
        <v>239</v>
      </c>
      <c r="CF365" s="3">
        <v>45842</v>
      </c>
      <c r="CI365">
        <v>1</v>
      </c>
      <c r="CJ365">
        <v>1</v>
      </c>
      <c r="CK365">
        <v>31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"080066332526"</f>
        <v>080066332526</v>
      </c>
      <c r="F366" s="3">
        <v>45841</v>
      </c>
      <c r="G366">
        <v>202604</v>
      </c>
      <c r="H366" t="s">
        <v>75</v>
      </c>
      <c r="I366" t="s">
        <v>76</v>
      </c>
      <c r="J366" t="s">
        <v>77</v>
      </c>
      <c r="K366" t="s">
        <v>78</v>
      </c>
      <c r="L366" t="s">
        <v>79</v>
      </c>
      <c r="M366" t="s">
        <v>80</v>
      </c>
      <c r="N366" t="s">
        <v>1036</v>
      </c>
      <c r="O366" t="s">
        <v>82</v>
      </c>
      <c r="P366" t="str">
        <f>"4170046802                    "</f>
        <v xml:space="preserve">4170046802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22.6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71.2</v>
      </c>
      <c r="BM366">
        <v>10.68</v>
      </c>
      <c r="BN366">
        <v>81.88</v>
      </c>
      <c r="BO366">
        <v>81.88</v>
      </c>
      <c r="BQ366" t="s">
        <v>1037</v>
      </c>
      <c r="BR366" t="s">
        <v>84</v>
      </c>
      <c r="BS366" s="3">
        <v>45842</v>
      </c>
      <c r="BT366" s="4">
        <v>0.42638888888888887</v>
      </c>
      <c r="BU366" t="s">
        <v>1038</v>
      </c>
      <c r="BV366" t="s">
        <v>98</v>
      </c>
      <c r="BY366">
        <v>1200</v>
      </c>
      <c r="BZ366" t="s">
        <v>89</v>
      </c>
      <c r="CA366" t="s">
        <v>162</v>
      </c>
      <c r="CC366" t="s">
        <v>80</v>
      </c>
      <c r="CD366">
        <v>7441</v>
      </c>
      <c r="CE366" t="s">
        <v>239</v>
      </c>
      <c r="CF366" s="3">
        <v>45845</v>
      </c>
      <c r="CI366">
        <v>1</v>
      </c>
      <c r="CJ366">
        <v>1</v>
      </c>
      <c r="CK366">
        <v>21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"080066332540"</f>
        <v>080066332540</v>
      </c>
      <c r="F367" s="3">
        <v>45841</v>
      </c>
      <c r="G367">
        <v>202604</v>
      </c>
      <c r="H367" t="s">
        <v>75</v>
      </c>
      <c r="I367" t="s">
        <v>76</v>
      </c>
      <c r="J367" t="s">
        <v>77</v>
      </c>
      <c r="K367" t="s">
        <v>78</v>
      </c>
      <c r="L367" t="s">
        <v>240</v>
      </c>
      <c r="M367" t="s">
        <v>241</v>
      </c>
      <c r="N367" t="s">
        <v>998</v>
      </c>
      <c r="O367" t="s">
        <v>82</v>
      </c>
      <c r="P367" t="str">
        <f>"4170046795                    "</f>
        <v xml:space="preserve">4170046795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17.649999999999999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55.61</v>
      </c>
      <c r="BM367">
        <v>8.34</v>
      </c>
      <c r="BN367">
        <v>63.95</v>
      </c>
      <c r="BO367">
        <v>63.95</v>
      </c>
      <c r="BQ367" t="s">
        <v>999</v>
      </c>
      <c r="BR367" t="s">
        <v>84</v>
      </c>
      <c r="BS367" s="3">
        <v>45842</v>
      </c>
      <c r="BT367" s="4">
        <v>0.35069444444444442</v>
      </c>
      <c r="BU367" t="s">
        <v>923</v>
      </c>
      <c r="BV367" t="s">
        <v>98</v>
      </c>
      <c r="BY367">
        <v>1200</v>
      </c>
      <c r="BZ367" t="s">
        <v>89</v>
      </c>
      <c r="CA367" t="s">
        <v>245</v>
      </c>
      <c r="CC367" t="s">
        <v>241</v>
      </c>
      <c r="CD367">
        <v>2091</v>
      </c>
      <c r="CE367" t="s">
        <v>239</v>
      </c>
      <c r="CF367" s="3">
        <v>45843</v>
      </c>
      <c r="CI367">
        <v>1</v>
      </c>
      <c r="CJ367">
        <v>1</v>
      </c>
      <c r="CK367">
        <v>22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"080066332587"</f>
        <v>080066332587</v>
      </c>
      <c r="F368" s="3">
        <v>45841</v>
      </c>
      <c r="G368">
        <v>202604</v>
      </c>
      <c r="H368" t="s">
        <v>75</v>
      </c>
      <c r="I368" t="s">
        <v>76</v>
      </c>
      <c r="J368" t="s">
        <v>77</v>
      </c>
      <c r="K368" t="s">
        <v>78</v>
      </c>
      <c r="L368" t="s">
        <v>75</v>
      </c>
      <c r="M368" t="s">
        <v>76</v>
      </c>
      <c r="N368" t="s">
        <v>1039</v>
      </c>
      <c r="O368" t="s">
        <v>82</v>
      </c>
      <c r="P368" t="str">
        <f>"4170046793                    "</f>
        <v xml:space="preserve">4170046793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17.649999999999999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55.61</v>
      </c>
      <c r="BM368">
        <v>8.34</v>
      </c>
      <c r="BN368">
        <v>63.95</v>
      </c>
      <c r="BO368">
        <v>63.95</v>
      </c>
      <c r="BQ368" t="s">
        <v>1040</v>
      </c>
      <c r="BR368" t="s">
        <v>84</v>
      </c>
      <c r="BS368" s="3">
        <v>45842</v>
      </c>
      <c r="BT368" s="4">
        <v>0.38124999999999998</v>
      </c>
      <c r="BU368" t="s">
        <v>1041</v>
      </c>
      <c r="BV368" t="s">
        <v>98</v>
      </c>
      <c r="BY368">
        <v>1200</v>
      </c>
      <c r="BZ368" t="s">
        <v>89</v>
      </c>
      <c r="CA368" t="s">
        <v>952</v>
      </c>
      <c r="CC368" t="s">
        <v>76</v>
      </c>
      <c r="CD368">
        <v>1609</v>
      </c>
      <c r="CE368" t="s">
        <v>239</v>
      </c>
      <c r="CF368" s="3">
        <v>45843</v>
      </c>
      <c r="CI368">
        <v>1</v>
      </c>
      <c r="CJ368">
        <v>1</v>
      </c>
      <c r="CK368">
        <v>22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"080066332610"</f>
        <v>080066332610</v>
      </c>
      <c r="F369" s="3">
        <v>45841</v>
      </c>
      <c r="G369">
        <v>202604</v>
      </c>
      <c r="H369" t="s">
        <v>75</v>
      </c>
      <c r="I369" t="s">
        <v>76</v>
      </c>
      <c r="J369" t="s">
        <v>77</v>
      </c>
      <c r="K369" t="s">
        <v>78</v>
      </c>
      <c r="L369" t="s">
        <v>168</v>
      </c>
      <c r="M369" t="s">
        <v>169</v>
      </c>
      <c r="N369" t="s">
        <v>487</v>
      </c>
      <c r="O369" t="s">
        <v>82</v>
      </c>
      <c r="P369" t="str">
        <f>"4170046780                    "</f>
        <v xml:space="preserve">4170046780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101.63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9</v>
      </c>
      <c r="BJ369">
        <v>8.9</v>
      </c>
      <c r="BK369">
        <v>9</v>
      </c>
      <c r="BL369">
        <v>320.19</v>
      </c>
      <c r="BM369">
        <v>48.03</v>
      </c>
      <c r="BN369">
        <v>368.22</v>
      </c>
      <c r="BO369">
        <v>368.22</v>
      </c>
      <c r="BQ369" t="s">
        <v>488</v>
      </c>
      <c r="BR369" t="s">
        <v>84</v>
      </c>
      <c r="BS369" s="3">
        <v>45842</v>
      </c>
      <c r="BT369" s="4">
        <v>0.41180555555555554</v>
      </c>
      <c r="BU369" t="s">
        <v>1042</v>
      </c>
      <c r="BV369" t="s">
        <v>98</v>
      </c>
      <c r="BY369">
        <v>44640</v>
      </c>
      <c r="BZ369" t="s">
        <v>89</v>
      </c>
      <c r="CA369" t="s">
        <v>415</v>
      </c>
      <c r="CC369" t="s">
        <v>169</v>
      </c>
      <c r="CD369">
        <v>6012</v>
      </c>
      <c r="CE369" t="s">
        <v>117</v>
      </c>
      <c r="CF369" s="3">
        <v>45842</v>
      </c>
      <c r="CI369">
        <v>1</v>
      </c>
      <c r="CJ369">
        <v>1</v>
      </c>
      <c r="CK369">
        <v>21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"080066332641"</f>
        <v>080066332641</v>
      </c>
      <c r="F370" s="3">
        <v>45841</v>
      </c>
      <c r="G370">
        <v>202604</v>
      </c>
      <c r="H370" t="s">
        <v>75</v>
      </c>
      <c r="I370" t="s">
        <v>76</v>
      </c>
      <c r="J370" t="s">
        <v>77</v>
      </c>
      <c r="K370" t="s">
        <v>78</v>
      </c>
      <c r="L370" t="s">
        <v>79</v>
      </c>
      <c r="M370" t="s">
        <v>80</v>
      </c>
      <c r="N370" t="s">
        <v>141</v>
      </c>
      <c r="O370" t="s">
        <v>82</v>
      </c>
      <c r="P370" t="str">
        <f>"4170046738                    "</f>
        <v xml:space="preserve">4170046738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33.89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3</v>
      </c>
      <c r="BJ370">
        <v>1.9</v>
      </c>
      <c r="BK370">
        <v>3</v>
      </c>
      <c r="BL370">
        <v>106.77</v>
      </c>
      <c r="BM370">
        <v>16.02</v>
      </c>
      <c r="BN370">
        <v>122.79</v>
      </c>
      <c r="BO370">
        <v>122.79</v>
      </c>
      <c r="BQ370" t="s">
        <v>142</v>
      </c>
      <c r="BR370" t="s">
        <v>84</v>
      </c>
      <c r="BS370" s="3">
        <v>45842</v>
      </c>
      <c r="BT370" s="4">
        <v>0.39652777777777776</v>
      </c>
      <c r="BU370" t="s">
        <v>976</v>
      </c>
      <c r="BV370" t="s">
        <v>98</v>
      </c>
      <c r="BY370">
        <v>9600</v>
      </c>
      <c r="BZ370" t="s">
        <v>89</v>
      </c>
      <c r="CA370" t="s">
        <v>144</v>
      </c>
      <c r="CC370" t="s">
        <v>80</v>
      </c>
      <c r="CD370">
        <v>7441</v>
      </c>
      <c r="CE370" t="s">
        <v>117</v>
      </c>
      <c r="CF370" s="3">
        <v>45845</v>
      </c>
      <c r="CI370">
        <v>1</v>
      </c>
      <c r="CJ370">
        <v>1</v>
      </c>
      <c r="CK370">
        <v>21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"080066332671"</f>
        <v>080066332671</v>
      </c>
      <c r="F371" s="3">
        <v>45841</v>
      </c>
      <c r="G371">
        <v>202604</v>
      </c>
      <c r="H371" t="s">
        <v>75</v>
      </c>
      <c r="I371" t="s">
        <v>76</v>
      </c>
      <c r="J371" t="s">
        <v>77</v>
      </c>
      <c r="K371" t="s">
        <v>78</v>
      </c>
      <c r="L371" t="s">
        <v>174</v>
      </c>
      <c r="M371" t="s">
        <v>175</v>
      </c>
      <c r="N371" t="s">
        <v>659</v>
      </c>
      <c r="O371" t="s">
        <v>95</v>
      </c>
      <c r="P371" t="str">
        <f>"4170046777                    "</f>
        <v xml:space="preserve">4170046777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49.11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11</v>
      </c>
      <c r="BJ371">
        <v>17.7</v>
      </c>
      <c r="BK371">
        <v>18</v>
      </c>
      <c r="BL371">
        <v>160.6</v>
      </c>
      <c r="BM371">
        <v>24.09</v>
      </c>
      <c r="BN371">
        <v>184.69</v>
      </c>
      <c r="BO371">
        <v>184.69</v>
      </c>
      <c r="BQ371" t="s">
        <v>660</v>
      </c>
      <c r="BR371" t="s">
        <v>84</v>
      </c>
      <c r="BS371" s="3">
        <v>45845</v>
      </c>
      <c r="BT371" s="4">
        <v>0.45763888888888887</v>
      </c>
      <c r="BU371" t="s">
        <v>661</v>
      </c>
      <c r="BV371" t="s">
        <v>98</v>
      </c>
      <c r="BY371">
        <v>88320</v>
      </c>
      <c r="BZ371" t="s">
        <v>99</v>
      </c>
      <c r="CA371" t="s">
        <v>173</v>
      </c>
      <c r="CC371" t="s">
        <v>175</v>
      </c>
      <c r="CD371">
        <v>6220</v>
      </c>
      <c r="CE371" t="s">
        <v>117</v>
      </c>
      <c r="CF371" s="3">
        <v>45845</v>
      </c>
      <c r="CI371">
        <v>3</v>
      </c>
      <c r="CJ371">
        <v>2</v>
      </c>
      <c r="CK371">
        <v>41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"080066332958"</f>
        <v>080066332958</v>
      </c>
      <c r="F372" s="3">
        <v>45841</v>
      </c>
      <c r="G372">
        <v>202604</v>
      </c>
      <c r="H372" t="s">
        <v>75</v>
      </c>
      <c r="I372" t="s">
        <v>76</v>
      </c>
      <c r="J372" t="s">
        <v>77</v>
      </c>
      <c r="K372" t="s">
        <v>78</v>
      </c>
      <c r="L372" t="s">
        <v>168</v>
      </c>
      <c r="M372" t="s">
        <v>169</v>
      </c>
      <c r="N372" t="s">
        <v>206</v>
      </c>
      <c r="O372" t="s">
        <v>82</v>
      </c>
      <c r="P372" t="str">
        <f>"4170046807                    "</f>
        <v xml:space="preserve">4170046807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22.6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1.9</v>
      </c>
      <c r="BK372">
        <v>2</v>
      </c>
      <c r="BL372">
        <v>71.2</v>
      </c>
      <c r="BM372">
        <v>10.68</v>
      </c>
      <c r="BN372">
        <v>81.88</v>
      </c>
      <c r="BO372">
        <v>81.88</v>
      </c>
      <c r="BQ372" t="s">
        <v>207</v>
      </c>
      <c r="BR372" t="s">
        <v>84</v>
      </c>
      <c r="BS372" s="3">
        <v>45842</v>
      </c>
      <c r="BT372" s="4">
        <v>0.39930555555555558</v>
      </c>
      <c r="BU372" t="s">
        <v>208</v>
      </c>
      <c r="BV372" t="s">
        <v>98</v>
      </c>
      <c r="BY372">
        <v>9600</v>
      </c>
      <c r="BZ372" t="s">
        <v>89</v>
      </c>
      <c r="CA372" t="s">
        <v>196</v>
      </c>
      <c r="CC372" t="s">
        <v>169</v>
      </c>
      <c r="CD372">
        <v>6001</v>
      </c>
      <c r="CE372" t="s">
        <v>117</v>
      </c>
      <c r="CF372" s="3">
        <v>45842</v>
      </c>
      <c r="CI372">
        <v>1</v>
      </c>
      <c r="CJ372">
        <v>1</v>
      </c>
      <c r="CK372">
        <v>21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"080066332988"</f>
        <v>080066332988</v>
      </c>
      <c r="F373" s="3">
        <v>45841</v>
      </c>
      <c r="G373">
        <v>202604</v>
      </c>
      <c r="H373" t="s">
        <v>75</v>
      </c>
      <c r="I373" t="s">
        <v>76</v>
      </c>
      <c r="J373" t="s">
        <v>77</v>
      </c>
      <c r="K373" t="s">
        <v>78</v>
      </c>
      <c r="L373" t="s">
        <v>295</v>
      </c>
      <c r="M373" t="s">
        <v>296</v>
      </c>
      <c r="N373" t="s">
        <v>1043</v>
      </c>
      <c r="O373" t="s">
        <v>95</v>
      </c>
      <c r="P373" t="str">
        <f>"4170046748                    "</f>
        <v xml:space="preserve">4170046748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50.48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2</v>
      </c>
      <c r="BI373">
        <v>21</v>
      </c>
      <c r="BJ373">
        <v>31.5</v>
      </c>
      <c r="BK373">
        <v>32</v>
      </c>
      <c r="BL373">
        <v>164.91</v>
      </c>
      <c r="BM373">
        <v>24.74</v>
      </c>
      <c r="BN373">
        <v>189.65</v>
      </c>
      <c r="BO373">
        <v>189.65</v>
      </c>
      <c r="BQ373" t="s">
        <v>1044</v>
      </c>
      <c r="BR373" t="s">
        <v>84</v>
      </c>
      <c r="BS373" s="3">
        <v>45842</v>
      </c>
      <c r="BT373" s="4">
        <v>0.3888888888888889</v>
      </c>
      <c r="BU373" t="s">
        <v>1045</v>
      </c>
      <c r="BV373" t="s">
        <v>98</v>
      </c>
      <c r="BY373">
        <v>157440</v>
      </c>
      <c r="BZ373" t="s">
        <v>99</v>
      </c>
      <c r="CA373" t="s">
        <v>300</v>
      </c>
      <c r="CC373" t="s">
        <v>296</v>
      </c>
      <c r="CD373">
        <v>1459</v>
      </c>
      <c r="CE373" t="s">
        <v>145</v>
      </c>
      <c r="CF373" s="3">
        <v>45842</v>
      </c>
      <c r="CI373">
        <v>1</v>
      </c>
      <c r="CJ373">
        <v>1</v>
      </c>
      <c r="CK373">
        <v>42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"080066333029"</f>
        <v>080066333029</v>
      </c>
      <c r="F374" s="3">
        <v>45841</v>
      </c>
      <c r="G374">
        <v>202604</v>
      </c>
      <c r="H374" t="s">
        <v>75</v>
      </c>
      <c r="I374" t="s">
        <v>76</v>
      </c>
      <c r="J374" t="s">
        <v>77</v>
      </c>
      <c r="K374" t="s">
        <v>78</v>
      </c>
      <c r="L374" t="s">
        <v>168</v>
      </c>
      <c r="M374" t="s">
        <v>169</v>
      </c>
      <c r="N374" t="s">
        <v>206</v>
      </c>
      <c r="O374" t="s">
        <v>82</v>
      </c>
      <c r="P374" t="str">
        <f>"4170046808                    "</f>
        <v xml:space="preserve">4170046808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22.6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1.1000000000000001</v>
      </c>
      <c r="BK374">
        <v>1.5</v>
      </c>
      <c r="BL374">
        <v>71.2</v>
      </c>
      <c r="BM374">
        <v>10.68</v>
      </c>
      <c r="BN374">
        <v>81.88</v>
      </c>
      <c r="BO374">
        <v>81.88</v>
      </c>
      <c r="BQ374" t="s">
        <v>207</v>
      </c>
      <c r="BR374" t="s">
        <v>84</v>
      </c>
      <c r="BS374" s="3">
        <v>45842</v>
      </c>
      <c r="BT374" s="4">
        <v>0.39930555555555558</v>
      </c>
      <c r="BU374" t="s">
        <v>208</v>
      </c>
      <c r="BV374" t="s">
        <v>98</v>
      </c>
      <c r="BY374">
        <v>5320</v>
      </c>
      <c r="BZ374" t="s">
        <v>89</v>
      </c>
      <c r="CA374" t="s">
        <v>196</v>
      </c>
      <c r="CC374" t="s">
        <v>169</v>
      </c>
      <c r="CD374">
        <v>6001</v>
      </c>
      <c r="CE374" t="s">
        <v>117</v>
      </c>
      <c r="CF374" s="3">
        <v>45842</v>
      </c>
      <c r="CI374">
        <v>1</v>
      </c>
      <c r="CJ374">
        <v>1</v>
      </c>
      <c r="CK374">
        <v>21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"080066333053"</f>
        <v>080066333053</v>
      </c>
      <c r="F375" s="3">
        <v>45841</v>
      </c>
      <c r="G375">
        <v>202604</v>
      </c>
      <c r="H375" t="s">
        <v>75</v>
      </c>
      <c r="I375" t="s">
        <v>76</v>
      </c>
      <c r="J375" t="s">
        <v>77</v>
      </c>
      <c r="K375" t="s">
        <v>78</v>
      </c>
      <c r="L375" t="s">
        <v>79</v>
      </c>
      <c r="M375" t="s">
        <v>80</v>
      </c>
      <c r="N375" t="s">
        <v>188</v>
      </c>
      <c r="O375" t="s">
        <v>82</v>
      </c>
      <c r="P375" t="str">
        <f>"4170046784                    "</f>
        <v xml:space="preserve">4170046784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22.6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1.1000000000000001</v>
      </c>
      <c r="BK375">
        <v>1.5</v>
      </c>
      <c r="BL375">
        <v>71.2</v>
      </c>
      <c r="BM375">
        <v>10.68</v>
      </c>
      <c r="BN375">
        <v>81.88</v>
      </c>
      <c r="BO375">
        <v>81.88</v>
      </c>
      <c r="BQ375" t="s">
        <v>189</v>
      </c>
      <c r="BR375" t="s">
        <v>84</v>
      </c>
      <c r="BS375" s="3">
        <v>45842</v>
      </c>
      <c r="BT375" s="4">
        <v>0.35069444444444442</v>
      </c>
      <c r="BU375" t="s">
        <v>509</v>
      </c>
      <c r="BV375" t="s">
        <v>98</v>
      </c>
      <c r="BY375">
        <v>5320</v>
      </c>
      <c r="BZ375" t="s">
        <v>89</v>
      </c>
      <c r="CA375" t="s">
        <v>144</v>
      </c>
      <c r="CC375" t="s">
        <v>80</v>
      </c>
      <c r="CD375">
        <v>7441</v>
      </c>
      <c r="CE375" t="s">
        <v>117</v>
      </c>
      <c r="CF375" s="3">
        <v>45845</v>
      </c>
      <c r="CI375">
        <v>1</v>
      </c>
      <c r="CJ375">
        <v>1</v>
      </c>
      <c r="CK375">
        <v>21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"080066333091"</f>
        <v>080066333091</v>
      </c>
      <c r="F376" s="3">
        <v>45841</v>
      </c>
      <c r="G376">
        <v>202604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701</v>
      </c>
      <c r="O376" t="s">
        <v>82</v>
      </c>
      <c r="P376" t="str">
        <f>"4170046811                    "</f>
        <v xml:space="preserve">4170046811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17.649999999999999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55.61</v>
      </c>
      <c r="BM376">
        <v>8.34</v>
      </c>
      <c r="BN376">
        <v>63.95</v>
      </c>
      <c r="BO376">
        <v>63.95</v>
      </c>
      <c r="BQ376" t="s">
        <v>702</v>
      </c>
      <c r="BR376" t="s">
        <v>84</v>
      </c>
      <c r="BS376" s="3">
        <v>45842</v>
      </c>
      <c r="BT376" s="4">
        <v>0.33333333333333331</v>
      </c>
      <c r="BU376" t="s">
        <v>940</v>
      </c>
      <c r="BV376" t="s">
        <v>98</v>
      </c>
      <c r="BY376">
        <v>1200</v>
      </c>
      <c r="BZ376" t="s">
        <v>89</v>
      </c>
      <c r="CA376" t="s">
        <v>941</v>
      </c>
      <c r="CC376" t="s">
        <v>76</v>
      </c>
      <c r="CD376">
        <v>1645</v>
      </c>
      <c r="CE376" t="s">
        <v>121</v>
      </c>
      <c r="CF376" s="3">
        <v>45843</v>
      </c>
      <c r="CI376">
        <v>1</v>
      </c>
      <c r="CJ376">
        <v>1</v>
      </c>
      <c r="CK376">
        <v>22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"080066333218"</f>
        <v>080066333218</v>
      </c>
      <c r="F377" s="3">
        <v>45841</v>
      </c>
      <c r="G377">
        <v>202604</v>
      </c>
      <c r="H377" t="s">
        <v>75</v>
      </c>
      <c r="I377" t="s">
        <v>76</v>
      </c>
      <c r="J377" t="s">
        <v>77</v>
      </c>
      <c r="K377" t="s">
        <v>78</v>
      </c>
      <c r="L377" t="s">
        <v>75</v>
      </c>
      <c r="M377" t="s">
        <v>76</v>
      </c>
      <c r="N377" t="s">
        <v>1046</v>
      </c>
      <c r="O377" t="s">
        <v>82</v>
      </c>
      <c r="P377" t="str">
        <f>"4170046816                    "</f>
        <v xml:space="preserve">4170046816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17.649999999999999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55.61</v>
      </c>
      <c r="BM377">
        <v>8.34</v>
      </c>
      <c r="BN377">
        <v>63.95</v>
      </c>
      <c r="BO377">
        <v>63.95</v>
      </c>
      <c r="BQ377" t="s">
        <v>1047</v>
      </c>
      <c r="BR377" t="s">
        <v>84</v>
      </c>
      <c r="BS377" s="3">
        <v>45842</v>
      </c>
      <c r="BT377" s="4">
        <v>0.43472222222222223</v>
      </c>
      <c r="BU377" t="s">
        <v>1048</v>
      </c>
      <c r="BV377" t="s">
        <v>98</v>
      </c>
      <c r="BY377">
        <v>1200</v>
      </c>
      <c r="BZ377" t="s">
        <v>89</v>
      </c>
      <c r="CA377" t="s">
        <v>1049</v>
      </c>
      <c r="CC377" t="s">
        <v>76</v>
      </c>
      <c r="CD377">
        <v>1625</v>
      </c>
      <c r="CE377" t="s">
        <v>239</v>
      </c>
      <c r="CF377" s="3">
        <v>45843</v>
      </c>
      <c r="CI377">
        <v>1</v>
      </c>
      <c r="CJ377">
        <v>1</v>
      </c>
      <c r="CK377">
        <v>22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"080066333265"</f>
        <v>080066333265</v>
      </c>
      <c r="F378" s="3">
        <v>45841</v>
      </c>
      <c r="G378">
        <v>202604</v>
      </c>
      <c r="H378" t="s">
        <v>75</v>
      </c>
      <c r="I378" t="s">
        <v>76</v>
      </c>
      <c r="J378" t="s">
        <v>77</v>
      </c>
      <c r="K378" t="s">
        <v>78</v>
      </c>
      <c r="L378" t="s">
        <v>554</v>
      </c>
      <c r="M378" t="s">
        <v>555</v>
      </c>
      <c r="N378" t="s">
        <v>556</v>
      </c>
      <c r="O378" t="s">
        <v>82</v>
      </c>
      <c r="P378" t="str">
        <f>"4170046791                    "</f>
        <v xml:space="preserve">4170046791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22.6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71.2</v>
      </c>
      <c r="BM378">
        <v>10.68</v>
      </c>
      <c r="BN378">
        <v>81.88</v>
      </c>
      <c r="BO378">
        <v>81.88</v>
      </c>
      <c r="BQ378" t="s">
        <v>557</v>
      </c>
      <c r="BR378" t="s">
        <v>84</v>
      </c>
      <c r="BS378" s="3">
        <v>45842</v>
      </c>
      <c r="BT378" s="4">
        <v>0.36458333333333331</v>
      </c>
      <c r="BU378" t="s">
        <v>558</v>
      </c>
      <c r="BV378" t="s">
        <v>98</v>
      </c>
      <c r="BY378">
        <v>1200</v>
      </c>
      <c r="BZ378" t="s">
        <v>89</v>
      </c>
      <c r="CA378" t="s">
        <v>559</v>
      </c>
      <c r="CC378" t="s">
        <v>555</v>
      </c>
      <c r="CD378" s="5" t="s">
        <v>560</v>
      </c>
      <c r="CE378" t="s">
        <v>239</v>
      </c>
      <c r="CF378" s="3">
        <v>45842</v>
      </c>
      <c r="CI378">
        <v>1</v>
      </c>
      <c r="CJ378">
        <v>1</v>
      </c>
      <c r="CK378">
        <v>21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"080066333301"</f>
        <v>080066333301</v>
      </c>
      <c r="F379" s="3">
        <v>45841</v>
      </c>
      <c r="G379">
        <v>202604</v>
      </c>
      <c r="H379" t="s">
        <v>75</v>
      </c>
      <c r="I379" t="s">
        <v>76</v>
      </c>
      <c r="J379" t="s">
        <v>77</v>
      </c>
      <c r="K379" t="s">
        <v>78</v>
      </c>
      <c r="L379" t="s">
        <v>151</v>
      </c>
      <c r="M379" t="s">
        <v>152</v>
      </c>
      <c r="N379" t="s">
        <v>515</v>
      </c>
      <c r="O379" t="s">
        <v>82</v>
      </c>
      <c r="P379" t="str">
        <f>"4170046817                    "</f>
        <v xml:space="preserve">4170046817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22.6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71.2</v>
      </c>
      <c r="BM379">
        <v>10.68</v>
      </c>
      <c r="BN379">
        <v>81.88</v>
      </c>
      <c r="BO379">
        <v>81.88</v>
      </c>
      <c r="BQ379" t="s">
        <v>516</v>
      </c>
      <c r="BR379" t="s">
        <v>84</v>
      </c>
      <c r="BS379" s="3">
        <v>45842</v>
      </c>
      <c r="BT379" s="4">
        <v>0.41041666666666665</v>
      </c>
      <c r="BU379" t="s">
        <v>517</v>
      </c>
      <c r="BV379" t="s">
        <v>98</v>
      </c>
      <c r="BY379">
        <v>1200</v>
      </c>
      <c r="BZ379" t="s">
        <v>89</v>
      </c>
      <c r="CA379" t="s">
        <v>518</v>
      </c>
      <c r="CC379" t="s">
        <v>152</v>
      </c>
      <c r="CD379" s="5" t="s">
        <v>157</v>
      </c>
      <c r="CE379" t="s">
        <v>239</v>
      </c>
      <c r="CF379" s="3">
        <v>45842</v>
      </c>
      <c r="CI379">
        <v>1</v>
      </c>
      <c r="CJ379">
        <v>1</v>
      </c>
      <c r="CK379">
        <v>21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"080066333349"</f>
        <v>080066333349</v>
      </c>
      <c r="F380" s="3">
        <v>45841</v>
      </c>
      <c r="G380">
        <v>202604</v>
      </c>
      <c r="H380" t="s">
        <v>75</v>
      </c>
      <c r="I380" t="s">
        <v>76</v>
      </c>
      <c r="J380" t="s">
        <v>77</v>
      </c>
      <c r="K380" t="s">
        <v>78</v>
      </c>
      <c r="L380" t="s">
        <v>79</v>
      </c>
      <c r="M380" t="s">
        <v>80</v>
      </c>
      <c r="N380" t="s">
        <v>1050</v>
      </c>
      <c r="O380" t="s">
        <v>82</v>
      </c>
      <c r="P380" t="str">
        <f>"4170046823                    "</f>
        <v xml:space="preserve">4170046823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71.2</v>
      </c>
      <c r="BM380">
        <v>10.68</v>
      </c>
      <c r="BN380">
        <v>81.88</v>
      </c>
      <c r="BO380">
        <v>81.88</v>
      </c>
      <c r="BQ380" t="s">
        <v>1051</v>
      </c>
      <c r="BR380" t="s">
        <v>84</v>
      </c>
      <c r="BS380" s="3">
        <v>45842</v>
      </c>
      <c r="BT380" s="4">
        <v>0.47986111111111113</v>
      </c>
      <c r="BU380" t="s">
        <v>1052</v>
      </c>
      <c r="BV380" t="s">
        <v>86</v>
      </c>
      <c r="BW380" t="s">
        <v>1053</v>
      </c>
      <c r="BX380" t="s">
        <v>1054</v>
      </c>
      <c r="BY380">
        <v>1200</v>
      </c>
      <c r="BZ380" t="s">
        <v>89</v>
      </c>
      <c r="CA380" t="s">
        <v>522</v>
      </c>
      <c r="CC380" t="s">
        <v>80</v>
      </c>
      <c r="CD380">
        <v>7490</v>
      </c>
      <c r="CE380" t="s">
        <v>239</v>
      </c>
      <c r="CF380" s="3">
        <v>45845</v>
      </c>
      <c r="CI380">
        <v>1</v>
      </c>
      <c r="CJ380">
        <v>1</v>
      </c>
      <c r="CK380">
        <v>21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"080066333876"</f>
        <v>080066333876</v>
      </c>
      <c r="F381" s="3">
        <v>45841</v>
      </c>
      <c r="G381">
        <v>202604</v>
      </c>
      <c r="H381" t="s">
        <v>75</v>
      </c>
      <c r="I381" t="s">
        <v>76</v>
      </c>
      <c r="J381" t="s">
        <v>77</v>
      </c>
      <c r="K381" t="s">
        <v>78</v>
      </c>
      <c r="L381" t="s">
        <v>168</v>
      </c>
      <c r="M381" t="s">
        <v>169</v>
      </c>
      <c r="N381" t="s">
        <v>206</v>
      </c>
      <c r="O381" t="s">
        <v>82</v>
      </c>
      <c r="P381" t="str">
        <f>"4170046819                    "</f>
        <v xml:space="preserve">4170046819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22.6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71.2</v>
      </c>
      <c r="BM381">
        <v>10.68</v>
      </c>
      <c r="BN381">
        <v>81.88</v>
      </c>
      <c r="BO381">
        <v>81.88</v>
      </c>
      <c r="BQ381" t="s">
        <v>207</v>
      </c>
      <c r="BR381" t="s">
        <v>84</v>
      </c>
      <c r="BS381" s="3">
        <v>45842</v>
      </c>
      <c r="BT381" s="4">
        <v>0.39930555555555558</v>
      </c>
      <c r="BU381" t="s">
        <v>208</v>
      </c>
      <c r="BV381" t="s">
        <v>98</v>
      </c>
      <c r="BY381">
        <v>1200</v>
      </c>
      <c r="BZ381" t="s">
        <v>89</v>
      </c>
      <c r="CA381" t="s">
        <v>196</v>
      </c>
      <c r="CC381" t="s">
        <v>169</v>
      </c>
      <c r="CD381">
        <v>6001</v>
      </c>
      <c r="CE381" t="s">
        <v>239</v>
      </c>
      <c r="CF381" s="3">
        <v>45842</v>
      </c>
      <c r="CI381">
        <v>1</v>
      </c>
      <c r="CJ381">
        <v>1</v>
      </c>
      <c r="CK381">
        <v>21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"080066333890"</f>
        <v>080066333890</v>
      </c>
      <c r="F382" s="3">
        <v>45841</v>
      </c>
      <c r="G382">
        <v>202604</v>
      </c>
      <c r="H382" t="s">
        <v>75</v>
      </c>
      <c r="I382" t="s">
        <v>76</v>
      </c>
      <c r="J382" t="s">
        <v>77</v>
      </c>
      <c r="K382" t="s">
        <v>78</v>
      </c>
      <c r="L382" t="s">
        <v>79</v>
      </c>
      <c r="M382" t="s">
        <v>80</v>
      </c>
      <c r="N382" t="s">
        <v>914</v>
      </c>
      <c r="O382" t="s">
        <v>82</v>
      </c>
      <c r="P382" t="str">
        <f>"4170046827                    "</f>
        <v xml:space="preserve">4170046827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22.6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71.2</v>
      </c>
      <c r="BM382">
        <v>10.68</v>
      </c>
      <c r="BN382">
        <v>81.88</v>
      </c>
      <c r="BO382">
        <v>81.88</v>
      </c>
      <c r="BQ382" t="s">
        <v>915</v>
      </c>
      <c r="BR382" t="s">
        <v>84</v>
      </c>
      <c r="BS382" s="3">
        <v>45842</v>
      </c>
      <c r="BT382" s="4">
        <v>0.41736111111111113</v>
      </c>
      <c r="BU382" t="s">
        <v>916</v>
      </c>
      <c r="BV382" t="s">
        <v>98</v>
      </c>
      <c r="BY382">
        <v>1200</v>
      </c>
      <c r="BZ382" t="s">
        <v>89</v>
      </c>
      <c r="CA382" t="s">
        <v>733</v>
      </c>
      <c r="CC382" t="s">
        <v>80</v>
      </c>
      <c r="CD382">
        <v>7500</v>
      </c>
      <c r="CE382" t="s">
        <v>239</v>
      </c>
      <c r="CF382" s="3">
        <v>45845</v>
      </c>
      <c r="CI382">
        <v>1</v>
      </c>
      <c r="CJ382">
        <v>1</v>
      </c>
      <c r="CK382">
        <v>21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"080066333918"</f>
        <v>080066333918</v>
      </c>
      <c r="F383" s="3">
        <v>45841</v>
      </c>
      <c r="G383">
        <v>202604</v>
      </c>
      <c r="H383" t="s">
        <v>75</v>
      </c>
      <c r="I383" t="s">
        <v>76</v>
      </c>
      <c r="J383" t="s">
        <v>77</v>
      </c>
      <c r="K383" t="s">
        <v>78</v>
      </c>
      <c r="L383" t="s">
        <v>295</v>
      </c>
      <c r="M383" t="s">
        <v>296</v>
      </c>
      <c r="N383" t="s">
        <v>1043</v>
      </c>
      <c r="O383" t="s">
        <v>82</v>
      </c>
      <c r="P383" t="str">
        <f>"4170046788                    "</f>
        <v xml:space="preserve">4170046788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17.649999999999999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55.61</v>
      </c>
      <c r="BM383">
        <v>8.34</v>
      </c>
      <c r="BN383">
        <v>63.95</v>
      </c>
      <c r="BO383">
        <v>63.95</v>
      </c>
      <c r="BQ383" t="s">
        <v>1044</v>
      </c>
      <c r="BR383" t="s">
        <v>84</v>
      </c>
      <c r="BS383" s="3">
        <v>45842</v>
      </c>
      <c r="BT383" s="4">
        <v>0.38750000000000001</v>
      </c>
      <c r="BU383" t="s">
        <v>1045</v>
      </c>
      <c r="BV383" t="s">
        <v>98</v>
      </c>
      <c r="BY383">
        <v>1200</v>
      </c>
      <c r="BZ383" t="s">
        <v>89</v>
      </c>
      <c r="CA383" t="s">
        <v>300</v>
      </c>
      <c r="CC383" t="s">
        <v>296</v>
      </c>
      <c r="CD383">
        <v>1459</v>
      </c>
      <c r="CE383" t="s">
        <v>239</v>
      </c>
      <c r="CF383" s="3">
        <v>45842</v>
      </c>
      <c r="CI383">
        <v>1</v>
      </c>
      <c r="CJ383">
        <v>1</v>
      </c>
      <c r="CK383">
        <v>22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"080066333928"</f>
        <v>080066333928</v>
      </c>
      <c r="F384" s="3">
        <v>45841</v>
      </c>
      <c r="G384">
        <v>202604</v>
      </c>
      <c r="H384" t="s">
        <v>75</v>
      </c>
      <c r="I384" t="s">
        <v>76</v>
      </c>
      <c r="J384" t="s">
        <v>77</v>
      </c>
      <c r="K384" t="s">
        <v>78</v>
      </c>
      <c r="L384" t="s">
        <v>197</v>
      </c>
      <c r="M384" t="s">
        <v>198</v>
      </c>
      <c r="N384" t="s">
        <v>1055</v>
      </c>
      <c r="O384" t="s">
        <v>82</v>
      </c>
      <c r="P384" t="str">
        <f>"4170046824                    "</f>
        <v xml:space="preserve">4170046824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17.649999999999999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55.61</v>
      </c>
      <c r="BM384">
        <v>8.34</v>
      </c>
      <c r="BN384">
        <v>63.95</v>
      </c>
      <c r="BO384">
        <v>63.95</v>
      </c>
      <c r="BQ384" t="s">
        <v>1056</v>
      </c>
      <c r="BR384" t="s">
        <v>84</v>
      </c>
      <c r="BS384" s="3">
        <v>45842</v>
      </c>
      <c r="BT384" s="4">
        <v>0.38194444444444442</v>
      </c>
      <c r="BU384" t="s">
        <v>1057</v>
      </c>
      <c r="BV384" t="s">
        <v>98</v>
      </c>
      <c r="BY384">
        <v>1200</v>
      </c>
      <c r="BZ384" t="s">
        <v>89</v>
      </c>
      <c r="CA384" t="s">
        <v>1058</v>
      </c>
      <c r="CC384" t="s">
        <v>198</v>
      </c>
      <c r="CD384">
        <v>1401</v>
      </c>
      <c r="CE384" t="s">
        <v>239</v>
      </c>
      <c r="CF384" s="3">
        <v>45843</v>
      </c>
      <c r="CI384">
        <v>1</v>
      </c>
      <c r="CJ384">
        <v>1</v>
      </c>
      <c r="CK384">
        <v>22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"080066333947"</f>
        <v>080066333947</v>
      </c>
      <c r="F385" s="3">
        <v>45841</v>
      </c>
      <c r="G385">
        <v>202604</v>
      </c>
      <c r="H385" t="s">
        <v>75</v>
      </c>
      <c r="I385" t="s">
        <v>76</v>
      </c>
      <c r="J385" t="s">
        <v>77</v>
      </c>
      <c r="K385" t="s">
        <v>78</v>
      </c>
      <c r="L385" t="s">
        <v>168</v>
      </c>
      <c r="M385" t="s">
        <v>169</v>
      </c>
      <c r="N385" t="s">
        <v>206</v>
      </c>
      <c r="O385" t="s">
        <v>82</v>
      </c>
      <c r="P385" t="str">
        <f>"4170046822                    "</f>
        <v xml:space="preserve">4170046822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22.6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2</v>
      </c>
      <c r="BJ385">
        <v>1.1000000000000001</v>
      </c>
      <c r="BK385">
        <v>2</v>
      </c>
      <c r="BL385">
        <v>71.2</v>
      </c>
      <c r="BM385">
        <v>10.68</v>
      </c>
      <c r="BN385">
        <v>81.88</v>
      </c>
      <c r="BO385">
        <v>81.88</v>
      </c>
      <c r="BQ385" t="s">
        <v>207</v>
      </c>
      <c r="BR385" t="s">
        <v>84</v>
      </c>
      <c r="BS385" s="3">
        <v>45842</v>
      </c>
      <c r="BT385" s="4">
        <v>0.39930555555555558</v>
      </c>
      <c r="BU385" t="s">
        <v>208</v>
      </c>
      <c r="BV385" t="s">
        <v>98</v>
      </c>
      <c r="BY385">
        <v>5320</v>
      </c>
      <c r="BZ385" t="s">
        <v>89</v>
      </c>
      <c r="CA385" t="s">
        <v>196</v>
      </c>
      <c r="CC385" t="s">
        <v>169</v>
      </c>
      <c r="CD385">
        <v>6001</v>
      </c>
      <c r="CE385" t="s">
        <v>266</v>
      </c>
      <c r="CF385" s="3">
        <v>45842</v>
      </c>
      <c r="CI385">
        <v>1</v>
      </c>
      <c r="CJ385">
        <v>1</v>
      </c>
      <c r="CK385">
        <v>21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"080066333992"</f>
        <v>080066333992</v>
      </c>
      <c r="F386" s="3">
        <v>45841</v>
      </c>
      <c r="G386">
        <v>202604</v>
      </c>
      <c r="H386" t="s">
        <v>75</v>
      </c>
      <c r="I386" t="s">
        <v>76</v>
      </c>
      <c r="J386" t="s">
        <v>77</v>
      </c>
      <c r="K386" t="s">
        <v>78</v>
      </c>
      <c r="L386" t="s">
        <v>168</v>
      </c>
      <c r="M386" t="s">
        <v>169</v>
      </c>
      <c r="N386" t="s">
        <v>206</v>
      </c>
      <c r="O386" t="s">
        <v>82</v>
      </c>
      <c r="P386" t="str">
        <f>"4170046821                    "</f>
        <v xml:space="preserve">4170046821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22.6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1.1000000000000001</v>
      </c>
      <c r="BK386">
        <v>2</v>
      </c>
      <c r="BL386">
        <v>71.2</v>
      </c>
      <c r="BM386">
        <v>10.68</v>
      </c>
      <c r="BN386">
        <v>81.88</v>
      </c>
      <c r="BO386">
        <v>81.88</v>
      </c>
      <c r="BQ386" t="s">
        <v>207</v>
      </c>
      <c r="BR386" t="s">
        <v>84</v>
      </c>
      <c r="BS386" s="3">
        <v>45842</v>
      </c>
      <c r="BT386" s="4">
        <v>0.39930555555555558</v>
      </c>
      <c r="BU386" t="s">
        <v>208</v>
      </c>
      <c r="BV386" t="s">
        <v>98</v>
      </c>
      <c r="BY386">
        <v>5320</v>
      </c>
      <c r="BZ386" t="s">
        <v>89</v>
      </c>
      <c r="CA386" t="s">
        <v>196</v>
      </c>
      <c r="CC386" t="s">
        <v>169</v>
      </c>
      <c r="CD386">
        <v>6001</v>
      </c>
      <c r="CE386" t="s">
        <v>117</v>
      </c>
      <c r="CF386" s="3">
        <v>45842</v>
      </c>
      <c r="CI386">
        <v>1</v>
      </c>
      <c r="CJ386">
        <v>1</v>
      </c>
      <c r="CK386">
        <v>21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"080066334050"</f>
        <v>080066334050</v>
      </c>
      <c r="F387" s="3">
        <v>45841</v>
      </c>
      <c r="G387">
        <v>202604</v>
      </c>
      <c r="H387" t="s">
        <v>75</v>
      </c>
      <c r="I387" t="s">
        <v>76</v>
      </c>
      <c r="J387" t="s">
        <v>77</v>
      </c>
      <c r="K387" t="s">
        <v>78</v>
      </c>
      <c r="L387" t="s">
        <v>168</v>
      </c>
      <c r="M387" t="s">
        <v>169</v>
      </c>
      <c r="N387" t="s">
        <v>206</v>
      </c>
      <c r="O387" t="s">
        <v>82</v>
      </c>
      <c r="P387" t="str">
        <f>"4170046820                    "</f>
        <v xml:space="preserve">4170046820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22.6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0.9</v>
      </c>
      <c r="BK387">
        <v>2</v>
      </c>
      <c r="BL387">
        <v>71.2</v>
      </c>
      <c r="BM387">
        <v>10.68</v>
      </c>
      <c r="BN387">
        <v>81.88</v>
      </c>
      <c r="BO387">
        <v>81.88</v>
      </c>
      <c r="BQ387" t="s">
        <v>207</v>
      </c>
      <c r="BR387" t="s">
        <v>84</v>
      </c>
      <c r="BS387" s="3">
        <v>45842</v>
      </c>
      <c r="BT387" s="4">
        <v>0.39930555555555558</v>
      </c>
      <c r="BU387" t="s">
        <v>208</v>
      </c>
      <c r="BV387" t="s">
        <v>98</v>
      </c>
      <c r="BY387">
        <v>4275</v>
      </c>
      <c r="BZ387" t="s">
        <v>89</v>
      </c>
      <c r="CA387" t="s">
        <v>196</v>
      </c>
      <c r="CC387" t="s">
        <v>169</v>
      </c>
      <c r="CD387">
        <v>6001</v>
      </c>
      <c r="CE387" t="s">
        <v>117</v>
      </c>
      <c r="CF387" s="3">
        <v>45842</v>
      </c>
      <c r="CI387">
        <v>1</v>
      </c>
      <c r="CJ387">
        <v>1</v>
      </c>
      <c r="CK387">
        <v>21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"080066334084"</f>
        <v>080066334084</v>
      </c>
      <c r="F388" s="3">
        <v>45841</v>
      </c>
      <c r="G388">
        <v>202604</v>
      </c>
      <c r="H388" t="s">
        <v>75</v>
      </c>
      <c r="I388" t="s">
        <v>76</v>
      </c>
      <c r="J388" t="s">
        <v>77</v>
      </c>
      <c r="K388" t="s">
        <v>78</v>
      </c>
      <c r="L388" t="s">
        <v>168</v>
      </c>
      <c r="M388" t="s">
        <v>169</v>
      </c>
      <c r="N388" t="s">
        <v>420</v>
      </c>
      <c r="O388" t="s">
        <v>82</v>
      </c>
      <c r="P388" t="str">
        <f>"4170046815                    "</f>
        <v xml:space="preserve">4170046815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22.6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1.9</v>
      </c>
      <c r="BK388">
        <v>2</v>
      </c>
      <c r="BL388">
        <v>71.2</v>
      </c>
      <c r="BM388">
        <v>10.68</v>
      </c>
      <c r="BN388">
        <v>81.88</v>
      </c>
      <c r="BO388">
        <v>81.88</v>
      </c>
      <c r="BQ388" t="s">
        <v>421</v>
      </c>
      <c r="BR388" t="s">
        <v>84</v>
      </c>
      <c r="BS388" s="3">
        <v>45842</v>
      </c>
      <c r="BT388" s="4">
        <v>0.33194444444444443</v>
      </c>
      <c r="BU388" t="s">
        <v>1059</v>
      </c>
      <c r="BV388" t="s">
        <v>98</v>
      </c>
      <c r="BY388">
        <v>9600</v>
      </c>
      <c r="BZ388" t="s">
        <v>89</v>
      </c>
      <c r="CA388" t="s">
        <v>423</v>
      </c>
      <c r="CC388" t="s">
        <v>169</v>
      </c>
      <c r="CD388">
        <v>6001</v>
      </c>
      <c r="CE388" t="s">
        <v>117</v>
      </c>
      <c r="CF388" s="3">
        <v>45842</v>
      </c>
      <c r="CI388">
        <v>1</v>
      </c>
      <c r="CJ388">
        <v>1</v>
      </c>
      <c r="CK388">
        <v>21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"080066334105"</f>
        <v>080066334105</v>
      </c>
      <c r="F389" s="3">
        <v>45841</v>
      </c>
      <c r="G389">
        <v>202604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701</v>
      </c>
      <c r="O389" t="s">
        <v>82</v>
      </c>
      <c r="P389" t="str">
        <f>"4170046813                    "</f>
        <v xml:space="preserve">4170046813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17.649999999999999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3</v>
      </c>
      <c r="BJ389">
        <v>5.8</v>
      </c>
      <c r="BK389">
        <v>6</v>
      </c>
      <c r="BL389">
        <v>55.61</v>
      </c>
      <c r="BM389">
        <v>8.34</v>
      </c>
      <c r="BN389">
        <v>63.95</v>
      </c>
      <c r="BO389">
        <v>63.95</v>
      </c>
      <c r="BQ389" t="s">
        <v>702</v>
      </c>
      <c r="BR389" t="s">
        <v>84</v>
      </c>
      <c r="BS389" s="3">
        <v>45842</v>
      </c>
      <c r="BT389" s="4">
        <v>0.33333333333333331</v>
      </c>
      <c r="BU389" t="s">
        <v>940</v>
      </c>
      <c r="BV389" t="s">
        <v>98</v>
      </c>
      <c r="BY389">
        <v>28880</v>
      </c>
      <c r="BZ389" t="s">
        <v>89</v>
      </c>
      <c r="CA389" t="s">
        <v>941</v>
      </c>
      <c r="CC389" t="s">
        <v>76</v>
      </c>
      <c r="CD389">
        <v>1645</v>
      </c>
      <c r="CE389" t="s">
        <v>91</v>
      </c>
      <c r="CF389" s="3">
        <v>45843</v>
      </c>
      <c r="CI389">
        <v>1</v>
      </c>
      <c r="CJ389">
        <v>1</v>
      </c>
      <c r="CK389">
        <v>22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"080066334165"</f>
        <v>080066334165</v>
      </c>
      <c r="F390" s="3">
        <v>45841</v>
      </c>
      <c r="G390">
        <v>202604</v>
      </c>
      <c r="H390" t="s">
        <v>75</v>
      </c>
      <c r="I390" t="s">
        <v>76</v>
      </c>
      <c r="J390" t="s">
        <v>77</v>
      </c>
      <c r="K390" t="s">
        <v>78</v>
      </c>
      <c r="L390" t="s">
        <v>135</v>
      </c>
      <c r="M390" t="s">
        <v>136</v>
      </c>
      <c r="N390" t="s">
        <v>346</v>
      </c>
      <c r="O390" t="s">
        <v>82</v>
      </c>
      <c r="P390" t="str">
        <f>"4170046814                    "</f>
        <v xml:space="preserve">4170046814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62.11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5.4</v>
      </c>
      <c r="BJ390">
        <v>2.7</v>
      </c>
      <c r="BK390">
        <v>5.5</v>
      </c>
      <c r="BL390">
        <v>195.69</v>
      </c>
      <c r="BM390">
        <v>29.35</v>
      </c>
      <c r="BN390">
        <v>225.04</v>
      </c>
      <c r="BO390">
        <v>225.04</v>
      </c>
      <c r="BQ390" t="s">
        <v>347</v>
      </c>
      <c r="BR390" t="s">
        <v>84</v>
      </c>
      <c r="BS390" s="3">
        <v>45842</v>
      </c>
      <c r="BT390" s="4">
        <v>0.41666666666666669</v>
      </c>
      <c r="BU390" t="s">
        <v>348</v>
      </c>
      <c r="BV390" t="s">
        <v>98</v>
      </c>
      <c r="BY390">
        <v>13488.64</v>
      </c>
      <c r="BZ390" t="s">
        <v>89</v>
      </c>
      <c r="CA390" t="s">
        <v>349</v>
      </c>
      <c r="CC390" t="s">
        <v>136</v>
      </c>
      <c r="CD390">
        <v>3201</v>
      </c>
      <c r="CE390" t="s">
        <v>91</v>
      </c>
      <c r="CF390" s="3">
        <v>45845</v>
      </c>
      <c r="CI390">
        <v>1</v>
      </c>
      <c r="CJ390">
        <v>1</v>
      </c>
      <c r="CK390">
        <v>21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"080066334315"</f>
        <v>080066334315</v>
      </c>
      <c r="F391" s="3">
        <v>45841</v>
      </c>
      <c r="G391">
        <v>202604</v>
      </c>
      <c r="H391" t="s">
        <v>75</v>
      </c>
      <c r="I391" t="s">
        <v>76</v>
      </c>
      <c r="J391" t="s">
        <v>77</v>
      </c>
      <c r="K391" t="s">
        <v>78</v>
      </c>
      <c r="L391" t="s">
        <v>92</v>
      </c>
      <c r="M391" t="s">
        <v>93</v>
      </c>
      <c r="N391" t="s">
        <v>737</v>
      </c>
      <c r="O391" t="s">
        <v>82</v>
      </c>
      <c r="P391" t="str">
        <f>"4170046831                    "</f>
        <v xml:space="preserve">4170046831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22.6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71.2</v>
      </c>
      <c r="BM391">
        <v>10.68</v>
      </c>
      <c r="BN391">
        <v>81.88</v>
      </c>
      <c r="BO391">
        <v>81.88</v>
      </c>
      <c r="BQ391" t="s">
        <v>738</v>
      </c>
      <c r="BR391" t="s">
        <v>84</v>
      </c>
      <c r="BS391" s="3">
        <v>45842</v>
      </c>
      <c r="BT391" s="4">
        <v>0.5</v>
      </c>
      <c r="BU391" t="s">
        <v>186</v>
      </c>
      <c r="BV391" t="s">
        <v>86</v>
      </c>
      <c r="BW391" t="s">
        <v>194</v>
      </c>
      <c r="BX391" t="s">
        <v>1060</v>
      </c>
      <c r="BY391">
        <v>1200</v>
      </c>
      <c r="BZ391" t="s">
        <v>89</v>
      </c>
      <c r="CA391" t="s">
        <v>740</v>
      </c>
      <c r="CC391" t="s">
        <v>93</v>
      </c>
      <c r="CD391">
        <v>4001</v>
      </c>
      <c r="CE391" t="s">
        <v>239</v>
      </c>
      <c r="CF391" s="3">
        <v>45843</v>
      </c>
      <c r="CI391">
        <v>1</v>
      </c>
      <c r="CJ391">
        <v>1</v>
      </c>
      <c r="CK391">
        <v>21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"080066334343"</f>
        <v>080066334343</v>
      </c>
      <c r="F392" s="3">
        <v>45841</v>
      </c>
      <c r="G392">
        <v>202604</v>
      </c>
      <c r="H392" t="s">
        <v>75</v>
      </c>
      <c r="I392" t="s">
        <v>76</v>
      </c>
      <c r="J392" t="s">
        <v>77</v>
      </c>
      <c r="K392" t="s">
        <v>78</v>
      </c>
      <c r="L392" t="s">
        <v>92</v>
      </c>
      <c r="M392" t="s">
        <v>93</v>
      </c>
      <c r="N392" t="s">
        <v>737</v>
      </c>
      <c r="O392" t="s">
        <v>82</v>
      </c>
      <c r="P392" t="str">
        <f>"4170046832                    "</f>
        <v xml:space="preserve">4170046832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22.6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71.2</v>
      </c>
      <c r="BM392">
        <v>10.68</v>
      </c>
      <c r="BN392">
        <v>81.88</v>
      </c>
      <c r="BO392">
        <v>81.88</v>
      </c>
      <c r="BQ392" t="s">
        <v>738</v>
      </c>
      <c r="BR392" t="s">
        <v>84</v>
      </c>
      <c r="BS392" s="3">
        <v>45842</v>
      </c>
      <c r="BT392" s="4">
        <v>0.68819444444444444</v>
      </c>
      <c r="BU392" t="s">
        <v>186</v>
      </c>
      <c r="BV392" t="s">
        <v>86</v>
      </c>
      <c r="BW392" t="s">
        <v>194</v>
      </c>
      <c r="BX392" t="s">
        <v>1060</v>
      </c>
      <c r="BY392">
        <v>1200</v>
      </c>
      <c r="BZ392" t="s">
        <v>89</v>
      </c>
      <c r="CA392" t="s">
        <v>740</v>
      </c>
      <c r="CC392" t="s">
        <v>93</v>
      </c>
      <c r="CD392">
        <v>4001</v>
      </c>
      <c r="CE392" t="s">
        <v>239</v>
      </c>
      <c r="CF392" s="3">
        <v>45843</v>
      </c>
      <c r="CI392">
        <v>1</v>
      </c>
      <c r="CJ392">
        <v>1</v>
      </c>
      <c r="CK392">
        <v>21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"080066335048"</f>
        <v>080066335048</v>
      </c>
      <c r="F393" s="3">
        <v>45841</v>
      </c>
      <c r="G393">
        <v>202604</v>
      </c>
      <c r="H393" t="s">
        <v>75</v>
      </c>
      <c r="I393" t="s">
        <v>76</v>
      </c>
      <c r="J393" t="s">
        <v>77</v>
      </c>
      <c r="K393" t="s">
        <v>78</v>
      </c>
      <c r="L393" t="s">
        <v>808</v>
      </c>
      <c r="M393" t="s">
        <v>808</v>
      </c>
      <c r="N393" t="s">
        <v>272</v>
      </c>
      <c r="O393" t="s">
        <v>82</v>
      </c>
      <c r="P393" t="str">
        <f>"4170046836                    "</f>
        <v xml:space="preserve">4170046836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31.78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100.13</v>
      </c>
      <c r="BM393">
        <v>15.02</v>
      </c>
      <c r="BN393">
        <v>115.15</v>
      </c>
      <c r="BO393">
        <v>115.15</v>
      </c>
      <c r="BQ393" t="s">
        <v>273</v>
      </c>
      <c r="BR393" t="s">
        <v>84</v>
      </c>
      <c r="BS393" s="3">
        <v>45842</v>
      </c>
      <c r="BT393" s="4">
        <v>0.52430555555555558</v>
      </c>
      <c r="BU393" t="s">
        <v>1061</v>
      </c>
      <c r="BV393" t="s">
        <v>98</v>
      </c>
      <c r="BY393">
        <v>1200</v>
      </c>
      <c r="BZ393" t="s">
        <v>89</v>
      </c>
      <c r="CA393" t="s">
        <v>251</v>
      </c>
      <c r="CC393" t="s">
        <v>808</v>
      </c>
      <c r="CD393">
        <v>1491</v>
      </c>
      <c r="CE393" t="s">
        <v>239</v>
      </c>
      <c r="CF393" s="3">
        <v>45843</v>
      </c>
      <c r="CI393">
        <v>1</v>
      </c>
      <c r="CJ393">
        <v>1</v>
      </c>
      <c r="CK393">
        <v>24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"080066335100"</f>
        <v>080066335100</v>
      </c>
      <c r="F394" s="3">
        <v>45841</v>
      </c>
      <c r="G394">
        <v>202604</v>
      </c>
      <c r="H394" t="s">
        <v>75</v>
      </c>
      <c r="I394" t="s">
        <v>76</v>
      </c>
      <c r="J394" t="s">
        <v>77</v>
      </c>
      <c r="K394" t="s">
        <v>78</v>
      </c>
      <c r="L394" t="s">
        <v>363</v>
      </c>
      <c r="M394" t="s">
        <v>364</v>
      </c>
      <c r="N394" t="s">
        <v>365</v>
      </c>
      <c r="O394" t="s">
        <v>82</v>
      </c>
      <c r="P394" t="str">
        <f>"4170046829                    "</f>
        <v xml:space="preserve">4170046829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43.78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137.94</v>
      </c>
      <c r="BM394">
        <v>20.69</v>
      </c>
      <c r="BN394">
        <v>158.63</v>
      </c>
      <c r="BO394">
        <v>158.63</v>
      </c>
      <c r="BQ394" t="s">
        <v>366</v>
      </c>
      <c r="BR394" t="s">
        <v>84</v>
      </c>
      <c r="BS394" s="3">
        <v>45842</v>
      </c>
      <c r="BT394" s="4">
        <v>0.70138888888888884</v>
      </c>
      <c r="BU394" t="s">
        <v>1028</v>
      </c>
      <c r="BV394" t="s">
        <v>98</v>
      </c>
      <c r="BY394">
        <v>1200</v>
      </c>
      <c r="BZ394" t="s">
        <v>89</v>
      </c>
      <c r="CA394" t="s">
        <v>522</v>
      </c>
      <c r="CC394" t="s">
        <v>364</v>
      </c>
      <c r="CD394">
        <v>7300</v>
      </c>
      <c r="CE394" t="s">
        <v>239</v>
      </c>
      <c r="CF394" s="3">
        <v>45845</v>
      </c>
      <c r="CI394">
        <v>1</v>
      </c>
      <c r="CJ394">
        <v>1</v>
      </c>
      <c r="CK394">
        <v>23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"080066335121"</f>
        <v>080066335121</v>
      </c>
      <c r="F395" s="3">
        <v>45841</v>
      </c>
      <c r="G395">
        <v>202604</v>
      </c>
      <c r="H395" t="s">
        <v>75</v>
      </c>
      <c r="I395" t="s">
        <v>76</v>
      </c>
      <c r="J395" t="s">
        <v>77</v>
      </c>
      <c r="K395" t="s">
        <v>78</v>
      </c>
      <c r="L395" t="s">
        <v>240</v>
      </c>
      <c r="M395" t="s">
        <v>241</v>
      </c>
      <c r="N395" t="s">
        <v>610</v>
      </c>
      <c r="O395" t="s">
        <v>82</v>
      </c>
      <c r="P395" t="str">
        <f>"4170046830                    "</f>
        <v xml:space="preserve">4170046830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17.649999999999999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2.2999999999999998</v>
      </c>
      <c r="BK395">
        <v>3</v>
      </c>
      <c r="BL395">
        <v>55.61</v>
      </c>
      <c r="BM395">
        <v>8.34</v>
      </c>
      <c r="BN395">
        <v>63.95</v>
      </c>
      <c r="BO395">
        <v>63.95</v>
      </c>
      <c r="BQ395" t="s">
        <v>611</v>
      </c>
      <c r="BR395" t="s">
        <v>84</v>
      </c>
      <c r="BS395" s="3">
        <v>45842</v>
      </c>
      <c r="BT395" s="4">
        <v>0.41180555555555554</v>
      </c>
      <c r="BU395" t="s">
        <v>1062</v>
      </c>
      <c r="BV395" t="s">
        <v>98</v>
      </c>
      <c r="BY395">
        <v>11424</v>
      </c>
      <c r="BZ395" t="s">
        <v>89</v>
      </c>
      <c r="CA395" t="s">
        <v>613</v>
      </c>
      <c r="CC395" t="s">
        <v>241</v>
      </c>
      <c r="CD395">
        <v>2197</v>
      </c>
      <c r="CE395" t="s">
        <v>91</v>
      </c>
      <c r="CF395" s="3">
        <v>45842</v>
      </c>
      <c r="CI395">
        <v>1</v>
      </c>
      <c r="CJ395">
        <v>1</v>
      </c>
      <c r="CK395">
        <v>22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"080066335149"</f>
        <v>080066335149</v>
      </c>
      <c r="F396" s="3">
        <v>45841</v>
      </c>
      <c r="G396">
        <v>202604</v>
      </c>
      <c r="H396" t="s">
        <v>75</v>
      </c>
      <c r="I396" t="s">
        <v>76</v>
      </c>
      <c r="J396" t="s">
        <v>77</v>
      </c>
      <c r="K396" t="s">
        <v>78</v>
      </c>
      <c r="L396" t="s">
        <v>168</v>
      </c>
      <c r="M396" t="s">
        <v>169</v>
      </c>
      <c r="N396" t="s">
        <v>206</v>
      </c>
      <c r="O396" t="s">
        <v>82</v>
      </c>
      <c r="P396" t="str">
        <f>"4170046818                    "</f>
        <v xml:space="preserve">4170046818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101.63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8</v>
      </c>
      <c r="BJ396">
        <v>8.9</v>
      </c>
      <c r="BK396">
        <v>9</v>
      </c>
      <c r="BL396">
        <v>320.19</v>
      </c>
      <c r="BM396">
        <v>48.03</v>
      </c>
      <c r="BN396">
        <v>368.22</v>
      </c>
      <c r="BO396">
        <v>368.22</v>
      </c>
      <c r="BQ396" t="s">
        <v>207</v>
      </c>
      <c r="BR396" t="s">
        <v>84</v>
      </c>
      <c r="BS396" s="3">
        <v>45842</v>
      </c>
      <c r="BT396" s="4">
        <v>0.39930555555555558</v>
      </c>
      <c r="BU396" t="s">
        <v>208</v>
      </c>
      <c r="BV396" t="s">
        <v>98</v>
      </c>
      <c r="BY396">
        <v>44640</v>
      </c>
      <c r="CA396" t="s">
        <v>196</v>
      </c>
      <c r="CC396" t="s">
        <v>169</v>
      </c>
      <c r="CD396">
        <v>6001</v>
      </c>
      <c r="CE396" t="s">
        <v>145</v>
      </c>
      <c r="CF396" s="3">
        <v>45842</v>
      </c>
      <c r="CI396">
        <v>1</v>
      </c>
      <c r="CJ396">
        <v>1</v>
      </c>
      <c r="CK396">
        <v>21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"080066335250"</f>
        <v>080066335250</v>
      </c>
      <c r="F397" s="3">
        <v>45841</v>
      </c>
      <c r="G397">
        <v>202604</v>
      </c>
      <c r="H397" t="s">
        <v>75</v>
      </c>
      <c r="I397" t="s">
        <v>76</v>
      </c>
      <c r="J397" t="s">
        <v>77</v>
      </c>
      <c r="K397" t="s">
        <v>78</v>
      </c>
      <c r="L397" t="s">
        <v>580</v>
      </c>
      <c r="M397" t="s">
        <v>581</v>
      </c>
      <c r="N397" t="s">
        <v>582</v>
      </c>
      <c r="O397" t="s">
        <v>82</v>
      </c>
      <c r="P397" t="str">
        <f>"4170046835                    "</f>
        <v xml:space="preserve">4170046835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71.2</v>
      </c>
      <c r="BM397">
        <v>10.68</v>
      </c>
      <c r="BN397">
        <v>81.88</v>
      </c>
      <c r="BO397">
        <v>81.88</v>
      </c>
      <c r="BQ397" t="s">
        <v>583</v>
      </c>
      <c r="BR397" t="s">
        <v>84</v>
      </c>
      <c r="BS397" s="3">
        <v>45842</v>
      </c>
      <c r="BT397" s="4">
        <v>0.35069444444444442</v>
      </c>
      <c r="BU397" t="s">
        <v>584</v>
      </c>
      <c r="BV397" t="s">
        <v>98</v>
      </c>
      <c r="BY397">
        <v>1200</v>
      </c>
      <c r="BZ397" t="s">
        <v>89</v>
      </c>
      <c r="CA397" t="s">
        <v>585</v>
      </c>
      <c r="CC397" t="s">
        <v>581</v>
      </c>
      <c r="CD397">
        <v>4302</v>
      </c>
      <c r="CE397" t="s">
        <v>239</v>
      </c>
      <c r="CF397" s="3">
        <v>45842</v>
      </c>
      <c r="CI397">
        <v>1</v>
      </c>
      <c r="CJ397">
        <v>1</v>
      </c>
      <c r="CK397">
        <v>21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"080066335271"</f>
        <v>080066335271</v>
      </c>
      <c r="F398" s="3">
        <v>45841</v>
      </c>
      <c r="G398">
        <v>202604</v>
      </c>
      <c r="H398" t="s">
        <v>75</v>
      </c>
      <c r="I398" t="s">
        <v>76</v>
      </c>
      <c r="J398" t="s">
        <v>77</v>
      </c>
      <c r="K398" t="s">
        <v>78</v>
      </c>
      <c r="L398" t="s">
        <v>79</v>
      </c>
      <c r="M398" t="s">
        <v>80</v>
      </c>
      <c r="N398" t="s">
        <v>188</v>
      </c>
      <c r="O398" t="s">
        <v>82</v>
      </c>
      <c r="P398" t="str">
        <f>"4170046834                    "</f>
        <v xml:space="preserve">4170046834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33.89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2.9</v>
      </c>
      <c r="BK398">
        <v>3</v>
      </c>
      <c r="BL398">
        <v>106.77</v>
      </c>
      <c r="BM398">
        <v>16.02</v>
      </c>
      <c r="BN398">
        <v>122.79</v>
      </c>
      <c r="BO398">
        <v>122.79</v>
      </c>
      <c r="BQ398" t="s">
        <v>189</v>
      </c>
      <c r="BR398" t="s">
        <v>84</v>
      </c>
      <c r="BS398" s="3">
        <v>45842</v>
      </c>
      <c r="BT398" s="4">
        <v>0.35069444444444442</v>
      </c>
      <c r="BU398" t="s">
        <v>509</v>
      </c>
      <c r="BV398" t="s">
        <v>98</v>
      </c>
      <c r="BY398">
        <v>14400</v>
      </c>
      <c r="BZ398" t="s">
        <v>89</v>
      </c>
      <c r="CA398" t="s">
        <v>144</v>
      </c>
      <c r="CC398" t="s">
        <v>80</v>
      </c>
      <c r="CD398">
        <v>7441</v>
      </c>
      <c r="CE398" t="s">
        <v>91</v>
      </c>
      <c r="CF398" s="3">
        <v>45845</v>
      </c>
      <c r="CI398">
        <v>1</v>
      </c>
      <c r="CJ398">
        <v>1</v>
      </c>
      <c r="CK398">
        <v>21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"080066336053"</f>
        <v>080066336053</v>
      </c>
      <c r="F399" s="3">
        <v>45841</v>
      </c>
      <c r="G399">
        <v>202604</v>
      </c>
      <c r="H399" t="s">
        <v>75</v>
      </c>
      <c r="I399" t="s">
        <v>76</v>
      </c>
      <c r="J399" t="s">
        <v>77</v>
      </c>
      <c r="K399" t="s">
        <v>78</v>
      </c>
      <c r="L399" t="s">
        <v>295</v>
      </c>
      <c r="M399" t="s">
        <v>296</v>
      </c>
      <c r="N399" t="s">
        <v>1063</v>
      </c>
      <c r="O399" t="s">
        <v>311</v>
      </c>
      <c r="P399" t="str">
        <f>"4170046826                    "</f>
        <v xml:space="preserve">4170046826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23.6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2</v>
      </c>
      <c r="BI399">
        <v>8</v>
      </c>
      <c r="BJ399">
        <v>10.199999999999999</v>
      </c>
      <c r="BK399">
        <v>11</v>
      </c>
      <c r="BL399">
        <v>74.349999999999994</v>
      </c>
      <c r="BM399">
        <v>11.15</v>
      </c>
      <c r="BN399">
        <v>85.5</v>
      </c>
      <c r="BO399">
        <v>85.5</v>
      </c>
      <c r="BQ399" t="s">
        <v>1064</v>
      </c>
      <c r="BR399" t="s">
        <v>84</v>
      </c>
      <c r="BS399" s="3">
        <v>45842</v>
      </c>
      <c r="BT399" s="4">
        <v>0.4152777777777778</v>
      </c>
      <c r="BU399" t="s">
        <v>1065</v>
      </c>
      <c r="BV399" t="s">
        <v>98</v>
      </c>
      <c r="BY399">
        <v>51060</v>
      </c>
      <c r="BZ399" t="s">
        <v>99</v>
      </c>
      <c r="CA399" t="s">
        <v>300</v>
      </c>
      <c r="CC399" t="s">
        <v>296</v>
      </c>
      <c r="CD399">
        <v>1459</v>
      </c>
      <c r="CE399" t="s">
        <v>117</v>
      </c>
      <c r="CF399" s="3">
        <v>45842</v>
      </c>
      <c r="CI399">
        <v>1</v>
      </c>
      <c r="CJ399">
        <v>1</v>
      </c>
      <c r="CK399">
        <v>32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"080066336102"</f>
        <v>080066336102</v>
      </c>
      <c r="F400" s="3">
        <v>45841</v>
      </c>
      <c r="G400">
        <v>202604</v>
      </c>
      <c r="H400" t="s">
        <v>75</v>
      </c>
      <c r="I400" t="s">
        <v>76</v>
      </c>
      <c r="J400" t="s">
        <v>77</v>
      </c>
      <c r="K400" t="s">
        <v>78</v>
      </c>
      <c r="L400" t="s">
        <v>111</v>
      </c>
      <c r="M400" t="s">
        <v>112</v>
      </c>
      <c r="N400" t="s">
        <v>113</v>
      </c>
      <c r="O400" t="s">
        <v>311</v>
      </c>
      <c r="P400" t="str">
        <f>"4170046833                    "</f>
        <v xml:space="preserve">4170046833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112.64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5</v>
      </c>
      <c r="BJ400">
        <v>1.7</v>
      </c>
      <c r="BK400">
        <v>5</v>
      </c>
      <c r="BL400">
        <v>354.88</v>
      </c>
      <c r="BM400">
        <v>53.23</v>
      </c>
      <c r="BN400">
        <v>408.11</v>
      </c>
      <c r="BO400">
        <v>408.11</v>
      </c>
      <c r="BQ400" t="s">
        <v>537</v>
      </c>
      <c r="BR400" t="s">
        <v>84</v>
      </c>
      <c r="BS400" s="3">
        <v>45842</v>
      </c>
      <c r="BT400" s="4">
        <v>0.4375</v>
      </c>
      <c r="BU400" t="s">
        <v>1066</v>
      </c>
      <c r="BV400" t="s">
        <v>98</v>
      </c>
      <c r="BY400">
        <v>8550</v>
      </c>
      <c r="BZ400" t="s">
        <v>99</v>
      </c>
      <c r="CA400" t="s">
        <v>116</v>
      </c>
      <c r="CC400" t="s">
        <v>112</v>
      </c>
      <c r="CD400">
        <v>1871</v>
      </c>
      <c r="CE400" t="s">
        <v>117</v>
      </c>
      <c r="CF400" s="3">
        <v>45845</v>
      </c>
      <c r="CI400">
        <v>1</v>
      </c>
      <c r="CJ400">
        <v>1</v>
      </c>
      <c r="CK400">
        <v>33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"080066336324"</f>
        <v>080066336324</v>
      </c>
      <c r="F401" s="3">
        <v>45841</v>
      </c>
      <c r="G401">
        <v>202604</v>
      </c>
      <c r="H401" t="s">
        <v>75</v>
      </c>
      <c r="I401" t="s">
        <v>76</v>
      </c>
      <c r="J401" t="s">
        <v>77</v>
      </c>
      <c r="K401" t="s">
        <v>78</v>
      </c>
      <c r="L401" t="s">
        <v>240</v>
      </c>
      <c r="M401" t="s">
        <v>241</v>
      </c>
      <c r="N401" t="s">
        <v>457</v>
      </c>
      <c r="O401" t="s">
        <v>95</v>
      </c>
      <c r="P401" t="str">
        <f>"4170046837                    "</f>
        <v xml:space="preserve">4170046837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48.51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16.739999999999998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30</v>
      </c>
      <c r="BJ401">
        <v>17.7</v>
      </c>
      <c r="BK401">
        <v>30</v>
      </c>
      <c r="BL401">
        <v>175.44</v>
      </c>
      <c r="BM401">
        <v>26.32</v>
      </c>
      <c r="BN401">
        <v>201.76</v>
      </c>
      <c r="BO401">
        <v>201.76</v>
      </c>
      <c r="BQ401" t="s">
        <v>458</v>
      </c>
      <c r="BR401" t="s">
        <v>84</v>
      </c>
      <c r="BS401" s="3">
        <v>45842</v>
      </c>
      <c r="BT401" s="4">
        <v>0.43402777777777779</v>
      </c>
      <c r="BU401" t="s">
        <v>1067</v>
      </c>
      <c r="BV401" t="s">
        <v>98</v>
      </c>
      <c r="BY401">
        <v>88320</v>
      </c>
      <c r="BZ401" t="s">
        <v>991</v>
      </c>
      <c r="CA401" t="s">
        <v>461</v>
      </c>
      <c r="CC401" t="s">
        <v>241</v>
      </c>
      <c r="CD401">
        <v>2188</v>
      </c>
      <c r="CE401" t="s">
        <v>117</v>
      </c>
      <c r="CF401" s="3">
        <v>45842</v>
      </c>
      <c r="CI401">
        <v>1</v>
      </c>
      <c r="CJ401">
        <v>1</v>
      </c>
      <c r="CK401">
        <v>42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"080066337781"</f>
        <v>080066337781</v>
      </c>
      <c r="F402" s="3">
        <v>45841</v>
      </c>
      <c r="G402">
        <v>202604</v>
      </c>
      <c r="H402" t="s">
        <v>75</v>
      </c>
      <c r="I402" t="s">
        <v>76</v>
      </c>
      <c r="J402" t="s">
        <v>77</v>
      </c>
      <c r="K402" t="s">
        <v>78</v>
      </c>
      <c r="L402" t="s">
        <v>75</v>
      </c>
      <c r="M402" t="s">
        <v>76</v>
      </c>
      <c r="N402" t="s">
        <v>809</v>
      </c>
      <c r="O402" t="s">
        <v>82</v>
      </c>
      <c r="P402" t="str">
        <f>"4170046847                    "</f>
        <v xml:space="preserve">4170046847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17.649999999999999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55.61</v>
      </c>
      <c r="BM402">
        <v>8.34</v>
      </c>
      <c r="BN402">
        <v>63.95</v>
      </c>
      <c r="BO402">
        <v>63.95</v>
      </c>
      <c r="BQ402" t="s">
        <v>810</v>
      </c>
      <c r="BR402" t="s">
        <v>84</v>
      </c>
      <c r="BS402" s="3">
        <v>45842</v>
      </c>
      <c r="BT402" s="4">
        <v>0.4375</v>
      </c>
      <c r="BU402" t="s">
        <v>882</v>
      </c>
      <c r="BV402" t="s">
        <v>98</v>
      </c>
      <c r="BY402">
        <v>1200</v>
      </c>
      <c r="BZ402" t="s">
        <v>89</v>
      </c>
      <c r="CA402" t="s">
        <v>371</v>
      </c>
      <c r="CC402" t="s">
        <v>76</v>
      </c>
      <c r="CD402">
        <v>1666</v>
      </c>
      <c r="CE402" t="s">
        <v>239</v>
      </c>
      <c r="CF402" s="3">
        <v>45842</v>
      </c>
      <c r="CI402">
        <v>1</v>
      </c>
      <c r="CJ402">
        <v>1</v>
      </c>
      <c r="CK402">
        <v>22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"080066337838"</f>
        <v>080066337838</v>
      </c>
      <c r="F403" s="3">
        <v>45841</v>
      </c>
      <c r="G403">
        <v>202604</v>
      </c>
      <c r="H403" t="s">
        <v>75</v>
      </c>
      <c r="I403" t="s">
        <v>76</v>
      </c>
      <c r="J403" t="s">
        <v>77</v>
      </c>
      <c r="K403" t="s">
        <v>78</v>
      </c>
      <c r="L403" t="s">
        <v>92</v>
      </c>
      <c r="M403" t="s">
        <v>93</v>
      </c>
      <c r="N403" t="s">
        <v>723</v>
      </c>
      <c r="O403" t="s">
        <v>82</v>
      </c>
      <c r="P403" t="str">
        <f>"4170046843                    "</f>
        <v xml:space="preserve">4170046843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22.6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71.2</v>
      </c>
      <c r="BM403">
        <v>10.68</v>
      </c>
      <c r="BN403">
        <v>81.88</v>
      </c>
      <c r="BO403">
        <v>81.88</v>
      </c>
      <c r="BQ403" t="s">
        <v>724</v>
      </c>
      <c r="BR403" t="s">
        <v>84</v>
      </c>
      <c r="BS403" s="3">
        <v>45842</v>
      </c>
      <c r="BT403" s="4">
        <v>0.4548611111111111</v>
      </c>
      <c r="BU403" t="s">
        <v>1068</v>
      </c>
      <c r="BV403" t="s">
        <v>86</v>
      </c>
      <c r="BW403" t="s">
        <v>194</v>
      </c>
      <c r="BX403" t="s">
        <v>739</v>
      </c>
      <c r="BY403">
        <v>1200</v>
      </c>
      <c r="BZ403" t="s">
        <v>89</v>
      </c>
      <c r="CA403" t="s">
        <v>270</v>
      </c>
      <c r="CC403" t="s">
        <v>93</v>
      </c>
      <c r="CD403">
        <v>4000</v>
      </c>
      <c r="CE403" t="s">
        <v>239</v>
      </c>
      <c r="CF403" s="3">
        <v>45843</v>
      </c>
      <c r="CI403">
        <v>1</v>
      </c>
      <c r="CJ403">
        <v>1</v>
      </c>
      <c r="CK403">
        <v>21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"080066337905"</f>
        <v>080066337905</v>
      </c>
      <c r="F404" s="3">
        <v>45841</v>
      </c>
      <c r="G404">
        <v>202604</v>
      </c>
      <c r="H404" t="s">
        <v>75</v>
      </c>
      <c r="I404" t="s">
        <v>76</v>
      </c>
      <c r="J404" t="s">
        <v>77</v>
      </c>
      <c r="K404" t="s">
        <v>78</v>
      </c>
      <c r="L404" t="s">
        <v>503</v>
      </c>
      <c r="M404" t="s">
        <v>504</v>
      </c>
      <c r="N404" t="s">
        <v>505</v>
      </c>
      <c r="O404" t="s">
        <v>82</v>
      </c>
      <c r="P404" t="str">
        <f>"4170046840                    "</f>
        <v xml:space="preserve">4170046840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43.78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137.94</v>
      </c>
      <c r="BM404">
        <v>20.69</v>
      </c>
      <c r="BN404">
        <v>158.63</v>
      </c>
      <c r="BO404">
        <v>158.63</v>
      </c>
      <c r="BQ404" t="s">
        <v>506</v>
      </c>
      <c r="BR404" t="s">
        <v>84</v>
      </c>
      <c r="BS404" s="3">
        <v>45842</v>
      </c>
      <c r="BT404" s="4">
        <v>0.40277777777777779</v>
      </c>
      <c r="BU404" t="s">
        <v>1069</v>
      </c>
      <c r="BV404" t="s">
        <v>98</v>
      </c>
      <c r="BY404">
        <v>1200</v>
      </c>
      <c r="BZ404" t="s">
        <v>89</v>
      </c>
      <c r="CA404" t="s">
        <v>772</v>
      </c>
      <c r="CC404" t="s">
        <v>504</v>
      </c>
      <c r="CD404">
        <v>7130</v>
      </c>
      <c r="CE404" t="s">
        <v>214</v>
      </c>
      <c r="CF404" s="3">
        <v>45845</v>
      </c>
      <c r="CI404">
        <v>1</v>
      </c>
      <c r="CJ404">
        <v>1</v>
      </c>
      <c r="CK404">
        <v>23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"080066337923"</f>
        <v>080066337923</v>
      </c>
      <c r="F405" s="3">
        <v>45841</v>
      </c>
      <c r="G405">
        <v>202604</v>
      </c>
      <c r="H405" t="s">
        <v>75</v>
      </c>
      <c r="I405" t="s">
        <v>76</v>
      </c>
      <c r="J405" t="s">
        <v>77</v>
      </c>
      <c r="K405" t="s">
        <v>78</v>
      </c>
      <c r="L405" t="s">
        <v>240</v>
      </c>
      <c r="M405" t="s">
        <v>241</v>
      </c>
      <c r="N405" t="s">
        <v>1070</v>
      </c>
      <c r="O405" t="s">
        <v>82</v>
      </c>
      <c r="P405" t="str">
        <f>"4170046844                    "</f>
        <v xml:space="preserve">4170046844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17.649999999999999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55.61</v>
      </c>
      <c r="BM405">
        <v>8.34</v>
      </c>
      <c r="BN405">
        <v>63.95</v>
      </c>
      <c r="BO405">
        <v>63.95</v>
      </c>
      <c r="BQ405" t="s">
        <v>1071</v>
      </c>
      <c r="BR405" t="s">
        <v>84</v>
      </c>
      <c r="BS405" s="3">
        <v>45842</v>
      </c>
      <c r="BT405" s="4">
        <v>0.40486111111111112</v>
      </c>
      <c r="BU405" t="s">
        <v>1072</v>
      </c>
      <c r="BV405" t="s">
        <v>98</v>
      </c>
      <c r="BY405">
        <v>1200</v>
      </c>
      <c r="BZ405" t="s">
        <v>89</v>
      </c>
      <c r="CA405" t="s">
        <v>1073</v>
      </c>
      <c r="CC405" t="s">
        <v>241</v>
      </c>
      <c r="CD405">
        <v>2007</v>
      </c>
      <c r="CE405" t="s">
        <v>239</v>
      </c>
      <c r="CF405" s="3">
        <v>45843</v>
      </c>
      <c r="CI405">
        <v>1</v>
      </c>
      <c r="CJ405">
        <v>1</v>
      </c>
      <c r="CK405">
        <v>22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"080066337978"</f>
        <v>080066337978</v>
      </c>
      <c r="F406" s="3">
        <v>45841</v>
      </c>
      <c r="G406">
        <v>202604</v>
      </c>
      <c r="H406" t="s">
        <v>75</v>
      </c>
      <c r="I406" t="s">
        <v>76</v>
      </c>
      <c r="J406" t="s">
        <v>77</v>
      </c>
      <c r="K406" t="s">
        <v>78</v>
      </c>
      <c r="L406" t="s">
        <v>295</v>
      </c>
      <c r="M406" t="s">
        <v>296</v>
      </c>
      <c r="N406" t="s">
        <v>1074</v>
      </c>
      <c r="O406" t="s">
        <v>82</v>
      </c>
      <c r="P406" t="str">
        <f>"4170046841                    "</f>
        <v xml:space="preserve">4170046841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17.649999999999999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55.61</v>
      </c>
      <c r="BM406">
        <v>8.34</v>
      </c>
      <c r="BN406">
        <v>63.95</v>
      </c>
      <c r="BO406">
        <v>63.95</v>
      </c>
      <c r="BQ406" t="s">
        <v>1075</v>
      </c>
      <c r="BR406" t="s">
        <v>84</v>
      </c>
      <c r="BS406" s="3">
        <v>45842</v>
      </c>
      <c r="BT406" s="4">
        <v>0.36249999999999999</v>
      </c>
      <c r="BU406" t="s">
        <v>1076</v>
      </c>
      <c r="BV406" t="s">
        <v>98</v>
      </c>
      <c r="BY406">
        <v>1200</v>
      </c>
      <c r="BZ406" t="s">
        <v>89</v>
      </c>
      <c r="CA406" t="s">
        <v>965</v>
      </c>
      <c r="CC406" t="s">
        <v>296</v>
      </c>
      <c r="CD406">
        <v>1459</v>
      </c>
      <c r="CE406" t="s">
        <v>239</v>
      </c>
      <c r="CF406" s="3">
        <v>45842</v>
      </c>
      <c r="CI406">
        <v>1</v>
      </c>
      <c r="CJ406">
        <v>1</v>
      </c>
      <c r="CK406">
        <v>22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"080066337997"</f>
        <v>080066337997</v>
      </c>
      <c r="F407" s="3">
        <v>45841</v>
      </c>
      <c r="G407">
        <v>202604</v>
      </c>
      <c r="H407" t="s">
        <v>75</v>
      </c>
      <c r="I407" t="s">
        <v>76</v>
      </c>
      <c r="J407" t="s">
        <v>77</v>
      </c>
      <c r="K407" t="s">
        <v>78</v>
      </c>
      <c r="L407" t="s">
        <v>79</v>
      </c>
      <c r="M407" t="s">
        <v>80</v>
      </c>
      <c r="N407" t="s">
        <v>81</v>
      </c>
      <c r="O407" t="s">
        <v>82</v>
      </c>
      <c r="P407" t="str">
        <f>"4170046845                    "</f>
        <v xml:space="preserve">4170046845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22.6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71.2</v>
      </c>
      <c r="BM407">
        <v>10.68</v>
      </c>
      <c r="BN407">
        <v>81.88</v>
      </c>
      <c r="BO407">
        <v>81.88</v>
      </c>
      <c r="BQ407" t="s">
        <v>83</v>
      </c>
      <c r="BR407" t="s">
        <v>84</v>
      </c>
      <c r="BS407" s="3">
        <v>45842</v>
      </c>
      <c r="BT407" s="4">
        <v>0.47013888888888888</v>
      </c>
      <c r="BU407" t="s">
        <v>85</v>
      </c>
      <c r="BV407" t="s">
        <v>86</v>
      </c>
      <c r="BW407" t="s">
        <v>87</v>
      </c>
      <c r="BX407" t="s">
        <v>1054</v>
      </c>
      <c r="BY407">
        <v>1200</v>
      </c>
      <c r="BZ407" t="s">
        <v>89</v>
      </c>
      <c r="CA407" t="s">
        <v>90</v>
      </c>
      <c r="CC407" t="s">
        <v>80</v>
      </c>
      <c r="CD407">
        <v>7550</v>
      </c>
      <c r="CE407" t="s">
        <v>239</v>
      </c>
      <c r="CF407" s="3">
        <v>45845</v>
      </c>
      <c r="CI407">
        <v>1</v>
      </c>
      <c r="CJ407">
        <v>1</v>
      </c>
      <c r="CK407">
        <v>21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"080066338042"</f>
        <v>080066338042</v>
      </c>
      <c r="F408" s="3">
        <v>45841</v>
      </c>
      <c r="G408">
        <v>202604</v>
      </c>
      <c r="H408" t="s">
        <v>75</v>
      </c>
      <c r="I408" t="s">
        <v>76</v>
      </c>
      <c r="J408" t="s">
        <v>77</v>
      </c>
      <c r="K408" t="s">
        <v>78</v>
      </c>
      <c r="L408" t="s">
        <v>79</v>
      </c>
      <c r="M408" t="s">
        <v>80</v>
      </c>
      <c r="N408" t="s">
        <v>1077</v>
      </c>
      <c r="O408" t="s">
        <v>82</v>
      </c>
      <c r="P408" t="str">
        <f>"4170046839                    "</f>
        <v xml:space="preserve">4170046839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22.6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71.2</v>
      </c>
      <c r="BM408">
        <v>10.68</v>
      </c>
      <c r="BN408">
        <v>81.88</v>
      </c>
      <c r="BO408">
        <v>81.88</v>
      </c>
      <c r="BQ408" t="s">
        <v>1078</v>
      </c>
      <c r="BR408" t="s">
        <v>84</v>
      </c>
      <c r="BS408" s="3">
        <v>45842</v>
      </c>
      <c r="BT408" s="4">
        <v>0.5756944444444444</v>
      </c>
      <c r="BU408" t="s">
        <v>1079</v>
      </c>
      <c r="BV408" t="s">
        <v>86</v>
      </c>
      <c r="BY408">
        <v>1200</v>
      </c>
      <c r="BZ408" t="s">
        <v>89</v>
      </c>
      <c r="CC408" t="s">
        <v>80</v>
      </c>
      <c r="CD408">
        <v>7535</v>
      </c>
      <c r="CE408" t="s">
        <v>239</v>
      </c>
      <c r="CF408" s="3">
        <v>45845</v>
      </c>
      <c r="CI408">
        <v>1</v>
      </c>
      <c r="CJ408">
        <v>1</v>
      </c>
      <c r="CK408">
        <v>21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"080066338071"</f>
        <v>080066338071</v>
      </c>
      <c r="F409" s="3">
        <v>45841</v>
      </c>
      <c r="G409">
        <v>202604</v>
      </c>
      <c r="H409" t="s">
        <v>75</v>
      </c>
      <c r="I409" t="s">
        <v>76</v>
      </c>
      <c r="J409" t="s">
        <v>77</v>
      </c>
      <c r="K409" t="s">
        <v>78</v>
      </c>
      <c r="L409" t="s">
        <v>146</v>
      </c>
      <c r="M409" t="s">
        <v>146</v>
      </c>
      <c r="N409" t="s">
        <v>1080</v>
      </c>
      <c r="O409" t="s">
        <v>82</v>
      </c>
      <c r="P409" t="str">
        <f>"4170046771                    "</f>
        <v xml:space="preserve">4170046771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122.87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6</v>
      </c>
      <c r="BJ409">
        <v>4.3</v>
      </c>
      <c r="BK409">
        <v>6</v>
      </c>
      <c r="BL409">
        <v>387.11</v>
      </c>
      <c r="BM409">
        <v>58.07</v>
      </c>
      <c r="BN409">
        <v>445.18</v>
      </c>
      <c r="BO409">
        <v>445.18</v>
      </c>
      <c r="BQ409" t="s">
        <v>1081</v>
      </c>
      <c r="BR409" t="s">
        <v>84</v>
      </c>
      <c r="BS409" s="3">
        <v>45842</v>
      </c>
      <c r="BT409" s="4">
        <v>0.53263888888888888</v>
      </c>
      <c r="BU409" t="s">
        <v>1082</v>
      </c>
      <c r="BV409" t="s">
        <v>98</v>
      </c>
      <c r="BY409">
        <v>21280</v>
      </c>
      <c r="BZ409" t="s">
        <v>89</v>
      </c>
      <c r="CA409" t="s">
        <v>989</v>
      </c>
      <c r="CC409" t="s">
        <v>146</v>
      </c>
      <c r="CD409">
        <v>7646</v>
      </c>
      <c r="CE409" t="s">
        <v>117</v>
      </c>
      <c r="CF409" s="3">
        <v>45845</v>
      </c>
      <c r="CI409">
        <v>1</v>
      </c>
      <c r="CJ409">
        <v>1</v>
      </c>
      <c r="CK409">
        <v>23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"080066338121"</f>
        <v>080066338121</v>
      </c>
      <c r="F410" s="3">
        <v>45841</v>
      </c>
      <c r="G410">
        <v>202604</v>
      </c>
      <c r="H410" t="s">
        <v>75</v>
      </c>
      <c r="I410" t="s">
        <v>76</v>
      </c>
      <c r="J410" t="s">
        <v>77</v>
      </c>
      <c r="K410" t="s">
        <v>78</v>
      </c>
      <c r="L410" t="s">
        <v>146</v>
      </c>
      <c r="M410" t="s">
        <v>146</v>
      </c>
      <c r="N410" t="s">
        <v>1080</v>
      </c>
      <c r="O410" t="s">
        <v>82</v>
      </c>
      <c r="P410" t="str">
        <f>"4170046770                    "</f>
        <v xml:space="preserve">4170046770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320.58999999999997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16</v>
      </c>
      <c r="BJ410">
        <v>8.9</v>
      </c>
      <c r="BK410">
        <v>16</v>
      </c>
      <c r="BL410">
        <v>1010.03</v>
      </c>
      <c r="BM410">
        <v>151.5</v>
      </c>
      <c r="BN410">
        <v>1161.53</v>
      </c>
      <c r="BO410">
        <v>1161.53</v>
      </c>
      <c r="BQ410" t="s">
        <v>1081</v>
      </c>
      <c r="BR410" t="s">
        <v>84</v>
      </c>
      <c r="BS410" s="3">
        <v>45842</v>
      </c>
      <c r="BT410" s="4">
        <v>0.53263888888888888</v>
      </c>
      <c r="BU410" t="s">
        <v>1082</v>
      </c>
      <c r="BV410" t="s">
        <v>98</v>
      </c>
      <c r="BY410">
        <v>44640</v>
      </c>
      <c r="BZ410" t="s">
        <v>89</v>
      </c>
      <c r="CA410" t="s">
        <v>989</v>
      </c>
      <c r="CC410" t="s">
        <v>146</v>
      </c>
      <c r="CD410">
        <v>7646</v>
      </c>
      <c r="CE410" t="s">
        <v>117</v>
      </c>
      <c r="CF410" s="3">
        <v>45845</v>
      </c>
      <c r="CI410">
        <v>1</v>
      </c>
      <c r="CJ410">
        <v>1</v>
      </c>
      <c r="CK410">
        <v>23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"080066338173"</f>
        <v>080066338173</v>
      </c>
      <c r="F411" s="3">
        <v>45841</v>
      </c>
      <c r="G411">
        <v>202604</v>
      </c>
      <c r="H411" t="s">
        <v>75</v>
      </c>
      <c r="I411" t="s">
        <v>76</v>
      </c>
      <c r="J411" t="s">
        <v>77</v>
      </c>
      <c r="K411" t="s">
        <v>78</v>
      </c>
      <c r="L411" t="s">
        <v>79</v>
      </c>
      <c r="M411" t="s">
        <v>80</v>
      </c>
      <c r="N411" t="s">
        <v>1083</v>
      </c>
      <c r="O411" t="s">
        <v>82</v>
      </c>
      <c r="P411" t="str">
        <f>"4170046842                    "</f>
        <v xml:space="preserve">4170046842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22.6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1.7</v>
      </c>
      <c r="BK411">
        <v>2</v>
      </c>
      <c r="BL411">
        <v>71.2</v>
      </c>
      <c r="BM411">
        <v>10.68</v>
      </c>
      <c r="BN411">
        <v>81.88</v>
      </c>
      <c r="BO411">
        <v>81.88</v>
      </c>
      <c r="BQ411" t="s">
        <v>1084</v>
      </c>
      <c r="BR411" t="s">
        <v>84</v>
      </c>
      <c r="BS411" s="3">
        <v>45842</v>
      </c>
      <c r="BT411" s="4">
        <v>0.39513888888888887</v>
      </c>
      <c r="BU411" t="s">
        <v>1085</v>
      </c>
      <c r="BV411" t="s">
        <v>98</v>
      </c>
      <c r="BY411">
        <v>8512</v>
      </c>
      <c r="BZ411" t="s">
        <v>89</v>
      </c>
      <c r="CA411" t="s">
        <v>144</v>
      </c>
      <c r="CC411" t="s">
        <v>80</v>
      </c>
      <c r="CD411">
        <v>8001</v>
      </c>
      <c r="CE411" t="s">
        <v>117</v>
      </c>
      <c r="CF411" s="3">
        <v>45845</v>
      </c>
      <c r="CI411">
        <v>1</v>
      </c>
      <c r="CJ411">
        <v>1</v>
      </c>
      <c r="CK411">
        <v>21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"080066338563"</f>
        <v>080066338563</v>
      </c>
      <c r="F412" s="3">
        <v>45841</v>
      </c>
      <c r="G412">
        <v>202604</v>
      </c>
      <c r="H412" t="s">
        <v>75</v>
      </c>
      <c r="I412" t="s">
        <v>76</v>
      </c>
      <c r="J412" t="s">
        <v>77</v>
      </c>
      <c r="K412" t="s">
        <v>78</v>
      </c>
      <c r="L412" t="s">
        <v>92</v>
      </c>
      <c r="M412" t="s">
        <v>93</v>
      </c>
      <c r="N412" t="s">
        <v>479</v>
      </c>
      <c r="O412" t="s">
        <v>82</v>
      </c>
      <c r="P412" t="str">
        <f>"4170046849                    "</f>
        <v xml:space="preserve">4170046849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45.18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4</v>
      </c>
      <c r="BJ412">
        <v>3</v>
      </c>
      <c r="BK412">
        <v>4</v>
      </c>
      <c r="BL412">
        <v>142.34</v>
      </c>
      <c r="BM412">
        <v>21.35</v>
      </c>
      <c r="BN412">
        <v>163.69</v>
      </c>
      <c r="BO412">
        <v>163.69</v>
      </c>
      <c r="BQ412" t="s">
        <v>480</v>
      </c>
      <c r="BR412" t="s">
        <v>84</v>
      </c>
      <c r="BS412" s="3">
        <v>45842</v>
      </c>
      <c r="BT412" s="4">
        <v>0.51249999999999996</v>
      </c>
      <c r="BU412" t="s">
        <v>1086</v>
      </c>
      <c r="BV412" t="s">
        <v>86</v>
      </c>
      <c r="BW412" t="s">
        <v>194</v>
      </c>
      <c r="BX412" t="s">
        <v>739</v>
      </c>
      <c r="BY412">
        <v>14848</v>
      </c>
      <c r="BZ412" t="s">
        <v>89</v>
      </c>
      <c r="CA412" t="s">
        <v>337</v>
      </c>
      <c r="CC412" t="s">
        <v>93</v>
      </c>
      <c r="CD412">
        <v>4052</v>
      </c>
      <c r="CE412" t="s">
        <v>91</v>
      </c>
      <c r="CF412" s="3">
        <v>45842</v>
      </c>
      <c r="CI412">
        <v>1</v>
      </c>
      <c r="CJ412">
        <v>1</v>
      </c>
      <c r="CK412">
        <v>21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"080066339100"</f>
        <v>080066339100</v>
      </c>
      <c r="F413" s="3">
        <v>45841</v>
      </c>
      <c r="G413">
        <v>202604</v>
      </c>
      <c r="H413" t="s">
        <v>75</v>
      </c>
      <c r="I413" t="s">
        <v>76</v>
      </c>
      <c r="J413" t="s">
        <v>77</v>
      </c>
      <c r="K413" t="s">
        <v>78</v>
      </c>
      <c r="L413" t="s">
        <v>146</v>
      </c>
      <c r="M413" t="s">
        <v>146</v>
      </c>
      <c r="N413" t="s">
        <v>147</v>
      </c>
      <c r="O413" t="s">
        <v>82</v>
      </c>
      <c r="P413" t="str">
        <f>"4170046852                    "</f>
        <v xml:space="preserve">4170046852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142.63999999999999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7</v>
      </c>
      <c r="BJ413">
        <v>4</v>
      </c>
      <c r="BK413">
        <v>7</v>
      </c>
      <c r="BL413">
        <v>449.4</v>
      </c>
      <c r="BM413">
        <v>67.41</v>
      </c>
      <c r="BN413">
        <v>516.80999999999995</v>
      </c>
      <c r="BO413">
        <v>516.80999999999995</v>
      </c>
      <c r="BQ413" t="s">
        <v>148</v>
      </c>
      <c r="BR413" t="s">
        <v>84</v>
      </c>
      <c r="BS413" s="3">
        <v>45842</v>
      </c>
      <c r="BT413" s="4">
        <v>0.53472222222222221</v>
      </c>
      <c r="BU413" t="s">
        <v>1087</v>
      </c>
      <c r="BV413" t="s">
        <v>98</v>
      </c>
      <c r="BY413">
        <v>20124</v>
      </c>
      <c r="BZ413" t="s">
        <v>89</v>
      </c>
      <c r="CA413" t="s">
        <v>989</v>
      </c>
      <c r="CC413" t="s">
        <v>146</v>
      </c>
      <c r="CD413">
        <v>7646</v>
      </c>
      <c r="CE413" t="s">
        <v>91</v>
      </c>
      <c r="CF413" s="3">
        <v>45845</v>
      </c>
      <c r="CI413">
        <v>1</v>
      </c>
      <c r="CJ413">
        <v>1</v>
      </c>
      <c r="CK413">
        <v>23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"080066339348"</f>
        <v>080066339348</v>
      </c>
      <c r="F414" s="3">
        <v>45841</v>
      </c>
      <c r="G414">
        <v>202604</v>
      </c>
      <c r="H414" t="s">
        <v>75</v>
      </c>
      <c r="I414" t="s">
        <v>76</v>
      </c>
      <c r="J414" t="s">
        <v>77</v>
      </c>
      <c r="K414" t="s">
        <v>78</v>
      </c>
      <c r="L414" t="s">
        <v>122</v>
      </c>
      <c r="M414" t="s">
        <v>123</v>
      </c>
      <c r="N414" t="s">
        <v>1088</v>
      </c>
      <c r="O414" t="s">
        <v>82</v>
      </c>
      <c r="P414" t="str">
        <f>"4170046859                    "</f>
        <v xml:space="preserve">4170046859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101.63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8.9</v>
      </c>
      <c r="BK414">
        <v>9</v>
      </c>
      <c r="BL414">
        <v>320.19</v>
      </c>
      <c r="BM414">
        <v>48.03</v>
      </c>
      <c r="BN414">
        <v>368.22</v>
      </c>
      <c r="BO414">
        <v>368.22</v>
      </c>
      <c r="BQ414" t="s">
        <v>1089</v>
      </c>
      <c r="BR414" t="s">
        <v>84</v>
      </c>
      <c r="BS414" s="3">
        <v>45842</v>
      </c>
      <c r="BT414" s="4">
        <v>0.41597222222222224</v>
      </c>
      <c r="BU414" t="s">
        <v>165</v>
      </c>
      <c r="BV414" t="s">
        <v>98</v>
      </c>
      <c r="BY414">
        <v>44640</v>
      </c>
      <c r="BZ414" t="s">
        <v>89</v>
      </c>
      <c r="CA414" t="s">
        <v>270</v>
      </c>
      <c r="CC414" t="s">
        <v>123</v>
      </c>
      <c r="CD414">
        <v>3600</v>
      </c>
      <c r="CE414" t="s">
        <v>117</v>
      </c>
      <c r="CF414" s="3">
        <v>45843</v>
      </c>
      <c r="CI414">
        <v>1</v>
      </c>
      <c r="CJ414">
        <v>1</v>
      </c>
      <c r="CK414">
        <v>21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"080066339586"</f>
        <v>080066339586</v>
      </c>
      <c r="F415" s="3">
        <v>45841</v>
      </c>
      <c r="G415">
        <v>202604</v>
      </c>
      <c r="H415" t="s">
        <v>75</v>
      </c>
      <c r="I415" t="s">
        <v>76</v>
      </c>
      <c r="J415" t="s">
        <v>77</v>
      </c>
      <c r="K415" t="s">
        <v>78</v>
      </c>
      <c r="L415" t="s">
        <v>92</v>
      </c>
      <c r="M415" t="s">
        <v>93</v>
      </c>
      <c r="N415" t="s">
        <v>1090</v>
      </c>
      <c r="O415" t="s">
        <v>82</v>
      </c>
      <c r="P415" t="str">
        <f>"4170045936                    "</f>
        <v xml:space="preserve">4170045936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124.21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11</v>
      </c>
      <c r="BJ415">
        <v>4.8</v>
      </c>
      <c r="BK415">
        <v>11</v>
      </c>
      <c r="BL415">
        <v>391.33</v>
      </c>
      <c r="BM415">
        <v>58.7</v>
      </c>
      <c r="BN415">
        <v>450.03</v>
      </c>
      <c r="BO415">
        <v>450.03</v>
      </c>
      <c r="BQ415" t="s">
        <v>1091</v>
      </c>
      <c r="BR415" t="s">
        <v>84</v>
      </c>
      <c r="BS415" s="3">
        <v>45842</v>
      </c>
      <c r="BT415" s="4">
        <v>0.39791666666666664</v>
      </c>
      <c r="BU415" t="s">
        <v>751</v>
      </c>
      <c r="BV415" t="s">
        <v>98</v>
      </c>
      <c r="BY415">
        <v>24064</v>
      </c>
      <c r="BZ415" t="s">
        <v>89</v>
      </c>
      <c r="CA415" t="s">
        <v>491</v>
      </c>
      <c r="CC415" t="s">
        <v>93</v>
      </c>
      <c r="CD415">
        <v>4001</v>
      </c>
      <c r="CE415" t="s">
        <v>91</v>
      </c>
      <c r="CF415" s="3">
        <v>45843</v>
      </c>
      <c r="CI415">
        <v>1</v>
      </c>
      <c r="CJ415">
        <v>1</v>
      </c>
      <c r="CK415">
        <v>21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"080066339620"</f>
        <v>080066339620</v>
      </c>
      <c r="F416" s="3">
        <v>45841</v>
      </c>
      <c r="G416">
        <v>202604</v>
      </c>
      <c r="H416" t="s">
        <v>75</v>
      </c>
      <c r="I416" t="s">
        <v>76</v>
      </c>
      <c r="J416" t="s">
        <v>77</v>
      </c>
      <c r="K416" t="s">
        <v>78</v>
      </c>
      <c r="L416" t="s">
        <v>277</v>
      </c>
      <c r="M416" t="s">
        <v>278</v>
      </c>
      <c r="N416" t="s">
        <v>279</v>
      </c>
      <c r="O416" t="s">
        <v>82</v>
      </c>
      <c r="P416" t="str">
        <f>"4170046851                    "</f>
        <v xml:space="preserve">4170046851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22.6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71.2</v>
      </c>
      <c r="BM416">
        <v>10.68</v>
      </c>
      <c r="BN416">
        <v>81.88</v>
      </c>
      <c r="BO416">
        <v>81.88</v>
      </c>
      <c r="BQ416" t="s">
        <v>280</v>
      </c>
      <c r="BR416" t="s">
        <v>84</v>
      </c>
      <c r="BS416" s="3">
        <v>45842</v>
      </c>
      <c r="BT416" s="4">
        <v>0.33333333333333331</v>
      </c>
      <c r="BU416" t="s">
        <v>281</v>
      </c>
      <c r="BV416" t="s">
        <v>98</v>
      </c>
      <c r="BY416">
        <v>1200</v>
      </c>
      <c r="BZ416" t="s">
        <v>89</v>
      </c>
      <c r="CA416" t="s">
        <v>282</v>
      </c>
      <c r="CC416" t="s">
        <v>278</v>
      </c>
      <c r="CD416">
        <v>6230</v>
      </c>
      <c r="CE416" t="s">
        <v>239</v>
      </c>
      <c r="CF416" s="3">
        <v>45842</v>
      </c>
      <c r="CI416">
        <v>1</v>
      </c>
      <c r="CJ416">
        <v>1</v>
      </c>
      <c r="CK416">
        <v>21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"080066339799"</f>
        <v>080066339799</v>
      </c>
      <c r="F417" s="3">
        <v>45841</v>
      </c>
      <c r="G417">
        <v>202604</v>
      </c>
      <c r="H417" t="s">
        <v>75</v>
      </c>
      <c r="I417" t="s">
        <v>76</v>
      </c>
      <c r="J417" t="s">
        <v>77</v>
      </c>
      <c r="K417" t="s">
        <v>78</v>
      </c>
      <c r="L417" t="s">
        <v>122</v>
      </c>
      <c r="M417" t="s">
        <v>123</v>
      </c>
      <c r="N417" t="s">
        <v>267</v>
      </c>
      <c r="O417" t="s">
        <v>82</v>
      </c>
      <c r="P417" t="str">
        <f>"4170046857                    "</f>
        <v xml:space="preserve">4170046857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22.6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71.2</v>
      </c>
      <c r="BM417">
        <v>10.68</v>
      </c>
      <c r="BN417">
        <v>81.88</v>
      </c>
      <c r="BO417">
        <v>81.88</v>
      </c>
      <c r="BQ417" t="s">
        <v>268</v>
      </c>
      <c r="BR417" t="s">
        <v>84</v>
      </c>
      <c r="BS417" s="3">
        <v>45842</v>
      </c>
      <c r="BT417" s="4">
        <v>0.42499999999999999</v>
      </c>
      <c r="BU417" t="s">
        <v>939</v>
      </c>
      <c r="BV417" t="s">
        <v>98</v>
      </c>
      <c r="BY417">
        <v>1200</v>
      </c>
      <c r="BZ417" t="s">
        <v>89</v>
      </c>
      <c r="CA417" t="s">
        <v>270</v>
      </c>
      <c r="CC417" t="s">
        <v>123</v>
      </c>
      <c r="CD417">
        <v>3610</v>
      </c>
      <c r="CE417" t="s">
        <v>239</v>
      </c>
      <c r="CF417" s="3">
        <v>45845</v>
      </c>
      <c r="CI417">
        <v>1</v>
      </c>
      <c r="CJ417">
        <v>1</v>
      </c>
      <c r="CK417">
        <v>21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"080066339830"</f>
        <v>080066339830</v>
      </c>
      <c r="F418" s="3">
        <v>45841</v>
      </c>
      <c r="G418">
        <v>202604</v>
      </c>
      <c r="H418" t="s">
        <v>75</v>
      </c>
      <c r="I418" t="s">
        <v>76</v>
      </c>
      <c r="J418" t="s">
        <v>77</v>
      </c>
      <c r="K418" t="s">
        <v>78</v>
      </c>
      <c r="L418" t="s">
        <v>79</v>
      </c>
      <c r="M418" t="s">
        <v>80</v>
      </c>
      <c r="N418" t="s">
        <v>576</v>
      </c>
      <c r="O418" t="s">
        <v>82</v>
      </c>
      <c r="P418" t="str">
        <f>"4170046850                    "</f>
        <v xml:space="preserve">4170046850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22.6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71.2</v>
      </c>
      <c r="BM418">
        <v>10.68</v>
      </c>
      <c r="BN418">
        <v>81.88</v>
      </c>
      <c r="BO418">
        <v>81.88</v>
      </c>
      <c r="BQ418" t="s">
        <v>577</v>
      </c>
      <c r="BR418" t="s">
        <v>84</v>
      </c>
      <c r="BS418" s="3">
        <v>45842</v>
      </c>
      <c r="BT418" s="4">
        <v>0.42222222222222222</v>
      </c>
      <c r="BU418" t="s">
        <v>1092</v>
      </c>
      <c r="BV418" t="s">
        <v>98</v>
      </c>
      <c r="BY418">
        <v>1200</v>
      </c>
      <c r="BZ418" t="s">
        <v>89</v>
      </c>
      <c r="CA418" t="s">
        <v>579</v>
      </c>
      <c r="CC418" t="s">
        <v>80</v>
      </c>
      <c r="CD418">
        <v>7480</v>
      </c>
      <c r="CE418" t="s">
        <v>239</v>
      </c>
      <c r="CF418" s="3">
        <v>45845</v>
      </c>
      <c r="CI418">
        <v>1</v>
      </c>
      <c r="CJ418">
        <v>1</v>
      </c>
      <c r="CK418">
        <v>21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"080066340010"</f>
        <v>080066340010</v>
      </c>
      <c r="F419" s="3">
        <v>45841</v>
      </c>
      <c r="G419">
        <v>202604</v>
      </c>
      <c r="H419" t="s">
        <v>75</v>
      </c>
      <c r="I419" t="s">
        <v>76</v>
      </c>
      <c r="J419" t="s">
        <v>77</v>
      </c>
      <c r="K419" t="s">
        <v>78</v>
      </c>
      <c r="L419" t="s">
        <v>135</v>
      </c>
      <c r="M419" t="s">
        <v>136</v>
      </c>
      <c r="N419" t="s">
        <v>1093</v>
      </c>
      <c r="O419" t="s">
        <v>82</v>
      </c>
      <c r="P419" t="str">
        <f>"4170046855                    "</f>
        <v xml:space="preserve">4170046855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79.05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6.6</v>
      </c>
      <c r="BJ419">
        <v>2.8</v>
      </c>
      <c r="BK419">
        <v>7</v>
      </c>
      <c r="BL419">
        <v>249.05</v>
      </c>
      <c r="BM419">
        <v>37.36</v>
      </c>
      <c r="BN419">
        <v>286.41000000000003</v>
      </c>
      <c r="BO419">
        <v>286.41000000000003</v>
      </c>
      <c r="BQ419" t="s">
        <v>1094</v>
      </c>
      <c r="BR419" t="s">
        <v>84</v>
      </c>
      <c r="BS419" s="3">
        <v>45842</v>
      </c>
      <c r="BT419" s="4">
        <v>0.41666666666666669</v>
      </c>
      <c r="BU419" t="s">
        <v>1095</v>
      </c>
      <c r="BV419" t="s">
        <v>98</v>
      </c>
      <c r="BY419">
        <v>14233.32</v>
      </c>
      <c r="BZ419" t="s">
        <v>89</v>
      </c>
      <c r="CA419" t="s">
        <v>1096</v>
      </c>
      <c r="CC419" t="s">
        <v>136</v>
      </c>
      <c r="CD419">
        <v>3201</v>
      </c>
      <c r="CE419" t="s">
        <v>91</v>
      </c>
      <c r="CF419" s="3">
        <v>45845</v>
      </c>
      <c r="CI419">
        <v>1</v>
      </c>
      <c r="CJ419">
        <v>1</v>
      </c>
      <c r="CK419">
        <v>21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"080066340045"</f>
        <v>080066340045</v>
      </c>
      <c r="F420" s="3">
        <v>45841</v>
      </c>
      <c r="G420">
        <v>202604</v>
      </c>
      <c r="H420" t="s">
        <v>75</v>
      </c>
      <c r="I420" t="s">
        <v>76</v>
      </c>
      <c r="J420" t="s">
        <v>77</v>
      </c>
      <c r="K420" t="s">
        <v>78</v>
      </c>
      <c r="L420" t="s">
        <v>168</v>
      </c>
      <c r="M420" t="s">
        <v>169</v>
      </c>
      <c r="N420" t="s">
        <v>360</v>
      </c>
      <c r="O420" t="s">
        <v>82</v>
      </c>
      <c r="P420" t="str">
        <f>"4170046864                    "</f>
        <v xml:space="preserve">4170046864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158.08000000000001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2</v>
      </c>
      <c r="BI420">
        <v>14</v>
      </c>
      <c r="BJ420">
        <v>9</v>
      </c>
      <c r="BK420">
        <v>14</v>
      </c>
      <c r="BL420">
        <v>498.04</v>
      </c>
      <c r="BM420">
        <v>74.709999999999994</v>
      </c>
      <c r="BN420">
        <v>572.75</v>
      </c>
      <c r="BO420">
        <v>572.75</v>
      </c>
      <c r="BQ420" t="s">
        <v>361</v>
      </c>
      <c r="BR420" t="s">
        <v>84</v>
      </c>
      <c r="BS420" s="3">
        <v>45842</v>
      </c>
      <c r="BT420" s="4">
        <v>0.3125</v>
      </c>
      <c r="BU420" t="s">
        <v>1097</v>
      </c>
      <c r="BV420" t="s">
        <v>98</v>
      </c>
      <c r="BY420">
        <v>44940</v>
      </c>
      <c r="BZ420" t="s">
        <v>89</v>
      </c>
      <c r="CA420" t="s">
        <v>423</v>
      </c>
      <c r="CC420" t="s">
        <v>169</v>
      </c>
      <c r="CD420">
        <v>6001</v>
      </c>
      <c r="CE420" t="s">
        <v>239</v>
      </c>
      <c r="CF420" s="3">
        <v>45842</v>
      </c>
      <c r="CI420">
        <v>1</v>
      </c>
      <c r="CJ420">
        <v>1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"080066340187"</f>
        <v>080066340187</v>
      </c>
      <c r="F421" s="3">
        <v>45841</v>
      </c>
      <c r="G421">
        <v>202604</v>
      </c>
      <c r="H421" t="s">
        <v>75</v>
      </c>
      <c r="I421" t="s">
        <v>76</v>
      </c>
      <c r="J421" t="s">
        <v>77</v>
      </c>
      <c r="K421" t="s">
        <v>78</v>
      </c>
      <c r="L421" t="s">
        <v>452</v>
      </c>
      <c r="M421" t="s">
        <v>453</v>
      </c>
      <c r="N421" t="s">
        <v>968</v>
      </c>
      <c r="O421" t="s">
        <v>311</v>
      </c>
      <c r="P421" t="str">
        <f>"4170046853                    "</f>
        <v xml:space="preserve">4170046853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17.66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6</v>
      </c>
      <c r="BJ421">
        <v>4.0999999999999996</v>
      </c>
      <c r="BK421">
        <v>6</v>
      </c>
      <c r="BL421">
        <v>55.63</v>
      </c>
      <c r="BM421">
        <v>8.34</v>
      </c>
      <c r="BN421">
        <v>63.97</v>
      </c>
      <c r="BO421">
        <v>63.97</v>
      </c>
      <c r="BQ421" t="s">
        <v>1098</v>
      </c>
      <c r="BR421" t="s">
        <v>84</v>
      </c>
      <c r="BS421" s="3">
        <v>45842</v>
      </c>
      <c r="BT421" s="4">
        <v>0.45763888888888887</v>
      </c>
      <c r="BU421" t="s">
        <v>1099</v>
      </c>
      <c r="BV421" t="s">
        <v>98</v>
      </c>
      <c r="BY421">
        <v>20480</v>
      </c>
      <c r="BZ421" t="s">
        <v>99</v>
      </c>
      <c r="CA421" t="s">
        <v>1100</v>
      </c>
      <c r="CC421" t="s">
        <v>453</v>
      </c>
      <c r="CD421">
        <v>1559</v>
      </c>
      <c r="CE421" t="s">
        <v>91</v>
      </c>
      <c r="CF421" s="3">
        <v>45842</v>
      </c>
      <c r="CI421">
        <v>1</v>
      </c>
      <c r="CJ421">
        <v>1</v>
      </c>
      <c r="CK421">
        <v>32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"080066340245"</f>
        <v>080066340245</v>
      </c>
      <c r="F422" s="3">
        <v>45841</v>
      </c>
      <c r="G422">
        <v>202604</v>
      </c>
      <c r="H422" t="s">
        <v>75</v>
      </c>
      <c r="I422" t="s">
        <v>76</v>
      </c>
      <c r="J422" t="s">
        <v>77</v>
      </c>
      <c r="K422" t="s">
        <v>78</v>
      </c>
      <c r="L422" t="s">
        <v>554</v>
      </c>
      <c r="M422" t="s">
        <v>555</v>
      </c>
      <c r="N422" t="s">
        <v>556</v>
      </c>
      <c r="O422" t="s">
        <v>95</v>
      </c>
      <c r="P422" t="str">
        <f>"4170046862                    "</f>
        <v xml:space="preserve">4170046862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43.7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3.2</v>
      </c>
      <c r="BK422">
        <v>4</v>
      </c>
      <c r="BL422">
        <v>143.55000000000001</v>
      </c>
      <c r="BM422">
        <v>21.53</v>
      </c>
      <c r="BN422">
        <v>165.08</v>
      </c>
      <c r="BO422">
        <v>165.08</v>
      </c>
      <c r="BQ422" t="s">
        <v>557</v>
      </c>
      <c r="BR422" t="s">
        <v>84</v>
      </c>
      <c r="BS422" s="3">
        <v>45842</v>
      </c>
      <c r="BT422" s="4">
        <v>0.36041666666666666</v>
      </c>
      <c r="BU422" t="s">
        <v>558</v>
      </c>
      <c r="BV422" t="s">
        <v>98</v>
      </c>
      <c r="BY422">
        <v>15834</v>
      </c>
      <c r="BZ422" t="s">
        <v>99</v>
      </c>
      <c r="CA422" t="s">
        <v>559</v>
      </c>
      <c r="CC422" t="s">
        <v>555</v>
      </c>
      <c r="CD422" s="5" t="s">
        <v>560</v>
      </c>
      <c r="CE422" t="s">
        <v>117</v>
      </c>
      <c r="CF422" s="3">
        <v>45842</v>
      </c>
      <c r="CI422">
        <v>1</v>
      </c>
      <c r="CJ422">
        <v>1</v>
      </c>
      <c r="CK422">
        <v>41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"080066340299"</f>
        <v>080066340299</v>
      </c>
      <c r="F423" s="3">
        <v>45841</v>
      </c>
      <c r="G423">
        <v>202604</v>
      </c>
      <c r="H423" t="s">
        <v>75</v>
      </c>
      <c r="I423" t="s">
        <v>76</v>
      </c>
      <c r="J423" t="s">
        <v>77</v>
      </c>
      <c r="K423" t="s">
        <v>78</v>
      </c>
      <c r="L423" t="s">
        <v>79</v>
      </c>
      <c r="M423" t="s">
        <v>80</v>
      </c>
      <c r="N423" t="s">
        <v>1101</v>
      </c>
      <c r="O423" t="s">
        <v>82</v>
      </c>
      <c r="P423" t="str">
        <f>"4170046863                    "</f>
        <v xml:space="preserve">4170046863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22.6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1.3</v>
      </c>
      <c r="BK423">
        <v>1.5</v>
      </c>
      <c r="BL423">
        <v>71.2</v>
      </c>
      <c r="BM423">
        <v>10.68</v>
      </c>
      <c r="BN423">
        <v>81.88</v>
      </c>
      <c r="BO423">
        <v>81.88</v>
      </c>
      <c r="BQ423" t="s">
        <v>1102</v>
      </c>
      <c r="BR423" t="s">
        <v>84</v>
      </c>
      <c r="BS423" s="3">
        <v>45842</v>
      </c>
      <c r="BT423" s="4">
        <v>0.32291666666666669</v>
      </c>
      <c r="BU423" t="s">
        <v>1103</v>
      </c>
      <c r="BV423" t="s">
        <v>98</v>
      </c>
      <c r="BY423">
        <v>6384</v>
      </c>
      <c r="BZ423" t="s">
        <v>89</v>
      </c>
      <c r="CA423" t="s">
        <v>289</v>
      </c>
      <c r="CC423" t="s">
        <v>80</v>
      </c>
      <c r="CD423">
        <v>7530</v>
      </c>
      <c r="CE423" t="s">
        <v>266</v>
      </c>
      <c r="CF423" s="3">
        <v>45845</v>
      </c>
      <c r="CI423">
        <v>1</v>
      </c>
      <c r="CJ423">
        <v>1</v>
      </c>
      <c r="CK423">
        <v>21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"080066340393"</f>
        <v>080066340393</v>
      </c>
      <c r="F424" s="3">
        <v>45841</v>
      </c>
      <c r="G424">
        <v>202604</v>
      </c>
      <c r="H424" t="s">
        <v>75</v>
      </c>
      <c r="I424" t="s">
        <v>76</v>
      </c>
      <c r="J424" t="s">
        <v>77</v>
      </c>
      <c r="K424" t="s">
        <v>78</v>
      </c>
      <c r="L424" t="s">
        <v>151</v>
      </c>
      <c r="M424" t="s">
        <v>152</v>
      </c>
      <c r="N424" t="s">
        <v>1009</v>
      </c>
      <c r="O424" t="s">
        <v>82</v>
      </c>
      <c r="P424" t="str">
        <f>"4170046865                    "</f>
        <v xml:space="preserve">4170046865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22.6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1.1000000000000001</v>
      </c>
      <c r="BK424">
        <v>1.5</v>
      </c>
      <c r="BL424">
        <v>71.2</v>
      </c>
      <c r="BM424">
        <v>10.68</v>
      </c>
      <c r="BN424">
        <v>81.88</v>
      </c>
      <c r="BO424">
        <v>81.88</v>
      </c>
      <c r="BQ424" t="s">
        <v>1010</v>
      </c>
      <c r="BR424" t="s">
        <v>84</v>
      </c>
      <c r="BS424" s="3">
        <v>45842</v>
      </c>
      <c r="BT424" s="4">
        <v>0.51111111111111107</v>
      </c>
      <c r="BU424" t="s">
        <v>1011</v>
      </c>
      <c r="BV424" t="s">
        <v>98</v>
      </c>
      <c r="BY424">
        <v>5320</v>
      </c>
      <c r="BZ424" t="s">
        <v>89</v>
      </c>
      <c r="CA424" t="s">
        <v>1012</v>
      </c>
      <c r="CC424" t="s">
        <v>152</v>
      </c>
      <c r="CD424" s="5" t="s">
        <v>1013</v>
      </c>
      <c r="CE424" t="s">
        <v>266</v>
      </c>
      <c r="CF424" s="3">
        <v>45842</v>
      </c>
      <c r="CI424">
        <v>1</v>
      </c>
      <c r="CJ424">
        <v>1</v>
      </c>
      <c r="CK424">
        <v>21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"080066340414"</f>
        <v>080066340414</v>
      </c>
      <c r="F425" s="3">
        <v>45841</v>
      </c>
      <c r="G425">
        <v>202604</v>
      </c>
      <c r="H425" t="s">
        <v>75</v>
      </c>
      <c r="I425" t="s">
        <v>76</v>
      </c>
      <c r="J425" t="s">
        <v>77</v>
      </c>
      <c r="K425" t="s">
        <v>78</v>
      </c>
      <c r="L425" t="s">
        <v>92</v>
      </c>
      <c r="M425" t="s">
        <v>93</v>
      </c>
      <c r="N425" t="s">
        <v>291</v>
      </c>
      <c r="O425" t="s">
        <v>82</v>
      </c>
      <c r="P425" t="str">
        <f>"4170046856                    "</f>
        <v xml:space="preserve">4170046856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135.5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12</v>
      </c>
      <c r="BJ425">
        <v>6.5</v>
      </c>
      <c r="BK425">
        <v>12</v>
      </c>
      <c r="BL425">
        <v>426.9</v>
      </c>
      <c r="BM425">
        <v>64.040000000000006</v>
      </c>
      <c r="BN425">
        <v>490.94</v>
      </c>
      <c r="BO425">
        <v>490.94</v>
      </c>
      <c r="BQ425" t="s">
        <v>292</v>
      </c>
      <c r="BR425" t="s">
        <v>84</v>
      </c>
      <c r="BS425" s="3">
        <v>45842</v>
      </c>
      <c r="BT425" s="4">
        <v>0.43402777777777779</v>
      </c>
      <c r="BU425" t="s">
        <v>847</v>
      </c>
      <c r="BV425" t="s">
        <v>98</v>
      </c>
      <c r="BY425">
        <v>32648</v>
      </c>
      <c r="BZ425" t="s">
        <v>89</v>
      </c>
      <c r="CA425" t="s">
        <v>1104</v>
      </c>
      <c r="CC425" t="s">
        <v>93</v>
      </c>
      <c r="CD425">
        <v>4051</v>
      </c>
      <c r="CE425" t="s">
        <v>91</v>
      </c>
      <c r="CF425" s="3">
        <v>45842</v>
      </c>
      <c r="CI425">
        <v>1</v>
      </c>
      <c r="CJ425">
        <v>1</v>
      </c>
      <c r="CK425">
        <v>21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"080066340480"</f>
        <v>080066340480</v>
      </c>
      <c r="F426" s="3">
        <v>45841</v>
      </c>
      <c r="G426">
        <v>202604</v>
      </c>
      <c r="H426" t="s">
        <v>75</v>
      </c>
      <c r="I426" t="s">
        <v>76</v>
      </c>
      <c r="J426" t="s">
        <v>77</v>
      </c>
      <c r="K426" t="s">
        <v>78</v>
      </c>
      <c r="L426" t="s">
        <v>168</v>
      </c>
      <c r="M426" t="s">
        <v>169</v>
      </c>
      <c r="N426" t="s">
        <v>342</v>
      </c>
      <c r="O426" t="s">
        <v>82</v>
      </c>
      <c r="P426" t="str">
        <f>"4170046867                    "</f>
        <v xml:space="preserve">4170046867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22.6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1.9</v>
      </c>
      <c r="BK426">
        <v>2</v>
      </c>
      <c r="BL426">
        <v>71.2</v>
      </c>
      <c r="BM426">
        <v>10.68</v>
      </c>
      <c r="BN426">
        <v>81.88</v>
      </c>
      <c r="BO426">
        <v>81.88</v>
      </c>
      <c r="BQ426" t="s">
        <v>343</v>
      </c>
      <c r="BR426" t="s">
        <v>84</v>
      </c>
      <c r="BS426" s="3">
        <v>45842</v>
      </c>
      <c r="BT426" s="4">
        <v>0.43055555555555558</v>
      </c>
      <c r="BU426" t="s">
        <v>1105</v>
      </c>
      <c r="BV426" t="s">
        <v>98</v>
      </c>
      <c r="BY426">
        <v>9600</v>
      </c>
      <c r="BZ426" t="s">
        <v>89</v>
      </c>
      <c r="CA426" t="s">
        <v>345</v>
      </c>
      <c r="CC426" t="s">
        <v>169</v>
      </c>
      <c r="CD426">
        <v>6000</v>
      </c>
      <c r="CE426" t="s">
        <v>117</v>
      </c>
      <c r="CF426" s="3">
        <v>45842</v>
      </c>
      <c r="CI426">
        <v>1</v>
      </c>
      <c r="CJ426">
        <v>1</v>
      </c>
      <c r="CK426">
        <v>21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"080066340506"</f>
        <v>080066340506</v>
      </c>
      <c r="F427" s="3">
        <v>45841</v>
      </c>
      <c r="G427">
        <v>202604</v>
      </c>
      <c r="H427" t="s">
        <v>75</v>
      </c>
      <c r="I427" t="s">
        <v>76</v>
      </c>
      <c r="J427" t="s">
        <v>77</v>
      </c>
      <c r="K427" t="s">
        <v>78</v>
      </c>
      <c r="L427" t="s">
        <v>542</v>
      </c>
      <c r="M427" t="s">
        <v>543</v>
      </c>
      <c r="N427" t="s">
        <v>352</v>
      </c>
      <c r="O427" t="s">
        <v>82</v>
      </c>
      <c r="P427" t="str">
        <f>"4170046869                    "</f>
        <v xml:space="preserve">4170046869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17.649999999999999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55.61</v>
      </c>
      <c r="BM427">
        <v>8.34</v>
      </c>
      <c r="BN427">
        <v>63.95</v>
      </c>
      <c r="BO427">
        <v>63.95</v>
      </c>
      <c r="BQ427" t="s">
        <v>353</v>
      </c>
      <c r="BR427" t="s">
        <v>84</v>
      </c>
      <c r="BS427" s="3">
        <v>45842</v>
      </c>
      <c r="BT427" s="4">
        <v>0.40277777777777779</v>
      </c>
      <c r="BU427" t="s">
        <v>937</v>
      </c>
      <c r="BV427" t="s">
        <v>98</v>
      </c>
      <c r="BY427">
        <v>1200</v>
      </c>
      <c r="BZ427" t="s">
        <v>89</v>
      </c>
      <c r="CA427" t="s">
        <v>748</v>
      </c>
      <c r="CC427" t="s">
        <v>543</v>
      </c>
      <c r="CD427">
        <v>1451</v>
      </c>
      <c r="CE427" t="s">
        <v>239</v>
      </c>
      <c r="CF427" s="3">
        <v>45842</v>
      </c>
      <c r="CI427">
        <v>1</v>
      </c>
      <c r="CJ427">
        <v>1</v>
      </c>
      <c r="CK427">
        <v>22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"080066356635"</f>
        <v>080066356635</v>
      </c>
      <c r="F428" s="3">
        <v>45842</v>
      </c>
      <c r="G428">
        <v>202604</v>
      </c>
      <c r="H428" t="s">
        <v>75</v>
      </c>
      <c r="I428" t="s">
        <v>76</v>
      </c>
      <c r="J428" t="s">
        <v>77</v>
      </c>
      <c r="K428" t="s">
        <v>78</v>
      </c>
      <c r="L428" t="s">
        <v>277</v>
      </c>
      <c r="M428" t="s">
        <v>278</v>
      </c>
      <c r="N428" t="s">
        <v>651</v>
      </c>
      <c r="O428" t="s">
        <v>82</v>
      </c>
      <c r="P428" t="str">
        <f>"4170046875                    "</f>
        <v xml:space="preserve">4170046875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22.6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71.2</v>
      </c>
      <c r="BM428">
        <v>10.68</v>
      </c>
      <c r="BN428">
        <v>81.88</v>
      </c>
      <c r="BO428">
        <v>81.88</v>
      </c>
      <c r="BQ428" t="s">
        <v>652</v>
      </c>
      <c r="BR428" t="s">
        <v>84</v>
      </c>
      <c r="BS428" s="3">
        <v>45845</v>
      </c>
      <c r="BT428" s="4">
        <v>0.42708333333333331</v>
      </c>
      <c r="BU428" t="s">
        <v>1106</v>
      </c>
      <c r="BV428" t="s">
        <v>98</v>
      </c>
      <c r="BY428">
        <v>1200</v>
      </c>
      <c r="BZ428" t="s">
        <v>89</v>
      </c>
      <c r="CA428" t="s">
        <v>282</v>
      </c>
      <c r="CC428" t="s">
        <v>278</v>
      </c>
      <c r="CD428">
        <v>6229</v>
      </c>
      <c r="CE428" t="s">
        <v>239</v>
      </c>
      <c r="CF428" s="3">
        <v>45845</v>
      </c>
      <c r="CI428">
        <v>1</v>
      </c>
      <c r="CJ428">
        <v>1</v>
      </c>
      <c r="CK428">
        <v>21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"080066356661"</f>
        <v>080066356661</v>
      </c>
      <c r="F429" s="3">
        <v>45842</v>
      </c>
      <c r="G429">
        <v>202604</v>
      </c>
      <c r="H429" t="s">
        <v>75</v>
      </c>
      <c r="I429" t="s">
        <v>76</v>
      </c>
      <c r="J429" t="s">
        <v>77</v>
      </c>
      <c r="K429" t="s">
        <v>78</v>
      </c>
      <c r="L429" t="s">
        <v>168</v>
      </c>
      <c r="M429" t="s">
        <v>169</v>
      </c>
      <c r="N429" t="s">
        <v>206</v>
      </c>
      <c r="O429" t="s">
        <v>82</v>
      </c>
      <c r="P429" t="str">
        <f>"4170046929                    "</f>
        <v xml:space="preserve">4170046929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22.6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71.2</v>
      </c>
      <c r="BM429">
        <v>10.68</v>
      </c>
      <c r="BN429">
        <v>81.88</v>
      </c>
      <c r="BO429">
        <v>81.88</v>
      </c>
      <c r="BQ429" t="s">
        <v>207</v>
      </c>
      <c r="BR429" t="s">
        <v>84</v>
      </c>
      <c r="BS429" s="3">
        <v>45845</v>
      </c>
      <c r="BT429" s="4">
        <v>0.39444444444444443</v>
      </c>
      <c r="BU429" t="s">
        <v>208</v>
      </c>
      <c r="BV429" t="s">
        <v>98</v>
      </c>
      <c r="BY429">
        <v>1200</v>
      </c>
      <c r="BZ429" t="s">
        <v>89</v>
      </c>
      <c r="CA429" t="s">
        <v>196</v>
      </c>
      <c r="CC429" t="s">
        <v>169</v>
      </c>
      <c r="CD429">
        <v>6001</v>
      </c>
      <c r="CE429" t="s">
        <v>239</v>
      </c>
      <c r="CF429" s="3">
        <v>45845</v>
      </c>
      <c r="CI429">
        <v>1</v>
      </c>
      <c r="CJ429">
        <v>1</v>
      </c>
      <c r="CK429">
        <v>21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"080066356769"</f>
        <v>080066356769</v>
      </c>
      <c r="F430" s="3">
        <v>45842</v>
      </c>
      <c r="G430">
        <v>202604</v>
      </c>
      <c r="H430" t="s">
        <v>75</v>
      </c>
      <c r="I430" t="s">
        <v>76</v>
      </c>
      <c r="J430" t="s">
        <v>77</v>
      </c>
      <c r="K430" t="s">
        <v>78</v>
      </c>
      <c r="L430" t="s">
        <v>252</v>
      </c>
      <c r="M430" t="s">
        <v>253</v>
      </c>
      <c r="N430" t="s">
        <v>1107</v>
      </c>
      <c r="O430" t="s">
        <v>82</v>
      </c>
      <c r="P430" t="str">
        <f>"4170046895                    "</f>
        <v xml:space="preserve">4170046895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43.78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137.94</v>
      </c>
      <c r="BM430">
        <v>20.69</v>
      </c>
      <c r="BN430">
        <v>158.63</v>
      </c>
      <c r="BO430">
        <v>158.63</v>
      </c>
      <c r="BQ430" t="s">
        <v>1108</v>
      </c>
      <c r="BR430" t="s">
        <v>84</v>
      </c>
      <c r="BS430" s="3">
        <v>45845</v>
      </c>
      <c r="BT430" s="4">
        <v>0.40416666666666667</v>
      </c>
      <c r="BU430" t="s">
        <v>1109</v>
      </c>
      <c r="BV430" t="s">
        <v>98</v>
      </c>
      <c r="BY430">
        <v>1200</v>
      </c>
      <c r="BZ430" t="s">
        <v>89</v>
      </c>
      <c r="CA430" t="s">
        <v>328</v>
      </c>
      <c r="CC430" t="s">
        <v>253</v>
      </c>
      <c r="CD430">
        <v>1947</v>
      </c>
      <c r="CE430" t="s">
        <v>239</v>
      </c>
      <c r="CF430" s="3">
        <v>45846</v>
      </c>
      <c r="CI430">
        <v>1</v>
      </c>
      <c r="CJ430">
        <v>1</v>
      </c>
      <c r="CK430">
        <v>23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"080066356908"</f>
        <v>080066356908</v>
      </c>
      <c r="F431" s="3">
        <v>45842</v>
      </c>
      <c r="G431">
        <v>202604</v>
      </c>
      <c r="H431" t="s">
        <v>75</v>
      </c>
      <c r="I431" t="s">
        <v>76</v>
      </c>
      <c r="J431" t="s">
        <v>77</v>
      </c>
      <c r="K431" t="s">
        <v>78</v>
      </c>
      <c r="L431" t="s">
        <v>92</v>
      </c>
      <c r="M431" t="s">
        <v>93</v>
      </c>
      <c r="N431" t="s">
        <v>291</v>
      </c>
      <c r="O431" t="s">
        <v>82</v>
      </c>
      <c r="P431" t="str">
        <f>"4170046959                    "</f>
        <v xml:space="preserve">4170046959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22.6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1.3</v>
      </c>
      <c r="BK431">
        <v>2</v>
      </c>
      <c r="BL431">
        <v>71.2</v>
      </c>
      <c r="BM431">
        <v>10.68</v>
      </c>
      <c r="BN431">
        <v>81.88</v>
      </c>
      <c r="BO431">
        <v>81.88</v>
      </c>
      <c r="BQ431" t="s">
        <v>292</v>
      </c>
      <c r="BR431" t="s">
        <v>84</v>
      </c>
      <c r="BS431" s="3">
        <v>45845</v>
      </c>
      <c r="BT431" s="4">
        <v>0.3263888888888889</v>
      </c>
      <c r="BU431" t="s">
        <v>971</v>
      </c>
      <c r="BV431" t="s">
        <v>98</v>
      </c>
      <c r="BY431">
        <v>6384</v>
      </c>
      <c r="BZ431" t="s">
        <v>89</v>
      </c>
      <c r="CA431" t="s">
        <v>294</v>
      </c>
      <c r="CC431" t="s">
        <v>93</v>
      </c>
      <c r="CD431">
        <v>4051</v>
      </c>
      <c r="CE431" t="s">
        <v>117</v>
      </c>
      <c r="CF431" s="3">
        <v>45845</v>
      </c>
      <c r="CI431">
        <v>1</v>
      </c>
      <c r="CJ431">
        <v>1</v>
      </c>
      <c r="CK431">
        <v>21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"080066356960"</f>
        <v>080066356960</v>
      </c>
      <c r="F432" s="3">
        <v>45842</v>
      </c>
      <c r="G432">
        <v>202604</v>
      </c>
      <c r="H432" t="s">
        <v>75</v>
      </c>
      <c r="I432" t="s">
        <v>76</v>
      </c>
      <c r="J432" t="s">
        <v>77</v>
      </c>
      <c r="K432" t="s">
        <v>78</v>
      </c>
      <c r="L432" t="s">
        <v>295</v>
      </c>
      <c r="M432" t="s">
        <v>296</v>
      </c>
      <c r="N432" t="s">
        <v>297</v>
      </c>
      <c r="O432" t="s">
        <v>82</v>
      </c>
      <c r="P432" t="str">
        <f>"4170046958                    "</f>
        <v xml:space="preserve">4170046958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17.649999999999999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1.3</v>
      </c>
      <c r="BK432">
        <v>2</v>
      </c>
      <c r="BL432">
        <v>55.61</v>
      </c>
      <c r="BM432">
        <v>8.34</v>
      </c>
      <c r="BN432">
        <v>63.95</v>
      </c>
      <c r="BO432">
        <v>63.95</v>
      </c>
      <c r="BQ432" t="s">
        <v>298</v>
      </c>
      <c r="BR432" t="s">
        <v>84</v>
      </c>
      <c r="BS432" s="3">
        <v>45845</v>
      </c>
      <c r="BT432" s="4">
        <v>0.38472222222222224</v>
      </c>
      <c r="BU432" t="s">
        <v>299</v>
      </c>
      <c r="BV432" t="s">
        <v>98</v>
      </c>
      <c r="BY432">
        <v>6384</v>
      </c>
      <c r="BZ432" t="s">
        <v>89</v>
      </c>
      <c r="CA432" t="s">
        <v>300</v>
      </c>
      <c r="CC432" t="s">
        <v>296</v>
      </c>
      <c r="CD432">
        <v>1459</v>
      </c>
      <c r="CE432" t="s">
        <v>117</v>
      </c>
      <c r="CF432" s="3">
        <v>45846</v>
      </c>
      <c r="CI432">
        <v>1</v>
      </c>
      <c r="CJ432">
        <v>1</v>
      </c>
      <c r="CK432">
        <v>22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"080066357395"</f>
        <v>080066357395</v>
      </c>
      <c r="F433" s="3">
        <v>45842</v>
      </c>
      <c r="G433">
        <v>202604</v>
      </c>
      <c r="H433" t="s">
        <v>75</v>
      </c>
      <c r="I433" t="s">
        <v>76</v>
      </c>
      <c r="J433" t="s">
        <v>77</v>
      </c>
      <c r="K433" t="s">
        <v>78</v>
      </c>
      <c r="L433" t="s">
        <v>758</v>
      </c>
      <c r="M433" t="s">
        <v>759</v>
      </c>
      <c r="N433" t="s">
        <v>760</v>
      </c>
      <c r="O433" t="s">
        <v>82</v>
      </c>
      <c r="P433" t="str">
        <f>"4170046884                    "</f>
        <v xml:space="preserve">4170046884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43.78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137.94</v>
      </c>
      <c r="BM433">
        <v>20.69</v>
      </c>
      <c r="BN433">
        <v>158.63</v>
      </c>
      <c r="BO433">
        <v>158.63</v>
      </c>
      <c r="BQ433" t="s">
        <v>761</v>
      </c>
      <c r="BR433" t="s">
        <v>84</v>
      </c>
      <c r="BS433" s="3">
        <v>45845</v>
      </c>
      <c r="BT433" s="4">
        <v>0.37847222222222221</v>
      </c>
      <c r="BU433" t="s">
        <v>1110</v>
      </c>
      <c r="BV433" t="s">
        <v>98</v>
      </c>
      <c r="BY433">
        <v>1200</v>
      </c>
      <c r="BZ433" t="s">
        <v>89</v>
      </c>
      <c r="CA433" t="s">
        <v>763</v>
      </c>
      <c r="CC433" t="s">
        <v>759</v>
      </c>
      <c r="CD433">
        <v>2531</v>
      </c>
      <c r="CE433" t="s">
        <v>239</v>
      </c>
      <c r="CF433" s="3">
        <v>45846</v>
      </c>
      <c r="CI433">
        <v>1</v>
      </c>
      <c r="CJ433">
        <v>1</v>
      </c>
      <c r="CK433">
        <v>23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"080066357423"</f>
        <v>080066357423</v>
      </c>
      <c r="F434" s="3">
        <v>45842</v>
      </c>
      <c r="G434">
        <v>202604</v>
      </c>
      <c r="H434" t="s">
        <v>75</v>
      </c>
      <c r="I434" t="s">
        <v>76</v>
      </c>
      <c r="J434" t="s">
        <v>77</v>
      </c>
      <c r="K434" t="s">
        <v>78</v>
      </c>
      <c r="L434" t="s">
        <v>168</v>
      </c>
      <c r="M434" t="s">
        <v>169</v>
      </c>
      <c r="N434" t="s">
        <v>1111</v>
      </c>
      <c r="O434" t="s">
        <v>82</v>
      </c>
      <c r="P434" t="str">
        <f>"4170046930                    "</f>
        <v xml:space="preserve">4170046930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22.6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71.2</v>
      </c>
      <c r="BM434">
        <v>10.68</v>
      </c>
      <c r="BN434">
        <v>81.88</v>
      </c>
      <c r="BO434">
        <v>81.88</v>
      </c>
      <c r="BQ434" t="s">
        <v>1112</v>
      </c>
      <c r="BR434" t="s">
        <v>84</v>
      </c>
      <c r="BS434" s="3">
        <v>45845</v>
      </c>
      <c r="BT434" s="4">
        <v>0.37986111111111109</v>
      </c>
      <c r="BU434" t="s">
        <v>1113</v>
      </c>
      <c r="BV434" t="s">
        <v>98</v>
      </c>
      <c r="BY434">
        <v>1200</v>
      </c>
      <c r="BZ434" t="s">
        <v>89</v>
      </c>
      <c r="CA434" t="s">
        <v>1114</v>
      </c>
      <c r="CC434" t="s">
        <v>169</v>
      </c>
      <c r="CD434">
        <v>6001</v>
      </c>
      <c r="CE434" t="s">
        <v>239</v>
      </c>
      <c r="CF434" s="3">
        <v>45845</v>
      </c>
      <c r="CI434">
        <v>1</v>
      </c>
      <c r="CJ434">
        <v>1</v>
      </c>
      <c r="CK434">
        <v>21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"080066357451"</f>
        <v>080066357451</v>
      </c>
      <c r="F435" s="3">
        <v>45842</v>
      </c>
      <c r="G435">
        <v>202604</v>
      </c>
      <c r="H435" t="s">
        <v>75</v>
      </c>
      <c r="I435" t="s">
        <v>76</v>
      </c>
      <c r="J435" t="s">
        <v>77</v>
      </c>
      <c r="K435" t="s">
        <v>78</v>
      </c>
      <c r="L435" t="s">
        <v>146</v>
      </c>
      <c r="M435" t="s">
        <v>146</v>
      </c>
      <c r="N435" t="s">
        <v>986</v>
      </c>
      <c r="O435" t="s">
        <v>82</v>
      </c>
      <c r="P435" t="str">
        <f>"4170046871                    "</f>
        <v xml:space="preserve">4170046871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43.78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137.94</v>
      </c>
      <c r="BM435">
        <v>20.69</v>
      </c>
      <c r="BN435">
        <v>158.63</v>
      </c>
      <c r="BO435">
        <v>158.63</v>
      </c>
      <c r="BQ435" t="s">
        <v>987</v>
      </c>
      <c r="BR435" t="s">
        <v>84</v>
      </c>
      <c r="BS435" s="3">
        <v>45845</v>
      </c>
      <c r="BT435" s="4">
        <v>0.52500000000000002</v>
      </c>
      <c r="BU435" t="s">
        <v>1115</v>
      </c>
      <c r="BV435" t="s">
        <v>98</v>
      </c>
      <c r="BY435">
        <v>1200</v>
      </c>
      <c r="BZ435" t="s">
        <v>89</v>
      </c>
      <c r="CA435" t="s">
        <v>150</v>
      </c>
      <c r="CC435" t="s">
        <v>146</v>
      </c>
      <c r="CD435">
        <v>7646</v>
      </c>
      <c r="CE435" t="s">
        <v>239</v>
      </c>
      <c r="CF435" s="3">
        <v>45846</v>
      </c>
      <c r="CI435">
        <v>1</v>
      </c>
      <c r="CJ435">
        <v>1</v>
      </c>
      <c r="CK435">
        <v>23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"080066357480"</f>
        <v>080066357480</v>
      </c>
      <c r="F436" s="3">
        <v>45842</v>
      </c>
      <c r="G436">
        <v>202604</v>
      </c>
      <c r="H436" t="s">
        <v>75</v>
      </c>
      <c r="I436" t="s">
        <v>76</v>
      </c>
      <c r="J436" t="s">
        <v>77</v>
      </c>
      <c r="K436" t="s">
        <v>78</v>
      </c>
      <c r="L436" t="s">
        <v>168</v>
      </c>
      <c r="M436" t="s">
        <v>169</v>
      </c>
      <c r="N436" t="s">
        <v>191</v>
      </c>
      <c r="O436" t="s">
        <v>82</v>
      </c>
      <c r="P436" t="str">
        <f>"4170046938                    "</f>
        <v xml:space="preserve">4170046938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22.6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71.2</v>
      </c>
      <c r="BM436">
        <v>10.68</v>
      </c>
      <c r="BN436">
        <v>81.88</v>
      </c>
      <c r="BO436">
        <v>81.88</v>
      </c>
      <c r="BQ436" t="s">
        <v>192</v>
      </c>
      <c r="BR436" t="s">
        <v>84</v>
      </c>
      <c r="BS436" s="3">
        <v>45845</v>
      </c>
      <c r="BT436" s="4">
        <v>0.43055555555555558</v>
      </c>
      <c r="BU436" t="s">
        <v>1116</v>
      </c>
      <c r="BV436" t="s">
        <v>98</v>
      </c>
      <c r="BY436">
        <v>1200</v>
      </c>
      <c r="BZ436" t="s">
        <v>89</v>
      </c>
      <c r="CA436" t="s">
        <v>196</v>
      </c>
      <c r="CC436" t="s">
        <v>169</v>
      </c>
      <c r="CD436">
        <v>6056</v>
      </c>
      <c r="CE436" t="s">
        <v>239</v>
      </c>
      <c r="CF436" s="3">
        <v>45845</v>
      </c>
      <c r="CI436">
        <v>1</v>
      </c>
      <c r="CJ436">
        <v>1</v>
      </c>
      <c r="CK436">
        <v>21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"080066357533"</f>
        <v>080066357533</v>
      </c>
      <c r="F437" s="3">
        <v>45842</v>
      </c>
      <c r="G437">
        <v>202604</v>
      </c>
      <c r="H437" t="s">
        <v>75</v>
      </c>
      <c r="I437" t="s">
        <v>76</v>
      </c>
      <c r="J437" t="s">
        <v>77</v>
      </c>
      <c r="K437" t="s">
        <v>78</v>
      </c>
      <c r="L437" t="s">
        <v>122</v>
      </c>
      <c r="M437" t="s">
        <v>123</v>
      </c>
      <c r="N437" t="s">
        <v>283</v>
      </c>
      <c r="O437" t="s">
        <v>82</v>
      </c>
      <c r="P437" t="str">
        <f>"4170046940                    "</f>
        <v xml:space="preserve">4170046940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22.6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71.2</v>
      </c>
      <c r="BM437">
        <v>10.68</v>
      </c>
      <c r="BN437">
        <v>81.88</v>
      </c>
      <c r="BO437">
        <v>81.88</v>
      </c>
      <c r="BQ437" t="s">
        <v>284</v>
      </c>
      <c r="BR437" t="s">
        <v>84</v>
      </c>
      <c r="BS437" s="3">
        <v>45845</v>
      </c>
      <c r="BT437" s="4">
        <v>0.39097222222222222</v>
      </c>
      <c r="BU437" t="s">
        <v>1117</v>
      </c>
      <c r="BV437" t="s">
        <v>98</v>
      </c>
      <c r="BY437">
        <v>1200</v>
      </c>
      <c r="BZ437" t="s">
        <v>89</v>
      </c>
      <c r="CA437" t="s">
        <v>187</v>
      </c>
      <c r="CC437" t="s">
        <v>123</v>
      </c>
      <c r="CD437">
        <v>3608</v>
      </c>
      <c r="CE437" t="s">
        <v>239</v>
      </c>
      <c r="CF437" s="3">
        <v>45845</v>
      </c>
      <c r="CI437">
        <v>1</v>
      </c>
      <c r="CJ437">
        <v>1</v>
      </c>
      <c r="CK437">
        <v>21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"080066357510"</f>
        <v>080066357510</v>
      </c>
      <c r="F438" s="3">
        <v>45842</v>
      </c>
      <c r="G438">
        <v>202604</v>
      </c>
      <c r="H438" t="s">
        <v>75</v>
      </c>
      <c r="I438" t="s">
        <v>76</v>
      </c>
      <c r="J438" t="s">
        <v>77</v>
      </c>
      <c r="K438" t="s">
        <v>78</v>
      </c>
      <c r="L438" t="s">
        <v>168</v>
      </c>
      <c r="M438" t="s">
        <v>169</v>
      </c>
      <c r="N438" t="s">
        <v>191</v>
      </c>
      <c r="O438" t="s">
        <v>82</v>
      </c>
      <c r="P438" t="str">
        <f>"4170046939                    "</f>
        <v xml:space="preserve">4170046939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22.6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71.2</v>
      </c>
      <c r="BM438">
        <v>10.68</v>
      </c>
      <c r="BN438">
        <v>81.88</v>
      </c>
      <c r="BO438">
        <v>81.88</v>
      </c>
      <c r="BQ438" t="s">
        <v>192</v>
      </c>
      <c r="BR438" t="s">
        <v>84</v>
      </c>
      <c r="BS438" s="3">
        <v>45845</v>
      </c>
      <c r="BT438" s="4">
        <v>0.43055555555555558</v>
      </c>
      <c r="BU438" t="s">
        <v>1116</v>
      </c>
      <c r="BV438" t="s">
        <v>98</v>
      </c>
      <c r="BY438">
        <v>1200</v>
      </c>
      <c r="BZ438" t="s">
        <v>89</v>
      </c>
      <c r="CA438" t="s">
        <v>196</v>
      </c>
      <c r="CC438" t="s">
        <v>169</v>
      </c>
      <c r="CD438">
        <v>6056</v>
      </c>
      <c r="CE438" t="s">
        <v>239</v>
      </c>
      <c r="CF438" s="3">
        <v>45845</v>
      </c>
      <c r="CI438">
        <v>1</v>
      </c>
      <c r="CJ438">
        <v>1</v>
      </c>
      <c r="CK438">
        <v>21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"080066357577"</f>
        <v>080066357577</v>
      </c>
      <c r="F439" s="3">
        <v>45842</v>
      </c>
      <c r="G439">
        <v>202604</v>
      </c>
      <c r="H439" t="s">
        <v>75</v>
      </c>
      <c r="I439" t="s">
        <v>76</v>
      </c>
      <c r="J439" t="s">
        <v>77</v>
      </c>
      <c r="K439" t="s">
        <v>78</v>
      </c>
      <c r="L439" t="s">
        <v>363</v>
      </c>
      <c r="M439" t="s">
        <v>364</v>
      </c>
      <c r="N439" t="s">
        <v>365</v>
      </c>
      <c r="O439" t="s">
        <v>82</v>
      </c>
      <c r="P439" t="str">
        <f>"4170046913                    "</f>
        <v xml:space="preserve">4170046913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43.78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137.94</v>
      </c>
      <c r="BM439">
        <v>20.69</v>
      </c>
      <c r="BN439">
        <v>158.63</v>
      </c>
      <c r="BO439">
        <v>158.63</v>
      </c>
      <c r="BQ439" t="s">
        <v>1118</v>
      </c>
      <c r="BR439" t="s">
        <v>84</v>
      </c>
      <c r="BS439" s="3">
        <v>45846</v>
      </c>
      <c r="BT439" s="4">
        <v>0.68055555555555558</v>
      </c>
      <c r="BU439" t="s">
        <v>1119</v>
      </c>
      <c r="BV439" t="s">
        <v>86</v>
      </c>
      <c r="BW439" t="s">
        <v>1120</v>
      </c>
      <c r="BX439" t="s">
        <v>88</v>
      </c>
      <c r="BY439">
        <v>1200</v>
      </c>
      <c r="BZ439" t="s">
        <v>89</v>
      </c>
      <c r="CC439" t="s">
        <v>364</v>
      </c>
      <c r="CD439">
        <v>7300</v>
      </c>
      <c r="CE439" t="s">
        <v>239</v>
      </c>
      <c r="CF439" s="3">
        <v>45847</v>
      </c>
      <c r="CI439">
        <v>1</v>
      </c>
      <c r="CJ439">
        <v>2</v>
      </c>
      <c r="CK439">
        <v>23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"080066357622"</f>
        <v>080066357622</v>
      </c>
      <c r="F440" s="3">
        <v>45842</v>
      </c>
      <c r="G440">
        <v>202604</v>
      </c>
      <c r="H440" t="s">
        <v>75</v>
      </c>
      <c r="I440" t="s">
        <v>76</v>
      </c>
      <c r="J440" t="s">
        <v>77</v>
      </c>
      <c r="K440" t="s">
        <v>78</v>
      </c>
      <c r="L440" t="s">
        <v>168</v>
      </c>
      <c r="M440" t="s">
        <v>169</v>
      </c>
      <c r="N440" t="s">
        <v>420</v>
      </c>
      <c r="O440" t="s">
        <v>82</v>
      </c>
      <c r="P440" t="str">
        <f>"4170046889                    "</f>
        <v xml:space="preserve">4170046889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71.2</v>
      </c>
      <c r="BM440">
        <v>10.68</v>
      </c>
      <c r="BN440">
        <v>81.88</v>
      </c>
      <c r="BO440">
        <v>81.88</v>
      </c>
      <c r="BQ440" t="s">
        <v>421</v>
      </c>
      <c r="BR440" t="s">
        <v>84</v>
      </c>
      <c r="BS440" s="3">
        <v>45845</v>
      </c>
      <c r="BT440" s="4">
        <v>0.4236111111111111</v>
      </c>
      <c r="BU440" t="s">
        <v>1121</v>
      </c>
      <c r="BV440" t="s">
        <v>98</v>
      </c>
      <c r="BY440">
        <v>1200</v>
      </c>
      <c r="BZ440" t="s">
        <v>89</v>
      </c>
      <c r="CA440" t="s">
        <v>345</v>
      </c>
      <c r="CC440" t="s">
        <v>169</v>
      </c>
      <c r="CD440">
        <v>6001</v>
      </c>
      <c r="CE440" t="s">
        <v>239</v>
      </c>
      <c r="CF440" s="3">
        <v>45845</v>
      </c>
      <c r="CI440">
        <v>1</v>
      </c>
      <c r="CJ440">
        <v>1</v>
      </c>
      <c r="CK440">
        <v>21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"080066357650"</f>
        <v>080066357650</v>
      </c>
      <c r="F441" s="3">
        <v>45842</v>
      </c>
      <c r="G441">
        <v>202604</v>
      </c>
      <c r="H441" t="s">
        <v>75</v>
      </c>
      <c r="I441" t="s">
        <v>76</v>
      </c>
      <c r="J441" t="s">
        <v>77</v>
      </c>
      <c r="K441" t="s">
        <v>78</v>
      </c>
      <c r="L441" t="s">
        <v>221</v>
      </c>
      <c r="M441" t="s">
        <v>222</v>
      </c>
      <c r="N441" t="s">
        <v>223</v>
      </c>
      <c r="O441" t="s">
        <v>82</v>
      </c>
      <c r="P441" t="str">
        <f>"4170046964                    "</f>
        <v xml:space="preserve">4170046964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43.78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16.739999999999998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154.68</v>
      </c>
      <c r="BM441">
        <v>23.2</v>
      </c>
      <c r="BN441">
        <v>177.88</v>
      </c>
      <c r="BO441">
        <v>177.88</v>
      </c>
      <c r="BQ441" t="s">
        <v>224</v>
      </c>
      <c r="BR441" t="s">
        <v>84</v>
      </c>
      <c r="BS441" s="3">
        <v>45845</v>
      </c>
      <c r="BT441" s="4">
        <v>0.32083333333333336</v>
      </c>
      <c r="BU441" t="s">
        <v>1122</v>
      </c>
      <c r="BV441" t="s">
        <v>98</v>
      </c>
      <c r="BY441">
        <v>1200</v>
      </c>
      <c r="BZ441" t="s">
        <v>460</v>
      </c>
      <c r="CA441" t="s">
        <v>522</v>
      </c>
      <c r="CC441" t="s">
        <v>222</v>
      </c>
      <c r="CD441">
        <v>2716</v>
      </c>
      <c r="CE441" t="s">
        <v>239</v>
      </c>
      <c r="CF441" s="3">
        <v>45846</v>
      </c>
      <c r="CI441">
        <v>5</v>
      </c>
      <c r="CJ441">
        <v>1</v>
      </c>
      <c r="CK441">
        <v>23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"080066357682"</f>
        <v>080066357682</v>
      </c>
      <c r="F442" s="3">
        <v>45842</v>
      </c>
      <c r="G442">
        <v>202604</v>
      </c>
      <c r="H442" t="s">
        <v>75</v>
      </c>
      <c r="I442" t="s">
        <v>76</v>
      </c>
      <c r="J442" t="s">
        <v>77</v>
      </c>
      <c r="K442" t="s">
        <v>78</v>
      </c>
      <c r="L442" t="s">
        <v>305</v>
      </c>
      <c r="M442" t="s">
        <v>306</v>
      </c>
      <c r="N442" t="s">
        <v>710</v>
      </c>
      <c r="O442" t="s">
        <v>82</v>
      </c>
      <c r="P442" t="str">
        <f>"4170046872                    "</f>
        <v xml:space="preserve">4170046872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22.6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71.2</v>
      </c>
      <c r="BM442">
        <v>10.68</v>
      </c>
      <c r="BN442">
        <v>81.88</v>
      </c>
      <c r="BO442">
        <v>81.88</v>
      </c>
      <c r="BQ442" t="s">
        <v>711</v>
      </c>
      <c r="BR442" t="s">
        <v>84</v>
      </c>
      <c r="BS442" s="3">
        <v>45845</v>
      </c>
      <c r="BT442" s="4">
        <v>0.71180555555555558</v>
      </c>
      <c r="BU442" t="s">
        <v>1123</v>
      </c>
      <c r="BV442" t="s">
        <v>86</v>
      </c>
      <c r="BY442">
        <v>1200</v>
      </c>
      <c r="BZ442" t="s">
        <v>89</v>
      </c>
      <c r="CA442" t="s">
        <v>575</v>
      </c>
      <c r="CC442" t="s">
        <v>306</v>
      </c>
      <c r="CD442">
        <v>5200</v>
      </c>
      <c r="CE442" t="s">
        <v>239</v>
      </c>
      <c r="CF442" s="3">
        <v>45846</v>
      </c>
      <c r="CI442">
        <v>1</v>
      </c>
      <c r="CJ442">
        <v>1</v>
      </c>
      <c r="CK442">
        <v>21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"080066357723"</f>
        <v>080066357723</v>
      </c>
      <c r="F443" s="3">
        <v>45842</v>
      </c>
      <c r="G443">
        <v>202604</v>
      </c>
      <c r="H443" t="s">
        <v>75</v>
      </c>
      <c r="I443" t="s">
        <v>76</v>
      </c>
      <c r="J443" t="s">
        <v>77</v>
      </c>
      <c r="K443" t="s">
        <v>78</v>
      </c>
      <c r="L443" t="s">
        <v>277</v>
      </c>
      <c r="M443" t="s">
        <v>278</v>
      </c>
      <c r="N443" t="s">
        <v>279</v>
      </c>
      <c r="O443" t="s">
        <v>82</v>
      </c>
      <c r="P443" t="str">
        <f>"4170046899                    "</f>
        <v xml:space="preserve">4170046899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22.6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71.2</v>
      </c>
      <c r="BM443">
        <v>10.68</v>
      </c>
      <c r="BN443">
        <v>81.88</v>
      </c>
      <c r="BO443">
        <v>81.88</v>
      </c>
      <c r="BQ443" t="s">
        <v>280</v>
      </c>
      <c r="BR443" t="s">
        <v>84</v>
      </c>
      <c r="BS443" s="3">
        <v>45845</v>
      </c>
      <c r="BT443" s="4">
        <v>0.40138888888888891</v>
      </c>
      <c r="BU443" t="s">
        <v>1124</v>
      </c>
      <c r="BV443" t="s">
        <v>98</v>
      </c>
      <c r="BY443">
        <v>1200</v>
      </c>
      <c r="BZ443" t="s">
        <v>89</v>
      </c>
      <c r="CA443" t="s">
        <v>282</v>
      </c>
      <c r="CC443" t="s">
        <v>278</v>
      </c>
      <c r="CD443">
        <v>6230</v>
      </c>
      <c r="CE443" t="s">
        <v>239</v>
      </c>
      <c r="CF443" s="3">
        <v>45845</v>
      </c>
      <c r="CI443">
        <v>1</v>
      </c>
      <c r="CJ443">
        <v>1</v>
      </c>
      <c r="CK443">
        <v>21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"080066357760"</f>
        <v>080066357760</v>
      </c>
      <c r="F444" s="3">
        <v>45842</v>
      </c>
      <c r="G444">
        <v>202604</v>
      </c>
      <c r="H444" t="s">
        <v>75</v>
      </c>
      <c r="I444" t="s">
        <v>76</v>
      </c>
      <c r="J444" t="s">
        <v>77</v>
      </c>
      <c r="K444" t="s">
        <v>78</v>
      </c>
      <c r="L444" t="s">
        <v>79</v>
      </c>
      <c r="M444" t="s">
        <v>80</v>
      </c>
      <c r="N444" t="s">
        <v>698</v>
      </c>
      <c r="O444" t="s">
        <v>82</v>
      </c>
      <c r="P444" t="str">
        <f>"4170046944                    "</f>
        <v xml:space="preserve">4170046944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135.5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12</v>
      </c>
      <c r="BJ444">
        <v>5.6</v>
      </c>
      <c r="BK444">
        <v>12</v>
      </c>
      <c r="BL444">
        <v>426.9</v>
      </c>
      <c r="BM444">
        <v>64.040000000000006</v>
      </c>
      <c r="BN444">
        <v>490.94</v>
      </c>
      <c r="BO444">
        <v>490.94</v>
      </c>
      <c r="BQ444" t="s">
        <v>699</v>
      </c>
      <c r="BR444" t="s">
        <v>84</v>
      </c>
      <c r="BS444" s="3">
        <v>45845</v>
      </c>
      <c r="BT444" s="4">
        <v>0.40416666666666667</v>
      </c>
      <c r="BU444" t="s">
        <v>700</v>
      </c>
      <c r="BV444" t="s">
        <v>98</v>
      </c>
      <c r="BY444">
        <v>28224</v>
      </c>
      <c r="BZ444" t="s">
        <v>89</v>
      </c>
      <c r="CA444" t="s">
        <v>289</v>
      </c>
      <c r="CC444" t="s">
        <v>80</v>
      </c>
      <c r="CD444">
        <v>7561</v>
      </c>
      <c r="CE444" t="s">
        <v>91</v>
      </c>
      <c r="CF444" s="3">
        <v>45846</v>
      </c>
      <c r="CI444">
        <v>1</v>
      </c>
      <c r="CJ444">
        <v>1</v>
      </c>
      <c r="CK444">
        <v>21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"080066357792"</f>
        <v>080066357792</v>
      </c>
      <c r="F445" s="3">
        <v>45842</v>
      </c>
      <c r="G445">
        <v>202604</v>
      </c>
      <c r="H445" t="s">
        <v>75</v>
      </c>
      <c r="I445" t="s">
        <v>76</v>
      </c>
      <c r="J445" t="s">
        <v>77</v>
      </c>
      <c r="K445" t="s">
        <v>78</v>
      </c>
      <c r="L445" t="s">
        <v>168</v>
      </c>
      <c r="M445" t="s">
        <v>169</v>
      </c>
      <c r="N445" t="s">
        <v>1125</v>
      </c>
      <c r="O445" t="s">
        <v>82</v>
      </c>
      <c r="P445" t="str">
        <f>"4170046905                    "</f>
        <v xml:space="preserve">4170046905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45.18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4</v>
      </c>
      <c r="BJ445">
        <v>1.9</v>
      </c>
      <c r="BK445">
        <v>4</v>
      </c>
      <c r="BL445">
        <v>142.34</v>
      </c>
      <c r="BM445">
        <v>21.35</v>
      </c>
      <c r="BN445">
        <v>163.69</v>
      </c>
      <c r="BO445">
        <v>163.69</v>
      </c>
      <c r="BQ445" t="s">
        <v>1126</v>
      </c>
      <c r="BR445" t="s">
        <v>84</v>
      </c>
      <c r="BS445" s="3">
        <v>45845</v>
      </c>
      <c r="BT445" s="4">
        <v>0.41736111111111113</v>
      </c>
      <c r="BU445" t="s">
        <v>1127</v>
      </c>
      <c r="BV445" t="s">
        <v>98</v>
      </c>
      <c r="BY445">
        <v>9600</v>
      </c>
      <c r="BZ445" t="s">
        <v>89</v>
      </c>
      <c r="CA445" t="s">
        <v>415</v>
      </c>
      <c r="CC445" t="s">
        <v>169</v>
      </c>
      <c r="CD445">
        <v>6012</v>
      </c>
      <c r="CE445" t="s">
        <v>117</v>
      </c>
      <c r="CF445" s="3">
        <v>45845</v>
      </c>
      <c r="CI445">
        <v>1</v>
      </c>
      <c r="CJ445">
        <v>1</v>
      </c>
      <c r="CK445">
        <v>21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"080066357873"</f>
        <v>080066357873</v>
      </c>
      <c r="F446" s="3">
        <v>45842</v>
      </c>
      <c r="G446">
        <v>202604</v>
      </c>
      <c r="H446" t="s">
        <v>75</v>
      </c>
      <c r="I446" t="s">
        <v>76</v>
      </c>
      <c r="J446" t="s">
        <v>77</v>
      </c>
      <c r="K446" t="s">
        <v>78</v>
      </c>
      <c r="L446" t="s">
        <v>295</v>
      </c>
      <c r="M446" t="s">
        <v>296</v>
      </c>
      <c r="N446" t="s">
        <v>297</v>
      </c>
      <c r="O446" t="s">
        <v>311</v>
      </c>
      <c r="P446" t="str">
        <f>"4170046880                    "</f>
        <v xml:space="preserve">4170046880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17.66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5</v>
      </c>
      <c r="BJ446">
        <v>6.6</v>
      </c>
      <c r="BK446">
        <v>7</v>
      </c>
      <c r="BL446">
        <v>55.63</v>
      </c>
      <c r="BM446">
        <v>8.34</v>
      </c>
      <c r="BN446">
        <v>63.97</v>
      </c>
      <c r="BO446">
        <v>63.97</v>
      </c>
      <c r="BQ446" t="s">
        <v>298</v>
      </c>
      <c r="BR446" t="s">
        <v>84</v>
      </c>
      <c r="BS446" s="3">
        <v>45845</v>
      </c>
      <c r="BT446" s="4">
        <v>0.3840277777777778</v>
      </c>
      <c r="BU446" t="s">
        <v>299</v>
      </c>
      <c r="BV446" t="s">
        <v>98</v>
      </c>
      <c r="BY446">
        <v>33120</v>
      </c>
      <c r="BZ446" t="s">
        <v>99</v>
      </c>
      <c r="CA446" t="s">
        <v>300</v>
      </c>
      <c r="CC446" t="s">
        <v>296</v>
      </c>
      <c r="CD446">
        <v>1459</v>
      </c>
      <c r="CE446" t="s">
        <v>91</v>
      </c>
      <c r="CF446" s="3">
        <v>45846</v>
      </c>
      <c r="CI446">
        <v>1</v>
      </c>
      <c r="CJ446">
        <v>1</v>
      </c>
      <c r="CK446">
        <v>32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"080066357901"</f>
        <v>080066357901</v>
      </c>
      <c r="F447" s="3">
        <v>45842</v>
      </c>
      <c r="G447">
        <v>202604</v>
      </c>
      <c r="H447" t="s">
        <v>75</v>
      </c>
      <c r="I447" t="s">
        <v>76</v>
      </c>
      <c r="J447" t="s">
        <v>77</v>
      </c>
      <c r="K447" t="s">
        <v>78</v>
      </c>
      <c r="L447" t="s">
        <v>1128</v>
      </c>
      <c r="M447" t="s">
        <v>1129</v>
      </c>
      <c r="N447" t="s">
        <v>1130</v>
      </c>
      <c r="O447" t="s">
        <v>82</v>
      </c>
      <c r="P447" t="str">
        <f>"4170046888                    "</f>
        <v xml:space="preserve">4170046888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73.400000000000006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4</v>
      </c>
      <c r="BJ447">
        <v>6.4</v>
      </c>
      <c r="BK447">
        <v>6.5</v>
      </c>
      <c r="BL447">
        <v>231.26</v>
      </c>
      <c r="BM447">
        <v>34.69</v>
      </c>
      <c r="BN447">
        <v>265.95</v>
      </c>
      <c r="BO447">
        <v>265.95</v>
      </c>
      <c r="BQ447" t="s">
        <v>1131</v>
      </c>
      <c r="BR447" t="s">
        <v>84</v>
      </c>
      <c r="BS447" s="3">
        <v>45845</v>
      </c>
      <c r="BT447" s="4">
        <v>0.40277777777777779</v>
      </c>
      <c r="BU447" t="s">
        <v>1132</v>
      </c>
      <c r="BV447" t="s">
        <v>98</v>
      </c>
      <c r="BY447">
        <v>31824</v>
      </c>
      <c r="BZ447" t="s">
        <v>89</v>
      </c>
      <c r="CA447" t="s">
        <v>1133</v>
      </c>
      <c r="CC447" t="s">
        <v>1129</v>
      </c>
      <c r="CD447">
        <v>7600</v>
      </c>
      <c r="CE447" t="s">
        <v>91</v>
      </c>
      <c r="CF447" s="3">
        <v>45846</v>
      </c>
      <c r="CI447">
        <v>1</v>
      </c>
      <c r="CJ447">
        <v>1</v>
      </c>
      <c r="CK447">
        <v>21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"080066357994"</f>
        <v>080066357994</v>
      </c>
      <c r="F448" s="3">
        <v>45842</v>
      </c>
      <c r="G448">
        <v>202604</v>
      </c>
      <c r="H448" t="s">
        <v>75</v>
      </c>
      <c r="I448" t="s">
        <v>76</v>
      </c>
      <c r="J448" t="s">
        <v>77</v>
      </c>
      <c r="K448" t="s">
        <v>78</v>
      </c>
      <c r="L448" t="s">
        <v>146</v>
      </c>
      <c r="M448" t="s">
        <v>146</v>
      </c>
      <c r="N448" t="s">
        <v>147</v>
      </c>
      <c r="O448" t="s">
        <v>82</v>
      </c>
      <c r="P448" t="str">
        <f>"4170046912                    "</f>
        <v xml:space="preserve">4170046912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43.78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1.1000000000000001</v>
      </c>
      <c r="BK448">
        <v>1.5</v>
      </c>
      <c r="BL448">
        <v>137.94</v>
      </c>
      <c r="BM448">
        <v>20.69</v>
      </c>
      <c r="BN448">
        <v>158.63</v>
      </c>
      <c r="BO448">
        <v>158.63</v>
      </c>
      <c r="BQ448" t="s">
        <v>764</v>
      </c>
      <c r="BR448" t="s">
        <v>84</v>
      </c>
      <c r="BS448" s="3">
        <v>45845</v>
      </c>
      <c r="BT448" s="4">
        <v>0.50277777777777777</v>
      </c>
      <c r="BU448" t="s">
        <v>149</v>
      </c>
      <c r="BV448" t="s">
        <v>98</v>
      </c>
      <c r="BY448">
        <v>5320</v>
      </c>
      <c r="BZ448" t="s">
        <v>89</v>
      </c>
      <c r="CA448" t="s">
        <v>150</v>
      </c>
      <c r="CC448" t="s">
        <v>146</v>
      </c>
      <c r="CD448">
        <v>7646</v>
      </c>
      <c r="CE448" t="s">
        <v>117</v>
      </c>
      <c r="CF448" s="3">
        <v>45846</v>
      </c>
      <c r="CI448">
        <v>1</v>
      </c>
      <c r="CJ448">
        <v>1</v>
      </c>
      <c r="CK448">
        <v>23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"080066358041"</f>
        <v>080066358041</v>
      </c>
      <c r="F449" s="3">
        <v>45842</v>
      </c>
      <c r="G449">
        <v>202604</v>
      </c>
      <c r="H449" t="s">
        <v>75</v>
      </c>
      <c r="I449" t="s">
        <v>76</v>
      </c>
      <c r="J449" t="s">
        <v>77</v>
      </c>
      <c r="K449" t="s">
        <v>78</v>
      </c>
      <c r="L449" t="s">
        <v>277</v>
      </c>
      <c r="M449" t="s">
        <v>278</v>
      </c>
      <c r="N449" t="s">
        <v>918</v>
      </c>
      <c r="O449" t="s">
        <v>82</v>
      </c>
      <c r="P449" t="str">
        <f>"4170046932                    "</f>
        <v xml:space="preserve">4170046932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22.6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1.1000000000000001</v>
      </c>
      <c r="BK449">
        <v>1.5</v>
      </c>
      <c r="BL449">
        <v>71.2</v>
      </c>
      <c r="BM449">
        <v>10.68</v>
      </c>
      <c r="BN449">
        <v>81.88</v>
      </c>
      <c r="BO449">
        <v>81.88</v>
      </c>
      <c r="BQ449" t="s">
        <v>919</v>
      </c>
      <c r="BR449" t="s">
        <v>84</v>
      </c>
      <c r="BS449" s="3">
        <v>45845</v>
      </c>
      <c r="BT449" s="4">
        <v>0.5756944444444444</v>
      </c>
      <c r="BU449" t="s">
        <v>920</v>
      </c>
      <c r="BV449" t="s">
        <v>86</v>
      </c>
      <c r="BW449" t="s">
        <v>194</v>
      </c>
      <c r="BX449" t="s">
        <v>195</v>
      </c>
      <c r="BY449">
        <v>5320</v>
      </c>
      <c r="BZ449" t="s">
        <v>89</v>
      </c>
      <c r="CA449" t="s">
        <v>282</v>
      </c>
      <c r="CC449" t="s">
        <v>278</v>
      </c>
      <c r="CD449">
        <v>6229</v>
      </c>
      <c r="CE449" t="s">
        <v>117</v>
      </c>
      <c r="CF449" s="3">
        <v>45845</v>
      </c>
      <c r="CI449">
        <v>1</v>
      </c>
      <c r="CJ449">
        <v>1</v>
      </c>
      <c r="CK449">
        <v>21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"080066358348"</f>
        <v>080066358348</v>
      </c>
      <c r="F450" s="3">
        <v>45842</v>
      </c>
      <c r="G450">
        <v>202604</v>
      </c>
      <c r="H450" t="s">
        <v>75</v>
      </c>
      <c r="I450" t="s">
        <v>76</v>
      </c>
      <c r="J450" t="s">
        <v>77</v>
      </c>
      <c r="K450" t="s">
        <v>78</v>
      </c>
      <c r="L450" t="s">
        <v>146</v>
      </c>
      <c r="M450" t="s">
        <v>146</v>
      </c>
      <c r="N450" t="s">
        <v>1134</v>
      </c>
      <c r="O450" t="s">
        <v>82</v>
      </c>
      <c r="P450" t="str">
        <f>"4170046952                    "</f>
        <v xml:space="preserve">4170046952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43.78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137.94</v>
      </c>
      <c r="BM450">
        <v>20.69</v>
      </c>
      <c r="BN450">
        <v>158.63</v>
      </c>
      <c r="BO450">
        <v>158.63</v>
      </c>
      <c r="BQ450" t="s">
        <v>1135</v>
      </c>
      <c r="BR450" t="s">
        <v>84</v>
      </c>
      <c r="BS450" s="3">
        <v>45845</v>
      </c>
      <c r="BT450" s="4">
        <v>0.52777777777777779</v>
      </c>
      <c r="BU450" t="s">
        <v>1136</v>
      </c>
      <c r="BV450" t="s">
        <v>98</v>
      </c>
      <c r="BY450">
        <v>1200</v>
      </c>
      <c r="BZ450" t="s">
        <v>89</v>
      </c>
      <c r="CA450" t="s">
        <v>150</v>
      </c>
      <c r="CC450" t="s">
        <v>146</v>
      </c>
      <c r="CD450">
        <v>7646</v>
      </c>
      <c r="CE450" t="s">
        <v>239</v>
      </c>
      <c r="CF450" s="3">
        <v>45846</v>
      </c>
      <c r="CI450">
        <v>1</v>
      </c>
      <c r="CJ450">
        <v>1</v>
      </c>
      <c r="CK450">
        <v>23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"080066358389"</f>
        <v>080066358389</v>
      </c>
      <c r="F451" s="3">
        <v>45842</v>
      </c>
      <c r="G451">
        <v>202604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701</v>
      </c>
      <c r="O451" t="s">
        <v>82</v>
      </c>
      <c r="P451" t="str">
        <f>"4170046931                    "</f>
        <v xml:space="preserve">4170046931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17.649999999999999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55.61</v>
      </c>
      <c r="BM451">
        <v>8.34</v>
      </c>
      <c r="BN451">
        <v>63.95</v>
      </c>
      <c r="BO451">
        <v>63.95</v>
      </c>
      <c r="BQ451" t="s">
        <v>702</v>
      </c>
      <c r="BR451" t="s">
        <v>84</v>
      </c>
      <c r="BS451" s="3">
        <v>45845</v>
      </c>
      <c r="BT451" s="4">
        <v>0.4152777777777778</v>
      </c>
      <c r="BU451" t="s">
        <v>703</v>
      </c>
      <c r="BV451" t="s">
        <v>98</v>
      </c>
      <c r="BY451">
        <v>1200</v>
      </c>
      <c r="BZ451" t="s">
        <v>89</v>
      </c>
      <c r="CA451" t="s">
        <v>617</v>
      </c>
      <c r="CC451" t="s">
        <v>76</v>
      </c>
      <c r="CD451">
        <v>1645</v>
      </c>
      <c r="CE451" t="s">
        <v>239</v>
      </c>
      <c r="CF451" s="3">
        <v>45845</v>
      </c>
      <c r="CI451">
        <v>1</v>
      </c>
      <c r="CJ451">
        <v>1</v>
      </c>
      <c r="CK451">
        <v>22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"080066358430"</f>
        <v>080066358430</v>
      </c>
      <c r="F452" s="3">
        <v>45842</v>
      </c>
      <c r="G452">
        <v>202604</v>
      </c>
      <c r="H452" t="s">
        <v>75</v>
      </c>
      <c r="I452" t="s">
        <v>76</v>
      </c>
      <c r="J452" t="s">
        <v>77</v>
      </c>
      <c r="K452" t="s">
        <v>78</v>
      </c>
      <c r="L452" t="s">
        <v>246</v>
      </c>
      <c r="M452" t="s">
        <v>247</v>
      </c>
      <c r="N452" t="s">
        <v>1137</v>
      </c>
      <c r="O452" t="s">
        <v>82</v>
      </c>
      <c r="P452" t="str">
        <f>"4170046946                    "</f>
        <v xml:space="preserve">4170046946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31.78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100.13</v>
      </c>
      <c r="BM452">
        <v>15.02</v>
      </c>
      <c r="BN452">
        <v>115.15</v>
      </c>
      <c r="BO452">
        <v>115.15</v>
      </c>
      <c r="BQ452" t="s">
        <v>1138</v>
      </c>
      <c r="BR452" t="s">
        <v>84</v>
      </c>
      <c r="BS452" s="3">
        <v>45845</v>
      </c>
      <c r="BT452" s="4">
        <v>0.375</v>
      </c>
      <c r="BU452" t="s">
        <v>1139</v>
      </c>
      <c r="BV452" t="s">
        <v>98</v>
      </c>
      <c r="BY452">
        <v>1200</v>
      </c>
      <c r="BZ452" t="s">
        <v>89</v>
      </c>
      <c r="CA452" t="s">
        <v>251</v>
      </c>
      <c r="CC452" t="s">
        <v>247</v>
      </c>
      <c r="CD452">
        <v>1441</v>
      </c>
      <c r="CE452" t="s">
        <v>239</v>
      </c>
      <c r="CF452" s="3">
        <v>45846</v>
      </c>
      <c r="CI452">
        <v>1</v>
      </c>
      <c r="CJ452">
        <v>1</v>
      </c>
      <c r="CK452">
        <v>24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"080066358474"</f>
        <v>080066358474</v>
      </c>
      <c r="F453" s="3">
        <v>45842</v>
      </c>
      <c r="G453">
        <v>202604</v>
      </c>
      <c r="H453" t="s">
        <v>75</v>
      </c>
      <c r="I453" t="s">
        <v>76</v>
      </c>
      <c r="J453" t="s">
        <v>77</v>
      </c>
      <c r="K453" t="s">
        <v>78</v>
      </c>
      <c r="L453" t="s">
        <v>151</v>
      </c>
      <c r="M453" t="s">
        <v>152</v>
      </c>
      <c r="N453" t="s">
        <v>325</v>
      </c>
      <c r="O453" t="s">
        <v>82</v>
      </c>
      <c r="P453" t="str">
        <f>"4170046945                    "</f>
        <v xml:space="preserve">4170046945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22.6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71.2</v>
      </c>
      <c r="BM453">
        <v>10.68</v>
      </c>
      <c r="BN453">
        <v>81.88</v>
      </c>
      <c r="BO453">
        <v>81.88</v>
      </c>
      <c r="BQ453" t="s">
        <v>326</v>
      </c>
      <c r="BR453" t="s">
        <v>84</v>
      </c>
      <c r="BS453" s="3">
        <v>45845</v>
      </c>
      <c r="BT453" s="4">
        <v>0.43333333333333335</v>
      </c>
      <c r="BU453" t="s">
        <v>1140</v>
      </c>
      <c r="BV453" t="s">
        <v>98</v>
      </c>
      <c r="BY453">
        <v>1200</v>
      </c>
      <c r="BZ453" t="s">
        <v>89</v>
      </c>
      <c r="CA453" t="s">
        <v>513</v>
      </c>
      <c r="CC453" t="s">
        <v>152</v>
      </c>
      <c r="CD453" s="5" t="s">
        <v>1141</v>
      </c>
      <c r="CE453" t="s">
        <v>121</v>
      </c>
      <c r="CF453" s="3">
        <v>45845</v>
      </c>
      <c r="CI453">
        <v>1</v>
      </c>
      <c r="CJ453">
        <v>1</v>
      </c>
      <c r="CK453">
        <v>21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"080066358528"</f>
        <v>080066358528</v>
      </c>
      <c r="F454" s="3">
        <v>45842</v>
      </c>
      <c r="G454">
        <v>202604</v>
      </c>
      <c r="H454" t="s">
        <v>75</v>
      </c>
      <c r="I454" t="s">
        <v>76</v>
      </c>
      <c r="J454" t="s">
        <v>77</v>
      </c>
      <c r="K454" t="s">
        <v>78</v>
      </c>
      <c r="L454" t="s">
        <v>122</v>
      </c>
      <c r="M454" t="s">
        <v>123</v>
      </c>
      <c r="N454" t="s">
        <v>1142</v>
      </c>
      <c r="O454" t="s">
        <v>82</v>
      </c>
      <c r="P454" t="str">
        <f>"4170046877                    "</f>
        <v xml:space="preserve">4170046877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22.6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71.2</v>
      </c>
      <c r="BM454">
        <v>10.68</v>
      </c>
      <c r="BN454">
        <v>81.88</v>
      </c>
      <c r="BO454">
        <v>81.88</v>
      </c>
      <c r="BQ454" t="s">
        <v>1143</v>
      </c>
      <c r="BR454" t="s">
        <v>84</v>
      </c>
      <c r="BS454" s="3">
        <v>45845</v>
      </c>
      <c r="BT454" s="4">
        <v>0.39027777777777778</v>
      </c>
      <c r="BU454" t="s">
        <v>1144</v>
      </c>
      <c r="BV454" t="s">
        <v>98</v>
      </c>
      <c r="BY454">
        <v>1200</v>
      </c>
      <c r="BZ454" t="s">
        <v>89</v>
      </c>
      <c r="CA454" t="s">
        <v>270</v>
      </c>
      <c r="CC454" t="s">
        <v>123</v>
      </c>
      <c r="CD454">
        <v>3620</v>
      </c>
      <c r="CE454" t="s">
        <v>121</v>
      </c>
      <c r="CF454" s="3">
        <v>45845</v>
      </c>
      <c r="CI454">
        <v>1</v>
      </c>
      <c r="CJ454">
        <v>1</v>
      </c>
      <c r="CK454">
        <v>21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"080066358582"</f>
        <v>080066358582</v>
      </c>
      <c r="F455" s="3">
        <v>45842</v>
      </c>
      <c r="G455">
        <v>202604</v>
      </c>
      <c r="H455" t="s">
        <v>75</v>
      </c>
      <c r="I455" t="s">
        <v>76</v>
      </c>
      <c r="J455" t="s">
        <v>77</v>
      </c>
      <c r="K455" t="s">
        <v>78</v>
      </c>
      <c r="L455" t="s">
        <v>295</v>
      </c>
      <c r="M455" t="s">
        <v>296</v>
      </c>
      <c r="N455" t="s">
        <v>1145</v>
      </c>
      <c r="O455" t="s">
        <v>82</v>
      </c>
      <c r="P455" t="str">
        <f>"4170046894                    "</f>
        <v xml:space="preserve">4170046894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17.649999999999999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55.61</v>
      </c>
      <c r="BM455">
        <v>8.34</v>
      </c>
      <c r="BN455">
        <v>63.95</v>
      </c>
      <c r="BO455">
        <v>63.95</v>
      </c>
      <c r="BQ455" t="s">
        <v>1146</v>
      </c>
      <c r="BR455" t="s">
        <v>84</v>
      </c>
      <c r="BS455" s="3">
        <v>45845</v>
      </c>
      <c r="BT455" s="4">
        <v>0.3923611111111111</v>
      </c>
      <c r="BU455" t="s">
        <v>1147</v>
      </c>
      <c r="BV455" t="s">
        <v>98</v>
      </c>
      <c r="BY455">
        <v>1200</v>
      </c>
      <c r="BZ455" t="s">
        <v>89</v>
      </c>
      <c r="CA455" t="s">
        <v>1148</v>
      </c>
      <c r="CC455" t="s">
        <v>296</v>
      </c>
      <c r="CD455">
        <v>1460</v>
      </c>
      <c r="CE455" t="s">
        <v>121</v>
      </c>
      <c r="CF455" s="3">
        <v>45846</v>
      </c>
      <c r="CI455">
        <v>1</v>
      </c>
      <c r="CJ455">
        <v>1</v>
      </c>
      <c r="CK455">
        <v>22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"080066358602"</f>
        <v>080066358602</v>
      </c>
      <c r="F456" s="3">
        <v>45842</v>
      </c>
      <c r="G456">
        <v>202604</v>
      </c>
      <c r="H456" t="s">
        <v>75</v>
      </c>
      <c r="I456" t="s">
        <v>76</v>
      </c>
      <c r="J456" t="s">
        <v>77</v>
      </c>
      <c r="K456" t="s">
        <v>78</v>
      </c>
      <c r="L456" t="s">
        <v>277</v>
      </c>
      <c r="M456" t="s">
        <v>278</v>
      </c>
      <c r="N456" t="s">
        <v>279</v>
      </c>
      <c r="O456" t="s">
        <v>82</v>
      </c>
      <c r="P456" t="str">
        <f>"4170046900                    "</f>
        <v xml:space="preserve">4170046900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22.6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71.2</v>
      </c>
      <c r="BM456">
        <v>10.68</v>
      </c>
      <c r="BN456">
        <v>81.88</v>
      </c>
      <c r="BO456">
        <v>81.88</v>
      </c>
      <c r="BQ456" t="s">
        <v>280</v>
      </c>
      <c r="BR456" t="s">
        <v>84</v>
      </c>
      <c r="BS456" s="3">
        <v>45845</v>
      </c>
      <c r="BT456" s="4">
        <v>0.40138888888888891</v>
      </c>
      <c r="BU456" t="s">
        <v>1124</v>
      </c>
      <c r="BV456" t="s">
        <v>98</v>
      </c>
      <c r="BY456">
        <v>1200</v>
      </c>
      <c r="BZ456" t="s">
        <v>108</v>
      </c>
      <c r="CA456" t="s">
        <v>282</v>
      </c>
      <c r="CC456" t="s">
        <v>278</v>
      </c>
      <c r="CD456">
        <v>6230</v>
      </c>
      <c r="CE456" t="s">
        <v>121</v>
      </c>
      <c r="CF456" s="3">
        <v>45845</v>
      </c>
      <c r="CI456">
        <v>1</v>
      </c>
      <c r="CJ456">
        <v>1</v>
      </c>
      <c r="CK456">
        <v>21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"080066358615"</f>
        <v>080066358615</v>
      </c>
      <c r="F457" s="3">
        <v>45842</v>
      </c>
      <c r="G457">
        <v>202604</v>
      </c>
      <c r="H457" t="s">
        <v>75</v>
      </c>
      <c r="I457" t="s">
        <v>76</v>
      </c>
      <c r="J457" t="s">
        <v>77</v>
      </c>
      <c r="K457" t="s">
        <v>78</v>
      </c>
      <c r="L457" t="s">
        <v>146</v>
      </c>
      <c r="M457" t="s">
        <v>146</v>
      </c>
      <c r="N457" t="s">
        <v>986</v>
      </c>
      <c r="O457" t="s">
        <v>82</v>
      </c>
      <c r="P457" t="str">
        <f>"4170046878                    "</f>
        <v xml:space="preserve">4170046878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43.78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137.94</v>
      </c>
      <c r="BM457">
        <v>20.69</v>
      </c>
      <c r="BN457">
        <v>158.63</v>
      </c>
      <c r="BO457">
        <v>158.63</v>
      </c>
      <c r="BQ457" t="s">
        <v>987</v>
      </c>
      <c r="BR457" t="s">
        <v>84</v>
      </c>
      <c r="BS457" s="3">
        <v>45845</v>
      </c>
      <c r="BT457" s="4">
        <v>0.52500000000000002</v>
      </c>
      <c r="BU457" t="s">
        <v>1115</v>
      </c>
      <c r="BV457" t="s">
        <v>98</v>
      </c>
      <c r="BY457">
        <v>1200</v>
      </c>
      <c r="BZ457" t="s">
        <v>108</v>
      </c>
      <c r="CA457" t="s">
        <v>150</v>
      </c>
      <c r="CC457" t="s">
        <v>146</v>
      </c>
      <c r="CD457">
        <v>7646</v>
      </c>
      <c r="CE457" t="s">
        <v>121</v>
      </c>
      <c r="CF457" s="3">
        <v>45846</v>
      </c>
      <c r="CI457">
        <v>1</v>
      </c>
      <c r="CJ457">
        <v>1</v>
      </c>
      <c r="CK457">
        <v>23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"080066358645"</f>
        <v>080066358645</v>
      </c>
      <c r="F458" s="3">
        <v>45842</v>
      </c>
      <c r="G458">
        <v>202604</v>
      </c>
      <c r="H458" t="s">
        <v>75</v>
      </c>
      <c r="I458" t="s">
        <v>76</v>
      </c>
      <c r="J458" t="s">
        <v>77</v>
      </c>
      <c r="K458" t="s">
        <v>78</v>
      </c>
      <c r="L458" t="s">
        <v>135</v>
      </c>
      <c r="M458" t="s">
        <v>136</v>
      </c>
      <c r="N458" t="s">
        <v>1149</v>
      </c>
      <c r="O458" t="s">
        <v>82</v>
      </c>
      <c r="P458" t="str">
        <f>"4170046928                    "</f>
        <v xml:space="preserve">4170046928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22.6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71.2</v>
      </c>
      <c r="BM458">
        <v>10.68</v>
      </c>
      <c r="BN458">
        <v>81.88</v>
      </c>
      <c r="BO458">
        <v>81.88</v>
      </c>
      <c r="BQ458" t="s">
        <v>1150</v>
      </c>
      <c r="BR458" t="s">
        <v>84</v>
      </c>
      <c r="BS458" s="3">
        <v>45845</v>
      </c>
      <c r="BT458" s="4">
        <v>0.41666666666666669</v>
      </c>
      <c r="BU458" t="s">
        <v>899</v>
      </c>
      <c r="BV458" t="s">
        <v>98</v>
      </c>
      <c r="BY458">
        <v>1200</v>
      </c>
      <c r="BZ458" t="s">
        <v>108</v>
      </c>
      <c r="CA458" t="s">
        <v>349</v>
      </c>
      <c r="CC458" t="s">
        <v>136</v>
      </c>
      <c r="CD458">
        <v>3201</v>
      </c>
      <c r="CE458" t="s">
        <v>121</v>
      </c>
      <c r="CF458" s="3">
        <v>45845</v>
      </c>
      <c r="CI458">
        <v>5</v>
      </c>
      <c r="CJ458">
        <v>1</v>
      </c>
      <c r="CK458">
        <v>21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"080066358667"</f>
        <v>080066358667</v>
      </c>
      <c r="F459" s="3">
        <v>45842</v>
      </c>
      <c r="G459">
        <v>202604</v>
      </c>
      <c r="H459" t="s">
        <v>75</v>
      </c>
      <c r="I459" t="s">
        <v>76</v>
      </c>
      <c r="J459" t="s">
        <v>77</v>
      </c>
      <c r="K459" t="s">
        <v>78</v>
      </c>
      <c r="L459" t="s">
        <v>704</v>
      </c>
      <c r="M459" t="s">
        <v>705</v>
      </c>
      <c r="N459" t="s">
        <v>848</v>
      </c>
      <c r="O459" t="s">
        <v>82</v>
      </c>
      <c r="P459" t="str">
        <f>"4170046941                    "</f>
        <v xml:space="preserve">4170046941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43.78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137.94</v>
      </c>
      <c r="BM459">
        <v>20.69</v>
      </c>
      <c r="BN459">
        <v>158.63</v>
      </c>
      <c r="BO459">
        <v>158.63</v>
      </c>
      <c r="BQ459" t="s">
        <v>849</v>
      </c>
      <c r="BR459" t="s">
        <v>84</v>
      </c>
      <c r="BS459" s="3">
        <v>45846</v>
      </c>
      <c r="BT459" s="4">
        <v>0.58750000000000002</v>
      </c>
      <c r="BU459" t="s">
        <v>1151</v>
      </c>
      <c r="BV459" t="s">
        <v>98</v>
      </c>
      <c r="BY459">
        <v>1200</v>
      </c>
      <c r="BZ459" t="s">
        <v>89</v>
      </c>
      <c r="CA459" t="s">
        <v>1152</v>
      </c>
      <c r="CC459" t="s">
        <v>705</v>
      </c>
      <c r="CD459">
        <v>6850</v>
      </c>
      <c r="CE459" t="s">
        <v>121</v>
      </c>
      <c r="CF459" s="3">
        <v>45847</v>
      </c>
      <c r="CI459">
        <v>2</v>
      </c>
      <c r="CJ459">
        <v>2</v>
      </c>
      <c r="CK459">
        <v>23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"080066358681"</f>
        <v>080066358681</v>
      </c>
      <c r="F460" s="3">
        <v>45842</v>
      </c>
      <c r="G460">
        <v>202604</v>
      </c>
      <c r="H460" t="s">
        <v>75</v>
      </c>
      <c r="I460" t="s">
        <v>76</v>
      </c>
      <c r="J460" t="s">
        <v>77</v>
      </c>
      <c r="K460" t="s">
        <v>78</v>
      </c>
      <c r="L460" t="s">
        <v>168</v>
      </c>
      <c r="M460" t="s">
        <v>169</v>
      </c>
      <c r="N460" t="s">
        <v>191</v>
      </c>
      <c r="O460" t="s">
        <v>82</v>
      </c>
      <c r="P460" t="str">
        <f>"4170046937                    "</f>
        <v xml:space="preserve">4170046937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22.6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71.2</v>
      </c>
      <c r="BM460">
        <v>10.68</v>
      </c>
      <c r="BN460">
        <v>81.88</v>
      </c>
      <c r="BO460">
        <v>81.88</v>
      </c>
      <c r="BQ460" t="s">
        <v>192</v>
      </c>
      <c r="BR460" t="s">
        <v>84</v>
      </c>
      <c r="BS460" s="3">
        <v>45845</v>
      </c>
      <c r="BT460" s="4">
        <v>0.43055555555555558</v>
      </c>
      <c r="BU460" t="s">
        <v>1116</v>
      </c>
      <c r="BV460" t="s">
        <v>98</v>
      </c>
      <c r="BY460">
        <v>1200</v>
      </c>
      <c r="BZ460" t="s">
        <v>89</v>
      </c>
      <c r="CA460" t="s">
        <v>196</v>
      </c>
      <c r="CC460" t="s">
        <v>169</v>
      </c>
      <c r="CD460">
        <v>6056</v>
      </c>
      <c r="CE460" t="s">
        <v>121</v>
      </c>
      <c r="CF460" s="3">
        <v>45845</v>
      </c>
      <c r="CI460">
        <v>1</v>
      </c>
      <c r="CJ460">
        <v>1</v>
      </c>
      <c r="CK460">
        <v>21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"080066358706"</f>
        <v>080066358706</v>
      </c>
      <c r="F461" s="3">
        <v>45842</v>
      </c>
      <c r="G461">
        <v>202604</v>
      </c>
      <c r="H461" t="s">
        <v>75</v>
      </c>
      <c r="I461" t="s">
        <v>76</v>
      </c>
      <c r="J461" t="s">
        <v>77</v>
      </c>
      <c r="K461" t="s">
        <v>78</v>
      </c>
      <c r="L461" t="s">
        <v>329</v>
      </c>
      <c r="M461" t="s">
        <v>330</v>
      </c>
      <c r="N461" t="s">
        <v>331</v>
      </c>
      <c r="O461" t="s">
        <v>82</v>
      </c>
      <c r="P461" t="str">
        <f>"4170046948                    "</f>
        <v xml:space="preserve">4170046948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43.78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137.94</v>
      </c>
      <c r="BM461">
        <v>20.69</v>
      </c>
      <c r="BN461">
        <v>158.63</v>
      </c>
      <c r="BO461">
        <v>158.63</v>
      </c>
      <c r="BQ461" t="s">
        <v>332</v>
      </c>
      <c r="BR461" t="s">
        <v>84</v>
      </c>
      <c r="BS461" s="3">
        <v>45845</v>
      </c>
      <c r="BT461" s="4">
        <v>0.53611111111111109</v>
      </c>
      <c r="BU461" t="s">
        <v>527</v>
      </c>
      <c r="BV461" t="s">
        <v>98</v>
      </c>
      <c r="BY461">
        <v>1200</v>
      </c>
      <c r="BZ461" t="s">
        <v>89</v>
      </c>
      <c r="CA461" t="s">
        <v>1153</v>
      </c>
      <c r="CC461" t="s">
        <v>330</v>
      </c>
      <c r="CD461">
        <v>6300</v>
      </c>
      <c r="CE461" t="s">
        <v>121</v>
      </c>
      <c r="CF461" s="3">
        <v>45845</v>
      </c>
      <c r="CI461">
        <v>2</v>
      </c>
      <c r="CJ461">
        <v>1</v>
      </c>
      <c r="CK461">
        <v>23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"080066358726"</f>
        <v>080066358726</v>
      </c>
      <c r="F462" s="3">
        <v>45842</v>
      </c>
      <c r="G462">
        <v>202604</v>
      </c>
      <c r="H462" t="s">
        <v>75</v>
      </c>
      <c r="I462" t="s">
        <v>76</v>
      </c>
      <c r="J462" t="s">
        <v>77</v>
      </c>
      <c r="K462" t="s">
        <v>78</v>
      </c>
      <c r="L462" t="s">
        <v>305</v>
      </c>
      <c r="M462" t="s">
        <v>306</v>
      </c>
      <c r="N462" t="s">
        <v>1154</v>
      </c>
      <c r="O462" t="s">
        <v>95</v>
      </c>
      <c r="P462" t="str">
        <f>"4170046933                    "</f>
        <v xml:space="preserve">4170046933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49.11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17</v>
      </c>
      <c r="BJ462">
        <v>17.7</v>
      </c>
      <c r="BK462">
        <v>18</v>
      </c>
      <c r="BL462">
        <v>160.6</v>
      </c>
      <c r="BM462">
        <v>24.09</v>
      </c>
      <c r="BN462">
        <v>184.69</v>
      </c>
      <c r="BO462">
        <v>184.69</v>
      </c>
      <c r="BQ462" t="s">
        <v>1155</v>
      </c>
      <c r="BR462" t="s">
        <v>84</v>
      </c>
      <c r="BS462" s="3">
        <v>45845</v>
      </c>
      <c r="BT462" s="4">
        <v>0.5</v>
      </c>
      <c r="BU462" t="s">
        <v>1156</v>
      </c>
      <c r="BV462" t="s">
        <v>98</v>
      </c>
      <c r="BY462">
        <v>88320</v>
      </c>
      <c r="BZ462" t="s">
        <v>99</v>
      </c>
      <c r="CA462" t="s">
        <v>1157</v>
      </c>
      <c r="CC462" t="s">
        <v>306</v>
      </c>
      <c r="CD462">
        <v>5201</v>
      </c>
      <c r="CE462" t="s">
        <v>145</v>
      </c>
      <c r="CF462" s="3">
        <v>45846</v>
      </c>
      <c r="CI462">
        <v>3</v>
      </c>
      <c r="CJ462">
        <v>1</v>
      </c>
      <c r="CK462">
        <v>41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"080066358770"</f>
        <v>080066358770</v>
      </c>
      <c r="F463" s="3">
        <v>45842</v>
      </c>
      <c r="G463">
        <v>202604</v>
      </c>
      <c r="H463" t="s">
        <v>75</v>
      </c>
      <c r="I463" t="s">
        <v>76</v>
      </c>
      <c r="J463" t="s">
        <v>77</v>
      </c>
      <c r="K463" t="s">
        <v>78</v>
      </c>
      <c r="L463" t="s">
        <v>75</v>
      </c>
      <c r="M463" t="s">
        <v>76</v>
      </c>
      <c r="N463" t="s">
        <v>1158</v>
      </c>
      <c r="O463" t="s">
        <v>82</v>
      </c>
      <c r="P463" t="str">
        <f>"4170046947                    "</f>
        <v xml:space="preserve">4170046947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17.649999999999999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</v>
      </c>
      <c r="BJ463">
        <v>3.6</v>
      </c>
      <c r="BK463">
        <v>4</v>
      </c>
      <c r="BL463">
        <v>55.61</v>
      </c>
      <c r="BM463">
        <v>8.34</v>
      </c>
      <c r="BN463">
        <v>63.95</v>
      </c>
      <c r="BO463">
        <v>63.95</v>
      </c>
      <c r="BQ463" t="s">
        <v>1159</v>
      </c>
      <c r="BR463" t="s">
        <v>84</v>
      </c>
      <c r="BS463" s="3">
        <v>45845</v>
      </c>
      <c r="BT463" s="4">
        <v>0.41875000000000001</v>
      </c>
      <c r="BU463" t="s">
        <v>1160</v>
      </c>
      <c r="BV463" t="s">
        <v>98</v>
      </c>
      <c r="BY463">
        <v>18000</v>
      </c>
      <c r="BZ463" t="s">
        <v>89</v>
      </c>
      <c r="CA463" t="s">
        <v>304</v>
      </c>
      <c r="CC463" t="s">
        <v>76</v>
      </c>
      <c r="CD463">
        <v>1619</v>
      </c>
      <c r="CE463" t="s">
        <v>91</v>
      </c>
      <c r="CF463" s="3">
        <v>45845</v>
      </c>
      <c r="CI463">
        <v>1</v>
      </c>
      <c r="CJ463">
        <v>1</v>
      </c>
      <c r="CK463">
        <v>22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"080066358809"</f>
        <v>080066358809</v>
      </c>
      <c r="F464" s="3">
        <v>45842</v>
      </c>
      <c r="G464">
        <v>202604</v>
      </c>
      <c r="H464" t="s">
        <v>75</v>
      </c>
      <c r="I464" t="s">
        <v>76</v>
      </c>
      <c r="J464" t="s">
        <v>77</v>
      </c>
      <c r="K464" t="s">
        <v>78</v>
      </c>
      <c r="L464" t="s">
        <v>102</v>
      </c>
      <c r="M464" t="s">
        <v>103</v>
      </c>
      <c r="N464" t="s">
        <v>1161</v>
      </c>
      <c r="O464" t="s">
        <v>82</v>
      </c>
      <c r="P464" t="str">
        <f>"4170046898                    "</f>
        <v xml:space="preserve">4170046898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31.78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1.1000000000000001</v>
      </c>
      <c r="BK464">
        <v>1.5</v>
      </c>
      <c r="BL464">
        <v>100.13</v>
      </c>
      <c r="BM464">
        <v>15.02</v>
      </c>
      <c r="BN464">
        <v>115.15</v>
      </c>
      <c r="BO464">
        <v>115.15</v>
      </c>
      <c r="BQ464" t="s">
        <v>1162</v>
      </c>
      <c r="BR464" t="s">
        <v>84</v>
      </c>
      <c r="BS464" s="3">
        <v>45845</v>
      </c>
      <c r="BT464" s="4">
        <v>0.41666666666666669</v>
      </c>
      <c r="BU464" t="s">
        <v>1163</v>
      </c>
      <c r="BV464" t="s">
        <v>98</v>
      </c>
      <c r="BY464">
        <v>5320</v>
      </c>
      <c r="BZ464" t="s">
        <v>89</v>
      </c>
      <c r="CC464" t="s">
        <v>103</v>
      </c>
      <c r="CD464">
        <v>2499</v>
      </c>
      <c r="CE464" t="s">
        <v>145</v>
      </c>
      <c r="CF464" s="3">
        <v>45845</v>
      </c>
      <c r="CI464">
        <v>1</v>
      </c>
      <c r="CJ464">
        <v>1</v>
      </c>
      <c r="CK464">
        <v>24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"080066358856"</f>
        <v>080066358856</v>
      </c>
      <c r="F465" s="3">
        <v>45842</v>
      </c>
      <c r="G465">
        <v>202604</v>
      </c>
      <c r="H465" t="s">
        <v>75</v>
      </c>
      <c r="I465" t="s">
        <v>76</v>
      </c>
      <c r="J465" t="s">
        <v>77</v>
      </c>
      <c r="K465" t="s">
        <v>78</v>
      </c>
      <c r="L465" t="s">
        <v>79</v>
      </c>
      <c r="M465" t="s">
        <v>80</v>
      </c>
      <c r="N465" t="s">
        <v>1083</v>
      </c>
      <c r="O465" t="s">
        <v>82</v>
      </c>
      <c r="P465" t="str">
        <f>"4170046891                    "</f>
        <v xml:space="preserve">4170046891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22.6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2</v>
      </c>
      <c r="BJ465">
        <v>1.9</v>
      </c>
      <c r="BK465">
        <v>2</v>
      </c>
      <c r="BL465">
        <v>71.2</v>
      </c>
      <c r="BM465">
        <v>10.68</v>
      </c>
      <c r="BN465">
        <v>81.88</v>
      </c>
      <c r="BO465">
        <v>81.88</v>
      </c>
      <c r="BQ465" t="s">
        <v>1084</v>
      </c>
      <c r="BR465" t="s">
        <v>84</v>
      </c>
      <c r="BS465" s="3">
        <v>45845</v>
      </c>
      <c r="BT465" s="4">
        <v>0.40763888888888888</v>
      </c>
      <c r="BU465" t="s">
        <v>378</v>
      </c>
      <c r="BV465" t="s">
        <v>98</v>
      </c>
      <c r="BY465">
        <v>9600</v>
      </c>
      <c r="BZ465" t="s">
        <v>89</v>
      </c>
      <c r="CA465" t="s">
        <v>144</v>
      </c>
      <c r="CC465" t="s">
        <v>80</v>
      </c>
      <c r="CD465">
        <v>8001</v>
      </c>
      <c r="CE465" t="s">
        <v>145</v>
      </c>
      <c r="CF465" s="3">
        <v>45846</v>
      </c>
      <c r="CI465">
        <v>1</v>
      </c>
      <c r="CJ465">
        <v>1</v>
      </c>
      <c r="CK465">
        <v>21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"080066359017"</f>
        <v>080066359017</v>
      </c>
      <c r="F466" s="3">
        <v>45842</v>
      </c>
      <c r="G466">
        <v>202604</v>
      </c>
      <c r="H466" t="s">
        <v>75</v>
      </c>
      <c r="I466" t="s">
        <v>76</v>
      </c>
      <c r="J466" t="s">
        <v>77</v>
      </c>
      <c r="K466" t="s">
        <v>78</v>
      </c>
      <c r="L466" t="s">
        <v>252</v>
      </c>
      <c r="M466" t="s">
        <v>253</v>
      </c>
      <c r="N466" t="s">
        <v>1107</v>
      </c>
      <c r="O466" t="s">
        <v>82</v>
      </c>
      <c r="P466" t="str">
        <f>"4170046902                    "</f>
        <v xml:space="preserve">4170046902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43.78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137.94</v>
      </c>
      <c r="BM466">
        <v>20.69</v>
      </c>
      <c r="BN466">
        <v>158.63</v>
      </c>
      <c r="BO466">
        <v>158.63</v>
      </c>
      <c r="BQ466" t="s">
        <v>1164</v>
      </c>
      <c r="BR466" t="s">
        <v>84</v>
      </c>
      <c r="BS466" s="3">
        <v>45845</v>
      </c>
      <c r="BT466" s="4">
        <v>0.40416666666666667</v>
      </c>
      <c r="BU466" t="s">
        <v>1109</v>
      </c>
      <c r="BV466" t="s">
        <v>98</v>
      </c>
      <c r="BY466">
        <v>1200</v>
      </c>
      <c r="BZ466" t="s">
        <v>89</v>
      </c>
      <c r="CA466" t="s">
        <v>328</v>
      </c>
      <c r="CC466" t="s">
        <v>253</v>
      </c>
      <c r="CD466">
        <v>1947</v>
      </c>
      <c r="CE466" t="s">
        <v>239</v>
      </c>
      <c r="CF466" s="3">
        <v>45846</v>
      </c>
      <c r="CI466">
        <v>1</v>
      </c>
      <c r="CJ466">
        <v>1</v>
      </c>
      <c r="CK466">
        <v>23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"080066359085"</f>
        <v>080066359085</v>
      </c>
      <c r="F467" s="3">
        <v>45842</v>
      </c>
      <c r="G467">
        <v>202604</v>
      </c>
      <c r="H467" t="s">
        <v>75</v>
      </c>
      <c r="I467" t="s">
        <v>76</v>
      </c>
      <c r="J467" t="s">
        <v>77</v>
      </c>
      <c r="K467" t="s">
        <v>78</v>
      </c>
      <c r="L467" t="s">
        <v>79</v>
      </c>
      <c r="M467" t="s">
        <v>80</v>
      </c>
      <c r="N467" t="s">
        <v>286</v>
      </c>
      <c r="O467" t="s">
        <v>82</v>
      </c>
      <c r="P467" t="str">
        <f>"4170046903                    "</f>
        <v xml:space="preserve">4170046903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22.6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71.2</v>
      </c>
      <c r="BM467">
        <v>10.68</v>
      </c>
      <c r="BN467">
        <v>81.88</v>
      </c>
      <c r="BO467">
        <v>81.88</v>
      </c>
      <c r="BQ467" t="s">
        <v>287</v>
      </c>
      <c r="BR467" t="s">
        <v>84</v>
      </c>
      <c r="BS467" s="3">
        <v>45845</v>
      </c>
      <c r="BT467" s="4">
        <v>0.37361111111111112</v>
      </c>
      <c r="BU467" t="s">
        <v>685</v>
      </c>
      <c r="BV467" t="s">
        <v>98</v>
      </c>
      <c r="BY467">
        <v>1200</v>
      </c>
      <c r="BZ467" t="s">
        <v>89</v>
      </c>
      <c r="CA467" t="s">
        <v>289</v>
      </c>
      <c r="CC467" t="s">
        <v>80</v>
      </c>
      <c r="CD467">
        <v>7530</v>
      </c>
      <c r="CE467" t="s">
        <v>239</v>
      </c>
      <c r="CF467" s="3">
        <v>45846</v>
      </c>
      <c r="CI467">
        <v>1</v>
      </c>
      <c r="CJ467">
        <v>1</v>
      </c>
      <c r="CK467">
        <v>21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"080066359107"</f>
        <v>080066359107</v>
      </c>
      <c r="F468" s="3">
        <v>45842</v>
      </c>
      <c r="G468">
        <v>202604</v>
      </c>
      <c r="H468" t="s">
        <v>75</v>
      </c>
      <c r="I468" t="s">
        <v>76</v>
      </c>
      <c r="J468" t="s">
        <v>77</v>
      </c>
      <c r="K468" t="s">
        <v>78</v>
      </c>
      <c r="L468" t="s">
        <v>79</v>
      </c>
      <c r="M468" t="s">
        <v>80</v>
      </c>
      <c r="N468" t="s">
        <v>141</v>
      </c>
      <c r="O468" t="s">
        <v>82</v>
      </c>
      <c r="P468" t="str">
        <f>"4170046906                    "</f>
        <v xml:space="preserve">4170046906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22.6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71.2</v>
      </c>
      <c r="BM468">
        <v>10.68</v>
      </c>
      <c r="BN468">
        <v>81.88</v>
      </c>
      <c r="BO468">
        <v>81.88</v>
      </c>
      <c r="BQ468" t="s">
        <v>142</v>
      </c>
      <c r="BR468" t="s">
        <v>84</v>
      </c>
      <c r="BS468" s="3">
        <v>45845</v>
      </c>
      <c r="BT468" s="4">
        <v>0.3923611111111111</v>
      </c>
      <c r="BU468" t="s">
        <v>143</v>
      </c>
      <c r="BV468" t="s">
        <v>98</v>
      </c>
      <c r="BY468">
        <v>1200</v>
      </c>
      <c r="BZ468" t="s">
        <v>89</v>
      </c>
      <c r="CA468" t="s">
        <v>144</v>
      </c>
      <c r="CC468" t="s">
        <v>80</v>
      </c>
      <c r="CD468">
        <v>7441</v>
      </c>
      <c r="CE468" t="s">
        <v>239</v>
      </c>
      <c r="CF468" s="3">
        <v>45846</v>
      </c>
      <c r="CI468">
        <v>1</v>
      </c>
      <c r="CJ468">
        <v>1</v>
      </c>
      <c r="CK468">
        <v>21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"080066359156"</f>
        <v>080066359156</v>
      </c>
      <c r="F469" s="3">
        <v>45842</v>
      </c>
      <c r="G469">
        <v>202604</v>
      </c>
      <c r="H469" t="s">
        <v>75</v>
      </c>
      <c r="I469" t="s">
        <v>76</v>
      </c>
      <c r="J469" t="s">
        <v>77</v>
      </c>
      <c r="K469" t="s">
        <v>78</v>
      </c>
      <c r="L469" t="s">
        <v>240</v>
      </c>
      <c r="M469" t="s">
        <v>241</v>
      </c>
      <c r="N469" t="s">
        <v>1165</v>
      </c>
      <c r="O469" t="s">
        <v>82</v>
      </c>
      <c r="P469" t="str">
        <f>"4170046919                    "</f>
        <v xml:space="preserve">4170046919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17.649999999999999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55.61</v>
      </c>
      <c r="BM469">
        <v>8.34</v>
      </c>
      <c r="BN469">
        <v>63.95</v>
      </c>
      <c r="BO469">
        <v>63.95</v>
      </c>
      <c r="BQ469" t="s">
        <v>1166</v>
      </c>
      <c r="BR469" t="s">
        <v>84</v>
      </c>
      <c r="BS469" s="3">
        <v>45845</v>
      </c>
      <c r="BT469" s="4">
        <v>0.36458333333333331</v>
      </c>
      <c r="BU469" t="s">
        <v>1167</v>
      </c>
      <c r="BV469" t="s">
        <v>98</v>
      </c>
      <c r="BY469">
        <v>1200</v>
      </c>
      <c r="BZ469" t="s">
        <v>89</v>
      </c>
      <c r="CA469" t="s">
        <v>397</v>
      </c>
      <c r="CC469" t="s">
        <v>241</v>
      </c>
      <c r="CD469">
        <v>2042</v>
      </c>
      <c r="CE469" t="s">
        <v>239</v>
      </c>
      <c r="CF469" s="3">
        <v>45846</v>
      </c>
      <c r="CI469">
        <v>1</v>
      </c>
      <c r="CJ469">
        <v>1</v>
      </c>
      <c r="CK469">
        <v>22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"080066359172"</f>
        <v>080066359172</v>
      </c>
      <c r="F470" s="3">
        <v>45842</v>
      </c>
      <c r="G470">
        <v>202604</v>
      </c>
      <c r="H470" t="s">
        <v>75</v>
      </c>
      <c r="I470" t="s">
        <v>76</v>
      </c>
      <c r="J470" t="s">
        <v>77</v>
      </c>
      <c r="K470" t="s">
        <v>78</v>
      </c>
      <c r="L470" t="s">
        <v>135</v>
      </c>
      <c r="M470" t="s">
        <v>136</v>
      </c>
      <c r="N470" t="s">
        <v>416</v>
      </c>
      <c r="O470" t="s">
        <v>82</v>
      </c>
      <c r="P470" t="str">
        <f>"4170046901                    "</f>
        <v xml:space="preserve">4170046901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22.6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71.2</v>
      </c>
      <c r="BM470">
        <v>10.68</v>
      </c>
      <c r="BN470">
        <v>81.88</v>
      </c>
      <c r="BO470">
        <v>81.88</v>
      </c>
      <c r="BQ470" t="s">
        <v>417</v>
      </c>
      <c r="BR470" t="s">
        <v>84</v>
      </c>
      <c r="BS470" s="3">
        <v>45845</v>
      </c>
      <c r="BT470" s="4">
        <v>0.62569444444444444</v>
      </c>
      <c r="BU470" t="s">
        <v>1168</v>
      </c>
      <c r="BV470" t="s">
        <v>86</v>
      </c>
      <c r="BY470">
        <v>1200</v>
      </c>
      <c r="BZ470" t="s">
        <v>89</v>
      </c>
      <c r="CA470" t="s">
        <v>1169</v>
      </c>
      <c r="CC470" t="s">
        <v>136</v>
      </c>
      <c r="CD470">
        <v>3201</v>
      </c>
      <c r="CE470" t="s">
        <v>1170</v>
      </c>
      <c r="CF470" s="3">
        <v>45845</v>
      </c>
      <c r="CI470">
        <v>1</v>
      </c>
      <c r="CJ470">
        <v>1</v>
      </c>
      <c r="CK470">
        <v>21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"080066359197"</f>
        <v>080066359197</v>
      </c>
      <c r="F471" s="3">
        <v>45842</v>
      </c>
      <c r="G471">
        <v>202604</v>
      </c>
      <c r="H471" t="s">
        <v>75</v>
      </c>
      <c r="I471" t="s">
        <v>76</v>
      </c>
      <c r="J471" t="s">
        <v>77</v>
      </c>
      <c r="K471" t="s">
        <v>78</v>
      </c>
      <c r="L471" t="s">
        <v>75</v>
      </c>
      <c r="M471" t="s">
        <v>76</v>
      </c>
      <c r="N471" t="s">
        <v>562</v>
      </c>
      <c r="O471" t="s">
        <v>82</v>
      </c>
      <c r="P471" t="str">
        <f>"4170046881                    "</f>
        <v xml:space="preserve">4170046881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17.649999999999999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55.61</v>
      </c>
      <c r="BM471">
        <v>8.34</v>
      </c>
      <c r="BN471">
        <v>63.95</v>
      </c>
      <c r="BO471">
        <v>63.95</v>
      </c>
      <c r="BQ471" t="s">
        <v>563</v>
      </c>
      <c r="BR471" t="s">
        <v>84</v>
      </c>
      <c r="BS471" s="3">
        <v>45845</v>
      </c>
      <c r="BT471" s="4">
        <v>0.37986111111111109</v>
      </c>
      <c r="BU471" t="s">
        <v>564</v>
      </c>
      <c r="BV471" t="s">
        <v>98</v>
      </c>
      <c r="BY471">
        <v>1200</v>
      </c>
      <c r="BZ471" t="s">
        <v>89</v>
      </c>
      <c r="CA471" t="s">
        <v>565</v>
      </c>
      <c r="CC471" t="s">
        <v>76</v>
      </c>
      <c r="CD471">
        <v>1619</v>
      </c>
      <c r="CE471" t="s">
        <v>239</v>
      </c>
      <c r="CF471" s="3">
        <v>45845</v>
      </c>
      <c r="CI471">
        <v>1</v>
      </c>
      <c r="CJ471">
        <v>1</v>
      </c>
      <c r="CK471">
        <v>22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"080066359214"</f>
        <v>080066359214</v>
      </c>
      <c r="F472" s="3">
        <v>45842</v>
      </c>
      <c r="G472">
        <v>202604</v>
      </c>
      <c r="H472" t="s">
        <v>75</v>
      </c>
      <c r="I472" t="s">
        <v>76</v>
      </c>
      <c r="J472" t="s">
        <v>77</v>
      </c>
      <c r="K472" t="s">
        <v>78</v>
      </c>
      <c r="L472" t="s">
        <v>79</v>
      </c>
      <c r="M472" t="s">
        <v>80</v>
      </c>
      <c r="N472" t="s">
        <v>141</v>
      </c>
      <c r="O472" t="s">
        <v>82</v>
      </c>
      <c r="P472" t="str">
        <f>"4170046926                    "</f>
        <v xml:space="preserve">4170046926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22.6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71.2</v>
      </c>
      <c r="BM472">
        <v>10.68</v>
      </c>
      <c r="BN472">
        <v>81.88</v>
      </c>
      <c r="BO472">
        <v>81.88</v>
      </c>
      <c r="BQ472" t="s">
        <v>142</v>
      </c>
      <c r="BR472" t="s">
        <v>84</v>
      </c>
      <c r="BS472" s="3">
        <v>45845</v>
      </c>
      <c r="BT472" s="4">
        <v>0.3923611111111111</v>
      </c>
      <c r="BU472" t="s">
        <v>143</v>
      </c>
      <c r="BV472" t="s">
        <v>98</v>
      </c>
      <c r="BY472">
        <v>1200</v>
      </c>
      <c r="BZ472" t="s">
        <v>89</v>
      </c>
      <c r="CA472" t="s">
        <v>144</v>
      </c>
      <c r="CC472" t="s">
        <v>80</v>
      </c>
      <c r="CD472">
        <v>7441</v>
      </c>
      <c r="CE472" t="s">
        <v>239</v>
      </c>
      <c r="CF472" s="3">
        <v>45846</v>
      </c>
      <c r="CI472">
        <v>1</v>
      </c>
      <c r="CJ472">
        <v>1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"080066359228"</f>
        <v>080066359228</v>
      </c>
      <c r="F473" s="3">
        <v>45842</v>
      </c>
      <c r="G473">
        <v>202604</v>
      </c>
      <c r="H473" t="s">
        <v>75</v>
      </c>
      <c r="I473" t="s">
        <v>76</v>
      </c>
      <c r="J473" t="s">
        <v>77</v>
      </c>
      <c r="K473" t="s">
        <v>78</v>
      </c>
      <c r="L473" t="s">
        <v>92</v>
      </c>
      <c r="M473" t="s">
        <v>93</v>
      </c>
      <c r="N473" t="s">
        <v>1171</v>
      </c>
      <c r="O473" t="s">
        <v>82</v>
      </c>
      <c r="P473" t="str">
        <f>"4170046984                    "</f>
        <v xml:space="preserve">4170046984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22.6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71.2</v>
      </c>
      <c r="BM473">
        <v>10.68</v>
      </c>
      <c r="BN473">
        <v>81.88</v>
      </c>
      <c r="BO473">
        <v>81.88</v>
      </c>
      <c r="BQ473" t="s">
        <v>1172</v>
      </c>
      <c r="BR473" t="s">
        <v>84</v>
      </c>
      <c r="BS473" s="3">
        <v>45845</v>
      </c>
      <c r="BT473" s="4">
        <v>0.49027777777777776</v>
      </c>
      <c r="BU473" t="s">
        <v>1173</v>
      </c>
      <c r="BV473" t="s">
        <v>86</v>
      </c>
      <c r="BW473" t="s">
        <v>194</v>
      </c>
      <c r="BX473" t="s">
        <v>1174</v>
      </c>
      <c r="BY473">
        <v>1200</v>
      </c>
      <c r="BZ473" t="s">
        <v>89</v>
      </c>
      <c r="CA473" t="s">
        <v>1175</v>
      </c>
      <c r="CC473" t="s">
        <v>93</v>
      </c>
      <c r="CD473">
        <v>4068</v>
      </c>
      <c r="CE473" t="s">
        <v>239</v>
      </c>
      <c r="CF473" s="3">
        <v>45845</v>
      </c>
      <c r="CI473">
        <v>1</v>
      </c>
      <c r="CJ473">
        <v>1</v>
      </c>
      <c r="CK473">
        <v>21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"080066359246"</f>
        <v>080066359246</v>
      </c>
      <c r="F474" s="3">
        <v>45842</v>
      </c>
      <c r="G474">
        <v>202604</v>
      </c>
      <c r="H474" t="s">
        <v>75</v>
      </c>
      <c r="I474" t="s">
        <v>76</v>
      </c>
      <c r="J474" t="s">
        <v>77</v>
      </c>
      <c r="K474" t="s">
        <v>78</v>
      </c>
      <c r="L474" t="s">
        <v>146</v>
      </c>
      <c r="M474" t="s">
        <v>146</v>
      </c>
      <c r="N474" t="s">
        <v>1134</v>
      </c>
      <c r="O474" t="s">
        <v>82</v>
      </c>
      <c r="P474" t="str">
        <f>"4170046908                    "</f>
        <v xml:space="preserve">4170046908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43.78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137.94</v>
      </c>
      <c r="BM474">
        <v>20.69</v>
      </c>
      <c r="BN474">
        <v>158.63</v>
      </c>
      <c r="BO474">
        <v>158.63</v>
      </c>
      <c r="BQ474" t="s">
        <v>1135</v>
      </c>
      <c r="BR474" t="s">
        <v>84</v>
      </c>
      <c r="BS474" s="3">
        <v>45845</v>
      </c>
      <c r="BT474" s="4">
        <v>0.52777777777777779</v>
      </c>
      <c r="BU474" t="s">
        <v>1136</v>
      </c>
      <c r="BV474" t="s">
        <v>98</v>
      </c>
      <c r="BY474">
        <v>1200</v>
      </c>
      <c r="BZ474" t="s">
        <v>89</v>
      </c>
      <c r="CA474" t="s">
        <v>150</v>
      </c>
      <c r="CC474" t="s">
        <v>146</v>
      </c>
      <c r="CD474">
        <v>7646</v>
      </c>
      <c r="CE474" t="s">
        <v>239</v>
      </c>
      <c r="CF474" s="3">
        <v>45846</v>
      </c>
      <c r="CI474">
        <v>1</v>
      </c>
      <c r="CJ474">
        <v>1</v>
      </c>
      <c r="CK474">
        <v>23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"080066359268"</f>
        <v>080066359268</v>
      </c>
      <c r="F475" s="3">
        <v>45842</v>
      </c>
      <c r="G475">
        <v>202604</v>
      </c>
      <c r="H475" t="s">
        <v>75</v>
      </c>
      <c r="I475" t="s">
        <v>76</v>
      </c>
      <c r="J475" t="s">
        <v>77</v>
      </c>
      <c r="K475" t="s">
        <v>78</v>
      </c>
      <c r="L475" t="s">
        <v>75</v>
      </c>
      <c r="M475" t="s">
        <v>76</v>
      </c>
      <c r="N475" t="s">
        <v>562</v>
      </c>
      <c r="O475" t="s">
        <v>82</v>
      </c>
      <c r="P475" t="str">
        <f>"4170046892                    "</f>
        <v xml:space="preserve">4170046892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17.649999999999999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55.61</v>
      </c>
      <c r="BM475">
        <v>8.34</v>
      </c>
      <c r="BN475">
        <v>63.95</v>
      </c>
      <c r="BO475">
        <v>63.95</v>
      </c>
      <c r="BQ475" t="s">
        <v>563</v>
      </c>
      <c r="BR475" t="s">
        <v>84</v>
      </c>
      <c r="BS475" s="3">
        <v>45845</v>
      </c>
      <c r="BT475" s="4">
        <v>0.37986111111111109</v>
      </c>
      <c r="BU475" t="s">
        <v>564</v>
      </c>
      <c r="BV475" t="s">
        <v>98</v>
      </c>
      <c r="BY475">
        <v>1200</v>
      </c>
      <c r="BZ475" t="s">
        <v>89</v>
      </c>
      <c r="CA475" t="s">
        <v>565</v>
      </c>
      <c r="CC475" t="s">
        <v>76</v>
      </c>
      <c r="CD475">
        <v>1619</v>
      </c>
      <c r="CE475" t="s">
        <v>239</v>
      </c>
      <c r="CF475" s="3">
        <v>45845</v>
      </c>
      <c r="CI475">
        <v>1</v>
      </c>
      <c r="CJ475">
        <v>1</v>
      </c>
      <c r="CK475">
        <v>22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"080066359279"</f>
        <v>080066359279</v>
      </c>
      <c r="F476" s="3">
        <v>45842</v>
      </c>
      <c r="G476">
        <v>202604</v>
      </c>
      <c r="H476" t="s">
        <v>75</v>
      </c>
      <c r="I476" t="s">
        <v>76</v>
      </c>
      <c r="J476" t="s">
        <v>77</v>
      </c>
      <c r="K476" t="s">
        <v>78</v>
      </c>
      <c r="L476" t="s">
        <v>122</v>
      </c>
      <c r="M476" t="s">
        <v>123</v>
      </c>
      <c r="N476" t="s">
        <v>1176</v>
      </c>
      <c r="O476" t="s">
        <v>82</v>
      </c>
      <c r="P476" t="str">
        <f>"4170046923                    "</f>
        <v xml:space="preserve">4170046923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22.6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71.2</v>
      </c>
      <c r="BM476">
        <v>10.68</v>
      </c>
      <c r="BN476">
        <v>81.88</v>
      </c>
      <c r="BO476">
        <v>81.88</v>
      </c>
      <c r="BQ476" t="s">
        <v>1177</v>
      </c>
      <c r="BR476" t="s">
        <v>84</v>
      </c>
      <c r="BS476" s="3">
        <v>45845</v>
      </c>
      <c r="BT476" s="4">
        <v>0.42777777777777776</v>
      </c>
      <c r="BU476" t="s">
        <v>1178</v>
      </c>
      <c r="BV476" t="s">
        <v>98</v>
      </c>
      <c r="BY476">
        <v>1200</v>
      </c>
      <c r="BZ476" t="s">
        <v>89</v>
      </c>
      <c r="CA476" t="s">
        <v>187</v>
      </c>
      <c r="CC476" t="s">
        <v>123</v>
      </c>
      <c r="CD476">
        <v>3610</v>
      </c>
      <c r="CE476" t="s">
        <v>239</v>
      </c>
      <c r="CF476" s="3">
        <v>45845</v>
      </c>
      <c r="CI476">
        <v>1</v>
      </c>
      <c r="CJ476">
        <v>1</v>
      </c>
      <c r="CK476">
        <v>21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"080066359291"</f>
        <v>080066359291</v>
      </c>
      <c r="F477" s="3">
        <v>45842</v>
      </c>
      <c r="G477">
        <v>202604</v>
      </c>
      <c r="H477" t="s">
        <v>75</v>
      </c>
      <c r="I477" t="s">
        <v>76</v>
      </c>
      <c r="J477" t="s">
        <v>77</v>
      </c>
      <c r="K477" t="s">
        <v>78</v>
      </c>
      <c r="L477" t="s">
        <v>295</v>
      </c>
      <c r="M477" t="s">
        <v>296</v>
      </c>
      <c r="N477" t="s">
        <v>1063</v>
      </c>
      <c r="O477" t="s">
        <v>82</v>
      </c>
      <c r="P477" t="str">
        <f>"4170046873                    "</f>
        <v xml:space="preserve">4170046873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17.649999999999999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55.61</v>
      </c>
      <c r="BM477">
        <v>8.34</v>
      </c>
      <c r="BN477">
        <v>63.95</v>
      </c>
      <c r="BO477">
        <v>63.95</v>
      </c>
      <c r="BQ477" t="s">
        <v>1064</v>
      </c>
      <c r="BR477" t="s">
        <v>84</v>
      </c>
      <c r="BS477" s="3">
        <v>45845</v>
      </c>
      <c r="BT477" s="4">
        <v>0.30972222222222223</v>
      </c>
      <c r="BU477" t="s">
        <v>1179</v>
      </c>
      <c r="BV477" t="s">
        <v>98</v>
      </c>
      <c r="BY477">
        <v>1200</v>
      </c>
      <c r="BZ477" t="s">
        <v>89</v>
      </c>
      <c r="CA477" t="s">
        <v>300</v>
      </c>
      <c r="CC477" t="s">
        <v>296</v>
      </c>
      <c r="CD477">
        <v>1459</v>
      </c>
      <c r="CE477" t="s">
        <v>239</v>
      </c>
      <c r="CF477" s="3">
        <v>45846</v>
      </c>
      <c r="CI477">
        <v>1</v>
      </c>
      <c r="CJ477">
        <v>1</v>
      </c>
      <c r="CK477">
        <v>22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"080066359311"</f>
        <v>080066359311</v>
      </c>
      <c r="F478" s="3">
        <v>45842</v>
      </c>
      <c r="G478">
        <v>202604</v>
      </c>
      <c r="H478" t="s">
        <v>75</v>
      </c>
      <c r="I478" t="s">
        <v>76</v>
      </c>
      <c r="J478" t="s">
        <v>77</v>
      </c>
      <c r="K478" t="s">
        <v>78</v>
      </c>
      <c r="L478" t="s">
        <v>151</v>
      </c>
      <c r="M478" t="s">
        <v>152</v>
      </c>
      <c r="N478" t="s">
        <v>713</v>
      </c>
      <c r="O478" t="s">
        <v>82</v>
      </c>
      <c r="P478" t="str">
        <f>"4170046886                    "</f>
        <v xml:space="preserve">4170046886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22.6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71.2</v>
      </c>
      <c r="BM478">
        <v>10.68</v>
      </c>
      <c r="BN478">
        <v>81.88</v>
      </c>
      <c r="BO478">
        <v>81.88</v>
      </c>
      <c r="BQ478" t="s">
        <v>714</v>
      </c>
      <c r="BR478" t="s">
        <v>84</v>
      </c>
      <c r="BS478" s="3">
        <v>45845</v>
      </c>
      <c r="BT478" s="4">
        <v>0.3888888888888889</v>
      </c>
      <c r="BU478" t="s">
        <v>715</v>
      </c>
      <c r="BV478" t="s">
        <v>98</v>
      </c>
      <c r="BY478">
        <v>1200</v>
      </c>
      <c r="BZ478" t="s">
        <v>89</v>
      </c>
      <c r="CA478" t="s">
        <v>716</v>
      </c>
      <c r="CC478" t="s">
        <v>152</v>
      </c>
      <c r="CD478" s="5" t="s">
        <v>717</v>
      </c>
      <c r="CE478" t="s">
        <v>239</v>
      </c>
      <c r="CF478" s="3">
        <v>45845</v>
      </c>
      <c r="CI478">
        <v>1</v>
      </c>
      <c r="CJ478">
        <v>1</v>
      </c>
      <c r="CK478">
        <v>21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"080066359323"</f>
        <v>080066359323</v>
      </c>
      <c r="F479" s="3">
        <v>45842</v>
      </c>
      <c r="G479">
        <v>202604</v>
      </c>
      <c r="H479" t="s">
        <v>75</v>
      </c>
      <c r="I479" t="s">
        <v>76</v>
      </c>
      <c r="J479" t="s">
        <v>77</v>
      </c>
      <c r="K479" t="s">
        <v>78</v>
      </c>
      <c r="L479" t="s">
        <v>168</v>
      </c>
      <c r="M479" t="s">
        <v>169</v>
      </c>
      <c r="N479" t="s">
        <v>412</v>
      </c>
      <c r="O479" t="s">
        <v>82</v>
      </c>
      <c r="P479" t="str">
        <f>"4170046907                    "</f>
        <v xml:space="preserve">4170046907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22.6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71.2</v>
      </c>
      <c r="BM479">
        <v>10.68</v>
      </c>
      <c r="BN479">
        <v>81.88</v>
      </c>
      <c r="BO479">
        <v>81.88</v>
      </c>
      <c r="BQ479" t="s">
        <v>413</v>
      </c>
      <c r="BR479" t="s">
        <v>84</v>
      </c>
      <c r="BS479" s="3">
        <v>45845</v>
      </c>
      <c r="BT479" s="4">
        <v>0.38055555555555554</v>
      </c>
      <c r="BU479" t="s">
        <v>470</v>
      </c>
      <c r="BV479" t="s">
        <v>98</v>
      </c>
      <c r="BY479">
        <v>1200</v>
      </c>
      <c r="BZ479" t="s">
        <v>89</v>
      </c>
      <c r="CA479" t="s">
        <v>415</v>
      </c>
      <c r="CC479" t="s">
        <v>169</v>
      </c>
      <c r="CD479">
        <v>6001</v>
      </c>
      <c r="CE479" t="s">
        <v>239</v>
      </c>
      <c r="CF479" s="3">
        <v>45845</v>
      </c>
      <c r="CI479">
        <v>1</v>
      </c>
      <c r="CJ479">
        <v>1</v>
      </c>
      <c r="CK479">
        <v>21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"080066359362"</f>
        <v>080066359362</v>
      </c>
      <c r="F480" s="3">
        <v>45842</v>
      </c>
      <c r="G480">
        <v>202604</v>
      </c>
      <c r="H480" t="s">
        <v>75</v>
      </c>
      <c r="I480" t="s">
        <v>76</v>
      </c>
      <c r="J480" t="s">
        <v>77</v>
      </c>
      <c r="K480" t="s">
        <v>78</v>
      </c>
      <c r="L480" t="s">
        <v>452</v>
      </c>
      <c r="M480" t="s">
        <v>453</v>
      </c>
      <c r="N480" t="s">
        <v>1180</v>
      </c>
      <c r="O480" t="s">
        <v>82</v>
      </c>
      <c r="P480" t="str">
        <f>"4170046893                    "</f>
        <v xml:space="preserve">4170046893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17.649999999999999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55.61</v>
      </c>
      <c r="BM480">
        <v>8.34</v>
      </c>
      <c r="BN480">
        <v>63.95</v>
      </c>
      <c r="BO480">
        <v>63.95</v>
      </c>
      <c r="BQ480" t="s">
        <v>1181</v>
      </c>
      <c r="BR480" t="s">
        <v>84</v>
      </c>
      <c r="BS480" s="3">
        <v>45845</v>
      </c>
      <c r="BT480" s="4">
        <v>0.44583333333333336</v>
      </c>
      <c r="BU480" t="s">
        <v>1182</v>
      </c>
      <c r="BV480" t="s">
        <v>98</v>
      </c>
      <c r="BY480">
        <v>1200</v>
      </c>
      <c r="BZ480" t="s">
        <v>89</v>
      </c>
      <c r="CA480" t="s">
        <v>1183</v>
      </c>
      <c r="CC480" t="s">
        <v>453</v>
      </c>
      <c r="CD480">
        <v>1559</v>
      </c>
      <c r="CE480" t="s">
        <v>239</v>
      </c>
      <c r="CF480" s="3">
        <v>45846</v>
      </c>
      <c r="CI480">
        <v>1</v>
      </c>
      <c r="CJ480">
        <v>1</v>
      </c>
      <c r="CK480">
        <v>22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"080066359387"</f>
        <v>080066359387</v>
      </c>
      <c r="F481" s="3">
        <v>45842</v>
      </c>
      <c r="G481">
        <v>202604</v>
      </c>
      <c r="H481" t="s">
        <v>75</v>
      </c>
      <c r="I481" t="s">
        <v>76</v>
      </c>
      <c r="J481" t="s">
        <v>77</v>
      </c>
      <c r="K481" t="s">
        <v>78</v>
      </c>
      <c r="L481" t="s">
        <v>79</v>
      </c>
      <c r="M481" t="s">
        <v>80</v>
      </c>
      <c r="N481" t="s">
        <v>1083</v>
      </c>
      <c r="O481" t="s">
        <v>82</v>
      </c>
      <c r="P481" t="str">
        <f>"4170046934                    "</f>
        <v xml:space="preserve">4170046934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22.6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1.2</v>
      </c>
      <c r="BK481">
        <v>1.5</v>
      </c>
      <c r="BL481">
        <v>71.2</v>
      </c>
      <c r="BM481">
        <v>10.68</v>
      </c>
      <c r="BN481">
        <v>81.88</v>
      </c>
      <c r="BO481">
        <v>81.88</v>
      </c>
      <c r="BQ481" t="s">
        <v>1084</v>
      </c>
      <c r="BR481" t="s">
        <v>84</v>
      </c>
      <c r="BS481" s="3">
        <v>45845</v>
      </c>
      <c r="BT481" s="4">
        <v>0.40763888888888888</v>
      </c>
      <c r="BU481" t="s">
        <v>378</v>
      </c>
      <c r="BV481" t="s">
        <v>98</v>
      </c>
      <c r="BY481">
        <v>5900</v>
      </c>
      <c r="BZ481" t="s">
        <v>89</v>
      </c>
      <c r="CA481" t="s">
        <v>144</v>
      </c>
      <c r="CC481" t="s">
        <v>80</v>
      </c>
      <c r="CD481">
        <v>8001</v>
      </c>
      <c r="CE481" t="s">
        <v>91</v>
      </c>
      <c r="CF481" s="3">
        <v>45846</v>
      </c>
      <c r="CI481">
        <v>1</v>
      </c>
      <c r="CJ481">
        <v>1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"080066359399"</f>
        <v>080066359399</v>
      </c>
      <c r="F482" s="3">
        <v>45842</v>
      </c>
      <c r="G482">
        <v>202604</v>
      </c>
      <c r="H482" t="s">
        <v>75</v>
      </c>
      <c r="I482" t="s">
        <v>76</v>
      </c>
      <c r="J482" t="s">
        <v>77</v>
      </c>
      <c r="K482" t="s">
        <v>78</v>
      </c>
      <c r="L482" t="s">
        <v>79</v>
      </c>
      <c r="M482" t="s">
        <v>80</v>
      </c>
      <c r="N482" t="s">
        <v>141</v>
      </c>
      <c r="O482" t="s">
        <v>82</v>
      </c>
      <c r="P482" t="str">
        <f>"4170046897                    "</f>
        <v xml:space="preserve">4170046897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22.6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1.1000000000000001</v>
      </c>
      <c r="BK482">
        <v>2</v>
      </c>
      <c r="BL482">
        <v>71.2</v>
      </c>
      <c r="BM482">
        <v>10.68</v>
      </c>
      <c r="BN482">
        <v>81.88</v>
      </c>
      <c r="BO482">
        <v>81.88</v>
      </c>
      <c r="BQ482" t="s">
        <v>142</v>
      </c>
      <c r="BR482" t="s">
        <v>84</v>
      </c>
      <c r="BS482" s="3">
        <v>45845</v>
      </c>
      <c r="BT482" s="4">
        <v>0.3923611111111111</v>
      </c>
      <c r="BU482" t="s">
        <v>143</v>
      </c>
      <c r="BV482" t="s">
        <v>98</v>
      </c>
      <c r="BY482">
        <v>5320</v>
      </c>
      <c r="BZ482" t="s">
        <v>89</v>
      </c>
      <c r="CA482" t="s">
        <v>144</v>
      </c>
      <c r="CC482" t="s">
        <v>80</v>
      </c>
      <c r="CD482">
        <v>7441</v>
      </c>
      <c r="CE482" t="s">
        <v>117</v>
      </c>
      <c r="CF482" s="3">
        <v>45846</v>
      </c>
      <c r="CI482">
        <v>1</v>
      </c>
      <c r="CJ482">
        <v>1</v>
      </c>
      <c r="CK482">
        <v>21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"080066359424"</f>
        <v>080066359424</v>
      </c>
      <c r="F483" s="3">
        <v>45842</v>
      </c>
      <c r="G483">
        <v>202604</v>
      </c>
      <c r="H483" t="s">
        <v>75</v>
      </c>
      <c r="I483" t="s">
        <v>76</v>
      </c>
      <c r="J483" t="s">
        <v>77</v>
      </c>
      <c r="K483" t="s">
        <v>78</v>
      </c>
      <c r="L483" t="s">
        <v>221</v>
      </c>
      <c r="M483" t="s">
        <v>222</v>
      </c>
      <c r="N483" t="s">
        <v>223</v>
      </c>
      <c r="O483" t="s">
        <v>82</v>
      </c>
      <c r="P483" t="str">
        <f>"4170046896                    "</f>
        <v xml:space="preserve">4170046896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63.56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16.739999999999998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3</v>
      </c>
      <c r="BJ483">
        <v>1.9</v>
      </c>
      <c r="BK483">
        <v>3</v>
      </c>
      <c r="BL483">
        <v>216.98</v>
      </c>
      <c r="BM483">
        <v>32.549999999999997</v>
      </c>
      <c r="BN483">
        <v>249.53</v>
      </c>
      <c r="BO483">
        <v>249.53</v>
      </c>
      <c r="BQ483" t="s">
        <v>224</v>
      </c>
      <c r="BR483" t="s">
        <v>84</v>
      </c>
      <c r="BS483" s="3">
        <v>45846</v>
      </c>
      <c r="BT483" s="4">
        <v>0.33333333333333331</v>
      </c>
      <c r="BU483" t="s">
        <v>225</v>
      </c>
      <c r="BV483" t="s">
        <v>98</v>
      </c>
      <c r="BY483">
        <v>9600</v>
      </c>
      <c r="BZ483" t="s">
        <v>460</v>
      </c>
      <c r="CC483" t="s">
        <v>222</v>
      </c>
      <c r="CD483">
        <v>2716</v>
      </c>
      <c r="CE483" t="s">
        <v>117</v>
      </c>
      <c r="CF483" s="3">
        <v>45847</v>
      </c>
      <c r="CI483">
        <v>5</v>
      </c>
      <c r="CJ483">
        <v>2</v>
      </c>
      <c r="CK483">
        <v>23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"080066359445"</f>
        <v>080066359445</v>
      </c>
      <c r="F484" s="3">
        <v>45842</v>
      </c>
      <c r="G484">
        <v>202604</v>
      </c>
      <c r="H484" t="s">
        <v>75</v>
      </c>
      <c r="I484" t="s">
        <v>76</v>
      </c>
      <c r="J484" t="s">
        <v>77</v>
      </c>
      <c r="K484" t="s">
        <v>78</v>
      </c>
      <c r="L484" t="s">
        <v>79</v>
      </c>
      <c r="M484" t="s">
        <v>80</v>
      </c>
      <c r="N484" t="s">
        <v>1083</v>
      </c>
      <c r="O484" t="s">
        <v>82</v>
      </c>
      <c r="P484" t="str">
        <f>"4170046904                    "</f>
        <v xml:space="preserve">4170046904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22.6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1.9</v>
      </c>
      <c r="BK484">
        <v>2</v>
      </c>
      <c r="BL484">
        <v>71.2</v>
      </c>
      <c r="BM484">
        <v>10.68</v>
      </c>
      <c r="BN484">
        <v>81.88</v>
      </c>
      <c r="BO484">
        <v>81.88</v>
      </c>
      <c r="BQ484" t="s">
        <v>1084</v>
      </c>
      <c r="BR484" t="s">
        <v>84</v>
      </c>
      <c r="BS484" s="3">
        <v>45846</v>
      </c>
      <c r="BT484" s="4">
        <v>0.41805555555555557</v>
      </c>
      <c r="BU484" t="s">
        <v>1184</v>
      </c>
      <c r="BV484" t="s">
        <v>86</v>
      </c>
      <c r="BW484" t="s">
        <v>87</v>
      </c>
      <c r="BX484" t="s">
        <v>1185</v>
      </c>
      <c r="BY484">
        <v>9600</v>
      </c>
      <c r="BZ484" t="s">
        <v>89</v>
      </c>
      <c r="CC484" t="s">
        <v>80</v>
      </c>
      <c r="CD484">
        <v>8001</v>
      </c>
      <c r="CE484" t="s">
        <v>117</v>
      </c>
      <c r="CF484" s="3">
        <v>45847</v>
      </c>
      <c r="CI484">
        <v>1</v>
      </c>
      <c r="CJ484">
        <v>2</v>
      </c>
      <c r="CK484">
        <v>21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"080066359901"</f>
        <v>080066359901</v>
      </c>
      <c r="F485" s="3">
        <v>45842</v>
      </c>
      <c r="G485">
        <v>202604</v>
      </c>
      <c r="H485" t="s">
        <v>75</v>
      </c>
      <c r="I485" t="s">
        <v>76</v>
      </c>
      <c r="J485" t="s">
        <v>77</v>
      </c>
      <c r="K485" t="s">
        <v>78</v>
      </c>
      <c r="L485" t="s">
        <v>79</v>
      </c>
      <c r="M485" t="s">
        <v>80</v>
      </c>
      <c r="N485" t="s">
        <v>1186</v>
      </c>
      <c r="O485" t="s">
        <v>82</v>
      </c>
      <c r="P485" t="str">
        <f>"4170046979                    "</f>
        <v xml:space="preserve">4170046979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22.6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71.2</v>
      </c>
      <c r="BM485">
        <v>10.68</v>
      </c>
      <c r="BN485">
        <v>81.88</v>
      </c>
      <c r="BO485">
        <v>81.88</v>
      </c>
      <c r="BQ485" t="s">
        <v>1187</v>
      </c>
      <c r="BR485" t="s">
        <v>84</v>
      </c>
      <c r="BS485" s="3">
        <v>45845</v>
      </c>
      <c r="BT485" s="4">
        <v>0.3923611111111111</v>
      </c>
      <c r="BU485" t="s">
        <v>1188</v>
      </c>
      <c r="BV485" t="s">
        <v>98</v>
      </c>
      <c r="BY485">
        <v>1200</v>
      </c>
      <c r="BZ485" t="s">
        <v>89</v>
      </c>
      <c r="CA485" t="s">
        <v>1189</v>
      </c>
      <c r="CC485" t="s">
        <v>80</v>
      </c>
      <c r="CD485">
        <v>7441</v>
      </c>
      <c r="CE485" t="s">
        <v>239</v>
      </c>
      <c r="CF485" s="3">
        <v>45846</v>
      </c>
      <c r="CI485">
        <v>1</v>
      </c>
      <c r="CJ485">
        <v>1</v>
      </c>
      <c r="CK485">
        <v>21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"080066359919"</f>
        <v>080066359919</v>
      </c>
      <c r="F486" s="3">
        <v>45842</v>
      </c>
      <c r="G486">
        <v>202604</v>
      </c>
      <c r="H486" t="s">
        <v>75</v>
      </c>
      <c r="I486" t="s">
        <v>76</v>
      </c>
      <c r="J486" t="s">
        <v>77</v>
      </c>
      <c r="K486" t="s">
        <v>78</v>
      </c>
      <c r="L486" t="s">
        <v>252</v>
      </c>
      <c r="M486" t="s">
        <v>253</v>
      </c>
      <c r="N486" t="s">
        <v>254</v>
      </c>
      <c r="O486" t="s">
        <v>82</v>
      </c>
      <c r="P486" t="str">
        <f>"4170046977                    "</f>
        <v xml:space="preserve">4170046977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43.78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137.94</v>
      </c>
      <c r="BM486">
        <v>20.69</v>
      </c>
      <c r="BN486">
        <v>158.63</v>
      </c>
      <c r="BO486">
        <v>158.63</v>
      </c>
      <c r="BQ486" t="s">
        <v>255</v>
      </c>
      <c r="BR486" t="s">
        <v>84</v>
      </c>
      <c r="BS486" s="3">
        <v>45845</v>
      </c>
      <c r="BT486" s="4">
        <v>0.37152777777777779</v>
      </c>
      <c r="BU486" t="s">
        <v>256</v>
      </c>
      <c r="BV486" t="s">
        <v>98</v>
      </c>
      <c r="BY486">
        <v>1200</v>
      </c>
      <c r="BZ486" t="s">
        <v>89</v>
      </c>
      <c r="CC486" t="s">
        <v>253</v>
      </c>
      <c r="CD486">
        <v>1947</v>
      </c>
      <c r="CE486" t="s">
        <v>239</v>
      </c>
      <c r="CF486" s="3">
        <v>45845</v>
      </c>
      <c r="CI486">
        <v>1</v>
      </c>
      <c r="CJ486">
        <v>1</v>
      </c>
      <c r="CK486">
        <v>23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"080066359936"</f>
        <v>080066359936</v>
      </c>
      <c r="F487" s="3">
        <v>45842</v>
      </c>
      <c r="G487">
        <v>202604</v>
      </c>
      <c r="H487" t="s">
        <v>75</v>
      </c>
      <c r="I487" t="s">
        <v>76</v>
      </c>
      <c r="J487" t="s">
        <v>77</v>
      </c>
      <c r="K487" t="s">
        <v>78</v>
      </c>
      <c r="L487" t="s">
        <v>92</v>
      </c>
      <c r="M487" t="s">
        <v>93</v>
      </c>
      <c r="N487" t="s">
        <v>334</v>
      </c>
      <c r="O487" t="s">
        <v>82</v>
      </c>
      <c r="P487" t="str">
        <f>"4170046976                    "</f>
        <v xml:space="preserve">4170046976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22.6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71.2</v>
      </c>
      <c r="BM487">
        <v>10.68</v>
      </c>
      <c r="BN487">
        <v>81.88</v>
      </c>
      <c r="BO487">
        <v>81.88</v>
      </c>
      <c r="BQ487" t="s">
        <v>335</v>
      </c>
      <c r="BR487" t="s">
        <v>84</v>
      </c>
      <c r="BS487" s="3">
        <v>45845</v>
      </c>
      <c r="BT487" s="4">
        <v>0.40694444444444444</v>
      </c>
      <c r="BU487" t="s">
        <v>336</v>
      </c>
      <c r="BV487" t="s">
        <v>98</v>
      </c>
      <c r="BY487">
        <v>1200</v>
      </c>
      <c r="BZ487" t="s">
        <v>89</v>
      </c>
      <c r="CA487" t="s">
        <v>337</v>
      </c>
      <c r="CC487" t="s">
        <v>93</v>
      </c>
      <c r="CD487">
        <v>4052</v>
      </c>
      <c r="CE487" t="s">
        <v>239</v>
      </c>
      <c r="CF487" s="3">
        <v>45846</v>
      </c>
      <c r="CI487">
        <v>1</v>
      </c>
      <c r="CJ487">
        <v>1</v>
      </c>
      <c r="CK487">
        <v>21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"080066359998"</f>
        <v>080066359998</v>
      </c>
      <c r="F488" s="3">
        <v>45842</v>
      </c>
      <c r="G488">
        <v>202604</v>
      </c>
      <c r="H488" t="s">
        <v>75</v>
      </c>
      <c r="I488" t="s">
        <v>76</v>
      </c>
      <c r="J488" t="s">
        <v>77</v>
      </c>
      <c r="K488" t="s">
        <v>78</v>
      </c>
      <c r="L488" t="s">
        <v>92</v>
      </c>
      <c r="M488" t="s">
        <v>93</v>
      </c>
      <c r="N488" t="s">
        <v>339</v>
      </c>
      <c r="O488" t="s">
        <v>82</v>
      </c>
      <c r="P488" t="str">
        <f>"4170046925                    "</f>
        <v xml:space="preserve">4170046925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101.63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4</v>
      </c>
      <c r="BJ488">
        <v>8.9</v>
      </c>
      <c r="BK488">
        <v>9</v>
      </c>
      <c r="BL488">
        <v>320.19</v>
      </c>
      <c r="BM488">
        <v>48.03</v>
      </c>
      <c r="BN488">
        <v>368.22</v>
      </c>
      <c r="BO488">
        <v>368.22</v>
      </c>
      <c r="BQ488" t="s">
        <v>340</v>
      </c>
      <c r="BR488" t="s">
        <v>84</v>
      </c>
      <c r="BS488" s="3">
        <v>45845</v>
      </c>
      <c r="BT488" s="4">
        <v>0.45902777777777776</v>
      </c>
      <c r="BU488" t="s">
        <v>1190</v>
      </c>
      <c r="BV488" t="s">
        <v>86</v>
      </c>
      <c r="BW488" t="s">
        <v>219</v>
      </c>
      <c r="BX488" t="s">
        <v>220</v>
      </c>
      <c r="BY488">
        <v>44640</v>
      </c>
      <c r="BZ488" t="s">
        <v>89</v>
      </c>
      <c r="CA488" t="s">
        <v>337</v>
      </c>
      <c r="CC488" t="s">
        <v>93</v>
      </c>
      <c r="CD488">
        <v>4052</v>
      </c>
      <c r="CE488" t="s">
        <v>117</v>
      </c>
      <c r="CF488" s="3">
        <v>45846</v>
      </c>
      <c r="CI488">
        <v>1</v>
      </c>
      <c r="CJ488">
        <v>1</v>
      </c>
      <c r="CK488">
        <v>21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"080066360027"</f>
        <v>080066360027</v>
      </c>
      <c r="F489" s="3">
        <v>45842</v>
      </c>
      <c r="G489">
        <v>202604</v>
      </c>
      <c r="H489" t="s">
        <v>75</v>
      </c>
      <c r="I489" t="s">
        <v>76</v>
      </c>
      <c r="J489" t="s">
        <v>77</v>
      </c>
      <c r="K489" t="s">
        <v>78</v>
      </c>
      <c r="L489" t="s">
        <v>135</v>
      </c>
      <c r="M489" t="s">
        <v>136</v>
      </c>
      <c r="N489" t="s">
        <v>416</v>
      </c>
      <c r="O489" t="s">
        <v>82</v>
      </c>
      <c r="P489" t="str">
        <f>"4170046885                    "</f>
        <v xml:space="preserve">4170046885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79.05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2</v>
      </c>
      <c r="BI489">
        <v>7</v>
      </c>
      <c r="BJ489">
        <v>3.2</v>
      </c>
      <c r="BK489">
        <v>7</v>
      </c>
      <c r="BL489">
        <v>249.05</v>
      </c>
      <c r="BM489">
        <v>37.36</v>
      </c>
      <c r="BN489">
        <v>286.41000000000003</v>
      </c>
      <c r="BO489">
        <v>286.41000000000003</v>
      </c>
      <c r="BQ489" t="s">
        <v>417</v>
      </c>
      <c r="BR489" t="s">
        <v>84</v>
      </c>
      <c r="BS489" s="3">
        <v>45845</v>
      </c>
      <c r="BT489" s="4">
        <v>0.5708333333333333</v>
      </c>
      <c r="BU489" t="s">
        <v>1191</v>
      </c>
      <c r="BV489" t="s">
        <v>86</v>
      </c>
      <c r="BY489">
        <v>16080</v>
      </c>
      <c r="BZ489" t="s">
        <v>89</v>
      </c>
      <c r="CC489" t="s">
        <v>136</v>
      </c>
      <c r="CD489">
        <v>3201</v>
      </c>
      <c r="CE489" t="s">
        <v>91</v>
      </c>
      <c r="CF489" s="3">
        <v>45845</v>
      </c>
      <c r="CI489">
        <v>1</v>
      </c>
      <c r="CJ489">
        <v>1</v>
      </c>
      <c r="CK489">
        <v>21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"080066360623"</f>
        <v>080066360623</v>
      </c>
      <c r="F490" s="3">
        <v>45842</v>
      </c>
      <c r="G490">
        <v>202604</v>
      </c>
      <c r="H490" t="s">
        <v>75</v>
      </c>
      <c r="I490" t="s">
        <v>76</v>
      </c>
      <c r="J490" t="s">
        <v>77</v>
      </c>
      <c r="K490" t="s">
        <v>78</v>
      </c>
      <c r="L490" t="s">
        <v>135</v>
      </c>
      <c r="M490" t="s">
        <v>136</v>
      </c>
      <c r="N490" t="s">
        <v>379</v>
      </c>
      <c r="O490" t="s">
        <v>95</v>
      </c>
      <c r="P490" t="str">
        <f>"4170046914                    "</f>
        <v xml:space="preserve">4170046914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103.24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2</v>
      </c>
      <c r="BI490">
        <v>28</v>
      </c>
      <c r="BJ490">
        <v>48</v>
      </c>
      <c r="BK490">
        <v>48</v>
      </c>
      <c r="BL490">
        <v>331.13</v>
      </c>
      <c r="BM490">
        <v>49.67</v>
      </c>
      <c r="BN490">
        <v>380.8</v>
      </c>
      <c r="BO490">
        <v>380.8</v>
      </c>
      <c r="BQ490" t="s">
        <v>380</v>
      </c>
      <c r="BR490" t="s">
        <v>84</v>
      </c>
      <c r="BS490" s="3">
        <v>45845</v>
      </c>
      <c r="BT490" s="4">
        <v>0.47916666666666669</v>
      </c>
      <c r="BU490" t="s">
        <v>381</v>
      </c>
      <c r="BV490" t="s">
        <v>98</v>
      </c>
      <c r="BY490">
        <v>240120</v>
      </c>
      <c r="BZ490" t="s">
        <v>99</v>
      </c>
      <c r="CA490" t="s">
        <v>382</v>
      </c>
      <c r="CC490" t="s">
        <v>136</v>
      </c>
      <c r="CD490">
        <v>3212</v>
      </c>
      <c r="CE490" t="s">
        <v>117</v>
      </c>
      <c r="CF490" s="3">
        <v>45845</v>
      </c>
      <c r="CI490">
        <v>3</v>
      </c>
      <c r="CJ490">
        <v>1</v>
      </c>
      <c r="CK490">
        <v>41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"080066360691"</f>
        <v>080066360691</v>
      </c>
      <c r="F491" s="3">
        <v>45842</v>
      </c>
      <c r="G491">
        <v>202604</v>
      </c>
      <c r="H491" t="s">
        <v>75</v>
      </c>
      <c r="I491" t="s">
        <v>76</v>
      </c>
      <c r="J491" t="s">
        <v>77</v>
      </c>
      <c r="K491" t="s">
        <v>78</v>
      </c>
      <c r="L491" t="s">
        <v>197</v>
      </c>
      <c r="M491" t="s">
        <v>198</v>
      </c>
      <c r="N491" t="s">
        <v>1192</v>
      </c>
      <c r="O491" t="s">
        <v>82</v>
      </c>
      <c r="P491" t="str">
        <f>"4170046854                    "</f>
        <v xml:space="preserve">4170046854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17.649999999999999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</v>
      </c>
      <c r="BJ491">
        <v>1.8</v>
      </c>
      <c r="BK491">
        <v>4</v>
      </c>
      <c r="BL491">
        <v>55.61</v>
      </c>
      <c r="BM491">
        <v>8.34</v>
      </c>
      <c r="BN491">
        <v>63.95</v>
      </c>
      <c r="BO491">
        <v>63.95</v>
      </c>
      <c r="BQ491" t="s">
        <v>1193</v>
      </c>
      <c r="BR491" t="s">
        <v>84</v>
      </c>
      <c r="BS491" s="3">
        <v>45845</v>
      </c>
      <c r="BT491" s="4">
        <v>0.4201388888888889</v>
      </c>
      <c r="BU491" t="s">
        <v>1194</v>
      </c>
      <c r="BV491" t="s">
        <v>98</v>
      </c>
      <c r="BY491">
        <v>8957</v>
      </c>
      <c r="BZ491" t="s">
        <v>89</v>
      </c>
      <c r="CA491" t="s">
        <v>318</v>
      </c>
      <c r="CC491" t="s">
        <v>198</v>
      </c>
      <c r="CD491">
        <v>1428</v>
      </c>
      <c r="CE491" t="s">
        <v>91</v>
      </c>
      <c r="CF491" s="3">
        <v>45846</v>
      </c>
      <c r="CI491">
        <v>1</v>
      </c>
      <c r="CJ491">
        <v>1</v>
      </c>
      <c r="CK491">
        <v>22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"080066360724"</f>
        <v>080066360724</v>
      </c>
      <c r="F492" s="3">
        <v>45842</v>
      </c>
      <c r="G492">
        <v>202604</v>
      </c>
      <c r="H492" t="s">
        <v>75</v>
      </c>
      <c r="I492" t="s">
        <v>76</v>
      </c>
      <c r="J492" t="s">
        <v>77</v>
      </c>
      <c r="K492" t="s">
        <v>78</v>
      </c>
      <c r="L492" t="s">
        <v>554</v>
      </c>
      <c r="M492" t="s">
        <v>555</v>
      </c>
      <c r="N492" t="s">
        <v>556</v>
      </c>
      <c r="O492" t="s">
        <v>82</v>
      </c>
      <c r="P492" t="str">
        <f>"4170046920                    "</f>
        <v xml:space="preserve">4170046920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33.89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3</v>
      </c>
      <c r="BJ492">
        <v>1.9</v>
      </c>
      <c r="BK492">
        <v>3</v>
      </c>
      <c r="BL492">
        <v>106.77</v>
      </c>
      <c r="BM492">
        <v>16.02</v>
      </c>
      <c r="BN492">
        <v>122.79</v>
      </c>
      <c r="BO492">
        <v>122.79</v>
      </c>
      <c r="BQ492" t="s">
        <v>557</v>
      </c>
      <c r="BR492" t="s">
        <v>84</v>
      </c>
      <c r="BS492" s="3">
        <v>45845</v>
      </c>
      <c r="BT492" s="4">
        <v>0.37916666666666665</v>
      </c>
      <c r="BU492" t="s">
        <v>558</v>
      </c>
      <c r="BV492" t="s">
        <v>98</v>
      </c>
      <c r="BY492">
        <v>9600</v>
      </c>
      <c r="BZ492" t="s">
        <v>89</v>
      </c>
      <c r="CA492" t="s">
        <v>559</v>
      </c>
      <c r="CC492" t="s">
        <v>555</v>
      </c>
      <c r="CD492" s="5" t="s">
        <v>560</v>
      </c>
      <c r="CE492" t="s">
        <v>117</v>
      </c>
      <c r="CF492" s="3">
        <v>45845</v>
      </c>
      <c r="CI492">
        <v>1</v>
      </c>
      <c r="CJ492">
        <v>1</v>
      </c>
      <c r="CK492">
        <v>21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"080066360748"</f>
        <v>080066360748</v>
      </c>
      <c r="F493" s="3">
        <v>45842</v>
      </c>
      <c r="G493">
        <v>202604</v>
      </c>
      <c r="H493" t="s">
        <v>75</v>
      </c>
      <c r="I493" t="s">
        <v>76</v>
      </c>
      <c r="J493" t="s">
        <v>77</v>
      </c>
      <c r="K493" t="s">
        <v>78</v>
      </c>
      <c r="L493" t="s">
        <v>808</v>
      </c>
      <c r="M493" t="s">
        <v>808</v>
      </c>
      <c r="N493" t="s">
        <v>1195</v>
      </c>
      <c r="O493" t="s">
        <v>82</v>
      </c>
      <c r="P493" t="str">
        <f>"4170046975                    "</f>
        <v xml:space="preserve">4170046975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31.78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1.1000000000000001</v>
      </c>
      <c r="BK493">
        <v>1.5</v>
      </c>
      <c r="BL493">
        <v>100.13</v>
      </c>
      <c r="BM493">
        <v>15.02</v>
      </c>
      <c r="BN493">
        <v>115.15</v>
      </c>
      <c r="BO493">
        <v>115.15</v>
      </c>
      <c r="BQ493" t="s">
        <v>1196</v>
      </c>
      <c r="BR493" t="s">
        <v>84</v>
      </c>
      <c r="BS493" s="3">
        <v>45845</v>
      </c>
      <c r="BT493" s="4">
        <v>0.50555555555555554</v>
      </c>
      <c r="BU493" t="s">
        <v>1197</v>
      </c>
      <c r="BV493" t="s">
        <v>98</v>
      </c>
      <c r="BY493">
        <v>5320</v>
      </c>
      <c r="BZ493" t="s">
        <v>89</v>
      </c>
      <c r="CA493" t="s">
        <v>251</v>
      </c>
      <c r="CC493" t="s">
        <v>808</v>
      </c>
      <c r="CD493">
        <v>1490</v>
      </c>
      <c r="CE493" t="s">
        <v>117</v>
      </c>
      <c r="CF493" s="3">
        <v>45846</v>
      </c>
      <c r="CI493">
        <v>1</v>
      </c>
      <c r="CJ493">
        <v>1</v>
      </c>
      <c r="CK493">
        <v>24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"080066360796"</f>
        <v>080066360796</v>
      </c>
      <c r="F494" s="3">
        <v>45842</v>
      </c>
      <c r="G494">
        <v>202604</v>
      </c>
      <c r="H494" t="s">
        <v>75</v>
      </c>
      <c r="I494" t="s">
        <v>76</v>
      </c>
      <c r="J494" t="s">
        <v>77</v>
      </c>
      <c r="K494" t="s">
        <v>78</v>
      </c>
      <c r="L494" t="s">
        <v>79</v>
      </c>
      <c r="M494" t="s">
        <v>80</v>
      </c>
      <c r="N494" t="s">
        <v>931</v>
      </c>
      <c r="O494" t="s">
        <v>82</v>
      </c>
      <c r="P494" t="str">
        <f>"4170046917                    "</f>
        <v xml:space="preserve">4170046917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79.05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7</v>
      </c>
      <c r="BJ494">
        <v>1.9</v>
      </c>
      <c r="BK494">
        <v>7</v>
      </c>
      <c r="BL494">
        <v>249.05</v>
      </c>
      <c r="BM494">
        <v>37.36</v>
      </c>
      <c r="BN494">
        <v>286.41000000000003</v>
      </c>
      <c r="BO494">
        <v>286.41000000000003</v>
      </c>
      <c r="BQ494" t="s">
        <v>932</v>
      </c>
      <c r="BR494" t="s">
        <v>84</v>
      </c>
      <c r="BS494" s="3">
        <v>45845</v>
      </c>
      <c r="BT494" s="4">
        <v>0.42986111111111114</v>
      </c>
      <c r="BU494" t="s">
        <v>933</v>
      </c>
      <c r="BV494" t="s">
        <v>98</v>
      </c>
      <c r="BY494">
        <v>9600</v>
      </c>
      <c r="BZ494" t="s">
        <v>89</v>
      </c>
      <c r="CA494" t="s">
        <v>934</v>
      </c>
      <c r="CC494" t="s">
        <v>80</v>
      </c>
      <c r="CD494">
        <v>7535</v>
      </c>
      <c r="CE494" t="s">
        <v>117</v>
      </c>
      <c r="CF494" s="3">
        <v>45846</v>
      </c>
      <c r="CI494">
        <v>1</v>
      </c>
      <c r="CJ494">
        <v>1</v>
      </c>
      <c r="CK494">
        <v>21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"080066360940"</f>
        <v>080066360940</v>
      </c>
      <c r="F495" s="3">
        <v>45842</v>
      </c>
      <c r="G495">
        <v>202604</v>
      </c>
      <c r="H495" t="s">
        <v>75</v>
      </c>
      <c r="I495" t="s">
        <v>76</v>
      </c>
      <c r="J495" t="s">
        <v>77</v>
      </c>
      <c r="K495" t="s">
        <v>78</v>
      </c>
      <c r="L495" t="s">
        <v>363</v>
      </c>
      <c r="M495" t="s">
        <v>364</v>
      </c>
      <c r="N495" t="s">
        <v>365</v>
      </c>
      <c r="O495" t="s">
        <v>82</v>
      </c>
      <c r="P495" t="str">
        <f>"4170046951                    "</f>
        <v xml:space="preserve">4170046951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182.19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9</v>
      </c>
      <c r="BJ495">
        <v>1.9</v>
      </c>
      <c r="BK495">
        <v>9</v>
      </c>
      <c r="BL495">
        <v>573.99</v>
      </c>
      <c r="BM495">
        <v>86.1</v>
      </c>
      <c r="BN495">
        <v>660.09</v>
      </c>
      <c r="BO495">
        <v>660.09</v>
      </c>
      <c r="BQ495" t="s">
        <v>366</v>
      </c>
      <c r="BR495" t="s">
        <v>84</v>
      </c>
      <c r="BS495" s="3">
        <v>45845</v>
      </c>
      <c r="BT495" s="4">
        <v>0.65902777777777777</v>
      </c>
      <c r="BU495" t="s">
        <v>1198</v>
      </c>
      <c r="BV495" t="s">
        <v>98</v>
      </c>
      <c r="BY495">
        <v>9576</v>
      </c>
      <c r="BZ495" t="s">
        <v>89</v>
      </c>
      <c r="CA495" t="s">
        <v>522</v>
      </c>
      <c r="CC495" t="s">
        <v>364</v>
      </c>
      <c r="CD495">
        <v>7300</v>
      </c>
      <c r="CE495" t="s">
        <v>117</v>
      </c>
      <c r="CF495" s="3">
        <v>45846</v>
      </c>
      <c r="CI495">
        <v>1</v>
      </c>
      <c r="CJ495">
        <v>1</v>
      </c>
      <c r="CK495">
        <v>23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"080066360967"</f>
        <v>080066360967</v>
      </c>
      <c r="F496" s="3">
        <v>45842</v>
      </c>
      <c r="G496">
        <v>202604</v>
      </c>
      <c r="H496" t="s">
        <v>75</v>
      </c>
      <c r="I496" t="s">
        <v>76</v>
      </c>
      <c r="J496" t="s">
        <v>77</v>
      </c>
      <c r="K496" t="s">
        <v>78</v>
      </c>
      <c r="L496" t="s">
        <v>168</v>
      </c>
      <c r="M496" t="s">
        <v>169</v>
      </c>
      <c r="N496" t="s">
        <v>206</v>
      </c>
      <c r="O496" t="s">
        <v>82</v>
      </c>
      <c r="P496" t="str">
        <f>"4170046868                    "</f>
        <v xml:space="preserve">4170046868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1.7</v>
      </c>
      <c r="BK496">
        <v>2</v>
      </c>
      <c r="BL496">
        <v>71.2</v>
      </c>
      <c r="BM496">
        <v>10.68</v>
      </c>
      <c r="BN496">
        <v>81.88</v>
      </c>
      <c r="BO496">
        <v>81.88</v>
      </c>
      <c r="BQ496" t="s">
        <v>207</v>
      </c>
      <c r="BR496" t="s">
        <v>84</v>
      </c>
      <c r="BS496" s="3">
        <v>45845</v>
      </c>
      <c r="BT496" s="4">
        <v>0.39444444444444443</v>
      </c>
      <c r="BU496" t="s">
        <v>208</v>
      </c>
      <c r="BV496" t="s">
        <v>98</v>
      </c>
      <c r="BY496">
        <v>8512</v>
      </c>
      <c r="BZ496" t="s">
        <v>89</v>
      </c>
      <c r="CA496" t="s">
        <v>196</v>
      </c>
      <c r="CC496" t="s">
        <v>169</v>
      </c>
      <c r="CD496">
        <v>6001</v>
      </c>
      <c r="CE496" t="s">
        <v>117</v>
      </c>
      <c r="CF496" s="3">
        <v>45845</v>
      </c>
      <c r="CI496">
        <v>1</v>
      </c>
      <c r="CJ496">
        <v>1</v>
      </c>
      <c r="CK496">
        <v>21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"080066361002"</f>
        <v>080066361002</v>
      </c>
      <c r="F497" s="3">
        <v>45842</v>
      </c>
      <c r="G497">
        <v>202604</v>
      </c>
      <c r="H497" t="s">
        <v>75</v>
      </c>
      <c r="I497" t="s">
        <v>76</v>
      </c>
      <c r="J497" t="s">
        <v>77</v>
      </c>
      <c r="K497" t="s">
        <v>78</v>
      </c>
      <c r="L497" t="s">
        <v>79</v>
      </c>
      <c r="M497" t="s">
        <v>80</v>
      </c>
      <c r="N497" t="s">
        <v>931</v>
      </c>
      <c r="O497" t="s">
        <v>82</v>
      </c>
      <c r="P497" t="str">
        <f>"4170046916                    "</f>
        <v xml:space="preserve">4170046916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22.6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71.2</v>
      </c>
      <c r="BM497">
        <v>10.68</v>
      </c>
      <c r="BN497">
        <v>81.88</v>
      </c>
      <c r="BO497">
        <v>81.88</v>
      </c>
      <c r="BQ497" t="s">
        <v>932</v>
      </c>
      <c r="BR497" t="s">
        <v>84</v>
      </c>
      <c r="BS497" s="3">
        <v>45845</v>
      </c>
      <c r="BT497" s="4">
        <v>0.42986111111111114</v>
      </c>
      <c r="BU497" t="s">
        <v>933</v>
      </c>
      <c r="BV497" t="s">
        <v>98</v>
      </c>
      <c r="BY497">
        <v>1200</v>
      </c>
      <c r="BZ497" t="s">
        <v>89</v>
      </c>
      <c r="CA497" t="s">
        <v>934</v>
      </c>
      <c r="CC497" t="s">
        <v>80</v>
      </c>
      <c r="CD497">
        <v>7535</v>
      </c>
      <c r="CE497" t="s">
        <v>239</v>
      </c>
      <c r="CF497" s="3">
        <v>45846</v>
      </c>
      <c r="CI497">
        <v>1</v>
      </c>
      <c r="CJ497">
        <v>1</v>
      </c>
      <c r="CK497">
        <v>21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"080066361123"</f>
        <v>080066361123</v>
      </c>
      <c r="F498" s="3">
        <v>45842</v>
      </c>
      <c r="G498">
        <v>202604</v>
      </c>
      <c r="H498" t="s">
        <v>75</v>
      </c>
      <c r="I498" t="s">
        <v>76</v>
      </c>
      <c r="J498" t="s">
        <v>77</v>
      </c>
      <c r="K498" t="s">
        <v>78</v>
      </c>
      <c r="L498" t="s">
        <v>168</v>
      </c>
      <c r="M498" t="s">
        <v>169</v>
      </c>
      <c r="N498" t="s">
        <v>202</v>
      </c>
      <c r="O498" t="s">
        <v>82</v>
      </c>
      <c r="P498" t="str">
        <f>"4170046967                    "</f>
        <v xml:space="preserve">4170046967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22.6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71.2</v>
      </c>
      <c r="BM498">
        <v>10.68</v>
      </c>
      <c r="BN498">
        <v>81.88</v>
      </c>
      <c r="BO498">
        <v>81.88</v>
      </c>
      <c r="BQ498" t="s">
        <v>203</v>
      </c>
      <c r="BR498" t="s">
        <v>84</v>
      </c>
      <c r="BS498" s="3">
        <v>45845</v>
      </c>
      <c r="BT498" s="4">
        <v>0.39513888888888887</v>
      </c>
      <c r="BU498" t="s">
        <v>204</v>
      </c>
      <c r="BV498" t="s">
        <v>98</v>
      </c>
      <c r="BY498">
        <v>1200</v>
      </c>
      <c r="BZ498" t="s">
        <v>89</v>
      </c>
      <c r="CA498" t="s">
        <v>205</v>
      </c>
      <c r="CC498" t="s">
        <v>169</v>
      </c>
      <c r="CD498">
        <v>6001</v>
      </c>
      <c r="CE498" t="s">
        <v>239</v>
      </c>
      <c r="CF498" s="3">
        <v>45845</v>
      </c>
      <c r="CI498">
        <v>1</v>
      </c>
      <c r="CJ498">
        <v>1</v>
      </c>
      <c r="CK498">
        <v>21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"080066361170"</f>
        <v>080066361170</v>
      </c>
      <c r="F499" s="3">
        <v>45842</v>
      </c>
      <c r="G499">
        <v>202604</v>
      </c>
      <c r="H499" t="s">
        <v>75</v>
      </c>
      <c r="I499" t="s">
        <v>76</v>
      </c>
      <c r="J499" t="s">
        <v>77</v>
      </c>
      <c r="K499" t="s">
        <v>78</v>
      </c>
      <c r="L499" t="s">
        <v>79</v>
      </c>
      <c r="M499" t="s">
        <v>80</v>
      </c>
      <c r="N499" t="s">
        <v>81</v>
      </c>
      <c r="O499" t="s">
        <v>82</v>
      </c>
      <c r="P499" t="str">
        <f>"4170046978                    "</f>
        <v xml:space="preserve">4170046978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22.6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71.2</v>
      </c>
      <c r="BM499">
        <v>10.68</v>
      </c>
      <c r="BN499">
        <v>81.88</v>
      </c>
      <c r="BO499">
        <v>81.88</v>
      </c>
      <c r="BQ499" t="s">
        <v>83</v>
      </c>
      <c r="BR499" t="s">
        <v>84</v>
      </c>
      <c r="BS499" s="3">
        <v>45845</v>
      </c>
      <c r="BT499" s="4">
        <v>0.41666666666666669</v>
      </c>
      <c r="BU499" t="s">
        <v>1199</v>
      </c>
      <c r="BV499" t="s">
        <v>98</v>
      </c>
      <c r="BY499">
        <v>1200</v>
      </c>
      <c r="BZ499" t="s">
        <v>89</v>
      </c>
      <c r="CA499" t="s">
        <v>522</v>
      </c>
      <c r="CC499" t="s">
        <v>80</v>
      </c>
      <c r="CD499">
        <v>7550</v>
      </c>
      <c r="CE499" t="s">
        <v>239</v>
      </c>
      <c r="CF499" s="3">
        <v>45846</v>
      </c>
      <c r="CI499">
        <v>1</v>
      </c>
      <c r="CJ499">
        <v>1</v>
      </c>
      <c r="CK499">
        <v>21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"080066361203"</f>
        <v>080066361203</v>
      </c>
      <c r="F500" s="3">
        <v>45842</v>
      </c>
      <c r="G500">
        <v>202604</v>
      </c>
      <c r="H500" t="s">
        <v>75</v>
      </c>
      <c r="I500" t="s">
        <v>76</v>
      </c>
      <c r="J500" t="s">
        <v>77</v>
      </c>
      <c r="K500" t="s">
        <v>78</v>
      </c>
      <c r="L500" t="s">
        <v>135</v>
      </c>
      <c r="M500" t="s">
        <v>136</v>
      </c>
      <c r="N500" t="s">
        <v>379</v>
      </c>
      <c r="O500" t="s">
        <v>82</v>
      </c>
      <c r="P500" t="str">
        <f>"4170046915                    "</f>
        <v xml:space="preserve">4170046915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158.08000000000001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14</v>
      </c>
      <c r="BJ500">
        <v>8.9</v>
      </c>
      <c r="BK500">
        <v>14</v>
      </c>
      <c r="BL500">
        <v>498.04</v>
      </c>
      <c r="BM500">
        <v>74.709999999999994</v>
      </c>
      <c r="BN500">
        <v>572.75</v>
      </c>
      <c r="BO500">
        <v>572.75</v>
      </c>
      <c r="BQ500" t="s">
        <v>380</v>
      </c>
      <c r="BR500" t="s">
        <v>84</v>
      </c>
      <c r="BS500" s="3">
        <v>45845</v>
      </c>
      <c r="BT500" s="4">
        <v>0.47916666666666669</v>
      </c>
      <c r="BU500" t="s">
        <v>381</v>
      </c>
      <c r="BV500" t="s">
        <v>98</v>
      </c>
      <c r="BY500">
        <v>44640</v>
      </c>
      <c r="BZ500" t="s">
        <v>89</v>
      </c>
      <c r="CA500" t="s">
        <v>382</v>
      </c>
      <c r="CC500" t="s">
        <v>136</v>
      </c>
      <c r="CD500">
        <v>3212</v>
      </c>
      <c r="CE500" t="s">
        <v>117</v>
      </c>
      <c r="CF500" s="3">
        <v>45845</v>
      </c>
      <c r="CI500">
        <v>2</v>
      </c>
      <c r="CJ500">
        <v>1</v>
      </c>
      <c r="CK500">
        <v>21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"080066361302"</f>
        <v>080066361302</v>
      </c>
      <c r="F501" s="3">
        <v>45842</v>
      </c>
      <c r="G501">
        <v>202604</v>
      </c>
      <c r="H501" t="s">
        <v>75</v>
      </c>
      <c r="I501" t="s">
        <v>76</v>
      </c>
      <c r="J501" t="s">
        <v>77</v>
      </c>
      <c r="K501" t="s">
        <v>78</v>
      </c>
      <c r="L501" t="s">
        <v>92</v>
      </c>
      <c r="M501" t="s">
        <v>93</v>
      </c>
      <c r="N501" t="s">
        <v>1200</v>
      </c>
      <c r="O501" t="s">
        <v>95</v>
      </c>
      <c r="P501" t="str">
        <f>"4170046974                    "</f>
        <v xml:space="preserve">4170046974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43.7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12</v>
      </c>
      <c r="BJ501">
        <v>5.4</v>
      </c>
      <c r="BK501">
        <v>12</v>
      </c>
      <c r="BL501">
        <v>143.55000000000001</v>
      </c>
      <c r="BM501">
        <v>21.53</v>
      </c>
      <c r="BN501">
        <v>165.08</v>
      </c>
      <c r="BO501">
        <v>165.08</v>
      </c>
      <c r="BQ501" t="s">
        <v>1201</v>
      </c>
      <c r="BR501" t="s">
        <v>84</v>
      </c>
      <c r="BS501" s="3">
        <v>45845</v>
      </c>
      <c r="BT501" s="4">
        <v>0.34097222222222223</v>
      </c>
      <c r="BU501" t="s">
        <v>1202</v>
      </c>
      <c r="BV501" t="s">
        <v>98</v>
      </c>
      <c r="BY501">
        <v>27144</v>
      </c>
      <c r="BZ501" t="s">
        <v>99</v>
      </c>
      <c r="CA501" t="s">
        <v>1175</v>
      </c>
      <c r="CC501" t="s">
        <v>93</v>
      </c>
      <c r="CD501">
        <v>4068</v>
      </c>
      <c r="CE501" t="s">
        <v>1203</v>
      </c>
      <c r="CF501" s="3">
        <v>45845</v>
      </c>
      <c r="CI501">
        <v>1</v>
      </c>
      <c r="CJ501">
        <v>1</v>
      </c>
      <c r="CK501">
        <v>41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"080066361492"</f>
        <v>080066361492</v>
      </c>
      <c r="F502" s="3">
        <v>45842</v>
      </c>
      <c r="G502">
        <v>202604</v>
      </c>
      <c r="H502" t="s">
        <v>75</v>
      </c>
      <c r="I502" t="s">
        <v>76</v>
      </c>
      <c r="J502" t="s">
        <v>77</v>
      </c>
      <c r="K502" t="s">
        <v>78</v>
      </c>
      <c r="L502" t="s">
        <v>240</v>
      </c>
      <c r="M502" t="s">
        <v>241</v>
      </c>
      <c r="N502" t="s">
        <v>1204</v>
      </c>
      <c r="O502" t="s">
        <v>82</v>
      </c>
      <c r="P502" t="str">
        <f>"4170046969                    "</f>
        <v xml:space="preserve">4170046969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17.649999999999999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55.61</v>
      </c>
      <c r="BM502">
        <v>8.34</v>
      </c>
      <c r="BN502">
        <v>63.95</v>
      </c>
      <c r="BO502">
        <v>63.95</v>
      </c>
      <c r="BQ502" t="s">
        <v>1205</v>
      </c>
      <c r="BR502" t="s">
        <v>84</v>
      </c>
      <c r="BS502" s="3">
        <v>45845</v>
      </c>
      <c r="BT502" s="4">
        <v>0.3611111111111111</v>
      </c>
      <c r="BU502" t="s">
        <v>1206</v>
      </c>
      <c r="BV502" t="s">
        <v>98</v>
      </c>
      <c r="BY502">
        <v>1200</v>
      </c>
      <c r="BZ502" t="s">
        <v>89</v>
      </c>
      <c r="CA502" t="s">
        <v>617</v>
      </c>
      <c r="CC502" t="s">
        <v>241</v>
      </c>
      <c r="CD502">
        <v>2157</v>
      </c>
      <c r="CE502" t="s">
        <v>239</v>
      </c>
      <c r="CF502" s="3">
        <v>45845</v>
      </c>
      <c r="CI502">
        <v>1</v>
      </c>
      <c r="CJ502">
        <v>1</v>
      </c>
      <c r="CK502">
        <v>22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"080066361513"</f>
        <v>080066361513</v>
      </c>
      <c r="F503" s="3">
        <v>45842</v>
      </c>
      <c r="G503">
        <v>202604</v>
      </c>
      <c r="H503" t="s">
        <v>75</v>
      </c>
      <c r="I503" t="s">
        <v>76</v>
      </c>
      <c r="J503" t="s">
        <v>77</v>
      </c>
      <c r="K503" t="s">
        <v>78</v>
      </c>
      <c r="L503" t="s">
        <v>277</v>
      </c>
      <c r="M503" t="s">
        <v>278</v>
      </c>
      <c r="N503" t="s">
        <v>279</v>
      </c>
      <c r="O503" t="s">
        <v>82</v>
      </c>
      <c r="P503" t="str">
        <f>"4170046972                    "</f>
        <v xml:space="preserve">4170046972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22.6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71.2</v>
      </c>
      <c r="BM503">
        <v>10.68</v>
      </c>
      <c r="BN503">
        <v>81.88</v>
      </c>
      <c r="BO503">
        <v>81.88</v>
      </c>
      <c r="BQ503" t="s">
        <v>280</v>
      </c>
      <c r="BR503" t="s">
        <v>84</v>
      </c>
      <c r="BS503" s="3">
        <v>45845</v>
      </c>
      <c r="BT503" s="4">
        <v>0.40138888888888891</v>
      </c>
      <c r="BU503" t="s">
        <v>1124</v>
      </c>
      <c r="BV503" t="s">
        <v>98</v>
      </c>
      <c r="BY503">
        <v>1200</v>
      </c>
      <c r="BZ503" t="s">
        <v>89</v>
      </c>
      <c r="CA503" t="s">
        <v>282</v>
      </c>
      <c r="CC503" t="s">
        <v>278</v>
      </c>
      <c r="CD503">
        <v>6230</v>
      </c>
      <c r="CE503" t="s">
        <v>239</v>
      </c>
      <c r="CF503" s="3">
        <v>45845</v>
      </c>
      <c r="CI503">
        <v>1</v>
      </c>
      <c r="CJ503">
        <v>1</v>
      </c>
      <c r="CK503">
        <v>21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"080066361531"</f>
        <v>080066361531</v>
      </c>
      <c r="F504" s="3">
        <v>45842</v>
      </c>
      <c r="G504">
        <v>202604</v>
      </c>
      <c r="H504" t="s">
        <v>75</v>
      </c>
      <c r="I504" t="s">
        <v>76</v>
      </c>
      <c r="J504" t="s">
        <v>77</v>
      </c>
      <c r="K504" t="s">
        <v>78</v>
      </c>
      <c r="L504" t="s">
        <v>168</v>
      </c>
      <c r="M504" t="s">
        <v>169</v>
      </c>
      <c r="N504" t="s">
        <v>1207</v>
      </c>
      <c r="O504" t="s">
        <v>82</v>
      </c>
      <c r="P504" t="str">
        <f>"4170046953                    "</f>
        <v xml:space="preserve">4170046953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22.6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71.2</v>
      </c>
      <c r="BM504">
        <v>10.68</v>
      </c>
      <c r="BN504">
        <v>81.88</v>
      </c>
      <c r="BO504">
        <v>81.88</v>
      </c>
      <c r="BQ504" t="s">
        <v>1208</v>
      </c>
      <c r="BR504" t="s">
        <v>84</v>
      </c>
      <c r="BS504" s="3">
        <v>45845</v>
      </c>
      <c r="BT504" s="4">
        <v>0.48958333333333331</v>
      </c>
      <c r="BU504" t="s">
        <v>1121</v>
      </c>
      <c r="BV504" t="s">
        <v>86</v>
      </c>
      <c r="BW504" t="s">
        <v>194</v>
      </c>
      <c r="BX504" t="s">
        <v>195</v>
      </c>
      <c r="BY504">
        <v>1200</v>
      </c>
      <c r="BZ504" t="s">
        <v>89</v>
      </c>
      <c r="CA504" t="s">
        <v>345</v>
      </c>
      <c r="CC504" t="s">
        <v>169</v>
      </c>
      <c r="CD504">
        <v>6000</v>
      </c>
      <c r="CE504" t="s">
        <v>239</v>
      </c>
      <c r="CF504" s="3">
        <v>45845</v>
      </c>
      <c r="CI504">
        <v>1</v>
      </c>
      <c r="CJ504">
        <v>1</v>
      </c>
      <c r="CK504">
        <v>21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"080066361551"</f>
        <v>080066361551</v>
      </c>
      <c r="F505" s="3">
        <v>45842</v>
      </c>
      <c r="G505">
        <v>202604</v>
      </c>
      <c r="H505" t="s">
        <v>75</v>
      </c>
      <c r="I505" t="s">
        <v>76</v>
      </c>
      <c r="J505" t="s">
        <v>77</v>
      </c>
      <c r="K505" t="s">
        <v>78</v>
      </c>
      <c r="L505" t="s">
        <v>197</v>
      </c>
      <c r="M505" t="s">
        <v>198</v>
      </c>
      <c r="N505" t="s">
        <v>1209</v>
      </c>
      <c r="O505" t="s">
        <v>82</v>
      </c>
      <c r="P505" t="str">
        <f>"4170046883                    "</f>
        <v xml:space="preserve">4170046883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17.649999999999999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1.9</v>
      </c>
      <c r="BK505">
        <v>3</v>
      </c>
      <c r="BL505">
        <v>55.61</v>
      </c>
      <c r="BM505">
        <v>8.34</v>
      </c>
      <c r="BN505">
        <v>63.95</v>
      </c>
      <c r="BO505">
        <v>63.95</v>
      </c>
      <c r="BQ505" t="s">
        <v>1210</v>
      </c>
      <c r="BR505" t="s">
        <v>84</v>
      </c>
      <c r="BS505" s="3">
        <v>45845</v>
      </c>
      <c r="BT505" s="4">
        <v>0.34930555555555554</v>
      </c>
      <c r="BU505" t="s">
        <v>1211</v>
      </c>
      <c r="BV505" t="s">
        <v>98</v>
      </c>
      <c r="BY505">
        <v>9600</v>
      </c>
      <c r="BZ505" t="s">
        <v>89</v>
      </c>
      <c r="CA505" t="s">
        <v>997</v>
      </c>
      <c r="CC505" t="s">
        <v>198</v>
      </c>
      <c r="CD505">
        <v>1406</v>
      </c>
      <c r="CE505" t="s">
        <v>117</v>
      </c>
      <c r="CF505" s="3">
        <v>45846</v>
      </c>
      <c r="CI505">
        <v>1</v>
      </c>
      <c r="CJ505">
        <v>1</v>
      </c>
      <c r="CK505">
        <v>22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"080066361589"</f>
        <v>080066361589</v>
      </c>
      <c r="F506" s="3">
        <v>45842</v>
      </c>
      <c r="G506">
        <v>202604</v>
      </c>
      <c r="H506" t="s">
        <v>75</v>
      </c>
      <c r="I506" t="s">
        <v>76</v>
      </c>
      <c r="J506" t="s">
        <v>77</v>
      </c>
      <c r="K506" t="s">
        <v>78</v>
      </c>
      <c r="L506" t="s">
        <v>151</v>
      </c>
      <c r="M506" t="s">
        <v>152</v>
      </c>
      <c r="N506" t="s">
        <v>1212</v>
      </c>
      <c r="O506" t="s">
        <v>95</v>
      </c>
      <c r="P506" t="str">
        <f>"4170046890                    "</f>
        <v xml:space="preserve">4170046890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43.7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6</v>
      </c>
      <c r="BJ506">
        <v>3.8</v>
      </c>
      <c r="BK506">
        <v>6</v>
      </c>
      <c r="BL506">
        <v>143.55000000000001</v>
      </c>
      <c r="BM506">
        <v>21.53</v>
      </c>
      <c r="BN506">
        <v>165.08</v>
      </c>
      <c r="BO506">
        <v>165.08</v>
      </c>
      <c r="BQ506" t="s">
        <v>1213</v>
      </c>
      <c r="BR506" t="s">
        <v>84</v>
      </c>
      <c r="BS506" s="3">
        <v>45845</v>
      </c>
      <c r="BT506" s="4">
        <v>0.44722222222222224</v>
      </c>
      <c r="BU506" t="s">
        <v>1214</v>
      </c>
      <c r="BV506" t="s">
        <v>98</v>
      </c>
      <c r="BY506">
        <v>18792</v>
      </c>
      <c r="BZ506" t="s">
        <v>99</v>
      </c>
      <c r="CA506" t="s">
        <v>716</v>
      </c>
      <c r="CC506" t="s">
        <v>152</v>
      </c>
      <c r="CD506" s="5" t="s">
        <v>717</v>
      </c>
      <c r="CE506" t="s">
        <v>91</v>
      </c>
      <c r="CF506" s="3">
        <v>45845</v>
      </c>
      <c r="CI506">
        <v>1</v>
      </c>
      <c r="CJ506">
        <v>1</v>
      </c>
      <c r="CK506">
        <v>41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"080066362052"</f>
        <v>080066362052</v>
      </c>
      <c r="F507" s="3">
        <v>45842</v>
      </c>
      <c r="G507">
        <v>202604</v>
      </c>
      <c r="H507" t="s">
        <v>75</v>
      </c>
      <c r="I507" t="s">
        <v>76</v>
      </c>
      <c r="J507" t="s">
        <v>77</v>
      </c>
      <c r="K507" t="s">
        <v>78</v>
      </c>
      <c r="L507" t="s">
        <v>79</v>
      </c>
      <c r="M507" t="s">
        <v>80</v>
      </c>
      <c r="N507" t="s">
        <v>1083</v>
      </c>
      <c r="O507" t="s">
        <v>82</v>
      </c>
      <c r="P507" t="str">
        <f>"4170046966                    "</f>
        <v xml:space="preserve">4170046966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22.6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2</v>
      </c>
      <c r="BJ507">
        <v>1.9</v>
      </c>
      <c r="BK507">
        <v>2</v>
      </c>
      <c r="BL507">
        <v>71.2</v>
      </c>
      <c r="BM507">
        <v>10.68</v>
      </c>
      <c r="BN507">
        <v>81.88</v>
      </c>
      <c r="BO507">
        <v>81.88</v>
      </c>
      <c r="BQ507" t="s">
        <v>1084</v>
      </c>
      <c r="BR507" t="s">
        <v>84</v>
      </c>
      <c r="BS507" s="3">
        <v>45846</v>
      </c>
      <c r="BT507" s="4">
        <v>0.41805555555555557</v>
      </c>
      <c r="BU507" t="s">
        <v>1184</v>
      </c>
      <c r="BV507" t="s">
        <v>86</v>
      </c>
      <c r="BW507" t="s">
        <v>87</v>
      </c>
      <c r="BX507" t="s">
        <v>1185</v>
      </c>
      <c r="BY507">
        <v>9600</v>
      </c>
      <c r="BZ507" t="s">
        <v>89</v>
      </c>
      <c r="CC507" t="s">
        <v>80</v>
      </c>
      <c r="CD507">
        <v>8001</v>
      </c>
      <c r="CE507" t="s">
        <v>117</v>
      </c>
      <c r="CF507" s="3">
        <v>45847</v>
      </c>
      <c r="CI507">
        <v>1</v>
      </c>
      <c r="CJ507">
        <v>2</v>
      </c>
      <c r="CK507">
        <v>21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"080066362096"</f>
        <v>080066362096</v>
      </c>
      <c r="F508" s="3">
        <v>45842</v>
      </c>
      <c r="G508">
        <v>202604</v>
      </c>
      <c r="H508" t="s">
        <v>75</v>
      </c>
      <c r="I508" t="s">
        <v>76</v>
      </c>
      <c r="J508" t="s">
        <v>77</v>
      </c>
      <c r="K508" t="s">
        <v>78</v>
      </c>
      <c r="L508" t="s">
        <v>168</v>
      </c>
      <c r="M508" t="s">
        <v>169</v>
      </c>
      <c r="N508" t="s">
        <v>206</v>
      </c>
      <c r="O508" t="s">
        <v>82</v>
      </c>
      <c r="P508" t="str">
        <f>"4170047009                    "</f>
        <v xml:space="preserve">4170047009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22.6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71.2</v>
      </c>
      <c r="BM508">
        <v>10.68</v>
      </c>
      <c r="BN508">
        <v>81.88</v>
      </c>
      <c r="BO508">
        <v>81.88</v>
      </c>
      <c r="BQ508" t="s">
        <v>207</v>
      </c>
      <c r="BR508" t="s">
        <v>84</v>
      </c>
      <c r="BS508" s="3">
        <v>45845</v>
      </c>
      <c r="BT508" s="4">
        <v>0.39444444444444443</v>
      </c>
      <c r="BU508" t="s">
        <v>208</v>
      </c>
      <c r="BV508" t="s">
        <v>98</v>
      </c>
      <c r="BY508">
        <v>1200</v>
      </c>
      <c r="BZ508" t="s">
        <v>89</v>
      </c>
      <c r="CA508" t="s">
        <v>196</v>
      </c>
      <c r="CC508" t="s">
        <v>169</v>
      </c>
      <c r="CD508">
        <v>6001</v>
      </c>
      <c r="CE508" t="s">
        <v>239</v>
      </c>
      <c r="CF508" s="3">
        <v>45845</v>
      </c>
      <c r="CI508">
        <v>1</v>
      </c>
      <c r="CJ508">
        <v>1</v>
      </c>
      <c r="CK508">
        <v>21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"080066362117"</f>
        <v>080066362117</v>
      </c>
      <c r="F509" s="3">
        <v>45842</v>
      </c>
      <c r="G509">
        <v>202604</v>
      </c>
      <c r="H509" t="s">
        <v>75</v>
      </c>
      <c r="I509" t="s">
        <v>76</v>
      </c>
      <c r="J509" t="s">
        <v>77</v>
      </c>
      <c r="K509" t="s">
        <v>78</v>
      </c>
      <c r="L509" t="s">
        <v>221</v>
      </c>
      <c r="M509" t="s">
        <v>222</v>
      </c>
      <c r="N509" t="s">
        <v>223</v>
      </c>
      <c r="O509" t="s">
        <v>82</v>
      </c>
      <c r="P509" t="str">
        <f>"4170046965                    "</f>
        <v xml:space="preserve">4170046965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43.78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16.739999999999998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154.68</v>
      </c>
      <c r="BM509">
        <v>23.2</v>
      </c>
      <c r="BN509">
        <v>177.88</v>
      </c>
      <c r="BO509">
        <v>177.88</v>
      </c>
      <c r="BQ509" t="s">
        <v>224</v>
      </c>
      <c r="BR509" t="s">
        <v>84</v>
      </c>
      <c r="BS509" s="3">
        <v>45845</v>
      </c>
      <c r="BT509" s="4">
        <v>0.32083333333333336</v>
      </c>
      <c r="BU509" t="s">
        <v>1122</v>
      </c>
      <c r="BV509" t="s">
        <v>98</v>
      </c>
      <c r="BY509">
        <v>1200</v>
      </c>
      <c r="BZ509" t="s">
        <v>460</v>
      </c>
      <c r="CA509" t="s">
        <v>522</v>
      </c>
      <c r="CC509" t="s">
        <v>222</v>
      </c>
      <c r="CD509">
        <v>2716</v>
      </c>
      <c r="CE509" t="s">
        <v>239</v>
      </c>
      <c r="CF509" s="3">
        <v>45846</v>
      </c>
      <c r="CI509">
        <v>5</v>
      </c>
      <c r="CJ509">
        <v>1</v>
      </c>
      <c r="CK509">
        <v>23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"080066362169"</f>
        <v>080066362169</v>
      </c>
      <c r="F510" s="3">
        <v>45842</v>
      </c>
      <c r="G510">
        <v>202604</v>
      </c>
      <c r="H510" t="s">
        <v>75</v>
      </c>
      <c r="I510" t="s">
        <v>76</v>
      </c>
      <c r="J510" t="s">
        <v>77</v>
      </c>
      <c r="K510" t="s">
        <v>78</v>
      </c>
      <c r="L510" t="s">
        <v>221</v>
      </c>
      <c r="M510" t="s">
        <v>222</v>
      </c>
      <c r="N510" t="s">
        <v>223</v>
      </c>
      <c r="O510" t="s">
        <v>82</v>
      </c>
      <c r="P510" t="str">
        <f>"4170046962                    "</f>
        <v xml:space="preserve">4170046962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43.78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16.739999999999998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154.68</v>
      </c>
      <c r="BM510">
        <v>23.2</v>
      </c>
      <c r="BN510">
        <v>177.88</v>
      </c>
      <c r="BO510">
        <v>177.88</v>
      </c>
      <c r="BQ510" t="s">
        <v>224</v>
      </c>
      <c r="BR510" t="s">
        <v>84</v>
      </c>
      <c r="BS510" s="3">
        <v>45845</v>
      </c>
      <c r="BT510" s="4">
        <v>0.32083333333333336</v>
      </c>
      <c r="BU510" t="s">
        <v>1122</v>
      </c>
      <c r="BV510" t="s">
        <v>98</v>
      </c>
      <c r="BY510">
        <v>1200</v>
      </c>
      <c r="BZ510" t="s">
        <v>460</v>
      </c>
      <c r="CA510" t="s">
        <v>522</v>
      </c>
      <c r="CC510" t="s">
        <v>222</v>
      </c>
      <c r="CD510">
        <v>2716</v>
      </c>
      <c r="CE510" t="s">
        <v>239</v>
      </c>
      <c r="CF510" s="3">
        <v>45846</v>
      </c>
      <c r="CI510">
        <v>5</v>
      </c>
      <c r="CJ510">
        <v>1</v>
      </c>
      <c r="CK510">
        <v>23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"080066362223"</f>
        <v>080066362223</v>
      </c>
      <c r="F511" s="3">
        <v>45842</v>
      </c>
      <c r="G511">
        <v>202604</v>
      </c>
      <c r="H511" t="s">
        <v>75</v>
      </c>
      <c r="I511" t="s">
        <v>76</v>
      </c>
      <c r="J511" t="s">
        <v>77</v>
      </c>
      <c r="K511" t="s">
        <v>78</v>
      </c>
      <c r="L511" t="s">
        <v>168</v>
      </c>
      <c r="M511" t="s">
        <v>169</v>
      </c>
      <c r="N511" t="s">
        <v>861</v>
      </c>
      <c r="O511" t="s">
        <v>82</v>
      </c>
      <c r="P511" t="str">
        <f>"4170046980                    "</f>
        <v xml:space="preserve">4170046980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22.6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71.2</v>
      </c>
      <c r="BM511">
        <v>10.68</v>
      </c>
      <c r="BN511">
        <v>81.88</v>
      </c>
      <c r="BO511">
        <v>81.88</v>
      </c>
      <c r="BQ511" t="s">
        <v>862</v>
      </c>
      <c r="BR511" t="s">
        <v>84</v>
      </c>
      <c r="BS511" s="3">
        <v>45845</v>
      </c>
      <c r="BT511" s="4">
        <v>0.31874999999999998</v>
      </c>
      <c r="BU511" t="s">
        <v>1215</v>
      </c>
      <c r="BV511" t="s">
        <v>98</v>
      </c>
      <c r="BY511">
        <v>1200</v>
      </c>
      <c r="BZ511" t="s">
        <v>89</v>
      </c>
      <c r="CA511" t="s">
        <v>1114</v>
      </c>
      <c r="CC511" t="s">
        <v>169</v>
      </c>
      <c r="CD511">
        <v>6045</v>
      </c>
      <c r="CE511" t="s">
        <v>239</v>
      </c>
      <c r="CF511" s="3">
        <v>45845</v>
      </c>
      <c r="CI511">
        <v>1</v>
      </c>
      <c r="CJ511">
        <v>1</v>
      </c>
      <c r="CK511">
        <v>21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"080066362248"</f>
        <v>080066362248</v>
      </c>
      <c r="F512" s="3">
        <v>45842</v>
      </c>
      <c r="G512">
        <v>202604</v>
      </c>
      <c r="H512" t="s">
        <v>75</v>
      </c>
      <c r="I512" t="s">
        <v>76</v>
      </c>
      <c r="J512" t="s">
        <v>77</v>
      </c>
      <c r="K512" t="s">
        <v>78</v>
      </c>
      <c r="L512" t="s">
        <v>79</v>
      </c>
      <c r="M512" t="s">
        <v>80</v>
      </c>
      <c r="N512" t="s">
        <v>188</v>
      </c>
      <c r="O512" t="s">
        <v>82</v>
      </c>
      <c r="P512" t="str">
        <f>"4170046995                    "</f>
        <v xml:space="preserve">4170046995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22.6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71.2</v>
      </c>
      <c r="BM512">
        <v>10.68</v>
      </c>
      <c r="BN512">
        <v>81.88</v>
      </c>
      <c r="BO512">
        <v>81.88</v>
      </c>
      <c r="BQ512" t="s">
        <v>189</v>
      </c>
      <c r="BR512" t="s">
        <v>84</v>
      </c>
      <c r="BS512" s="3">
        <v>45845</v>
      </c>
      <c r="BT512" s="4">
        <v>0.36180555555555555</v>
      </c>
      <c r="BU512" t="s">
        <v>1216</v>
      </c>
      <c r="BV512" t="s">
        <v>98</v>
      </c>
      <c r="BY512">
        <v>1200</v>
      </c>
      <c r="BZ512" t="s">
        <v>89</v>
      </c>
      <c r="CA512" t="s">
        <v>144</v>
      </c>
      <c r="CC512" t="s">
        <v>80</v>
      </c>
      <c r="CD512">
        <v>7441</v>
      </c>
      <c r="CE512" t="s">
        <v>239</v>
      </c>
      <c r="CF512" s="3">
        <v>45846</v>
      </c>
      <c r="CI512">
        <v>1</v>
      </c>
      <c r="CJ512">
        <v>1</v>
      </c>
      <c r="CK512">
        <v>21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"080066362280"</f>
        <v>080066362280</v>
      </c>
      <c r="F513" s="3">
        <v>45842</v>
      </c>
      <c r="G513">
        <v>202604</v>
      </c>
      <c r="H513" t="s">
        <v>75</v>
      </c>
      <c r="I513" t="s">
        <v>76</v>
      </c>
      <c r="J513" t="s">
        <v>77</v>
      </c>
      <c r="K513" t="s">
        <v>78</v>
      </c>
      <c r="L513" t="s">
        <v>122</v>
      </c>
      <c r="M513" t="s">
        <v>123</v>
      </c>
      <c r="N513" t="s">
        <v>283</v>
      </c>
      <c r="O513" t="s">
        <v>82</v>
      </c>
      <c r="P513" t="str">
        <f>"4170046994                    "</f>
        <v xml:space="preserve">4170046994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22.6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71.2</v>
      </c>
      <c r="BM513">
        <v>10.68</v>
      </c>
      <c r="BN513">
        <v>81.88</v>
      </c>
      <c r="BO513">
        <v>81.88</v>
      </c>
      <c r="BQ513" t="s">
        <v>284</v>
      </c>
      <c r="BR513" t="s">
        <v>84</v>
      </c>
      <c r="BS513" s="3">
        <v>45845</v>
      </c>
      <c r="BT513" s="4">
        <v>0.39027777777777778</v>
      </c>
      <c r="BU513" t="s">
        <v>1117</v>
      </c>
      <c r="BV513" t="s">
        <v>98</v>
      </c>
      <c r="BY513">
        <v>1200</v>
      </c>
      <c r="BZ513" t="s">
        <v>89</v>
      </c>
      <c r="CA513" t="s">
        <v>187</v>
      </c>
      <c r="CC513" t="s">
        <v>123</v>
      </c>
      <c r="CD513">
        <v>3608</v>
      </c>
      <c r="CE513" t="s">
        <v>239</v>
      </c>
      <c r="CF513" s="3">
        <v>45845</v>
      </c>
      <c r="CI513">
        <v>1</v>
      </c>
      <c r="CJ513">
        <v>1</v>
      </c>
      <c r="CK513">
        <v>21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"080066362533"</f>
        <v>080066362533</v>
      </c>
      <c r="F514" s="3">
        <v>45842</v>
      </c>
      <c r="G514">
        <v>202604</v>
      </c>
      <c r="H514" t="s">
        <v>75</v>
      </c>
      <c r="I514" t="s">
        <v>76</v>
      </c>
      <c r="J514" t="s">
        <v>77</v>
      </c>
      <c r="K514" t="s">
        <v>78</v>
      </c>
      <c r="L514" t="s">
        <v>168</v>
      </c>
      <c r="M514" t="s">
        <v>169</v>
      </c>
      <c r="N514" t="s">
        <v>420</v>
      </c>
      <c r="O514" t="s">
        <v>82</v>
      </c>
      <c r="P514" t="str">
        <f>"4170046973                    "</f>
        <v xml:space="preserve">4170046973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45.18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4</v>
      </c>
      <c r="BK514">
        <v>4</v>
      </c>
      <c r="BL514">
        <v>142.34</v>
      </c>
      <c r="BM514">
        <v>21.35</v>
      </c>
      <c r="BN514">
        <v>163.69</v>
      </c>
      <c r="BO514">
        <v>163.69</v>
      </c>
      <c r="BQ514" t="s">
        <v>421</v>
      </c>
      <c r="BR514" t="s">
        <v>84</v>
      </c>
      <c r="BS514" s="3">
        <v>45845</v>
      </c>
      <c r="BT514" s="4">
        <v>0.38194444444444442</v>
      </c>
      <c r="BU514" t="s">
        <v>1217</v>
      </c>
      <c r="BV514" t="s">
        <v>98</v>
      </c>
      <c r="BY514">
        <v>19992</v>
      </c>
      <c r="BZ514" t="s">
        <v>89</v>
      </c>
      <c r="CA514" t="s">
        <v>1114</v>
      </c>
      <c r="CC514" t="s">
        <v>169</v>
      </c>
      <c r="CD514">
        <v>6001</v>
      </c>
      <c r="CE514" t="s">
        <v>91</v>
      </c>
      <c r="CF514" s="3">
        <v>45845</v>
      </c>
      <c r="CI514">
        <v>1</v>
      </c>
      <c r="CJ514">
        <v>1</v>
      </c>
      <c r="CK514">
        <v>21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"080066362558"</f>
        <v>080066362558</v>
      </c>
      <c r="F515" s="3">
        <v>45842</v>
      </c>
      <c r="G515">
        <v>202604</v>
      </c>
      <c r="H515" t="s">
        <v>75</v>
      </c>
      <c r="I515" t="s">
        <v>76</v>
      </c>
      <c r="J515" t="s">
        <v>77</v>
      </c>
      <c r="K515" t="s">
        <v>78</v>
      </c>
      <c r="L515" t="s">
        <v>79</v>
      </c>
      <c r="M515" t="s">
        <v>80</v>
      </c>
      <c r="N515" t="s">
        <v>1218</v>
      </c>
      <c r="O515" t="s">
        <v>82</v>
      </c>
      <c r="P515" t="str">
        <f>"4170046981                    "</f>
        <v xml:space="preserve">4170046981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45.18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4</v>
      </c>
      <c r="BJ515">
        <v>1.1000000000000001</v>
      </c>
      <c r="BK515">
        <v>4</v>
      </c>
      <c r="BL515">
        <v>142.34</v>
      </c>
      <c r="BM515">
        <v>21.35</v>
      </c>
      <c r="BN515">
        <v>163.69</v>
      </c>
      <c r="BO515">
        <v>163.69</v>
      </c>
      <c r="BQ515" t="s">
        <v>1219</v>
      </c>
      <c r="BR515" t="s">
        <v>84</v>
      </c>
      <c r="BS515" s="3">
        <v>45845</v>
      </c>
      <c r="BT515" s="4">
        <v>0.36666666666666664</v>
      </c>
      <c r="BU515" t="s">
        <v>1220</v>
      </c>
      <c r="BV515" t="s">
        <v>98</v>
      </c>
      <c r="BY515">
        <v>5320</v>
      </c>
      <c r="BZ515" t="s">
        <v>89</v>
      </c>
      <c r="CA515" t="s">
        <v>1221</v>
      </c>
      <c r="CC515" t="s">
        <v>80</v>
      </c>
      <c r="CD515">
        <v>7764</v>
      </c>
      <c r="CE515" t="s">
        <v>117</v>
      </c>
      <c r="CF515" s="3">
        <v>45846</v>
      </c>
      <c r="CI515">
        <v>1</v>
      </c>
      <c r="CJ515">
        <v>1</v>
      </c>
      <c r="CK515">
        <v>21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"080066362674"</f>
        <v>080066362674</v>
      </c>
      <c r="F516" s="3">
        <v>45842</v>
      </c>
      <c r="G516">
        <v>202604</v>
      </c>
      <c r="H516" t="s">
        <v>75</v>
      </c>
      <c r="I516" t="s">
        <v>76</v>
      </c>
      <c r="J516" t="s">
        <v>77</v>
      </c>
      <c r="K516" t="s">
        <v>78</v>
      </c>
      <c r="L516" t="s">
        <v>135</v>
      </c>
      <c r="M516" t="s">
        <v>136</v>
      </c>
      <c r="N516" t="s">
        <v>482</v>
      </c>
      <c r="O516" t="s">
        <v>82</v>
      </c>
      <c r="P516" t="str">
        <f>"4170046996                    "</f>
        <v xml:space="preserve">4170046996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22.6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71.2</v>
      </c>
      <c r="BM516">
        <v>10.68</v>
      </c>
      <c r="BN516">
        <v>81.88</v>
      </c>
      <c r="BO516">
        <v>81.88</v>
      </c>
      <c r="BQ516" t="s">
        <v>483</v>
      </c>
      <c r="BR516" t="s">
        <v>84</v>
      </c>
      <c r="BS516" s="3">
        <v>45846</v>
      </c>
      <c r="BT516" s="4">
        <v>0.41666666666666669</v>
      </c>
      <c r="BU516" t="s">
        <v>238</v>
      </c>
      <c r="BV516" t="s">
        <v>86</v>
      </c>
      <c r="BY516">
        <v>1230</v>
      </c>
      <c r="BZ516" t="s">
        <v>89</v>
      </c>
      <c r="CC516" t="s">
        <v>136</v>
      </c>
      <c r="CD516">
        <v>3201</v>
      </c>
      <c r="CE516" t="s">
        <v>1170</v>
      </c>
      <c r="CF516" s="3">
        <v>45847</v>
      </c>
      <c r="CI516">
        <v>1</v>
      </c>
      <c r="CJ516">
        <v>2</v>
      </c>
      <c r="CK516">
        <v>21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"080066362688"</f>
        <v>080066362688</v>
      </c>
      <c r="F517" s="3">
        <v>45842</v>
      </c>
      <c r="G517">
        <v>202604</v>
      </c>
      <c r="H517" t="s">
        <v>75</v>
      </c>
      <c r="I517" t="s">
        <v>76</v>
      </c>
      <c r="J517" t="s">
        <v>77</v>
      </c>
      <c r="K517" t="s">
        <v>78</v>
      </c>
      <c r="L517" t="s">
        <v>168</v>
      </c>
      <c r="M517" t="s">
        <v>169</v>
      </c>
      <c r="N517" t="s">
        <v>202</v>
      </c>
      <c r="O517" t="s">
        <v>82</v>
      </c>
      <c r="P517" t="str">
        <f>"4170046999                    "</f>
        <v xml:space="preserve">4170046999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22.6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71.2</v>
      </c>
      <c r="BM517">
        <v>10.68</v>
      </c>
      <c r="BN517">
        <v>81.88</v>
      </c>
      <c r="BO517">
        <v>81.88</v>
      </c>
      <c r="BQ517" t="s">
        <v>203</v>
      </c>
      <c r="BR517" t="s">
        <v>84</v>
      </c>
      <c r="BS517" s="3">
        <v>45845</v>
      </c>
      <c r="BT517" s="4">
        <v>0.39444444444444443</v>
      </c>
      <c r="BU517" t="s">
        <v>1127</v>
      </c>
      <c r="BV517" t="s">
        <v>98</v>
      </c>
      <c r="BY517">
        <v>1200</v>
      </c>
      <c r="BZ517" t="s">
        <v>89</v>
      </c>
      <c r="CA517" t="s">
        <v>205</v>
      </c>
      <c r="CC517" t="s">
        <v>169</v>
      </c>
      <c r="CD517">
        <v>6001</v>
      </c>
      <c r="CE517" t="s">
        <v>239</v>
      </c>
      <c r="CF517" s="3">
        <v>45845</v>
      </c>
      <c r="CI517">
        <v>1</v>
      </c>
      <c r="CJ517">
        <v>1</v>
      </c>
      <c r="CK517">
        <v>21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"080066362695"</f>
        <v>080066362695</v>
      </c>
      <c r="F518" s="3">
        <v>45842</v>
      </c>
      <c r="G518">
        <v>202604</v>
      </c>
      <c r="H518" t="s">
        <v>75</v>
      </c>
      <c r="I518" t="s">
        <v>76</v>
      </c>
      <c r="J518" t="s">
        <v>77</v>
      </c>
      <c r="K518" t="s">
        <v>78</v>
      </c>
      <c r="L518" t="s">
        <v>79</v>
      </c>
      <c r="M518" t="s">
        <v>80</v>
      </c>
      <c r="N518" t="s">
        <v>914</v>
      </c>
      <c r="O518" t="s">
        <v>82</v>
      </c>
      <c r="P518" t="str">
        <f>"4170046986                    "</f>
        <v xml:space="preserve">4170046986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22.6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71.2</v>
      </c>
      <c r="BM518">
        <v>10.68</v>
      </c>
      <c r="BN518">
        <v>81.88</v>
      </c>
      <c r="BO518">
        <v>81.88</v>
      </c>
      <c r="BQ518" t="s">
        <v>915</v>
      </c>
      <c r="BR518" t="s">
        <v>84</v>
      </c>
      <c r="BS518" s="3">
        <v>45845</v>
      </c>
      <c r="BT518" s="4">
        <v>0.43333333333333335</v>
      </c>
      <c r="BU518" t="s">
        <v>1222</v>
      </c>
      <c r="BV518" t="s">
        <v>98</v>
      </c>
      <c r="BY518">
        <v>1200</v>
      </c>
      <c r="BZ518" t="s">
        <v>89</v>
      </c>
      <c r="CA518" t="s">
        <v>733</v>
      </c>
      <c r="CC518" t="s">
        <v>80</v>
      </c>
      <c r="CD518">
        <v>7500</v>
      </c>
      <c r="CE518" t="s">
        <v>239</v>
      </c>
      <c r="CF518" s="3">
        <v>45846</v>
      </c>
      <c r="CI518">
        <v>1</v>
      </c>
      <c r="CJ518">
        <v>1</v>
      </c>
      <c r="CK518">
        <v>21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"080066362726"</f>
        <v>080066362726</v>
      </c>
      <c r="F519" s="3">
        <v>45842</v>
      </c>
      <c r="G519">
        <v>202604</v>
      </c>
      <c r="H519" t="s">
        <v>75</v>
      </c>
      <c r="I519" t="s">
        <v>76</v>
      </c>
      <c r="J519" t="s">
        <v>77</v>
      </c>
      <c r="K519" t="s">
        <v>78</v>
      </c>
      <c r="L519" t="s">
        <v>168</v>
      </c>
      <c r="M519" t="s">
        <v>169</v>
      </c>
      <c r="N519" t="s">
        <v>438</v>
      </c>
      <c r="O519" t="s">
        <v>82</v>
      </c>
      <c r="P519" t="str">
        <f>"4170046998                    "</f>
        <v xml:space="preserve">4170046998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22.6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71.2</v>
      </c>
      <c r="BM519">
        <v>10.68</v>
      </c>
      <c r="BN519">
        <v>81.88</v>
      </c>
      <c r="BO519">
        <v>81.88</v>
      </c>
      <c r="BQ519" t="s">
        <v>439</v>
      </c>
      <c r="BR519" t="s">
        <v>84</v>
      </c>
      <c r="BS519" s="3">
        <v>45845</v>
      </c>
      <c r="BT519" s="4">
        <v>0.40208333333333335</v>
      </c>
      <c r="BU519" t="s">
        <v>1223</v>
      </c>
      <c r="BV519" t="s">
        <v>98</v>
      </c>
      <c r="BY519">
        <v>1200</v>
      </c>
      <c r="BZ519" t="s">
        <v>89</v>
      </c>
      <c r="CA519" t="s">
        <v>1114</v>
      </c>
      <c r="CC519" t="s">
        <v>169</v>
      </c>
      <c r="CD519">
        <v>6001</v>
      </c>
      <c r="CE519" t="s">
        <v>239</v>
      </c>
      <c r="CF519" s="3">
        <v>45845</v>
      </c>
      <c r="CI519">
        <v>1</v>
      </c>
      <c r="CJ519">
        <v>1</v>
      </c>
      <c r="CK519">
        <v>21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"080066362740"</f>
        <v>080066362740</v>
      </c>
      <c r="F520" s="3">
        <v>45842</v>
      </c>
      <c r="G520">
        <v>202604</v>
      </c>
      <c r="H520" t="s">
        <v>75</v>
      </c>
      <c r="I520" t="s">
        <v>76</v>
      </c>
      <c r="J520" t="s">
        <v>77</v>
      </c>
      <c r="K520" t="s">
        <v>78</v>
      </c>
      <c r="L520" t="s">
        <v>473</v>
      </c>
      <c r="M520" t="s">
        <v>474</v>
      </c>
      <c r="N520" t="s">
        <v>1224</v>
      </c>
      <c r="O520" t="s">
        <v>82</v>
      </c>
      <c r="P520" t="str">
        <f>"4170046874                    "</f>
        <v xml:space="preserve">4170046874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22.6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71.2</v>
      </c>
      <c r="BM520">
        <v>10.68</v>
      </c>
      <c r="BN520">
        <v>81.88</v>
      </c>
      <c r="BO520">
        <v>81.88</v>
      </c>
      <c r="BQ520" t="s">
        <v>1225</v>
      </c>
      <c r="BR520" t="s">
        <v>84</v>
      </c>
      <c r="BS520" s="3">
        <v>45845</v>
      </c>
      <c r="BT520" s="4">
        <v>0.3888888888888889</v>
      </c>
      <c r="BU520" t="s">
        <v>1226</v>
      </c>
      <c r="BV520" t="s">
        <v>98</v>
      </c>
      <c r="BY520">
        <v>1200</v>
      </c>
      <c r="BZ520" t="s">
        <v>89</v>
      </c>
      <c r="CA520" t="s">
        <v>337</v>
      </c>
      <c r="CC520" t="s">
        <v>474</v>
      </c>
      <c r="CD520">
        <v>4026</v>
      </c>
      <c r="CE520" t="s">
        <v>239</v>
      </c>
      <c r="CF520" s="3">
        <v>45846</v>
      </c>
      <c r="CI520">
        <v>1</v>
      </c>
      <c r="CJ520">
        <v>1</v>
      </c>
      <c r="CK520">
        <v>21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"080066362767"</f>
        <v>080066362767</v>
      </c>
      <c r="F521" s="3">
        <v>45842</v>
      </c>
      <c r="G521">
        <v>202604</v>
      </c>
      <c r="H521" t="s">
        <v>75</v>
      </c>
      <c r="I521" t="s">
        <v>76</v>
      </c>
      <c r="J521" t="s">
        <v>77</v>
      </c>
      <c r="K521" t="s">
        <v>78</v>
      </c>
      <c r="L521" t="s">
        <v>75</v>
      </c>
      <c r="M521" t="s">
        <v>76</v>
      </c>
      <c r="N521" t="s">
        <v>614</v>
      </c>
      <c r="O521" t="s">
        <v>82</v>
      </c>
      <c r="P521" t="str">
        <f>"4170046866                    "</f>
        <v xml:space="preserve">4170046866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17.649999999999999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55.61</v>
      </c>
      <c r="BM521">
        <v>8.34</v>
      </c>
      <c r="BN521">
        <v>63.95</v>
      </c>
      <c r="BO521">
        <v>63.95</v>
      </c>
      <c r="BQ521" t="s">
        <v>615</v>
      </c>
      <c r="BR521" t="s">
        <v>84</v>
      </c>
      <c r="BS521" s="3">
        <v>45845</v>
      </c>
      <c r="BT521" s="4">
        <v>0.38055555555555554</v>
      </c>
      <c r="BU521" t="s">
        <v>616</v>
      </c>
      <c r="BV521" t="s">
        <v>98</v>
      </c>
      <c r="BY521">
        <v>1200</v>
      </c>
      <c r="BZ521" t="s">
        <v>89</v>
      </c>
      <c r="CA521" t="s">
        <v>617</v>
      </c>
      <c r="CC521" t="s">
        <v>76</v>
      </c>
      <c r="CD521">
        <v>1609</v>
      </c>
      <c r="CE521" t="s">
        <v>239</v>
      </c>
      <c r="CF521" s="3">
        <v>45845</v>
      </c>
      <c r="CI521">
        <v>1</v>
      </c>
      <c r="CJ521">
        <v>1</v>
      </c>
      <c r="CK521">
        <v>22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"080066362786"</f>
        <v>080066362786</v>
      </c>
      <c r="F522" s="3">
        <v>45842</v>
      </c>
      <c r="G522">
        <v>202604</v>
      </c>
      <c r="H522" t="s">
        <v>75</v>
      </c>
      <c r="I522" t="s">
        <v>76</v>
      </c>
      <c r="J522" t="s">
        <v>77</v>
      </c>
      <c r="K522" t="s">
        <v>78</v>
      </c>
      <c r="L522" t="s">
        <v>79</v>
      </c>
      <c r="M522" t="s">
        <v>80</v>
      </c>
      <c r="N522" t="s">
        <v>1083</v>
      </c>
      <c r="O522" t="s">
        <v>82</v>
      </c>
      <c r="P522" t="str">
        <f>"4170047003                    "</f>
        <v xml:space="preserve">4170047003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22.6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71.2</v>
      </c>
      <c r="BM522">
        <v>10.68</v>
      </c>
      <c r="BN522">
        <v>81.88</v>
      </c>
      <c r="BO522">
        <v>81.88</v>
      </c>
      <c r="BQ522" t="s">
        <v>1084</v>
      </c>
      <c r="BR522" t="s">
        <v>84</v>
      </c>
      <c r="BS522" s="3">
        <v>45845</v>
      </c>
      <c r="BT522" s="4">
        <v>0.40763888888888888</v>
      </c>
      <c r="BU522" t="s">
        <v>378</v>
      </c>
      <c r="BV522" t="s">
        <v>98</v>
      </c>
      <c r="BY522">
        <v>1200</v>
      </c>
      <c r="BZ522" t="s">
        <v>89</v>
      </c>
      <c r="CA522" t="s">
        <v>144</v>
      </c>
      <c r="CC522" t="s">
        <v>80</v>
      </c>
      <c r="CD522">
        <v>8001</v>
      </c>
      <c r="CE522" t="s">
        <v>239</v>
      </c>
      <c r="CF522" s="3">
        <v>45846</v>
      </c>
      <c r="CI522">
        <v>1</v>
      </c>
      <c r="CJ522">
        <v>1</v>
      </c>
      <c r="CK522">
        <v>21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"080066362830"</f>
        <v>080066362830</v>
      </c>
      <c r="F523" s="3">
        <v>45842</v>
      </c>
      <c r="G523">
        <v>202604</v>
      </c>
      <c r="H523" t="s">
        <v>75</v>
      </c>
      <c r="I523" t="s">
        <v>76</v>
      </c>
      <c r="J523" t="s">
        <v>77</v>
      </c>
      <c r="K523" t="s">
        <v>78</v>
      </c>
      <c r="L523" t="s">
        <v>554</v>
      </c>
      <c r="M523" t="s">
        <v>555</v>
      </c>
      <c r="N523" t="s">
        <v>765</v>
      </c>
      <c r="O523" t="s">
        <v>82</v>
      </c>
      <c r="P523" t="str">
        <f>"4170046993                    "</f>
        <v xml:space="preserve">4170046993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22.6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71.2</v>
      </c>
      <c r="BM523">
        <v>10.68</v>
      </c>
      <c r="BN523">
        <v>81.88</v>
      </c>
      <c r="BO523">
        <v>81.88</v>
      </c>
      <c r="BQ523" t="s">
        <v>766</v>
      </c>
      <c r="BR523" t="s">
        <v>84</v>
      </c>
      <c r="BS523" s="3">
        <v>45845</v>
      </c>
      <c r="BT523" s="4">
        <v>0.38680555555555557</v>
      </c>
      <c r="BU523" t="s">
        <v>767</v>
      </c>
      <c r="BV523" t="s">
        <v>98</v>
      </c>
      <c r="BY523">
        <v>1200</v>
      </c>
      <c r="BZ523" t="s">
        <v>89</v>
      </c>
      <c r="CA523" t="s">
        <v>559</v>
      </c>
      <c r="CC523" t="s">
        <v>555</v>
      </c>
      <c r="CD523" s="5" t="s">
        <v>560</v>
      </c>
      <c r="CE523" t="s">
        <v>239</v>
      </c>
      <c r="CF523" s="3">
        <v>45845</v>
      </c>
      <c r="CI523">
        <v>1</v>
      </c>
      <c r="CJ523">
        <v>1</v>
      </c>
      <c r="CK523">
        <v>21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"080066362857"</f>
        <v>080066362857</v>
      </c>
      <c r="F524" s="3">
        <v>45842</v>
      </c>
      <c r="G524">
        <v>202604</v>
      </c>
      <c r="H524" t="s">
        <v>75</v>
      </c>
      <c r="I524" t="s">
        <v>76</v>
      </c>
      <c r="J524" t="s">
        <v>77</v>
      </c>
      <c r="K524" t="s">
        <v>78</v>
      </c>
      <c r="L524" t="s">
        <v>151</v>
      </c>
      <c r="M524" t="s">
        <v>152</v>
      </c>
      <c r="N524" t="s">
        <v>801</v>
      </c>
      <c r="O524" t="s">
        <v>82</v>
      </c>
      <c r="P524" t="str">
        <f>"4170047008                    "</f>
        <v xml:space="preserve">4170047008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22.6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71.2</v>
      </c>
      <c r="BM524">
        <v>10.68</v>
      </c>
      <c r="BN524">
        <v>81.88</v>
      </c>
      <c r="BO524">
        <v>81.88</v>
      </c>
      <c r="BQ524" t="s">
        <v>802</v>
      </c>
      <c r="BR524" t="s">
        <v>84</v>
      </c>
      <c r="BS524" s="3">
        <v>45845</v>
      </c>
      <c r="BT524" s="4">
        <v>0.375</v>
      </c>
      <c r="BU524" t="s">
        <v>803</v>
      </c>
      <c r="BV524" t="s">
        <v>98</v>
      </c>
      <c r="BY524">
        <v>1200</v>
      </c>
      <c r="BZ524" t="s">
        <v>89</v>
      </c>
      <c r="CA524" t="s">
        <v>716</v>
      </c>
      <c r="CC524" t="s">
        <v>152</v>
      </c>
      <c r="CD524" s="5" t="s">
        <v>717</v>
      </c>
      <c r="CE524" t="s">
        <v>239</v>
      </c>
      <c r="CF524" s="3">
        <v>45845</v>
      </c>
      <c r="CI524">
        <v>1</v>
      </c>
      <c r="CJ524">
        <v>1</v>
      </c>
      <c r="CK524">
        <v>21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"080066362889"</f>
        <v>080066362889</v>
      </c>
      <c r="F525" s="3">
        <v>45842</v>
      </c>
      <c r="G525">
        <v>202604</v>
      </c>
      <c r="H525" t="s">
        <v>75</v>
      </c>
      <c r="I525" t="s">
        <v>76</v>
      </c>
      <c r="J525" t="s">
        <v>77</v>
      </c>
      <c r="K525" t="s">
        <v>78</v>
      </c>
      <c r="L525" t="s">
        <v>168</v>
      </c>
      <c r="M525" t="s">
        <v>169</v>
      </c>
      <c r="N525" t="s">
        <v>202</v>
      </c>
      <c r="O525" t="s">
        <v>82</v>
      </c>
      <c r="P525" t="str">
        <f>"4170047001                    "</f>
        <v xml:space="preserve">4170047001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101.63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7</v>
      </c>
      <c r="BJ525">
        <v>8.6999999999999993</v>
      </c>
      <c r="BK525">
        <v>9</v>
      </c>
      <c r="BL525">
        <v>320.19</v>
      </c>
      <c r="BM525">
        <v>48.03</v>
      </c>
      <c r="BN525">
        <v>368.22</v>
      </c>
      <c r="BO525">
        <v>368.22</v>
      </c>
      <c r="BQ525" t="s">
        <v>203</v>
      </c>
      <c r="BR525" t="s">
        <v>84</v>
      </c>
      <c r="BS525" s="3">
        <v>45845</v>
      </c>
      <c r="BT525" s="4">
        <v>0.39444444444444443</v>
      </c>
      <c r="BU525" t="s">
        <v>1127</v>
      </c>
      <c r="BV525" t="s">
        <v>98</v>
      </c>
      <c r="BY525">
        <v>43264</v>
      </c>
      <c r="BZ525" t="s">
        <v>89</v>
      </c>
      <c r="CA525" t="s">
        <v>205</v>
      </c>
      <c r="CC525" t="s">
        <v>169</v>
      </c>
      <c r="CD525">
        <v>6001</v>
      </c>
      <c r="CE525" t="s">
        <v>91</v>
      </c>
      <c r="CF525" s="3">
        <v>45845</v>
      </c>
      <c r="CI525">
        <v>1</v>
      </c>
      <c r="CJ525">
        <v>1</v>
      </c>
      <c r="CK525">
        <v>21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"080066362930"</f>
        <v>080066362930</v>
      </c>
      <c r="F526" s="3">
        <v>45842</v>
      </c>
      <c r="G526">
        <v>202604</v>
      </c>
      <c r="H526" t="s">
        <v>75</v>
      </c>
      <c r="I526" t="s">
        <v>76</v>
      </c>
      <c r="J526" t="s">
        <v>77</v>
      </c>
      <c r="K526" t="s">
        <v>78</v>
      </c>
      <c r="L526" t="s">
        <v>79</v>
      </c>
      <c r="M526" t="s">
        <v>80</v>
      </c>
      <c r="N526" t="s">
        <v>931</v>
      </c>
      <c r="O526" t="s">
        <v>82</v>
      </c>
      <c r="P526" t="str">
        <f>"4170046918                    "</f>
        <v xml:space="preserve">4170046918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90.34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2</v>
      </c>
      <c r="BI526">
        <v>8</v>
      </c>
      <c r="BJ526">
        <v>3.8</v>
      </c>
      <c r="BK526">
        <v>8</v>
      </c>
      <c r="BL526">
        <v>284.62</v>
      </c>
      <c r="BM526">
        <v>42.69</v>
      </c>
      <c r="BN526">
        <v>327.31</v>
      </c>
      <c r="BO526">
        <v>327.31</v>
      </c>
      <c r="BQ526" t="s">
        <v>932</v>
      </c>
      <c r="BR526" t="s">
        <v>84</v>
      </c>
      <c r="BS526" s="3">
        <v>45845</v>
      </c>
      <c r="BT526" s="4">
        <v>0.42986111111111114</v>
      </c>
      <c r="BU526" t="s">
        <v>933</v>
      </c>
      <c r="BV526" t="s">
        <v>98</v>
      </c>
      <c r="BY526">
        <v>19200</v>
      </c>
      <c r="BZ526" t="s">
        <v>89</v>
      </c>
      <c r="CA526" t="s">
        <v>934</v>
      </c>
      <c r="CC526" t="s">
        <v>80</v>
      </c>
      <c r="CD526">
        <v>7535</v>
      </c>
      <c r="CE526" t="s">
        <v>117</v>
      </c>
      <c r="CF526" s="3">
        <v>45846</v>
      </c>
      <c r="CI526">
        <v>1</v>
      </c>
      <c r="CJ526">
        <v>1</v>
      </c>
      <c r="CK526">
        <v>21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"080066362960"</f>
        <v>080066362960</v>
      </c>
      <c r="F527" s="3">
        <v>45842</v>
      </c>
      <c r="G527">
        <v>202604</v>
      </c>
      <c r="H527" t="s">
        <v>75</v>
      </c>
      <c r="I527" t="s">
        <v>76</v>
      </c>
      <c r="J527" t="s">
        <v>77</v>
      </c>
      <c r="K527" t="s">
        <v>78</v>
      </c>
      <c r="L527" t="s">
        <v>75</v>
      </c>
      <c r="M527" t="s">
        <v>76</v>
      </c>
      <c r="N527" t="s">
        <v>809</v>
      </c>
      <c r="O527" t="s">
        <v>82</v>
      </c>
      <c r="P527" t="str">
        <f>"4170046848                    "</f>
        <v xml:space="preserve">4170046848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17.649999999999999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2</v>
      </c>
      <c r="BJ527">
        <v>1.1000000000000001</v>
      </c>
      <c r="BK527">
        <v>2</v>
      </c>
      <c r="BL527">
        <v>55.61</v>
      </c>
      <c r="BM527">
        <v>8.34</v>
      </c>
      <c r="BN527">
        <v>63.95</v>
      </c>
      <c r="BO527">
        <v>63.95</v>
      </c>
      <c r="BQ527" t="s">
        <v>810</v>
      </c>
      <c r="BR527" t="s">
        <v>84</v>
      </c>
      <c r="BS527" s="3">
        <v>45845</v>
      </c>
      <c r="BT527" s="4">
        <v>0.40972222222222221</v>
      </c>
      <c r="BU527" t="s">
        <v>1227</v>
      </c>
      <c r="BV527" t="s">
        <v>98</v>
      </c>
      <c r="BY527">
        <v>5320</v>
      </c>
      <c r="BZ527" t="s">
        <v>89</v>
      </c>
      <c r="CA527" t="s">
        <v>883</v>
      </c>
      <c r="CC527" t="s">
        <v>76</v>
      </c>
      <c r="CD527">
        <v>1666</v>
      </c>
      <c r="CE527" t="s">
        <v>117</v>
      </c>
      <c r="CF527" s="3">
        <v>45846</v>
      </c>
      <c r="CI527">
        <v>1</v>
      </c>
      <c r="CJ527">
        <v>1</v>
      </c>
      <c r="CK527">
        <v>22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"080066363013"</f>
        <v>080066363013</v>
      </c>
      <c r="F528" s="3">
        <v>45842</v>
      </c>
      <c r="G528">
        <v>202604</v>
      </c>
      <c r="H528" t="s">
        <v>75</v>
      </c>
      <c r="I528" t="s">
        <v>76</v>
      </c>
      <c r="J528" t="s">
        <v>77</v>
      </c>
      <c r="K528" t="s">
        <v>78</v>
      </c>
      <c r="L528" t="s">
        <v>135</v>
      </c>
      <c r="M528" t="s">
        <v>136</v>
      </c>
      <c r="N528" t="s">
        <v>1228</v>
      </c>
      <c r="O528" t="s">
        <v>82</v>
      </c>
      <c r="P528" t="str">
        <f>"4170046985                    "</f>
        <v xml:space="preserve">4170046985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22.6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</v>
      </c>
      <c r="BJ528">
        <v>1.1000000000000001</v>
      </c>
      <c r="BK528">
        <v>2</v>
      </c>
      <c r="BL528">
        <v>71.2</v>
      </c>
      <c r="BM528">
        <v>10.68</v>
      </c>
      <c r="BN528">
        <v>81.88</v>
      </c>
      <c r="BO528">
        <v>81.88</v>
      </c>
      <c r="BQ528" t="s">
        <v>1229</v>
      </c>
      <c r="BR528" t="s">
        <v>84</v>
      </c>
      <c r="BS528" s="3">
        <v>45845</v>
      </c>
      <c r="BT528" s="4">
        <v>0.46875</v>
      </c>
      <c r="BU528" t="s">
        <v>1230</v>
      </c>
      <c r="BV528" t="s">
        <v>98</v>
      </c>
      <c r="BY528">
        <v>5320</v>
      </c>
      <c r="BZ528" t="s">
        <v>89</v>
      </c>
      <c r="CA528" t="s">
        <v>382</v>
      </c>
      <c r="CC528" t="s">
        <v>136</v>
      </c>
      <c r="CD528">
        <v>3212</v>
      </c>
      <c r="CE528" t="s">
        <v>1231</v>
      </c>
      <c r="CF528" s="3">
        <v>45845</v>
      </c>
      <c r="CI528">
        <v>2</v>
      </c>
      <c r="CJ528">
        <v>1</v>
      </c>
      <c r="CK528">
        <v>21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"080066363297"</f>
        <v>080066363297</v>
      </c>
      <c r="F529" s="3">
        <v>45842</v>
      </c>
      <c r="G529">
        <v>202604</v>
      </c>
      <c r="H529" t="s">
        <v>75</v>
      </c>
      <c r="I529" t="s">
        <v>76</v>
      </c>
      <c r="J529" t="s">
        <v>77</v>
      </c>
      <c r="K529" t="s">
        <v>78</v>
      </c>
      <c r="L529" t="s">
        <v>580</v>
      </c>
      <c r="M529" t="s">
        <v>581</v>
      </c>
      <c r="N529" t="s">
        <v>582</v>
      </c>
      <c r="O529" t="s">
        <v>95</v>
      </c>
      <c r="P529" t="str">
        <f>"4170046982                    "</f>
        <v xml:space="preserve">4170046982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72.569999999999993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20</v>
      </c>
      <c r="BJ529">
        <v>30.9</v>
      </c>
      <c r="BK529">
        <v>31</v>
      </c>
      <c r="BL529">
        <v>234.5</v>
      </c>
      <c r="BM529">
        <v>35.18</v>
      </c>
      <c r="BN529">
        <v>269.68</v>
      </c>
      <c r="BO529">
        <v>269.68</v>
      </c>
      <c r="BQ529" t="s">
        <v>583</v>
      </c>
      <c r="BR529" t="s">
        <v>84</v>
      </c>
      <c r="BS529" s="3">
        <v>45845</v>
      </c>
      <c r="BT529" s="4">
        <v>0.39930555555555558</v>
      </c>
      <c r="BU529" t="s">
        <v>584</v>
      </c>
      <c r="BV529" t="s">
        <v>98</v>
      </c>
      <c r="BY529">
        <v>154560</v>
      </c>
      <c r="BZ529" t="s">
        <v>99</v>
      </c>
      <c r="CA529" t="s">
        <v>585</v>
      </c>
      <c r="CC529" t="s">
        <v>581</v>
      </c>
      <c r="CD529">
        <v>4302</v>
      </c>
      <c r="CE529" t="s">
        <v>145</v>
      </c>
      <c r="CF529" s="3">
        <v>45846</v>
      </c>
      <c r="CI529">
        <v>1</v>
      </c>
      <c r="CJ529">
        <v>1</v>
      </c>
      <c r="CK529">
        <v>41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"080066363322"</f>
        <v>080066363322</v>
      </c>
      <c r="F530" s="3">
        <v>45842</v>
      </c>
      <c r="G530">
        <v>202604</v>
      </c>
      <c r="H530" t="s">
        <v>75</v>
      </c>
      <c r="I530" t="s">
        <v>76</v>
      </c>
      <c r="J530" t="s">
        <v>77</v>
      </c>
      <c r="K530" t="s">
        <v>78</v>
      </c>
      <c r="L530" t="s">
        <v>168</v>
      </c>
      <c r="M530" t="s">
        <v>169</v>
      </c>
      <c r="N530" t="s">
        <v>202</v>
      </c>
      <c r="O530" t="s">
        <v>82</v>
      </c>
      <c r="P530" t="str">
        <f>"4170047000                    "</f>
        <v xml:space="preserve">4170047000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22.6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</v>
      </c>
      <c r="BJ530">
        <v>1.9</v>
      </c>
      <c r="BK530">
        <v>2</v>
      </c>
      <c r="BL530">
        <v>71.2</v>
      </c>
      <c r="BM530">
        <v>10.68</v>
      </c>
      <c r="BN530">
        <v>81.88</v>
      </c>
      <c r="BO530">
        <v>81.88</v>
      </c>
      <c r="BQ530" t="s">
        <v>203</v>
      </c>
      <c r="BR530" t="s">
        <v>84</v>
      </c>
      <c r="BS530" s="3">
        <v>45845</v>
      </c>
      <c r="BT530" s="4">
        <v>0.39444444444444443</v>
      </c>
      <c r="BU530" t="s">
        <v>1127</v>
      </c>
      <c r="BV530" t="s">
        <v>98</v>
      </c>
      <c r="BY530">
        <v>9600</v>
      </c>
      <c r="BZ530" t="s">
        <v>89</v>
      </c>
      <c r="CA530" t="s">
        <v>205</v>
      </c>
      <c r="CC530" t="s">
        <v>169</v>
      </c>
      <c r="CD530">
        <v>6001</v>
      </c>
      <c r="CE530" t="s">
        <v>145</v>
      </c>
      <c r="CF530" s="3">
        <v>45845</v>
      </c>
      <c r="CI530">
        <v>1</v>
      </c>
      <c r="CJ530">
        <v>1</v>
      </c>
      <c r="CK530">
        <v>21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"080066363382"</f>
        <v>080066363382</v>
      </c>
      <c r="F531" s="3">
        <v>45842</v>
      </c>
      <c r="G531">
        <v>202604</v>
      </c>
      <c r="H531" t="s">
        <v>75</v>
      </c>
      <c r="I531" t="s">
        <v>76</v>
      </c>
      <c r="J531" t="s">
        <v>77</v>
      </c>
      <c r="K531" t="s">
        <v>78</v>
      </c>
      <c r="L531" t="s">
        <v>168</v>
      </c>
      <c r="M531" t="s">
        <v>169</v>
      </c>
      <c r="N531" t="s">
        <v>202</v>
      </c>
      <c r="O531" t="s">
        <v>82</v>
      </c>
      <c r="P531" t="str">
        <f>"4170046991                    "</f>
        <v xml:space="preserve">4170046991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33.89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1.1000000000000001</v>
      </c>
      <c r="BK531">
        <v>3</v>
      </c>
      <c r="BL531">
        <v>106.77</v>
      </c>
      <c r="BM531">
        <v>16.02</v>
      </c>
      <c r="BN531">
        <v>122.79</v>
      </c>
      <c r="BO531">
        <v>122.79</v>
      </c>
      <c r="BQ531" t="s">
        <v>203</v>
      </c>
      <c r="BR531" t="s">
        <v>84</v>
      </c>
      <c r="BS531" s="3">
        <v>45845</v>
      </c>
      <c r="BT531" s="4">
        <v>0.39791666666666664</v>
      </c>
      <c r="BU531" t="s">
        <v>1127</v>
      </c>
      <c r="BV531" t="s">
        <v>98</v>
      </c>
      <c r="BY531">
        <v>5320</v>
      </c>
      <c r="BZ531" t="s">
        <v>89</v>
      </c>
      <c r="CA531" t="s">
        <v>205</v>
      </c>
      <c r="CC531" t="s">
        <v>169</v>
      </c>
      <c r="CD531">
        <v>6001</v>
      </c>
      <c r="CE531" t="s">
        <v>145</v>
      </c>
      <c r="CF531" s="3">
        <v>45845</v>
      </c>
      <c r="CI531">
        <v>1</v>
      </c>
      <c r="CJ531">
        <v>1</v>
      </c>
      <c r="CK531">
        <v>21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"080066363413"</f>
        <v>080066363413</v>
      </c>
      <c r="F532" s="3">
        <v>45842</v>
      </c>
      <c r="G532">
        <v>202604</v>
      </c>
      <c r="H532" t="s">
        <v>75</v>
      </c>
      <c r="I532" t="s">
        <v>76</v>
      </c>
      <c r="J532" t="s">
        <v>77</v>
      </c>
      <c r="K532" t="s">
        <v>78</v>
      </c>
      <c r="L532" t="s">
        <v>168</v>
      </c>
      <c r="M532" t="s">
        <v>169</v>
      </c>
      <c r="N532" t="s">
        <v>202</v>
      </c>
      <c r="O532" t="s">
        <v>82</v>
      </c>
      <c r="P532" t="str">
        <f>"4170046992                    "</f>
        <v xml:space="preserve">4170046992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22.6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2</v>
      </c>
      <c r="BJ532">
        <v>0.9</v>
      </c>
      <c r="BK532">
        <v>2</v>
      </c>
      <c r="BL532">
        <v>71.2</v>
      </c>
      <c r="BM532">
        <v>10.68</v>
      </c>
      <c r="BN532">
        <v>81.88</v>
      </c>
      <c r="BO532">
        <v>81.88</v>
      </c>
      <c r="BQ532" t="s">
        <v>203</v>
      </c>
      <c r="BR532" t="s">
        <v>84</v>
      </c>
      <c r="BS532" s="3">
        <v>45845</v>
      </c>
      <c r="BT532" s="4">
        <v>0.39444444444444443</v>
      </c>
      <c r="BU532" t="s">
        <v>1127</v>
      </c>
      <c r="BV532" t="s">
        <v>98</v>
      </c>
      <c r="BY532">
        <v>4560</v>
      </c>
      <c r="BZ532" t="s">
        <v>89</v>
      </c>
      <c r="CA532" t="s">
        <v>205</v>
      </c>
      <c r="CC532" t="s">
        <v>169</v>
      </c>
      <c r="CD532">
        <v>6001</v>
      </c>
      <c r="CE532" t="s">
        <v>117</v>
      </c>
      <c r="CF532" s="3">
        <v>45845</v>
      </c>
      <c r="CI532">
        <v>1</v>
      </c>
      <c r="CJ532">
        <v>1</v>
      </c>
      <c r="CK532">
        <v>21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"080066363451"</f>
        <v>080066363451</v>
      </c>
      <c r="F533" s="3">
        <v>45842</v>
      </c>
      <c r="G533">
        <v>202604</v>
      </c>
      <c r="H533" t="s">
        <v>75</v>
      </c>
      <c r="I533" t="s">
        <v>76</v>
      </c>
      <c r="J533" t="s">
        <v>77</v>
      </c>
      <c r="K533" t="s">
        <v>78</v>
      </c>
      <c r="L533" t="s">
        <v>168</v>
      </c>
      <c r="M533" t="s">
        <v>169</v>
      </c>
      <c r="N533" t="s">
        <v>202</v>
      </c>
      <c r="O533" t="s">
        <v>82</v>
      </c>
      <c r="P533" t="str">
        <f>"4170046997                    "</f>
        <v xml:space="preserve">4170046997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22.6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1.1000000000000001</v>
      </c>
      <c r="BK533">
        <v>2</v>
      </c>
      <c r="BL533">
        <v>71.2</v>
      </c>
      <c r="BM533">
        <v>10.68</v>
      </c>
      <c r="BN533">
        <v>81.88</v>
      </c>
      <c r="BO533">
        <v>81.88</v>
      </c>
      <c r="BQ533" t="s">
        <v>203</v>
      </c>
      <c r="BR533" t="s">
        <v>84</v>
      </c>
      <c r="BS533" s="3">
        <v>45845</v>
      </c>
      <c r="BT533" s="4">
        <v>0.39583333333333331</v>
      </c>
      <c r="BU533" t="s">
        <v>1127</v>
      </c>
      <c r="BV533" t="s">
        <v>98</v>
      </c>
      <c r="BY533">
        <v>5320</v>
      </c>
      <c r="BZ533" t="s">
        <v>89</v>
      </c>
      <c r="CA533" t="s">
        <v>205</v>
      </c>
      <c r="CC533" t="s">
        <v>169</v>
      </c>
      <c r="CD533">
        <v>6001</v>
      </c>
      <c r="CE533" t="s">
        <v>117</v>
      </c>
      <c r="CF533" s="3">
        <v>45845</v>
      </c>
      <c r="CI533">
        <v>1</v>
      </c>
      <c r="CJ533">
        <v>1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"080066363503"</f>
        <v>080066363503</v>
      </c>
      <c r="F534" s="3">
        <v>45842</v>
      </c>
      <c r="G534">
        <v>202604</v>
      </c>
      <c r="H534" t="s">
        <v>75</v>
      </c>
      <c r="I534" t="s">
        <v>76</v>
      </c>
      <c r="J534" t="s">
        <v>77</v>
      </c>
      <c r="K534" t="s">
        <v>78</v>
      </c>
      <c r="L534" t="s">
        <v>542</v>
      </c>
      <c r="M534" t="s">
        <v>543</v>
      </c>
      <c r="N534" t="s">
        <v>1232</v>
      </c>
      <c r="O534" t="s">
        <v>311</v>
      </c>
      <c r="P534" t="str">
        <f>"4170047005                    "</f>
        <v xml:space="preserve">4170047005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17.66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5</v>
      </c>
      <c r="BJ534">
        <v>3.5</v>
      </c>
      <c r="BK534">
        <v>5</v>
      </c>
      <c r="BL534">
        <v>55.63</v>
      </c>
      <c r="BM534">
        <v>8.34</v>
      </c>
      <c r="BN534">
        <v>63.97</v>
      </c>
      <c r="BO534">
        <v>63.97</v>
      </c>
      <c r="BQ534" t="s">
        <v>1233</v>
      </c>
      <c r="BR534" t="s">
        <v>84</v>
      </c>
      <c r="BS534" s="3">
        <v>45845</v>
      </c>
      <c r="BT534" s="4">
        <v>0.40277777777777779</v>
      </c>
      <c r="BU534" t="s">
        <v>1234</v>
      </c>
      <c r="BV534" t="s">
        <v>98</v>
      </c>
      <c r="BY534">
        <v>17408</v>
      </c>
      <c r="BZ534" t="s">
        <v>99</v>
      </c>
      <c r="CA534" t="s">
        <v>748</v>
      </c>
      <c r="CC534" t="s">
        <v>543</v>
      </c>
      <c r="CD534">
        <v>1451</v>
      </c>
      <c r="CE534" t="s">
        <v>91</v>
      </c>
      <c r="CF534" s="3">
        <v>45845</v>
      </c>
      <c r="CI534">
        <v>1</v>
      </c>
      <c r="CJ534">
        <v>1</v>
      </c>
      <c r="CK534">
        <v>32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"080066363526"</f>
        <v>080066363526</v>
      </c>
      <c r="F535" s="3">
        <v>45842</v>
      </c>
      <c r="G535">
        <v>202604</v>
      </c>
      <c r="H535" t="s">
        <v>75</v>
      </c>
      <c r="I535" t="s">
        <v>76</v>
      </c>
      <c r="J535" t="s">
        <v>77</v>
      </c>
      <c r="K535" t="s">
        <v>78</v>
      </c>
      <c r="L535" t="s">
        <v>503</v>
      </c>
      <c r="M535" t="s">
        <v>504</v>
      </c>
      <c r="N535" t="s">
        <v>505</v>
      </c>
      <c r="O535" t="s">
        <v>82</v>
      </c>
      <c r="P535" t="str">
        <f>"4170046970                    "</f>
        <v xml:space="preserve">4170046970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43.78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1.8</v>
      </c>
      <c r="BK535">
        <v>2</v>
      </c>
      <c r="BL535">
        <v>137.94</v>
      </c>
      <c r="BM535">
        <v>20.69</v>
      </c>
      <c r="BN535">
        <v>158.63</v>
      </c>
      <c r="BO535">
        <v>158.63</v>
      </c>
      <c r="BQ535" t="s">
        <v>506</v>
      </c>
      <c r="BR535" t="s">
        <v>84</v>
      </c>
      <c r="BS535" s="3">
        <v>45845</v>
      </c>
      <c r="BT535" s="4">
        <v>0.42777777777777776</v>
      </c>
      <c r="BU535" t="s">
        <v>1235</v>
      </c>
      <c r="BV535" t="s">
        <v>98</v>
      </c>
      <c r="BY535">
        <v>9212</v>
      </c>
      <c r="BZ535" t="s">
        <v>89</v>
      </c>
      <c r="CA535" t="s">
        <v>508</v>
      </c>
      <c r="CC535" t="s">
        <v>504</v>
      </c>
      <c r="CD535">
        <v>7130</v>
      </c>
      <c r="CE535" t="s">
        <v>91</v>
      </c>
      <c r="CF535" s="3">
        <v>45846</v>
      </c>
      <c r="CI535">
        <v>1</v>
      </c>
      <c r="CJ535">
        <v>1</v>
      </c>
      <c r="CK535">
        <v>23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"080066363568"</f>
        <v>080066363568</v>
      </c>
      <c r="F536" s="3">
        <v>45842</v>
      </c>
      <c r="G536">
        <v>202604</v>
      </c>
      <c r="H536" t="s">
        <v>75</v>
      </c>
      <c r="I536" t="s">
        <v>76</v>
      </c>
      <c r="J536" t="s">
        <v>77</v>
      </c>
      <c r="K536" t="s">
        <v>78</v>
      </c>
      <c r="L536" t="s">
        <v>1236</v>
      </c>
      <c r="M536" t="s">
        <v>1237</v>
      </c>
      <c r="N536" t="s">
        <v>1238</v>
      </c>
      <c r="O536" t="s">
        <v>82</v>
      </c>
      <c r="P536" t="str">
        <f>"4170047006                    "</f>
        <v xml:space="preserve">4170047006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83.33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4</v>
      </c>
      <c r="BJ536">
        <v>1.9</v>
      </c>
      <c r="BK536">
        <v>4</v>
      </c>
      <c r="BL536">
        <v>262.52999999999997</v>
      </c>
      <c r="BM536">
        <v>39.380000000000003</v>
      </c>
      <c r="BN536">
        <v>301.91000000000003</v>
      </c>
      <c r="BO536">
        <v>301.91000000000003</v>
      </c>
      <c r="BQ536" t="s">
        <v>1239</v>
      </c>
      <c r="BR536" t="s">
        <v>84</v>
      </c>
      <c r="BS536" s="3">
        <v>45846</v>
      </c>
      <c r="BT536" s="4">
        <v>0.6791666666666667</v>
      </c>
      <c r="BU536" t="s">
        <v>1240</v>
      </c>
      <c r="BV536" t="s">
        <v>86</v>
      </c>
      <c r="BY536">
        <v>9600</v>
      </c>
      <c r="CC536" t="s">
        <v>1237</v>
      </c>
      <c r="CD536">
        <v>6335</v>
      </c>
      <c r="CE536" t="s">
        <v>145</v>
      </c>
      <c r="CF536" s="3">
        <v>45848</v>
      </c>
      <c r="CI536">
        <v>2</v>
      </c>
      <c r="CJ536">
        <v>2</v>
      </c>
      <c r="CK536">
        <v>23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"080066363588"</f>
        <v>080066363588</v>
      </c>
      <c r="F537" s="3">
        <v>45842</v>
      </c>
      <c r="G537">
        <v>202604</v>
      </c>
      <c r="H537" t="s">
        <v>75</v>
      </c>
      <c r="I537" t="s">
        <v>76</v>
      </c>
      <c r="J537" t="s">
        <v>77</v>
      </c>
      <c r="K537" t="s">
        <v>78</v>
      </c>
      <c r="L537" t="s">
        <v>503</v>
      </c>
      <c r="M537" t="s">
        <v>504</v>
      </c>
      <c r="N537" t="s">
        <v>505</v>
      </c>
      <c r="O537" t="s">
        <v>82</v>
      </c>
      <c r="P537" t="str">
        <f>"4170047007                    "</f>
        <v xml:space="preserve">4170047007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43.78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1.1000000000000001</v>
      </c>
      <c r="BK537">
        <v>2</v>
      </c>
      <c r="BL537">
        <v>137.94</v>
      </c>
      <c r="BM537">
        <v>20.69</v>
      </c>
      <c r="BN537">
        <v>158.63</v>
      </c>
      <c r="BO537">
        <v>158.63</v>
      </c>
      <c r="BQ537" t="s">
        <v>506</v>
      </c>
      <c r="BR537" t="s">
        <v>84</v>
      </c>
      <c r="BS537" s="3">
        <v>45845</v>
      </c>
      <c r="BT537" s="4">
        <v>0.42777777777777776</v>
      </c>
      <c r="BU537" t="s">
        <v>1235</v>
      </c>
      <c r="BV537" t="s">
        <v>98</v>
      </c>
      <c r="BY537">
        <v>5320</v>
      </c>
      <c r="BZ537" t="s">
        <v>89</v>
      </c>
      <c r="CA537" t="s">
        <v>508</v>
      </c>
      <c r="CC537" t="s">
        <v>504</v>
      </c>
      <c r="CD537">
        <v>7130</v>
      </c>
      <c r="CE537" t="s">
        <v>117</v>
      </c>
      <c r="CF537" s="3">
        <v>45846</v>
      </c>
      <c r="CI537">
        <v>1</v>
      </c>
      <c r="CJ537">
        <v>1</v>
      </c>
      <c r="CK537">
        <v>23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"080066363622"</f>
        <v>080066363622</v>
      </c>
      <c r="F538" s="3">
        <v>45842</v>
      </c>
      <c r="G538">
        <v>202604</v>
      </c>
      <c r="H538" t="s">
        <v>75</v>
      </c>
      <c r="I538" t="s">
        <v>76</v>
      </c>
      <c r="J538" t="s">
        <v>77</v>
      </c>
      <c r="K538" t="s">
        <v>78</v>
      </c>
      <c r="L538" t="s">
        <v>75</v>
      </c>
      <c r="M538" t="s">
        <v>76</v>
      </c>
      <c r="N538" t="s">
        <v>1241</v>
      </c>
      <c r="O538" t="s">
        <v>82</v>
      </c>
      <c r="P538" t="str">
        <f>"4170046858                    "</f>
        <v xml:space="preserve">4170046858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17.649999999999999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2</v>
      </c>
      <c r="BJ538">
        <v>1.6</v>
      </c>
      <c r="BK538">
        <v>2</v>
      </c>
      <c r="BL538">
        <v>55.61</v>
      </c>
      <c r="BM538">
        <v>8.34</v>
      </c>
      <c r="BN538">
        <v>63.95</v>
      </c>
      <c r="BO538">
        <v>63.95</v>
      </c>
      <c r="BQ538" t="s">
        <v>1242</v>
      </c>
      <c r="BR538" t="s">
        <v>84</v>
      </c>
      <c r="BS538" s="3">
        <v>45845</v>
      </c>
      <c r="BT538" s="4">
        <v>0.41666666666666669</v>
      </c>
      <c r="BU538" t="s">
        <v>1243</v>
      </c>
      <c r="BV538" t="s">
        <v>98</v>
      </c>
      <c r="BY538">
        <v>7840</v>
      </c>
      <c r="BZ538" t="s">
        <v>89</v>
      </c>
      <c r="CC538" t="s">
        <v>76</v>
      </c>
      <c r="CD538">
        <v>1624</v>
      </c>
      <c r="CE538" t="s">
        <v>91</v>
      </c>
      <c r="CF538" s="3">
        <v>45846</v>
      </c>
      <c r="CI538">
        <v>1</v>
      </c>
      <c r="CJ538">
        <v>1</v>
      </c>
      <c r="CK538">
        <v>22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"R080066248182"</f>
        <v>R080066248182</v>
      </c>
      <c r="F539" s="3">
        <v>45845</v>
      </c>
      <c r="G539">
        <v>202604</v>
      </c>
      <c r="H539" t="s">
        <v>260</v>
      </c>
      <c r="I539" t="s">
        <v>261</v>
      </c>
      <c r="J539" t="s">
        <v>1244</v>
      </c>
      <c r="K539" t="s">
        <v>78</v>
      </c>
      <c r="L539" t="s">
        <v>75</v>
      </c>
      <c r="M539" t="s">
        <v>76</v>
      </c>
      <c r="N539" t="s">
        <v>77</v>
      </c>
      <c r="O539" t="s">
        <v>95</v>
      </c>
      <c r="P539" t="str">
        <f>"4170046294                    "</f>
        <v xml:space="preserve">4170046294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61.64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2</v>
      </c>
      <c r="BJ539">
        <v>2</v>
      </c>
      <c r="BK539">
        <v>2</v>
      </c>
      <c r="BL539">
        <v>200.06</v>
      </c>
      <c r="BM539">
        <v>30.01</v>
      </c>
      <c r="BN539">
        <v>230.07</v>
      </c>
      <c r="BO539">
        <v>230.07</v>
      </c>
      <c r="BQ539" t="s">
        <v>84</v>
      </c>
      <c r="BR539" t="s">
        <v>1245</v>
      </c>
      <c r="BS539" s="3">
        <v>45846</v>
      </c>
      <c r="BT539" s="4">
        <v>0.35208333333333336</v>
      </c>
      <c r="BU539" t="s">
        <v>1246</v>
      </c>
      <c r="BV539" t="s">
        <v>98</v>
      </c>
      <c r="BY539">
        <v>9918</v>
      </c>
      <c r="BZ539" t="s">
        <v>99</v>
      </c>
      <c r="CA539" t="s">
        <v>1247</v>
      </c>
      <c r="CC539" t="s">
        <v>76</v>
      </c>
      <c r="CD539">
        <v>1601</v>
      </c>
      <c r="CE539" t="s">
        <v>117</v>
      </c>
      <c r="CF539" s="3">
        <v>45847</v>
      </c>
      <c r="CI539">
        <v>1</v>
      </c>
      <c r="CJ539">
        <v>1</v>
      </c>
      <c r="CK539">
        <v>43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"080011560309"</f>
        <v>080011560309</v>
      </c>
      <c r="F540" s="3">
        <v>45845</v>
      </c>
      <c r="G540">
        <v>202604</v>
      </c>
      <c r="H540" t="s">
        <v>295</v>
      </c>
      <c r="I540" t="s">
        <v>296</v>
      </c>
      <c r="J540" t="s">
        <v>1248</v>
      </c>
      <c r="K540" t="s">
        <v>78</v>
      </c>
      <c r="L540" t="s">
        <v>75</v>
      </c>
      <c r="M540" t="s">
        <v>76</v>
      </c>
      <c r="N540" t="s">
        <v>228</v>
      </c>
      <c r="O540" t="s">
        <v>82</v>
      </c>
      <c r="P540" t="str">
        <f>"ZA1001392923                  "</f>
        <v xml:space="preserve">ZA1001392923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21.88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10</v>
      </c>
      <c r="BJ540">
        <v>5.5</v>
      </c>
      <c r="BK540">
        <v>10</v>
      </c>
      <c r="BL540">
        <v>68.94</v>
      </c>
      <c r="BM540">
        <v>10.34</v>
      </c>
      <c r="BN540">
        <v>79.28</v>
      </c>
      <c r="BO540">
        <v>79.28</v>
      </c>
      <c r="BP540" t="s">
        <v>587</v>
      </c>
      <c r="BQ540" t="s">
        <v>230</v>
      </c>
      <c r="BR540" t="s">
        <v>1249</v>
      </c>
      <c r="BS540" s="3">
        <v>45846</v>
      </c>
      <c r="BT540" s="4">
        <v>0.40763888888888888</v>
      </c>
      <c r="BU540" t="s">
        <v>232</v>
      </c>
      <c r="BV540" t="s">
        <v>98</v>
      </c>
      <c r="BY540">
        <v>27619.45</v>
      </c>
      <c r="BZ540" t="s">
        <v>89</v>
      </c>
      <c r="CA540" t="s">
        <v>304</v>
      </c>
      <c r="CC540" t="s">
        <v>76</v>
      </c>
      <c r="CD540">
        <v>1619</v>
      </c>
      <c r="CE540" t="s">
        <v>233</v>
      </c>
      <c r="CF540" s="3">
        <v>45846</v>
      </c>
      <c r="CI540">
        <v>1</v>
      </c>
      <c r="CJ540">
        <v>1</v>
      </c>
      <c r="CK540">
        <v>22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"080011560330"</f>
        <v>080011560330</v>
      </c>
      <c r="F541" s="3">
        <v>45845</v>
      </c>
      <c r="G541">
        <v>202604</v>
      </c>
      <c r="H541" t="s">
        <v>151</v>
      </c>
      <c r="I541" t="s">
        <v>152</v>
      </c>
      <c r="J541" t="s">
        <v>1250</v>
      </c>
      <c r="K541" t="s">
        <v>78</v>
      </c>
      <c r="L541" t="s">
        <v>75</v>
      </c>
      <c r="M541" t="s">
        <v>76</v>
      </c>
      <c r="N541" t="s">
        <v>228</v>
      </c>
      <c r="O541" t="s">
        <v>82</v>
      </c>
      <c r="P541" t="str">
        <f>"ZA1001395328                  "</f>
        <v xml:space="preserve">ZA1001395328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33.89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2.4</v>
      </c>
      <c r="BK541">
        <v>3</v>
      </c>
      <c r="BL541">
        <v>106.77</v>
      </c>
      <c r="BM541">
        <v>16.02</v>
      </c>
      <c r="BN541">
        <v>122.79</v>
      </c>
      <c r="BO541">
        <v>122.79</v>
      </c>
      <c r="BP541" t="s">
        <v>587</v>
      </c>
      <c r="BQ541" t="s">
        <v>230</v>
      </c>
      <c r="BR541" t="s">
        <v>1251</v>
      </c>
      <c r="BS541" s="3">
        <v>45846</v>
      </c>
      <c r="BT541" s="4">
        <v>0.40763888888888888</v>
      </c>
      <c r="BU541" t="s">
        <v>232</v>
      </c>
      <c r="BV541" t="s">
        <v>98</v>
      </c>
      <c r="BY541">
        <v>12000</v>
      </c>
      <c r="BZ541" t="s">
        <v>89</v>
      </c>
      <c r="CA541" t="s">
        <v>304</v>
      </c>
      <c r="CC541" t="s">
        <v>76</v>
      </c>
      <c r="CD541">
        <v>1619</v>
      </c>
      <c r="CE541" t="s">
        <v>233</v>
      </c>
      <c r="CF541" s="3">
        <v>45846</v>
      </c>
      <c r="CI541">
        <v>1</v>
      </c>
      <c r="CJ541">
        <v>1</v>
      </c>
      <c r="CK541">
        <v>21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"080011560476"</f>
        <v>080011560476</v>
      </c>
      <c r="F542" s="3">
        <v>45845</v>
      </c>
      <c r="G542">
        <v>202604</v>
      </c>
      <c r="H542" t="s">
        <v>168</v>
      </c>
      <c r="I542" t="s">
        <v>169</v>
      </c>
      <c r="J542" t="s">
        <v>1252</v>
      </c>
      <c r="K542" t="s">
        <v>78</v>
      </c>
      <c r="L542" t="s">
        <v>75</v>
      </c>
      <c r="M542" t="s">
        <v>76</v>
      </c>
      <c r="N542" t="s">
        <v>228</v>
      </c>
      <c r="O542" t="s">
        <v>82</v>
      </c>
      <c r="P542" t="str">
        <f>"ZA1001383313                  "</f>
        <v xml:space="preserve">ZA1001383313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33.89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3</v>
      </c>
      <c r="BJ542">
        <v>1.2</v>
      </c>
      <c r="BK542">
        <v>3</v>
      </c>
      <c r="BL542">
        <v>106.77</v>
      </c>
      <c r="BM542">
        <v>16.02</v>
      </c>
      <c r="BN542">
        <v>122.79</v>
      </c>
      <c r="BO542">
        <v>122.79</v>
      </c>
      <c r="BP542" t="s">
        <v>1253</v>
      </c>
      <c r="BQ542" t="s">
        <v>230</v>
      </c>
      <c r="BR542" t="s">
        <v>635</v>
      </c>
      <c r="BS542" s="3">
        <v>45846</v>
      </c>
      <c r="BT542" s="4">
        <v>0.40763888888888888</v>
      </c>
      <c r="BU542" t="s">
        <v>232</v>
      </c>
      <c r="BV542" t="s">
        <v>98</v>
      </c>
      <c r="BY542">
        <v>6000</v>
      </c>
      <c r="BZ542" t="s">
        <v>89</v>
      </c>
      <c r="CA542" t="s">
        <v>304</v>
      </c>
      <c r="CC542" t="s">
        <v>76</v>
      </c>
      <c r="CD542">
        <v>1619</v>
      </c>
      <c r="CE542" t="s">
        <v>233</v>
      </c>
      <c r="CF542" s="3">
        <v>45846</v>
      </c>
      <c r="CI542">
        <v>1</v>
      </c>
      <c r="CJ542">
        <v>1</v>
      </c>
      <c r="CK542">
        <v>21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"080066395478"</f>
        <v>080066395478</v>
      </c>
      <c r="F543" s="3">
        <v>45845</v>
      </c>
      <c r="G543">
        <v>202604</v>
      </c>
      <c r="H543" t="s">
        <v>75</v>
      </c>
      <c r="I543" t="s">
        <v>76</v>
      </c>
      <c r="J543" t="s">
        <v>77</v>
      </c>
      <c r="K543" t="s">
        <v>78</v>
      </c>
      <c r="L543" t="s">
        <v>295</v>
      </c>
      <c r="M543" t="s">
        <v>296</v>
      </c>
      <c r="N543" t="s">
        <v>433</v>
      </c>
      <c r="O543" t="s">
        <v>82</v>
      </c>
      <c r="P543" t="str">
        <f>"4170047027                    "</f>
        <v xml:space="preserve">4170047027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17.649999999999999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55.61</v>
      </c>
      <c r="BM543">
        <v>8.34</v>
      </c>
      <c r="BN543">
        <v>63.95</v>
      </c>
      <c r="BO543">
        <v>63.95</v>
      </c>
      <c r="BQ543" t="s">
        <v>434</v>
      </c>
      <c r="BR543" t="s">
        <v>84</v>
      </c>
      <c r="BS543" s="3">
        <v>45846</v>
      </c>
      <c r="BT543" s="4">
        <v>0.38124999999999998</v>
      </c>
      <c r="BU543" t="s">
        <v>1254</v>
      </c>
      <c r="BV543" t="s">
        <v>98</v>
      </c>
      <c r="BY543">
        <v>1200</v>
      </c>
      <c r="BZ543" t="s">
        <v>89</v>
      </c>
      <c r="CA543" t="s">
        <v>744</v>
      </c>
      <c r="CC543" t="s">
        <v>296</v>
      </c>
      <c r="CD543">
        <v>1459</v>
      </c>
      <c r="CE543" t="s">
        <v>239</v>
      </c>
      <c r="CF543" s="3">
        <v>45846</v>
      </c>
      <c r="CI543">
        <v>1</v>
      </c>
      <c r="CJ543">
        <v>1</v>
      </c>
      <c r="CK543">
        <v>22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"080066395545"</f>
        <v>080066395545</v>
      </c>
      <c r="F544" s="3">
        <v>45845</v>
      </c>
      <c r="G544">
        <v>202604</v>
      </c>
      <c r="H544" t="s">
        <v>75</v>
      </c>
      <c r="I544" t="s">
        <v>76</v>
      </c>
      <c r="J544" t="s">
        <v>77</v>
      </c>
      <c r="K544" t="s">
        <v>78</v>
      </c>
      <c r="L544" t="s">
        <v>75</v>
      </c>
      <c r="M544" t="s">
        <v>76</v>
      </c>
      <c r="N544" t="s">
        <v>701</v>
      </c>
      <c r="O544" t="s">
        <v>82</v>
      </c>
      <c r="P544" t="str">
        <f>"4170047077                    "</f>
        <v xml:space="preserve">4170047077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17.649999999999999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55.61</v>
      </c>
      <c r="BM544">
        <v>8.34</v>
      </c>
      <c r="BN544">
        <v>63.95</v>
      </c>
      <c r="BO544">
        <v>63.95</v>
      </c>
      <c r="BQ544" t="s">
        <v>702</v>
      </c>
      <c r="BR544" t="s">
        <v>84</v>
      </c>
      <c r="BS544" s="3">
        <v>45846</v>
      </c>
      <c r="BT544" s="4">
        <v>0.37083333333333335</v>
      </c>
      <c r="BU544" t="s">
        <v>703</v>
      </c>
      <c r="BV544" t="s">
        <v>98</v>
      </c>
      <c r="BY544">
        <v>1200</v>
      </c>
      <c r="BZ544" t="s">
        <v>89</v>
      </c>
      <c r="CA544" t="s">
        <v>617</v>
      </c>
      <c r="CC544" t="s">
        <v>76</v>
      </c>
      <c r="CD544">
        <v>1645</v>
      </c>
      <c r="CE544" t="s">
        <v>239</v>
      </c>
      <c r="CF544" s="3">
        <v>45847</v>
      </c>
      <c r="CI544">
        <v>1</v>
      </c>
      <c r="CJ544">
        <v>1</v>
      </c>
      <c r="CK544">
        <v>22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"080066395580"</f>
        <v>080066395580</v>
      </c>
      <c r="F545" s="3">
        <v>45845</v>
      </c>
      <c r="G545">
        <v>202604</v>
      </c>
      <c r="H545" t="s">
        <v>75</v>
      </c>
      <c r="I545" t="s">
        <v>76</v>
      </c>
      <c r="J545" t="s">
        <v>77</v>
      </c>
      <c r="K545" t="s">
        <v>78</v>
      </c>
      <c r="L545" t="s">
        <v>554</v>
      </c>
      <c r="M545" t="s">
        <v>555</v>
      </c>
      <c r="N545" t="s">
        <v>1255</v>
      </c>
      <c r="O545" t="s">
        <v>82</v>
      </c>
      <c r="P545" t="str">
        <f>"4170047054                    "</f>
        <v xml:space="preserve">4170047054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71.2</v>
      </c>
      <c r="BM545">
        <v>10.68</v>
      </c>
      <c r="BN545">
        <v>81.88</v>
      </c>
      <c r="BO545">
        <v>81.88</v>
      </c>
      <c r="BQ545" t="s">
        <v>1256</v>
      </c>
      <c r="BR545" t="s">
        <v>84</v>
      </c>
      <c r="BS545" s="3">
        <v>45846</v>
      </c>
      <c r="BT545" s="4">
        <v>0.37083333333333335</v>
      </c>
      <c r="BU545" t="s">
        <v>1257</v>
      </c>
      <c r="BV545" t="s">
        <v>98</v>
      </c>
      <c r="BY545">
        <v>1200</v>
      </c>
      <c r="BZ545" t="s">
        <v>89</v>
      </c>
      <c r="CA545" t="s">
        <v>1258</v>
      </c>
      <c r="CC545" t="s">
        <v>555</v>
      </c>
      <c r="CD545" s="5" t="s">
        <v>560</v>
      </c>
      <c r="CE545" t="s">
        <v>239</v>
      </c>
      <c r="CF545" s="3">
        <v>45846</v>
      </c>
      <c r="CI545">
        <v>1</v>
      </c>
      <c r="CJ545">
        <v>1</v>
      </c>
      <c r="CK545">
        <v>21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"080066395630"</f>
        <v>080066395630</v>
      </c>
      <c r="F546" s="3">
        <v>45845</v>
      </c>
      <c r="G546">
        <v>202604</v>
      </c>
      <c r="H546" t="s">
        <v>75</v>
      </c>
      <c r="I546" t="s">
        <v>76</v>
      </c>
      <c r="J546" t="s">
        <v>77</v>
      </c>
      <c r="K546" t="s">
        <v>78</v>
      </c>
      <c r="L546" t="s">
        <v>758</v>
      </c>
      <c r="M546" t="s">
        <v>759</v>
      </c>
      <c r="N546" t="s">
        <v>760</v>
      </c>
      <c r="O546" t="s">
        <v>82</v>
      </c>
      <c r="P546" t="str">
        <f>"4170047130                    "</f>
        <v xml:space="preserve">4170047130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43.78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137.94</v>
      </c>
      <c r="BM546">
        <v>20.69</v>
      </c>
      <c r="BN546">
        <v>158.63</v>
      </c>
      <c r="BO546">
        <v>158.63</v>
      </c>
      <c r="BQ546" t="s">
        <v>761</v>
      </c>
      <c r="BR546" t="s">
        <v>84</v>
      </c>
      <c r="BS546" s="3">
        <v>45846</v>
      </c>
      <c r="BT546" s="4">
        <v>0.4597222222222222</v>
      </c>
      <c r="BU546" t="s">
        <v>1259</v>
      </c>
      <c r="BV546" t="s">
        <v>98</v>
      </c>
      <c r="BY546">
        <v>1200</v>
      </c>
      <c r="BZ546" t="s">
        <v>89</v>
      </c>
      <c r="CA546" t="s">
        <v>763</v>
      </c>
      <c r="CC546" t="s">
        <v>759</v>
      </c>
      <c r="CD546">
        <v>2531</v>
      </c>
      <c r="CE546" t="s">
        <v>239</v>
      </c>
      <c r="CF546" s="3">
        <v>45847</v>
      </c>
      <c r="CI546">
        <v>1</v>
      </c>
      <c r="CJ546">
        <v>1</v>
      </c>
      <c r="CK546">
        <v>23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"080011560644"</f>
        <v>080011560644</v>
      </c>
      <c r="F547" s="3">
        <v>45845</v>
      </c>
      <c r="G547">
        <v>202604</v>
      </c>
      <c r="H547" t="s">
        <v>75</v>
      </c>
      <c r="I547" t="s">
        <v>76</v>
      </c>
      <c r="J547" t="s">
        <v>1260</v>
      </c>
      <c r="K547" t="s">
        <v>78</v>
      </c>
      <c r="L547" t="s">
        <v>75</v>
      </c>
      <c r="M547" t="s">
        <v>76</v>
      </c>
      <c r="N547" t="s">
        <v>228</v>
      </c>
      <c r="O547" t="s">
        <v>82</v>
      </c>
      <c r="P547" t="str">
        <f>"ZA1001395368                  "</f>
        <v xml:space="preserve">ZA1001395368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17.649999999999999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2</v>
      </c>
      <c r="BI547">
        <v>2.2000000000000002</v>
      </c>
      <c r="BJ547">
        <v>3</v>
      </c>
      <c r="BK547">
        <v>3</v>
      </c>
      <c r="BL547">
        <v>55.61</v>
      </c>
      <c r="BM547">
        <v>8.34</v>
      </c>
      <c r="BN547">
        <v>63.95</v>
      </c>
      <c r="BO547">
        <v>63.95</v>
      </c>
      <c r="BP547" t="s">
        <v>587</v>
      </c>
      <c r="BQ547" t="s">
        <v>230</v>
      </c>
      <c r="BR547" t="s">
        <v>1261</v>
      </c>
      <c r="BS547" s="3">
        <v>45846</v>
      </c>
      <c r="BT547" s="4">
        <v>0.40763888888888888</v>
      </c>
      <c r="BU547" t="s">
        <v>232</v>
      </c>
      <c r="BV547" t="s">
        <v>98</v>
      </c>
      <c r="BY547">
        <v>15229.8</v>
      </c>
      <c r="BZ547" t="s">
        <v>89</v>
      </c>
      <c r="CA547" t="s">
        <v>304</v>
      </c>
      <c r="CC547" t="s">
        <v>76</v>
      </c>
      <c r="CD547">
        <v>1619</v>
      </c>
      <c r="CE547" t="s">
        <v>233</v>
      </c>
      <c r="CF547" s="3">
        <v>45846</v>
      </c>
      <c r="CI547">
        <v>1</v>
      </c>
      <c r="CJ547">
        <v>1</v>
      </c>
      <c r="CK547">
        <v>22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"080066395684"</f>
        <v>080066395684</v>
      </c>
      <c r="F548" s="3">
        <v>45845</v>
      </c>
      <c r="G548">
        <v>202604</v>
      </c>
      <c r="H548" t="s">
        <v>75</v>
      </c>
      <c r="I548" t="s">
        <v>76</v>
      </c>
      <c r="J548" t="s">
        <v>77</v>
      </c>
      <c r="K548" t="s">
        <v>78</v>
      </c>
      <c r="L548" t="s">
        <v>295</v>
      </c>
      <c r="M548" t="s">
        <v>296</v>
      </c>
      <c r="N548" t="s">
        <v>1262</v>
      </c>
      <c r="O548" t="s">
        <v>82</v>
      </c>
      <c r="P548" t="str">
        <f>"4170047073                    "</f>
        <v xml:space="preserve">4170047073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17.649999999999999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55.61</v>
      </c>
      <c r="BM548">
        <v>8.34</v>
      </c>
      <c r="BN548">
        <v>63.95</v>
      </c>
      <c r="BO548">
        <v>63.95</v>
      </c>
      <c r="BQ548" t="s">
        <v>1263</v>
      </c>
      <c r="BR548" t="s">
        <v>84</v>
      </c>
      <c r="BS548" s="3">
        <v>45846</v>
      </c>
      <c r="BT548" s="4">
        <v>0.40763888888888888</v>
      </c>
      <c r="BU548" t="s">
        <v>1264</v>
      </c>
      <c r="BV548" t="s">
        <v>98</v>
      </c>
      <c r="BY548">
        <v>1200</v>
      </c>
      <c r="BZ548" t="s">
        <v>89</v>
      </c>
      <c r="CA548" t="s">
        <v>1265</v>
      </c>
      <c r="CC548" t="s">
        <v>296</v>
      </c>
      <c r="CD548">
        <v>1459</v>
      </c>
      <c r="CE548" t="s">
        <v>239</v>
      </c>
      <c r="CF548" s="3">
        <v>45847</v>
      </c>
      <c r="CI548">
        <v>1</v>
      </c>
      <c r="CJ548">
        <v>1</v>
      </c>
      <c r="CK548">
        <v>22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"080066396328"</f>
        <v>080066396328</v>
      </c>
      <c r="F549" s="3">
        <v>45845</v>
      </c>
      <c r="G549">
        <v>202604</v>
      </c>
      <c r="H549" t="s">
        <v>75</v>
      </c>
      <c r="I549" t="s">
        <v>76</v>
      </c>
      <c r="J549" t="s">
        <v>77</v>
      </c>
      <c r="K549" t="s">
        <v>78</v>
      </c>
      <c r="L549" t="s">
        <v>92</v>
      </c>
      <c r="M549" t="s">
        <v>93</v>
      </c>
      <c r="N549" t="s">
        <v>1266</v>
      </c>
      <c r="O549" t="s">
        <v>82</v>
      </c>
      <c r="P549" t="str">
        <f>"4170047036                    "</f>
        <v xml:space="preserve">4170047036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22.6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71.2</v>
      </c>
      <c r="BM549">
        <v>10.68</v>
      </c>
      <c r="BN549">
        <v>81.88</v>
      </c>
      <c r="BO549">
        <v>81.88</v>
      </c>
      <c r="BQ549" t="s">
        <v>1267</v>
      </c>
      <c r="BR549" t="s">
        <v>84</v>
      </c>
      <c r="BS549" s="3">
        <v>45846</v>
      </c>
      <c r="BT549" s="4">
        <v>0.45833333333333331</v>
      </c>
      <c r="BU549" t="s">
        <v>97</v>
      </c>
      <c r="BV549" t="s">
        <v>86</v>
      </c>
      <c r="BW549" t="s">
        <v>194</v>
      </c>
      <c r="BX549" t="s">
        <v>739</v>
      </c>
      <c r="BY549">
        <v>1200</v>
      </c>
      <c r="BZ549" t="s">
        <v>89</v>
      </c>
      <c r="CA549" t="s">
        <v>100</v>
      </c>
      <c r="CC549" t="s">
        <v>93</v>
      </c>
      <c r="CD549">
        <v>4072</v>
      </c>
      <c r="CE549" t="s">
        <v>239</v>
      </c>
      <c r="CF549" s="3">
        <v>45846</v>
      </c>
      <c r="CI549">
        <v>1</v>
      </c>
      <c r="CJ549">
        <v>1</v>
      </c>
      <c r="CK549">
        <v>21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"080066396342"</f>
        <v>080066396342</v>
      </c>
      <c r="F550" s="3">
        <v>45845</v>
      </c>
      <c r="G550">
        <v>202604</v>
      </c>
      <c r="H550" t="s">
        <v>75</v>
      </c>
      <c r="I550" t="s">
        <v>76</v>
      </c>
      <c r="J550" t="s">
        <v>77</v>
      </c>
      <c r="K550" t="s">
        <v>78</v>
      </c>
      <c r="L550" t="s">
        <v>75</v>
      </c>
      <c r="M550" t="s">
        <v>76</v>
      </c>
      <c r="N550" t="s">
        <v>562</v>
      </c>
      <c r="O550" t="s">
        <v>82</v>
      </c>
      <c r="P550" t="str">
        <f>"4170047095                    "</f>
        <v xml:space="preserve">4170047095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17.649999999999999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55.61</v>
      </c>
      <c r="BM550">
        <v>8.34</v>
      </c>
      <c r="BN550">
        <v>63.95</v>
      </c>
      <c r="BO550">
        <v>63.95</v>
      </c>
      <c r="BQ550" t="s">
        <v>563</v>
      </c>
      <c r="BR550" t="s">
        <v>84</v>
      </c>
      <c r="BS550" s="3">
        <v>45846</v>
      </c>
      <c r="BT550" s="4">
        <v>0.39930555555555558</v>
      </c>
      <c r="BU550" t="s">
        <v>564</v>
      </c>
      <c r="BV550" t="s">
        <v>98</v>
      </c>
      <c r="BY550">
        <v>1200</v>
      </c>
      <c r="BZ550" t="s">
        <v>89</v>
      </c>
      <c r="CA550" t="s">
        <v>565</v>
      </c>
      <c r="CC550" t="s">
        <v>76</v>
      </c>
      <c r="CD550">
        <v>1619</v>
      </c>
      <c r="CE550" t="s">
        <v>239</v>
      </c>
      <c r="CF550" s="3">
        <v>45847</v>
      </c>
      <c r="CI550">
        <v>1</v>
      </c>
      <c r="CJ550">
        <v>1</v>
      </c>
      <c r="CK550">
        <v>22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"080066396437"</f>
        <v>080066396437</v>
      </c>
      <c r="F551" s="3">
        <v>45845</v>
      </c>
      <c r="G551">
        <v>202604</v>
      </c>
      <c r="H551" t="s">
        <v>75</v>
      </c>
      <c r="I551" t="s">
        <v>76</v>
      </c>
      <c r="J551" t="s">
        <v>77</v>
      </c>
      <c r="K551" t="s">
        <v>78</v>
      </c>
      <c r="L551" t="s">
        <v>146</v>
      </c>
      <c r="M551" t="s">
        <v>146</v>
      </c>
      <c r="N551" t="s">
        <v>1268</v>
      </c>
      <c r="O551" t="s">
        <v>82</v>
      </c>
      <c r="P551" t="str">
        <f>"4170047004                    "</f>
        <v xml:space="preserve">4170047004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379.91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2</v>
      </c>
      <c r="BI551">
        <v>11</v>
      </c>
      <c r="BJ551">
        <v>18.8</v>
      </c>
      <c r="BK551">
        <v>19</v>
      </c>
      <c r="BL551">
        <v>1196.9100000000001</v>
      </c>
      <c r="BM551">
        <v>179.54</v>
      </c>
      <c r="BN551">
        <v>1376.45</v>
      </c>
      <c r="BO551">
        <v>1376.45</v>
      </c>
      <c r="BQ551" t="s">
        <v>1269</v>
      </c>
      <c r="BR551" t="s">
        <v>84</v>
      </c>
      <c r="BS551" s="3">
        <v>45846</v>
      </c>
      <c r="BT551" s="4">
        <v>0.46666666666666667</v>
      </c>
      <c r="BU551" t="s">
        <v>1270</v>
      </c>
      <c r="BV551" t="s">
        <v>98</v>
      </c>
      <c r="BY551">
        <v>93840</v>
      </c>
      <c r="BZ551" t="s">
        <v>89</v>
      </c>
      <c r="CA551" t="s">
        <v>989</v>
      </c>
      <c r="CC551" t="s">
        <v>146</v>
      </c>
      <c r="CD551">
        <v>7646</v>
      </c>
      <c r="CE551" t="s">
        <v>91</v>
      </c>
      <c r="CF551" s="3">
        <v>45847</v>
      </c>
      <c r="CI551">
        <v>1</v>
      </c>
      <c r="CJ551">
        <v>1</v>
      </c>
      <c r="CK551">
        <v>23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"080066396554"</f>
        <v>080066396554</v>
      </c>
      <c r="F552" s="3">
        <v>45845</v>
      </c>
      <c r="G552">
        <v>202604</v>
      </c>
      <c r="H552" t="s">
        <v>75</v>
      </c>
      <c r="I552" t="s">
        <v>76</v>
      </c>
      <c r="J552" t="s">
        <v>77</v>
      </c>
      <c r="K552" t="s">
        <v>78</v>
      </c>
      <c r="L552" t="s">
        <v>503</v>
      </c>
      <c r="M552" t="s">
        <v>504</v>
      </c>
      <c r="N552" t="s">
        <v>505</v>
      </c>
      <c r="O552" t="s">
        <v>82</v>
      </c>
      <c r="P552" t="str">
        <f>"4170047010                    "</f>
        <v xml:space="preserve">4170047010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201.96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10</v>
      </c>
      <c r="BJ552">
        <v>4.4000000000000004</v>
      </c>
      <c r="BK552">
        <v>10</v>
      </c>
      <c r="BL552">
        <v>636.28</v>
      </c>
      <c r="BM552">
        <v>95.44</v>
      </c>
      <c r="BN552">
        <v>731.72</v>
      </c>
      <c r="BO552">
        <v>731.72</v>
      </c>
      <c r="BQ552" t="s">
        <v>506</v>
      </c>
      <c r="BR552" t="s">
        <v>84</v>
      </c>
      <c r="BS552" s="3">
        <v>45846</v>
      </c>
      <c r="BT552" s="4">
        <v>0.4152777777777778</v>
      </c>
      <c r="BU552" t="s">
        <v>507</v>
      </c>
      <c r="BV552" t="s">
        <v>98</v>
      </c>
      <c r="BY552">
        <v>22050</v>
      </c>
      <c r="BZ552" t="s">
        <v>89</v>
      </c>
      <c r="CA552" t="s">
        <v>508</v>
      </c>
      <c r="CC552" t="s">
        <v>504</v>
      </c>
      <c r="CD552">
        <v>7130</v>
      </c>
      <c r="CE552" t="s">
        <v>966</v>
      </c>
      <c r="CF552" s="3">
        <v>45847</v>
      </c>
      <c r="CI552">
        <v>1</v>
      </c>
      <c r="CJ552">
        <v>1</v>
      </c>
      <c r="CK552">
        <v>23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"080066396602"</f>
        <v>080066396602</v>
      </c>
      <c r="F553" s="3">
        <v>45845</v>
      </c>
      <c r="G553">
        <v>202604</v>
      </c>
      <c r="H553" t="s">
        <v>75</v>
      </c>
      <c r="I553" t="s">
        <v>76</v>
      </c>
      <c r="J553" t="s">
        <v>77</v>
      </c>
      <c r="K553" t="s">
        <v>78</v>
      </c>
      <c r="L553" t="s">
        <v>146</v>
      </c>
      <c r="M553" t="s">
        <v>146</v>
      </c>
      <c r="N553" t="s">
        <v>986</v>
      </c>
      <c r="O553" t="s">
        <v>82</v>
      </c>
      <c r="P553" t="str">
        <f>"4170047117                    "</f>
        <v xml:space="preserve">4170047117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43.78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2</v>
      </c>
      <c r="BJ553">
        <v>1.7</v>
      </c>
      <c r="BK553">
        <v>2</v>
      </c>
      <c r="BL553">
        <v>137.94</v>
      </c>
      <c r="BM553">
        <v>20.69</v>
      </c>
      <c r="BN553">
        <v>158.63</v>
      </c>
      <c r="BO553">
        <v>158.63</v>
      </c>
      <c r="BQ553" t="s">
        <v>987</v>
      </c>
      <c r="BR553" t="s">
        <v>84</v>
      </c>
      <c r="BS553" s="3">
        <v>45846</v>
      </c>
      <c r="BT553" s="4">
        <v>0.53611111111111109</v>
      </c>
      <c r="BU553" t="s">
        <v>988</v>
      </c>
      <c r="BV553" t="s">
        <v>98</v>
      </c>
      <c r="BY553">
        <v>8512</v>
      </c>
      <c r="BZ553" t="s">
        <v>89</v>
      </c>
      <c r="CA553" t="s">
        <v>989</v>
      </c>
      <c r="CC553" t="s">
        <v>146</v>
      </c>
      <c r="CD553">
        <v>7646</v>
      </c>
      <c r="CE553" t="s">
        <v>117</v>
      </c>
      <c r="CF553" s="3">
        <v>45847</v>
      </c>
      <c r="CI553">
        <v>1</v>
      </c>
      <c r="CJ553">
        <v>1</v>
      </c>
      <c r="CK553">
        <v>23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"080066396655"</f>
        <v>080066396655</v>
      </c>
      <c r="F554" s="3">
        <v>45845</v>
      </c>
      <c r="G554">
        <v>202604</v>
      </c>
      <c r="H554" t="s">
        <v>75</v>
      </c>
      <c r="I554" t="s">
        <v>76</v>
      </c>
      <c r="J554" t="s">
        <v>77</v>
      </c>
      <c r="K554" t="s">
        <v>78</v>
      </c>
      <c r="L554" t="s">
        <v>92</v>
      </c>
      <c r="M554" t="s">
        <v>93</v>
      </c>
      <c r="N554" t="s">
        <v>291</v>
      </c>
      <c r="O554" t="s">
        <v>82</v>
      </c>
      <c r="P554" t="str">
        <f>"4170046961                    "</f>
        <v xml:space="preserve">4170046961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124.21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11</v>
      </c>
      <c r="BJ554">
        <v>8.9</v>
      </c>
      <c r="BK554">
        <v>11</v>
      </c>
      <c r="BL554">
        <v>391.33</v>
      </c>
      <c r="BM554">
        <v>58.7</v>
      </c>
      <c r="BN554">
        <v>450.03</v>
      </c>
      <c r="BO554">
        <v>450.03</v>
      </c>
      <c r="BQ554" t="s">
        <v>292</v>
      </c>
      <c r="BR554" t="s">
        <v>84</v>
      </c>
      <c r="BS554" s="3">
        <v>45846</v>
      </c>
      <c r="BT554" s="4">
        <v>0.34097222222222223</v>
      </c>
      <c r="BU554" t="s">
        <v>847</v>
      </c>
      <c r="BV554" t="s">
        <v>98</v>
      </c>
      <c r="BY554">
        <v>44640</v>
      </c>
      <c r="BZ554" t="s">
        <v>89</v>
      </c>
      <c r="CA554" t="s">
        <v>294</v>
      </c>
      <c r="CC554" t="s">
        <v>93</v>
      </c>
      <c r="CD554">
        <v>4051</v>
      </c>
      <c r="CE554" t="s">
        <v>117</v>
      </c>
      <c r="CF554" s="3">
        <v>45846</v>
      </c>
      <c r="CI554">
        <v>1</v>
      </c>
      <c r="CJ554">
        <v>1</v>
      </c>
      <c r="CK554">
        <v>21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"080066397070"</f>
        <v>080066397070</v>
      </c>
      <c r="F555" s="3">
        <v>45845</v>
      </c>
      <c r="G555">
        <v>202604</v>
      </c>
      <c r="H555" t="s">
        <v>75</v>
      </c>
      <c r="I555" t="s">
        <v>76</v>
      </c>
      <c r="J555" t="s">
        <v>77</v>
      </c>
      <c r="K555" t="s">
        <v>78</v>
      </c>
      <c r="L555" t="s">
        <v>350</v>
      </c>
      <c r="M555" t="s">
        <v>351</v>
      </c>
      <c r="N555" t="s">
        <v>1271</v>
      </c>
      <c r="O555" t="s">
        <v>82</v>
      </c>
      <c r="P555" t="str">
        <f>"4170047107                    "</f>
        <v xml:space="preserve">4170047107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22.6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16.739999999999998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87.94</v>
      </c>
      <c r="BM555">
        <v>13.19</v>
      </c>
      <c r="BN555">
        <v>101.13</v>
      </c>
      <c r="BO555">
        <v>101.13</v>
      </c>
      <c r="BQ555" t="s">
        <v>1272</v>
      </c>
      <c r="BR555" t="s">
        <v>84</v>
      </c>
      <c r="BS555" s="3">
        <v>45846</v>
      </c>
      <c r="BT555" s="4">
        <v>0.42638888888888887</v>
      </c>
      <c r="BU555" t="s">
        <v>1273</v>
      </c>
      <c r="BV555" t="s">
        <v>98</v>
      </c>
      <c r="BY555">
        <v>1200</v>
      </c>
      <c r="BZ555" t="s">
        <v>460</v>
      </c>
      <c r="CA555" t="s">
        <v>337</v>
      </c>
      <c r="CC555" t="s">
        <v>351</v>
      </c>
      <c r="CD555">
        <v>4133</v>
      </c>
      <c r="CE555" t="s">
        <v>121</v>
      </c>
      <c r="CF555" s="3">
        <v>45847</v>
      </c>
      <c r="CI555">
        <v>1</v>
      </c>
      <c r="CJ555">
        <v>1</v>
      </c>
      <c r="CK555">
        <v>21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"080066397087"</f>
        <v>080066397087</v>
      </c>
      <c r="F556" s="3">
        <v>45845</v>
      </c>
      <c r="G556">
        <v>202604</v>
      </c>
      <c r="H556" t="s">
        <v>75</v>
      </c>
      <c r="I556" t="s">
        <v>76</v>
      </c>
      <c r="J556" t="s">
        <v>77</v>
      </c>
      <c r="K556" t="s">
        <v>78</v>
      </c>
      <c r="L556" t="s">
        <v>128</v>
      </c>
      <c r="M556" t="s">
        <v>129</v>
      </c>
      <c r="N556" t="s">
        <v>130</v>
      </c>
      <c r="O556" t="s">
        <v>82</v>
      </c>
      <c r="P556" t="str">
        <f>"4170047032                    "</f>
        <v xml:space="preserve">4170047032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43.78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137.94</v>
      </c>
      <c r="BM556">
        <v>20.69</v>
      </c>
      <c r="BN556">
        <v>158.63</v>
      </c>
      <c r="BO556">
        <v>158.63</v>
      </c>
      <c r="BQ556" t="s">
        <v>131</v>
      </c>
      <c r="BR556" t="s">
        <v>84</v>
      </c>
      <c r="BS556" s="3">
        <v>45846</v>
      </c>
      <c r="BT556" s="4">
        <v>0.43402777777777779</v>
      </c>
      <c r="BU556" t="s">
        <v>1274</v>
      </c>
      <c r="BV556" t="s">
        <v>98</v>
      </c>
      <c r="BY556">
        <v>1200</v>
      </c>
      <c r="BZ556" t="s">
        <v>89</v>
      </c>
      <c r="CA556" t="s">
        <v>820</v>
      </c>
      <c r="CC556" t="s">
        <v>129</v>
      </c>
      <c r="CD556" s="5" t="s">
        <v>134</v>
      </c>
      <c r="CE556" t="s">
        <v>1275</v>
      </c>
      <c r="CF556" s="3">
        <v>45847</v>
      </c>
      <c r="CI556">
        <v>1</v>
      </c>
      <c r="CJ556">
        <v>1</v>
      </c>
      <c r="CK556">
        <v>23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"080066397129"</f>
        <v>080066397129</v>
      </c>
      <c r="F557" s="3">
        <v>45845</v>
      </c>
      <c r="G557">
        <v>202604</v>
      </c>
      <c r="H557" t="s">
        <v>75</v>
      </c>
      <c r="I557" t="s">
        <v>76</v>
      </c>
      <c r="J557" t="s">
        <v>77</v>
      </c>
      <c r="K557" t="s">
        <v>78</v>
      </c>
      <c r="L557" t="s">
        <v>79</v>
      </c>
      <c r="M557" t="s">
        <v>80</v>
      </c>
      <c r="N557" t="s">
        <v>1050</v>
      </c>
      <c r="O557" t="s">
        <v>82</v>
      </c>
      <c r="P557" t="str">
        <f>"4170047018                    "</f>
        <v xml:space="preserve">4170047018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22.6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71.2</v>
      </c>
      <c r="BM557">
        <v>10.68</v>
      </c>
      <c r="BN557">
        <v>81.88</v>
      </c>
      <c r="BO557">
        <v>81.88</v>
      </c>
      <c r="BQ557" t="s">
        <v>1051</v>
      </c>
      <c r="BR557" t="s">
        <v>84</v>
      </c>
      <c r="BS557" s="3">
        <v>45846</v>
      </c>
      <c r="BT557" s="4">
        <v>0.64513888888888893</v>
      </c>
      <c r="BU557" t="s">
        <v>1276</v>
      </c>
      <c r="BV557" t="s">
        <v>86</v>
      </c>
      <c r="BW557" t="s">
        <v>87</v>
      </c>
      <c r="BX557" t="s">
        <v>1277</v>
      </c>
      <c r="BY557">
        <v>1200</v>
      </c>
      <c r="BZ557" t="s">
        <v>89</v>
      </c>
      <c r="CC557" t="s">
        <v>80</v>
      </c>
      <c r="CD557">
        <v>7490</v>
      </c>
      <c r="CE557" t="s">
        <v>239</v>
      </c>
      <c r="CF557" s="3">
        <v>45847</v>
      </c>
      <c r="CI557">
        <v>1</v>
      </c>
      <c r="CJ557">
        <v>1</v>
      </c>
      <c r="CK557">
        <v>21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"080066397188"</f>
        <v>080066397188</v>
      </c>
      <c r="F558" s="3">
        <v>45845</v>
      </c>
      <c r="G558">
        <v>202604</v>
      </c>
      <c r="H558" t="s">
        <v>75</v>
      </c>
      <c r="I558" t="s">
        <v>76</v>
      </c>
      <c r="J558" t="s">
        <v>77</v>
      </c>
      <c r="K558" t="s">
        <v>78</v>
      </c>
      <c r="L558" t="s">
        <v>197</v>
      </c>
      <c r="M558" t="s">
        <v>198</v>
      </c>
      <c r="N558" t="s">
        <v>199</v>
      </c>
      <c r="O558" t="s">
        <v>82</v>
      </c>
      <c r="P558" t="str">
        <f>"4170047025                    "</f>
        <v xml:space="preserve">4170047025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17.649999999999999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55.61</v>
      </c>
      <c r="BM558">
        <v>8.34</v>
      </c>
      <c r="BN558">
        <v>63.95</v>
      </c>
      <c r="BO558">
        <v>63.95</v>
      </c>
      <c r="BQ558" t="s">
        <v>200</v>
      </c>
      <c r="BR558" t="s">
        <v>84</v>
      </c>
      <c r="BS558" s="3">
        <v>45846</v>
      </c>
      <c r="BT558" s="4">
        <v>0.38472222222222224</v>
      </c>
      <c r="BU558" t="s">
        <v>1278</v>
      </c>
      <c r="BV558" t="s">
        <v>98</v>
      </c>
      <c r="BY558">
        <v>1200</v>
      </c>
      <c r="BZ558" t="s">
        <v>89</v>
      </c>
      <c r="CA558" t="s">
        <v>948</v>
      </c>
      <c r="CC558" t="s">
        <v>198</v>
      </c>
      <c r="CD558">
        <v>1428</v>
      </c>
      <c r="CE558" t="s">
        <v>239</v>
      </c>
      <c r="CF558" s="3">
        <v>45846</v>
      </c>
      <c r="CI558">
        <v>1</v>
      </c>
      <c r="CJ558">
        <v>1</v>
      </c>
      <c r="CK558">
        <v>22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"080066397236"</f>
        <v>080066397236</v>
      </c>
      <c r="F559" s="3">
        <v>45845</v>
      </c>
      <c r="G559">
        <v>202604</v>
      </c>
      <c r="H559" t="s">
        <v>75</v>
      </c>
      <c r="I559" t="s">
        <v>76</v>
      </c>
      <c r="J559" t="s">
        <v>77</v>
      </c>
      <c r="K559" t="s">
        <v>78</v>
      </c>
      <c r="L559" t="s">
        <v>75</v>
      </c>
      <c r="M559" t="s">
        <v>76</v>
      </c>
      <c r="N559" t="s">
        <v>1279</v>
      </c>
      <c r="O559" t="s">
        <v>82</v>
      </c>
      <c r="P559" t="str">
        <f>"4170047101                    "</f>
        <v xml:space="preserve">4170047101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17.649999999999999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55.61</v>
      </c>
      <c r="BM559">
        <v>8.34</v>
      </c>
      <c r="BN559">
        <v>63.95</v>
      </c>
      <c r="BO559">
        <v>63.95</v>
      </c>
      <c r="BQ559" t="s">
        <v>1280</v>
      </c>
      <c r="BR559" t="s">
        <v>84</v>
      </c>
      <c r="BS559" s="3">
        <v>45846</v>
      </c>
      <c r="BT559" s="4">
        <v>0.625</v>
      </c>
      <c r="BU559" t="s">
        <v>1281</v>
      </c>
      <c r="BV559" t="s">
        <v>86</v>
      </c>
      <c r="BY559">
        <v>1200</v>
      </c>
      <c r="BZ559" t="s">
        <v>89</v>
      </c>
      <c r="CA559" t="s">
        <v>1282</v>
      </c>
      <c r="CC559" t="s">
        <v>76</v>
      </c>
      <c r="CD559">
        <v>1620</v>
      </c>
      <c r="CE559" t="s">
        <v>239</v>
      </c>
      <c r="CF559" s="3">
        <v>45847</v>
      </c>
      <c r="CI559">
        <v>1</v>
      </c>
      <c r="CJ559">
        <v>1</v>
      </c>
      <c r="CK559">
        <v>22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"080066397266"</f>
        <v>080066397266</v>
      </c>
      <c r="F560" s="3">
        <v>45845</v>
      </c>
      <c r="G560">
        <v>202604</v>
      </c>
      <c r="H560" t="s">
        <v>75</v>
      </c>
      <c r="I560" t="s">
        <v>76</v>
      </c>
      <c r="J560" t="s">
        <v>77</v>
      </c>
      <c r="K560" t="s">
        <v>78</v>
      </c>
      <c r="L560" t="s">
        <v>92</v>
      </c>
      <c r="M560" t="s">
        <v>93</v>
      </c>
      <c r="N560" t="s">
        <v>479</v>
      </c>
      <c r="O560" t="s">
        <v>82</v>
      </c>
      <c r="P560" t="str">
        <f>"4170047088                    "</f>
        <v xml:space="preserve">4170047088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22.6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71.2</v>
      </c>
      <c r="BM560">
        <v>10.68</v>
      </c>
      <c r="BN560">
        <v>81.88</v>
      </c>
      <c r="BO560">
        <v>81.88</v>
      </c>
      <c r="BQ560" t="s">
        <v>480</v>
      </c>
      <c r="BR560" t="s">
        <v>84</v>
      </c>
      <c r="BS560" s="3">
        <v>45846</v>
      </c>
      <c r="BT560" s="4">
        <v>0.40763888888888888</v>
      </c>
      <c r="BU560" t="s">
        <v>1086</v>
      </c>
      <c r="BV560" t="s">
        <v>98</v>
      </c>
      <c r="BY560">
        <v>1200</v>
      </c>
      <c r="BZ560" t="s">
        <v>89</v>
      </c>
      <c r="CC560" t="s">
        <v>93</v>
      </c>
      <c r="CD560">
        <v>4052</v>
      </c>
      <c r="CE560" t="s">
        <v>239</v>
      </c>
      <c r="CF560" s="3">
        <v>45847</v>
      </c>
      <c r="CI560">
        <v>1</v>
      </c>
      <c r="CJ560">
        <v>1</v>
      </c>
      <c r="CK560">
        <v>21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"080066397312"</f>
        <v>080066397312</v>
      </c>
      <c r="F561" s="3">
        <v>45845</v>
      </c>
      <c r="G561">
        <v>202604</v>
      </c>
      <c r="H561" t="s">
        <v>75</v>
      </c>
      <c r="I561" t="s">
        <v>76</v>
      </c>
      <c r="J561" t="s">
        <v>77</v>
      </c>
      <c r="K561" t="s">
        <v>78</v>
      </c>
      <c r="L561" t="s">
        <v>406</v>
      </c>
      <c r="M561" t="s">
        <v>407</v>
      </c>
      <c r="N561" t="s">
        <v>1283</v>
      </c>
      <c r="O561" t="s">
        <v>82</v>
      </c>
      <c r="P561" t="str">
        <f>"4170047017                    "</f>
        <v xml:space="preserve">4170047017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43.78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137.94</v>
      </c>
      <c r="BM561">
        <v>20.69</v>
      </c>
      <c r="BN561">
        <v>158.63</v>
      </c>
      <c r="BO561">
        <v>158.63</v>
      </c>
      <c r="BQ561" t="s">
        <v>1284</v>
      </c>
      <c r="BR561" t="s">
        <v>84</v>
      </c>
      <c r="BS561" s="3">
        <v>45846</v>
      </c>
      <c r="BT561" s="4">
        <v>0.5083333333333333</v>
      </c>
      <c r="BU561" t="s">
        <v>1285</v>
      </c>
      <c r="BV561" t="s">
        <v>98</v>
      </c>
      <c r="BY561">
        <v>1200</v>
      </c>
      <c r="BZ561" t="s">
        <v>89</v>
      </c>
      <c r="CA561" t="s">
        <v>1286</v>
      </c>
      <c r="CC561" t="s">
        <v>407</v>
      </c>
      <c r="CD561">
        <v>4400</v>
      </c>
      <c r="CE561" t="s">
        <v>239</v>
      </c>
      <c r="CF561" s="3">
        <v>45846</v>
      </c>
      <c r="CI561">
        <v>1</v>
      </c>
      <c r="CJ561">
        <v>1</v>
      </c>
      <c r="CK561">
        <v>23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"080066397359"</f>
        <v>080066397359</v>
      </c>
      <c r="F562" s="3">
        <v>45845</v>
      </c>
      <c r="G562">
        <v>202604</v>
      </c>
      <c r="H562" t="s">
        <v>75</v>
      </c>
      <c r="I562" t="s">
        <v>76</v>
      </c>
      <c r="J562" t="s">
        <v>77</v>
      </c>
      <c r="K562" t="s">
        <v>78</v>
      </c>
      <c r="L562" t="s">
        <v>240</v>
      </c>
      <c r="M562" t="s">
        <v>241</v>
      </c>
      <c r="N562" t="s">
        <v>1287</v>
      </c>
      <c r="O562" t="s">
        <v>82</v>
      </c>
      <c r="P562" t="str">
        <f>"4170047024                    "</f>
        <v xml:space="preserve">4170047024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17.649999999999999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55.61</v>
      </c>
      <c r="BM562">
        <v>8.34</v>
      </c>
      <c r="BN562">
        <v>63.95</v>
      </c>
      <c r="BO562">
        <v>63.95</v>
      </c>
      <c r="BQ562" t="s">
        <v>1288</v>
      </c>
      <c r="BR562" t="s">
        <v>84</v>
      </c>
      <c r="BS562" s="3">
        <v>45846</v>
      </c>
      <c r="BT562" s="4">
        <v>0.40277777777777779</v>
      </c>
      <c r="BU562" t="s">
        <v>1289</v>
      </c>
      <c r="BV562" t="s">
        <v>98</v>
      </c>
      <c r="BY562">
        <v>1200</v>
      </c>
      <c r="BZ562" t="s">
        <v>89</v>
      </c>
      <c r="CA562" t="s">
        <v>1290</v>
      </c>
      <c r="CC562" t="s">
        <v>241</v>
      </c>
      <c r="CD562">
        <v>2091</v>
      </c>
      <c r="CE562" t="s">
        <v>239</v>
      </c>
      <c r="CF562" s="3">
        <v>45847</v>
      </c>
      <c r="CI562">
        <v>1</v>
      </c>
      <c r="CJ562">
        <v>1</v>
      </c>
      <c r="CK562">
        <v>22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"080066397408"</f>
        <v>080066397408</v>
      </c>
      <c r="F563" s="3">
        <v>45845</v>
      </c>
      <c r="G563">
        <v>202604</v>
      </c>
      <c r="H563" t="s">
        <v>75</v>
      </c>
      <c r="I563" t="s">
        <v>76</v>
      </c>
      <c r="J563" t="s">
        <v>77</v>
      </c>
      <c r="K563" t="s">
        <v>78</v>
      </c>
      <c r="L563" t="s">
        <v>1291</v>
      </c>
      <c r="M563" t="s">
        <v>1292</v>
      </c>
      <c r="N563" t="s">
        <v>1293</v>
      </c>
      <c r="O563" t="s">
        <v>82</v>
      </c>
      <c r="P563" t="str">
        <f>"4170047108                    "</f>
        <v xml:space="preserve">4170047108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43.78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137.94</v>
      </c>
      <c r="BM563">
        <v>20.69</v>
      </c>
      <c r="BN563">
        <v>158.63</v>
      </c>
      <c r="BO563">
        <v>158.63</v>
      </c>
      <c r="BQ563" t="s">
        <v>1294</v>
      </c>
      <c r="BR563" t="s">
        <v>84</v>
      </c>
      <c r="BS563" s="3">
        <v>45846</v>
      </c>
      <c r="BT563" s="4">
        <v>0.54861111111111116</v>
      </c>
      <c r="BU563" t="s">
        <v>1295</v>
      </c>
      <c r="BV563" t="s">
        <v>98</v>
      </c>
      <c r="BY563">
        <v>1200</v>
      </c>
      <c r="BZ563" t="s">
        <v>89</v>
      </c>
      <c r="CA563" t="s">
        <v>1296</v>
      </c>
      <c r="CC563" t="s">
        <v>1292</v>
      </c>
      <c r="CD563">
        <v>3370</v>
      </c>
      <c r="CE563" t="s">
        <v>239</v>
      </c>
      <c r="CF563" s="3">
        <v>45847</v>
      </c>
      <c r="CI563">
        <v>2</v>
      </c>
      <c r="CJ563">
        <v>1</v>
      </c>
      <c r="CK563">
        <v>23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"080066397449"</f>
        <v>080066397449</v>
      </c>
      <c r="F564" s="3">
        <v>45845</v>
      </c>
      <c r="G564">
        <v>202604</v>
      </c>
      <c r="H564" t="s">
        <v>75</v>
      </c>
      <c r="I564" t="s">
        <v>76</v>
      </c>
      <c r="J564" t="s">
        <v>77</v>
      </c>
      <c r="K564" t="s">
        <v>78</v>
      </c>
      <c r="L564" t="s">
        <v>240</v>
      </c>
      <c r="M564" t="s">
        <v>241</v>
      </c>
      <c r="N564" t="s">
        <v>447</v>
      </c>
      <c r="O564" t="s">
        <v>82</v>
      </c>
      <c r="P564" t="str">
        <f>"4170047059                    "</f>
        <v xml:space="preserve">4170047059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17.649999999999999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55.61</v>
      </c>
      <c r="BM564">
        <v>8.34</v>
      </c>
      <c r="BN564">
        <v>63.95</v>
      </c>
      <c r="BO564">
        <v>63.95</v>
      </c>
      <c r="BQ564" t="s">
        <v>448</v>
      </c>
      <c r="BR564" t="s">
        <v>84</v>
      </c>
      <c r="BS564" s="3">
        <v>45846</v>
      </c>
      <c r="BT564" s="4">
        <v>0.39166666666666666</v>
      </c>
      <c r="BU564" t="s">
        <v>796</v>
      </c>
      <c r="BV564" t="s">
        <v>98</v>
      </c>
      <c r="BY564">
        <v>1200</v>
      </c>
      <c r="BZ564" t="s">
        <v>89</v>
      </c>
      <c r="CA564" t="s">
        <v>613</v>
      </c>
      <c r="CC564" t="s">
        <v>241</v>
      </c>
      <c r="CD564">
        <v>2094</v>
      </c>
      <c r="CE564" t="s">
        <v>239</v>
      </c>
      <c r="CF564" s="3">
        <v>45846</v>
      </c>
      <c r="CI564">
        <v>1</v>
      </c>
      <c r="CJ564">
        <v>1</v>
      </c>
      <c r="CK564">
        <v>22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"080066397470"</f>
        <v>080066397470</v>
      </c>
      <c r="F565" s="3">
        <v>45845</v>
      </c>
      <c r="G565">
        <v>202604</v>
      </c>
      <c r="H565" t="s">
        <v>75</v>
      </c>
      <c r="I565" t="s">
        <v>76</v>
      </c>
      <c r="J565" t="s">
        <v>77</v>
      </c>
      <c r="K565" t="s">
        <v>78</v>
      </c>
      <c r="L565" t="s">
        <v>146</v>
      </c>
      <c r="M565" t="s">
        <v>146</v>
      </c>
      <c r="N565" t="s">
        <v>147</v>
      </c>
      <c r="O565" t="s">
        <v>82</v>
      </c>
      <c r="P565" t="str">
        <f>"4170047096                    "</f>
        <v xml:space="preserve">4170047096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43.78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137.94</v>
      </c>
      <c r="BM565">
        <v>20.69</v>
      </c>
      <c r="BN565">
        <v>158.63</v>
      </c>
      <c r="BO565">
        <v>158.63</v>
      </c>
      <c r="BQ565" t="s">
        <v>764</v>
      </c>
      <c r="BR565" t="s">
        <v>84</v>
      </c>
      <c r="BS565" s="3">
        <v>45846</v>
      </c>
      <c r="BT565" s="4">
        <v>0.53402777777777777</v>
      </c>
      <c r="BU565" t="s">
        <v>1087</v>
      </c>
      <c r="BV565" t="s">
        <v>98</v>
      </c>
      <c r="BY565">
        <v>1200</v>
      </c>
      <c r="BZ565" t="s">
        <v>89</v>
      </c>
      <c r="CA565" t="s">
        <v>989</v>
      </c>
      <c r="CC565" t="s">
        <v>146</v>
      </c>
      <c r="CD565">
        <v>7646</v>
      </c>
      <c r="CE565" t="s">
        <v>239</v>
      </c>
      <c r="CF565" s="3">
        <v>45847</v>
      </c>
      <c r="CI565">
        <v>1</v>
      </c>
      <c r="CJ565">
        <v>1</v>
      </c>
      <c r="CK565">
        <v>23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"080066397503"</f>
        <v>080066397503</v>
      </c>
      <c r="F566" s="3">
        <v>45845</v>
      </c>
      <c r="G566">
        <v>202604</v>
      </c>
      <c r="H566" t="s">
        <v>75</v>
      </c>
      <c r="I566" t="s">
        <v>76</v>
      </c>
      <c r="J566" t="s">
        <v>77</v>
      </c>
      <c r="K566" t="s">
        <v>78</v>
      </c>
      <c r="L566" t="s">
        <v>151</v>
      </c>
      <c r="M566" t="s">
        <v>152</v>
      </c>
      <c r="N566" t="s">
        <v>153</v>
      </c>
      <c r="O566" t="s">
        <v>82</v>
      </c>
      <c r="P566" t="str">
        <f>"4170047131                    "</f>
        <v xml:space="preserve">4170047131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22.6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71.2</v>
      </c>
      <c r="BM566">
        <v>10.68</v>
      </c>
      <c r="BN566">
        <v>81.88</v>
      </c>
      <c r="BO566">
        <v>81.88</v>
      </c>
      <c r="BQ566" t="s">
        <v>154</v>
      </c>
      <c r="BR566" t="s">
        <v>84</v>
      </c>
      <c r="BS566" s="3">
        <v>45846</v>
      </c>
      <c r="BT566" s="4">
        <v>0.36041666666666666</v>
      </c>
      <c r="BU566" t="s">
        <v>1297</v>
      </c>
      <c r="BV566" t="s">
        <v>98</v>
      </c>
      <c r="BY566">
        <v>1200</v>
      </c>
      <c r="BZ566" t="s">
        <v>89</v>
      </c>
      <c r="CA566" t="s">
        <v>156</v>
      </c>
      <c r="CC566" t="s">
        <v>152</v>
      </c>
      <c r="CD566" s="5" t="s">
        <v>157</v>
      </c>
      <c r="CE566" t="s">
        <v>239</v>
      </c>
      <c r="CF566" s="3">
        <v>45846</v>
      </c>
      <c r="CI566">
        <v>1</v>
      </c>
      <c r="CJ566">
        <v>1</v>
      </c>
      <c r="CK566">
        <v>21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"080066397525"</f>
        <v>080066397525</v>
      </c>
      <c r="F567" s="3">
        <v>45845</v>
      </c>
      <c r="G567">
        <v>202604</v>
      </c>
      <c r="H567" t="s">
        <v>75</v>
      </c>
      <c r="I567" t="s">
        <v>76</v>
      </c>
      <c r="J567" t="s">
        <v>77</v>
      </c>
      <c r="K567" t="s">
        <v>78</v>
      </c>
      <c r="L567" t="s">
        <v>168</v>
      </c>
      <c r="M567" t="s">
        <v>169</v>
      </c>
      <c r="N567" t="s">
        <v>412</v>
      </c>
      <c r="O567" t="s">
        <v>82</v>
      </c>
      <c r="P567" t="str">
        <f>"4170047037                    "</f>
        <v xml:space="preserve">4170047037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22.6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71.2</v>
      </c>
      <c r="BM567">
        <v>10.68</v>
      </c>
      <c r="BN567">
        <v>81.88</v>
      </c>
      <c r="BO567">
        <v>81.88</v>
      </c>
      <c r="BQ567" t="s">
        <v>413</v>
      </c>
      <c r="BR567" t="s">
        <v>84</v>
      </c>
      <c r="BS567" s="3">
        <v>45846</v>
      </c>
      <c r="BT567" s="4">
        <v>0.34027777777777779</v>
      </c>
      <c r="BU567" t="s">
        <v>1298</v>
      </c>
      <c r="BV567" t="s">
        <v>98</v>
      </c>
      <c r="BY567">
        <v>1200</v>
      </c>
      <c r="BZ567" t="s">
        <v>89</v>
      </c>
      <c r="CA567" t="s">
        <v>415</v>
      </c>
      <c r="CC567" t="s">
        <v>169</v>
      </c>
      <c r="CD567">
        <v>6001</v>
      </c>
      <c r="CE567" t="s">
        <v>239</v>
      </c>
      <c r="CF567" s="3">
        <v>45846</v>
      </c>
      <c r="CI567">
        <v>1</v>
      </c>
      <c r="CJ567">
        <v>1</v>
      </c>
      <c r="CK567">
        <v>21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"080066397550"</f>
        <v>080066397550</v>
      </c>
      <c r="F568" s="3">
        <v>45845</v>
      </c>
      <c r="G568">
        <v>202604</v>
      </c>
      <c r="H568" t="s">
        <v>75</v>
      </c>
      <c r="I568" t="s">
        <v>76</v>
      </c>
      <c r="J568" t="s">
        <v>77</v>
      </c>
      <c r="K568" t="s">
        <v>78</v>
      </c>
      <c r="L568" t="s">
        <v>240</v>
      </c>
      <c r="M568" t="s">
        <v>241</v>
      </c>
      <c r="N568" t="s">
        <v>403</v>
      </c>
      <c r="O568" t="s">
        <v>82</v>
      </c>
      <c r="P568" t="str">
        <f>"4170047094                    "</f>
        <v xml:space="preserve">4170047094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17.649999999999999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55.61</v>
      </c>
      <c r="BM568">
        <v>8.34</v>
      </c>
      <c r="BN568">
        <v>63.95</v>
      </c>
      <c r="BO568">
        <v>63.95</v>
      </c>
      <c r="BQ568" t="s">
        <v>404</v>
      </c>
      <c r="BR568" t="s">
        <v>84</v>
      </c>
      <c r="BS568" s="3">
        <v>45846</v>
      </c>
      <c r="BT568" s="4">
        <v>0.36944444444444446</v>
      </c>
      <c r="BU568" t="s">
        <v>1299</v>
      </c>
      <c r="BV568" t="s">
        <v>98</v>
      </c>
      <c r="BY568">
        <v>1200</v>
      </c>
      <c r="BZ568" t="s">
        <v>89</v>
      </c>
      <c r="CA568" t="s">
        <v>1300</v>
      </c>
      <c r="CC568" t="s">
        <v>241</v>
      </c>
      <c r="CD568">
        <v>2013</v>
      </c>
      <c r="CE568" t="s">
        <v>239</v>
      </c>
      <c r="CF568" s="3">
        <v>45846</v>
      </c>
      <c r="CI568">
        <v>1</v>
      </c>
      <c r="CJ568">
        <v>1</v>
      </c>
      <c r="CK568">
        <v>22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"080066397593"</f>
        <v>080066397593</v>
      </c>
      <c r="F569" s="3">
        <v>45845</v>
      </c>
      <c r="G569">
        <v>202604</v>
      </c>
      <c r="H569" t="s">
        <v>75</v>
      </c>
      <c r="I569" t="s">
        <v>76</v>
      </c>
      <c r="J569" t="s">
        <v>77</v>
      </c>
      <c r="K569" t="s">
        <v>78</v>
      </c>
      <c r="L569" t="s">
        <v>277</v>
      </c>
      <c r="M569" t="s">
        <v>278</v>
      </c>
      <c r="N569" t="s">
        <v>279</v>
      </c>
      <c r="O569" t="s">
        <v>82</v>
      </c>
      <c r="P569" t="str">
        <f>"4170047141                    "</f>
        <v xml:space="preserve">4170047141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22.6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71.2</v>
      </c>
      <c r="BM569">
        <v>10.68</v>
      </c>
      <c r="BN569">
        <v>81.88</v>
      </c>
      <c r="BO569">
        <v>81.88</v>
      </c>
      <c r="BQ569" t="s">
        <v>280</v>
      </c>
      <c r="BR569" t="s">
        <v>84</v>
      </c>
      <c r="BS569" s="3">
        <v>45846</v>
      </c>
      <c r="BT569" s="4">
        <v>0.37916666666666665</v>
      </c>
      <c r="BU569" t="s">
        <v>1124</v>
      </c>
      <c r="BV569" t="s">
        <v>98</v>
      </c>
      <c r="BY569">
        <v>1200</v>
      </c>
      <c r="BZ569" t="s">
        <v>89</v>
      </c>
      <c r="CA569" t="s">
        <v>282</v>
      </c>
      <c r="CC569" t="s">
        <v>278</v>
      </c>
      <c r="CD569">
        <v>6230</v>
      </c>
      <c r="CE569" t="s">
        <v>239</v>
      </c>
      <c r="CF569" s="3">
        <v>45846</v>
      </c>
      <c r="CI569">
        <v>1</v>
      </c>
      <c r="CJ569">
        <v>1</v>
      </c>
      <c r="CK569">
        <v>21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"080066397635"</f>
        <v>080066397635</v>
      </c>
      <c r="F570" s="3">
        <v>45845</v>
      </c>
      <c r="G570">
        <v>202604</v>
      </c>
      <c r="H570" t="s">
        <v>75</v>
      </c>
      <c r="I570" t="s">
        <v>76</v>
      </c>
      <c r="J570" t="s">
        <v>77</v>
      </c>
      <c r="K570" t="s">
        <v>78</v>
      </c>
      <c r="L570" t="s">
        <v>452</v>
      </c>
      <c r="M570" t="s">
        <v>453</v>
      </c>
      <c r="N570" t="s">
        <v>968</v>
      </c>
      <c r="O570" t="s">
        <v>311</v>
      </c>
      <c r="P570" t="str">
        <f>"4170047041                    "</f>
        <v xml:space="preserve">4170047041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21.62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10</v>
      </c>
      <c r="BJ570">
        <v>8.9</v>
      </c>
      <c r="BK570">
        <v>10</v>
      </c>
      <c r="BL570">
        <v>68.11</v>
      </c>
      <c r="BM570">
        <v>10.220000000000001</v>
      </c>
      <c r="BN570">
        <v>78.33</v>
      </c>
      <c r="BO570">
        <v>78.33</v>
      </c>
      <c r="BQ570" t="s">
        <v>1098</v>
      </c>
      <c r="BR570" t="s">
        <v>84</v>
      </c>
      <c r="BS570" s="3">
        <v>45846</v>
      </c>
      <c r="BT570" s="4">
        <v>0.41666666666666669</v>
      </c>
      <c r="BU570" t="s">
        <v>1301</v>
      </c>
      <c r="BV570" t="s">
        <v>98</v>
      </c>
      <c r="BY570">
        <v>44640</v>
      </c>
      <c r="BZ570" t="s">
        <v>99</v>
      </c>
      <c r="CA570" t="s">
        <v>873</v>
      </c>
      <c r="CC570" t="s">
        <v>453</v>
      </c>
      <c r="CD570">
        <v>1559</v>
      </c>
      <c r="CE570" t="s">
        <v>117</v>
      </c>
      <c r="CF570" s="3">
        <v>45846</v>
      </c>
      <c r="CI570">
        <v>1</v>
      </c>
      <c r="CJ570">
        <v>1</v>
      </c>
      <c r="CK570">
        <v>32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"080066397661"</f>
        <v>080066397661</v>
      </c>
      <c r="F571" s="3">
        <v>45845</v>
      </c>
      <c r="G571">
        <v>202604</v>
      </c>
      <c r="H571" t="s">
        <v>75</v>
      </c>
      <c r="I571" t="s">
        <v>76</v>
      </c>
      <c r="J571" t="s">
        <v>77</v>
      </c>
      <c r="K571" t="s">
        <v>78</v>
      </c>
      <c r="L571" t="s">
        <v>197</v>
      </c>
      <c r="M571" t="s">
        <v>198</v>
      </c>
      <c r="N571" t="s">
        <v>1055</v>
      </c>
      <c r="O571" t="s">
        <v>82</v>
      </c>
      <c r="P571" t="str">
        <f>"4170047103                    "</f>
        <v xml:space="preserve">4170047103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17.649999999999999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1.1000000000000001</v>
      </c>
      <c r="BK571">
        <v>2</v>
      </c>
      <c r="BL571">
        <v>55.61</v>
      </c>
      <c r="BM571">
        <v>8.34</v>
      </c>
      <c r="BN571">
        <v>63.95</v>
      </c>
      <c r="BO571">
        <v>63.95</v>
      </c>
      <c r="BQ571" t="s">
        <v>1056</v>
      </c>
      <c r="BR571" t="s">
        <v>84</v>
      </c>
      <c r="BS571" s="3">
        <v>45846</v>
      </c>
      <c r="BT571" s="4">
        <v>0.41458333333333336</v>
      </c>
      <c r="BU571" t="s">
        <v>1302</v>
      </c>
      <c r="BV571" t="s">
        <v>98</v>
      </c>
      <c r="BY571">
        <v>5320</v>
      </c>
      <c r="BZ571" t="s">
        <v>89</v>
      </c>
      <c r="CA571" t="s">
        <v>948</v>
      </c>
      <c r="CC571" t="s">
        <v>198</v>
      </c>
      <c r="CD571">
        <v>1401</v>
      </c>
      <c r="CE571" t="s">
        <v>117</v>
      </c>
      <c r="CF571" s="3">
        <v>45846</v>
      </c>
      <c r="CI571">
        <v>1</v>
      </c>
      <c r="CJ571">
        <v>1</v>
      </c>
      <c r="CK571">
        <v>22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"080066397698"</f>
        <v>080066397698</v>
      </c>
      <c r="F572" s="3">
        <v>45845</v>
      </c>
      <c r="G572">
        <v>202604</v>
      </c>
      <c r="H572" t="s">
        <v>75</v>
      </c>
      <c r="I572" t="s">
        <v>76</v>
      </c>
      <c r="J572" t="s">
        <v>77</v>
      </c>
      <c r="K572" t="s">
        <v>78</v>
      </c>
      <c r="L572" t="s">
        <v>452</v>
      </c>
      <c r="M572" t="s">
        <v>453</v>
      </c>
      <c r="N572" t="s">
        <v>968</v>
      </c>
      <c r="O572" t="s">
        <v>95</v>
      </c>
      <c r="P572" t="str">
        <f>"4170047087                    "</f>
        <v xml:space="preserve">4170047087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33.72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1.3</v>
      </c>
      <c r="BK572">
        <v>2</v>
      </c>
      <c r="BL572">
        <v>112.11</v>
      </c>
      <c r="BM572">
        <v>16.82</v>
      </c>
      <c r="BN572">
        <v>128.93</v>
      </c>
      <c r="BO572">
        <v>128.93</v>
      </c>
      <c r="BQ572" t="s">
        <v>1098</v>
      </c>
      <c r="BR572" t="s">
        <v>84</v>
      </c>
      <c r="BS572" s="3">
        <v>45846</v>
      </c>
      <c r="BT572" s="4">
        <v>0.44583333333333336</v>
      </c>
      <c r="BU572" t="s">
        <v>1301</v>
      </c>
      <c r="BV572" t="s">
        <v>98</v>
      </c>
      <c r="BY572">
        <v>6555</v>
      </c>
      <c r="BZ572" t="s">
        <v>99</v>
      </c>
      <c r="CA572" t="s">
        <v>873</v>
      </c>
      <c r="CC572" t="s">
        <v>453</v>
      </c>
      <c r="CD572">
        <v>1559</v>
      </c>
      <c r="CE572" t="s">
        <v>1303</v>
      </c>
      <c r="CF572" s="3">
        <v>45846</v>
      </c>
      <c r="CI572">
        <v>1</v>
      </c>
      <c r="CJ572">
        <v>1</v>
      </c>
      <c r="CK572">
        <v>42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"080066397726"</f>
        <v>080066397726</v>
      </c>
      <c r="F573" s="3">
        <v>45845</v>
      </c>
      <c r="G573">
        <v>202604</v>
      </c>
      <c r="H573" t="s">
        <v>75</v>
      </c>
      <c r="I573" t="s">
        <v>76</v>
      </c>
      <c r="J573" t="s">
        <v>77</v>
      </c>
      <c r="K573" t="s">
        <v>78</v>
      </c>
      <c r="L573" t="s">
        <v>75</v>
      </c>
      <c r="M573" t="s">
        <v>76</v>
      </c>
      <c r="N573" t="s">
        <v>701</v>
      </c>
      <c r="O573" t="s">
        <v>82</v>
      </c>
      <c r="P573" t="str">
        <f>"4170047090                    "</f>
        <v xml:space="preserve">4170047090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17.649999999999999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1.1000000000000001</v>
      </c>
      <c r="BK573">
        <v>3</v>
      </c>
      <c r="BL573">
        <v>55.61</v>
      </c>
      <c r="BM573">
        <v>8.34</v>
      </c>
      <c r="BN573">
        <v>63.95</v>
      </c>
      <c r="BO573">
        <v>63.95</v>
      </c>
      <c r="BQ573" t="s">
        <v>702</v>
      </c>
      <c r="BR573" t="s">
        <v>84</v>
      </c>
      <c r="BS573" s="3">
        <v>45846</v>
      </c>
      <c r="BT573" s="4">
        <v>0.37013888888888891</v>
      </c>
      <c r="BU573" t="s">
        <v>703</v>
      </c>
      <c r="BV573" t="s">
        <v>98</v>
      </c>
      <c r="BY573">
        <v>5320</v>
      </c>
      <c r="BZ573" t="s">
        <v>89</v>
      </c>
      <c r="CA573" t="s">
        <v>617</v>
      </c>
      <c r="CC573" t="s">
        <v>76</v>
      </c>
      <c r="CD573">
        <v>1645</v>
      </c>
      <c r="CE573" t="s">
        <v>117</v>
      </c>
      <c r="CF573" s="3">
        <v>45847</v>
      </c>
      <c r="CI573">
        <v>1</v>
      </c>
      <c r="CJ573">
        <v>1</v>
      </c>
      <c r="CK573">
        <v>22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"080066397794"</f>
        <v>080066397794</v>
      </c>
      <c r="F574" s="3">
        <v>45845</v>
      </c>
      <c r="G574">
        <v>202604</v>
      </c>
      <c r="H574" t="s">
        <v>75</v>
      </c>
      <c r="I574" t="s">
        <v>76</v>
      </c>
      <c r="J574" t="s">
        <v>77</v>
      </c>
      <c r="K574" t="s">
        <v>78</v>
      </c>
      <c r="L574" t="s">
        <v>305</v>
      </c>
      <c r="M574" t="s">
        <v>306</v>
      </c>
      <c r="N574" t="s">
        <v>1304</v>
      </c>
      <c r="O574" t="s">
        <v>82</v>
      </c>
      <c r="P574" t="str">
        <f>"4170047045                    "</f>
        <v xml:space="preserve">4170047045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22.6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1.1000000000000001</v>
      </c>
      <c r="BK574">
        <v>1.5</v>
      </c>
      <c r="BL574">
        <v>71.2</v>
      </c>
      <c r="BM574">
        <v>10.68</v>
      </c>
      <c r="BN574">
        <v>81.88</v>
      </c>
      <c r="BO574">
        <v>81.88</v>
      </c>
      <c r="BQ574" t="s">
        <v>1305</v>
      </c>
      <c r="BR574" t="s">
        <v>84</v>
      </c>
      <c r="BS574" s="3">
        <v>45846</v>
      </c>
      <c r="BT574" s="4">
        <v>0.4375</v>
      </c>
      <c r="BU574" t="s">
        <v>1306</v>
      </c>
      <c r="BV574" t="s">
        <v>98</v>
      </c>
      <c r="BY574">
        <v>5320</v>
      </c>
      <c r="BZ574" t="s">
        <v>89</v>
      </c>
      <c r="CA574" t="s">
        <v>1307</v>
      </c>
      <c r="CC574" t="s">
        <v>306</v>
      </c>
      <c r="CD574">
        <v>5201</v>
      </c>
      <c r="CE574" t="s">
        <v>117</v>
      </c>
      <c r="CF574" s="3">
        <v>45846</v>
      </c>
      <c r="CI574">
        <v>5</v>
      </c>
      <c r="CJ574">
        <v>1</v>
      </c>
      <c r="CK574">
        <v>21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"080066397815"</f>
        <v>080066397815</v>
      </c>
      <c r="F575" s="3">
        <v>45845</v>
      </c>
      <c r="G575">
        <v>202604</v>
      </c>
      <c r="H575" t="s">
        <v>75</v>
      </c>
      <c r="I575" t="s">
        <v>76</v>
      </c>
      <c r="J575" t="s">
        <v>77</v>
      </c>
      <c r="K575" t="s">
        <v>78</v>
      </c>
      <c r="L575" t="s">
        <v>406</v>
      </c>
      <c r="M575" t="s">
        <v>407</v>
      </c>
      <c r="N575" t="s">
        <v>1308</v>
      </c>
      <c r="O575" t="s">
        <v>82</v>
      </c>
      <c r="P575" t="str">
        <f>"4170047030                    "</f>
        <v xml:space="preserve">4170047030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43.78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1.1000000000000001</v>
      </c>
      <c r="BK575">
        <v>1.5</v>
      </c>
      <c r="BL575">
        <v>137.94</v>
      </c>
      <c r="BM575">
        <v>20.69</v>
      </c>
      <c r="BN575">
        <v>158.63</v>
      </c>
      <c r="BO575">
        <v>158.63</v>
      </c>
      <c r="BQ575" t="s">
        <v>1309</v>
      </c>
      <c r="BR575" t="s">
        <v>84</v>
      </c>
      <c r="BS575" s="3">
        <v>45846</v>
      </c>
      <c r="BT575" s="4">
        <v>0.46666666666666667</v>
      </c>
      <c r="BU575" t="s">
        <v>1310</v>
      </c>
      <c r="BV575" t="s">
        <v>98</v>
      </c>
      <c r="BY575">
        <v>5320</v>
      </c>
      <c r="BZ575" t="s">
        <v>89</v>
      </c>
      <c r="CA575" t="s">
        <v>1286</v>
      </c>
      <c r="CC575" t="s">
        <v>407</v>
      </c>
      <c r="CD575">
        <v>4399</v>
      </c>
      <c r="CE575" t="s">
        <v>117</v>
      </c>
      <c r="CF575" s="3">
        <v>45846</v>
      </c>
      <c r="CI575">
        <v>1</v>
      </c>
      <c r="CJ575">
        <v>1</v>
      </c>
      <c r="CK575">
        <v>23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"080066397851"</f>
        <v>080066397851</v>
      </c>
      <c r="F576" s="3">
        <v>45845</v>
      </c>
      <c r="G576">
        <v>202604</v>
      </c>
      <c r="H576" t="s">
        <v>75</v>
      </c>
      <c r="I576" t="s">
        <v>76</v>
      </c>
      <c r="J576" t="s">
        <v>77</v>
      </c>
      <c r="K576" t="s">
        <v>78</v>
      </c>
      <c r="L576" t="s">
        <v>122</v>
      </c>
      <c r="M576" t="s">
        <v>123</v>
      </c>
      <c r="N576" t="s">
        <v>357</v>
      </c>
      <c r="O576" t="s">
        <v>82</v>
      </c>
      <c r="P576" t="str">
        <f>"4170047098                    "</f>
        <v xml:space="preserve">4170047098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22.6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1.1000000000000001</v>
      </c>
      <c r="BK576">
        <v>1.5</v>
      </c>
      <c r="BL576">
        <v>71.2</v>
      </c>
      <c r="BM576">
        <v>10.68</v>
      </c>
      <c r="BN576">
        <v>81.88</v>
      </c>
      <c r="BO576">
        <v>81.88</v>
      </c>
      <c r="BQ576" t="s">
        <v>358</v>
      </c>
      <c r="BR576" t="s">
        <v>84</v>
      </c>
      <c r="BS576" s="3">
        <v>45846</v>
      </c>
      <c r="BT576" s="4">
        <v>0.44166666666666665</v>
      </c>
      <c r="BU576" t="s">
        <v>1311</v>
      </c>
      <c r="BV576" t="s">
        <v>98</v>
      </c>
      <c r="BY576">
        <v>5320</v>
      </c>
      <c r="BZ576" t="s">
        <v>89</v>
      </c>
      <c r="CA576" t="s">
        <v>1312</v>
      </c>
      <c r="CC576" t="s">
        <v>123</v>
      </c>
      <c r="CD576">
        <v>3610</v>
      </c>
      <c r="CE576" t="s">
        <v>117</v>
      </c>
      <c r="CF576" s="3">
        <v>45846</v>
      </c>
      <c r="CI576">
        <v>1</v>
      </c>
      <c r="CJ576">
        <v>1</v>
      </c>
      <c r="CK576">
        <v>21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"080066397896"</f>
        <v>080066397896</v>
      </c>
      <c r="F577" s="3">
        <v>45845</v>
      </c>
      <c r="G577">
        <v>202604</v>
      </c>
      <c r="H577" t="s">
        <v>75</v>
      </c>
      <c r="I577" t="s">
        <v>76</v>
      </c>
      <c r="J577" t="s">
        <v>77</v>
      </c>
      <c r="K577" t="s">
        <v>78</v>
      </c>
      <c r="L577" t="s">
        <v>79</v>
      </c>
      <c r="M577" t="s">
        <v>80</v>
      </c>
      <c r="N577" t="s">
        <v>698</v>
      </c>
      <c r="O577" t="s">
        <v>82</v>
      </c>
      <c r="P577" t="str">
        <f>"4170047038                    "</f>
        <v xml:space="preserve">4170047038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33.89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1.1000000000000001</v>
      </c>
      <c r="BK577">
        <v>3</v>
      </c>
      <c r="BL577">
        <v>106.77</v>
      </c>
      <c r="BM577">
        <v>16.02</v>
      </c>
      <c r="BN577">
        <v>122.79</v>
      </c>
      <c r="BO577">
        <v>122.79</v>
      </c>
      <c r="BQ577" t="s">
        <v>699</v>
      </c>
      <c r="BR577" t="s">
        <v>84</v>
      </c>
      <c r="BS577" s="3">
        <v>45846</v>
      </c>
      <c r="BT577" s="4">
        <v>0.41180555555555554</v>
      </c>
      <c r="BU577" t="s">
        <v>1313</v>
      </c>
      <c r="BV577" t="s">
        <v>98</v>
      </c>
      <c r="BY577">
        <v>5320</v>
      </c>
      <c r="BZ577" t="s">
        <v>89</v>
      </c>
      <c r="CA577" t="s">
        <v>289</v>
      </c>
      <c r="CC577" t="s">
        <v>80</v>
      </c>
      <c r="CD577">
        <v>7561</v>
      </c>
      <c r="CE577" t="s">
        <v>117</v>
      </c>
      <c r="CF577" s="3">
        <v>45847</v>
      </c>
      <c r="CI577">
        <v>1</v>
      </c>
      <c r="CJ577">
        <v>1</v>
      </c>
      <c r="CK577">
        <v>21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"080066397918"</f>
        <v>080066397918</v>
      </c>
      <c r="F578" s="3">
        <v>45845</v>
      </c>
      <c r="G578">
        <v>202604</v>
      </c>
      <c r="H578" t="s">
        <v>75</v>
      </c>
      <c r="I578" t="s">
        <v>76</v>
      </c>
      <c r="J578" t="s">
        <v>77</v>
      </c>
      <c r="K578" t="s">
        <v>78</v>
      </c>
      <c r="L578" t="s">
        <v>406</v>
      </c>
      <c r="M578" t="s">
        <v>407</v>
      </c>
      <c r="N578" t="s">
        <v>1283</v>
      </c>
      <c r="O578" t="s">
        <v>82</v>
      </c>
      <c r="P578" t="str">
        <f>"4170047051                    "</f>
        <v xml:space="preserve">4170047051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63.56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3</v>
      </c>
      <c r="BJ578">
        <v>1.1000000000000001</v>
      </c>
      <c r="BK578">
        <v>3</v>
      </c>
      <c r="BL578">
        <v>200.24</v>
      </c>
      <c r="BM578">
        <v>30.04</v>
      </c>
      <c r="BN578">
        <v>230.28</v>
      </c>
      <c r="BO578">
        <v>230.28</v>
      </c>
      <c r="BQ578" t="s">
        <v>1284</v>
      </c>
      <c r="BR578" t="s">
        <v>84</v>
      </c>
      <c r="BS578" s="3">
        <v>45846</v>
      </c>
      <c r="BT578" s="4">
        <v>0.46666666666666667</v>
      </c>
      <c r="BU578" t="s">
        <v>1314</v>
      </c>
      <c r="BV578" t="s">
        <v>98</v>
      </c>
      <c r="BY578">
        <v>5320</v>
      </c>
      <c r="BZ578" t="s">
        <v>89</v>
      </c>
      <c r="CA578" t="s">
        <v>1286</v>
      </c>
      <c r="CC578" t="s">
        <v>407</v>
      </c>
      <c r="CD578">
        <v>4400</v>
      </c>
      <c r="CE578" t="s">
        <v>117</v>
      </c>
      <c r="CF578" s="3">
        <v>45846</v>
      </c>
      <c r="CI578">
        <v>1</v>
      </c>
      <c r="CJ578">
        <v>1</v>
      </c>
      <c r="CK578">
        <v>23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"080066398375"</f>
        <v>080066398375</v>
      </c>
      <c r="F579" s="3">
        <v>45845</v>
      </c>
      <c r="G579">
        <v>202604</v>
      </c>
      <c r="H579" t="s">
        <v>75</v>
      </c>
      <c r="I579" t="s">
        <v>76</v>
      </c>
      <c r="J579" t="s">
        <v>77</v>
      </c>
      <c r="K579" t="s">
        <v>78</v>
      </c>
      <c r="L579" t="s">
        <v>260</v>
      </c>
      <c r="M579" t="s">
        <v>261</v>
      </c>
      <c r="N579" t="s">
        <v>1315</v>
      </c>
      <c r="O579" t="s">
        <v>82</v>
      </c>
      <c r="P579" t="str">
        <f>"4170047023                    "</f>
        <v xml:space="preserve">4170047023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43.78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137.94</v>
      </c>
      <c r="BM579">
        <v>20.69</v>
      </c>
      <c r="BN579">
        <v>158.63</v>
      </c>
      <c r="BO579">
        <v>158.63</v>
      </c>
      <c r="BQ579" t="s">
        <v>1316</v>
      </c>
      <c r="BR579" t="s">
        <v>84</v>
      </c>
      <c r="BS579" s="3">
        <v>45846</v>
      </c>
      <c r="BT579" s="4">
        <v>0.42986111111111114</v>
      </c>
      <c r="BU579" t="s">
        <v>1317</v>
      </c>
      <c r="BV579" t="s">
        <v>98</v>
      </c>
      <c r="BY579">
        <v>1200</v>
      </c>
      <c r="BZ579" t="s">
        <v>89</v>
      </c>
      <c r="CA579" t="s">
        <v>375</v>
      </c>
      <c r="CC579" t="s">
        <v>261</v>
      </c>
      <c r="CD579">
        <v>1939</v>
      </c>
      <c r="CE579" t="s">
        <v>239</v>
      </c>
      <c r="CF579" s="3">
        <v>45846</v>
      </c>
      <c r="CI579">
        <v>1</v>
      </c>
      <c r="CJ579">
        <v>1</v>
      </c>
      <c r="CK579">
        <v>23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"080066398407"</f>
        <v>080066398407</v>
      </c>
      <c r="F580" s="3">
        <v>45845</v>
      </c>
      <c r="G580">
        <v>202604</v>
      </c>
      <c r="H580" t="s">
        <v>75</v>
      </c>
      <c r="I580" t="s">
        <v>76</v>
      </c>
      <c r="J580" t="s">
        <v>77</v>
      </c>
      <c r="K580" t="s">
        <v>78</v>
      </c>
      <c r="L580" t="s">
        <v>135</v>
      </c>
      <c r="M580" t="s">
        <v>136</v>
      </c>
      <c r="N580" t="s">
        <v>379</v>
      </c>
      <c r="O580" t="s">
        <v>82</v>
      </c>
      <c r="P580" t="str">
        <f>"4170047075                    "</f>
        <v xml:space="preserve">4170047075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22.6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71.2</v>
      </c>
      <c r="BM580">
        <v>10.68</v>
      </c>
      <c r="BN580">
        <v>81.88</v>
      </c>
      <c r="BO580">
        <v>81.88</v>
      </c>
      <c r="BQ580" t="s">
        <v>380</v>
      </c>
      <c r="BR580" t="s">
        <v>84</v>
      </c>
      <c r="BS580" s="3">
        <v>45846</v>
      </c>
      <c r="BT580" s="4">
        <v>0.41666666666666669</v>
      </c>
      <c r="BU580" t="s">
        <v>1318</v>
      </c>
      <c r="BV580" t="s">
        <v>98</v>
      </c>
      <c r="BY580">
        <v>1200</v>
      </c>
      <c r="BZ580" t="s">
        <v>89</v>
      </c>
      <c r="CA580" t="s">
        <v>1319</v>
      </c>
      <c r="CC580" t="s">
        <v>136</v>
      </c>
      <c r="CD580">
        <v>3212</v>
      </c>
      <c r="CE580" t="s">
        <v>239</v>
      </c>
      <c r="CF580" s="3">
        <v>45847</v>
      </c>
      <c r="CI580">
        <v>2</v>
      </c>
      <c r="CJ580">
        <v>1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"080066398429"</f>
        <v>080066398429</v>
      </c>
      <c r="F581" s="3">
        <v>45845</v>
      </c>
      <c r="G581">
        <v>202604</v>
      </c>
      <c r="H581" t="s">
        <v>75</v>
      </c>
      <c r="I581" t="s">
        <v>76</v>
      </c>
      <c r="J581" t="s">
        <v>77</v>
      </c>
      <c r="K581" t="s">
        <v>78</v>
      </c>
      <c r="L581" t="s">
        <v>305</v>
      </c>
      <c r="M581" t="s">
        <v>306</v>
      </c>
      <c r="N581" t="s">
        <v>1320</v>
      </c>
      <c r="O581" t="s">
        <v>82</v>
      </c>
      <c r="P581" t="str">
        <f>"4170047099                    "</f>
        <v xml:space="preserve">4170047099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22.6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71.2</v>
      </c>
      <c r="BM581">
        <v>10.68</v>
      </c>
      <c r="BN581">
        <v>81.88</v>
      </c>
      <c r="BO581">
        <v>81.88</v>
      </c>
      <c r="BQ581" t="s">
        <v>308</v>
      </c>
      <c r="BR581" t="s">
        <v>84</v>
      </c>
      <c r="BS581" s="3">
        <v>45846</v>
      </c>
      <c r="BT581" s="4">
        <v>0.4375</v>
      </c>
      <c r="BU581" t="s">
        <v>309</v>
      </c>
      <c r="BV581" t="s">
        <v>98</v>
      </c>
      <c r="BY581">
        <v>1200</v>
      </c>
      <c r="BZ581" t="s">
        <v>89</v>
      </c>
      <c r="CA581" t="s">
        <v>310</v>
      </c>
      <c r="CC581" t="s">
        <v>306</v>
      </c>
      <c r="CD581">
        <v>5201</v>
      </c>
      <c r="CE581" t="s">
        <v>239</v>
      </c>
      <c r="CF581" s="3">
        <v>45846</v>
      </c>
      <c r="CI581">
        <v>1</v>
      </c>
      <c r="CJ581">
        <v>1</v>
      </c>
      <c r="CK581">
        <v>21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"080066398452"</f>
        <v>080066398452</v>
      </c>
      <c r="F582" s="3">
        <v>45845</v>
      </c>
      <c r="G582">
        <v>202604</v>
      </c>
      <c r="H582" t="s">
        <v>75</v>
      </c>
      <c r="I582" t="s">
        <v>76</v>
      </c>
      <c r="J582" t="s">
        <v>77</v>
      </c>
      <c r="K582" t="s">
        <v>78</v>
      </c>
      <c r="L582" t="s">
        <v>452</v>
      </c>
      <c r="M582" t="s">
        <v>453</v>
      </c>
      <c r="N582" t="s">
        <v>1321</v>
      </c>
      <c r="O582" t="s">
        <v>82</v>
      </c>
      <c r="P582" t="str">
        <f>"4170047123                    "</f>
        <v xml:space="preserve">4170047123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17.649999999999999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55.61</v>
      </c>
      <c r="BM582">
        <v>8.34</v>
      </c>
      <c r="BN582">
        <v>63.95</v>
      </c>
      <c r="BO582">
        <v>63.95</v>
      </c>
      <c r="BQ582" t="s">
        <v>1322</v>
      </c>
      <c r="BR582" t="s">
        <v>84</v>
      </c>
      <c r="BS582" s="3">
        <v>45846</v>
      </c>
      <c r="BT582" s="4">
        <v>0.36041666666666666</v>
      </c>
      <c r="BU582" t="s">
        <v>1323</v>
      </c>
      <c r="BV582" t="s">
        <v>98</v>
      </c>
      <c r="BY582">
        <v>1200</v>
      </c>
      <c r="BZ582" t="s">
        <v>89</v>
      </c>
      <c r="CA582" t="s">
        <v>873</v>
      </c>
      <c r="CC582" t="s">
        <v>453</v>
      </c>
      <c r="CD582">
        <v>1559</v>
      </c>
      <c r="CE582" t="s">
        <v>239</v>
      </c>
      <c r="CF582" s="3">
        <v>45846</v>
      </c>
      <c r="CI582">
        <v>1</v>
      </c>
      <c r="CJ582">
        <v>1</v>
      </c>
      <c r="CK582">
        <v>22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"080066398478"</f>
        <v>080066398478</v>
      </c>
      <c r="F583" s="3">
        <v>45845</v>
      </c>
      <c r="G583">
        <v>202604</v>
      </c>
      <c r="H583" t="s">
        <v>75</v>
      </c>
      <c r="I583" t="s">
        <v>76</v>
      </c>
      <c r="J583" t="s">
        <v>77</v>
      </c>
      <c r="K583" t="s">
        <v>78</v>
      </c>
      <c r="L583" t="s">
        <v>75</v>
      </c>
      <c r="M583" t="s">
        <v>76</v>
      </c>
      <c r="N583" t="s">
        <v>1324</v>
      </c>
      <c r="O583" t="s">
        <v>82</v>
      </c>
      <c r="P583" t="str">
        <f>"4170047146                    "</f>
        <v xml:space="preserve">4170047146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17.649999999999999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55.61</v>
      </c>
      <c r="BM583">
        <v>8.34</v>
      </c>
      <c r="BN583">
        <v>63.95</v>
      </c>
      <c r="BO583">
        <v>63.95</v>
      </c>
      <c r="BQ583" t="s">
        <v>1325</v>
      </c>
      <c r="BR583" t="s">
        <v>84</v>
      </c>
      <c r="BS583" s="3">
        <v>45846</v>
      </c>
      <c r="BT583" s="4">
        <v>0.33333333333333331</v>
      </c>
      <c r="BU583" t="s">
        <v>1326</v>
      </c>
      <c r="BV583" t="s">
        <v>98</v>
      </c>
      <c r="BY583">
        <v>1200</v>
      </c>
      <c r="BZ583" t="s">
        <v>89</v>
      </c>
      <c r="CA583" t="s">
        <v>213</v>
      </c>
      <c r="CC583" t="s">
        <v>76</v>
      </c>
      <c r="CD583">
        <v>1600</v>
      </c>
      <c r="CE583" t="s">
        <v>239</v>
      </c>
      <c r="CF583" s="3">
        <v>45846</v>
      </c>
      <c r="CI583">
        <v>1</v>
      </c>
      <c r="CJ583">
        <v>1</v>
      </c>
      <c r="CK583">
        <v>22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"080066398504"</f>
        <v>080066398504</v>
      </c>
      <c r="F584" s="3">
        <v>45845</v>
      </c>
      <c r="G584">
        <v>202604</v>
      </c>
      <c r="H584" t="s">
        <v>75</v>
      </c>
      <c r="I584" t="s">
        <v>76</v>
      </c>
      <c r="J584" t="s">
        <v>77</v>
      </c>
      <c r="K584" t="s">
        <v>78</v>
      </c>
      <c r="L584" t="s">
        <v>406</v>
      </c>
      <c r="M584" t="s">
        <v>407</v>
      </c>
      <c r="N584" t="s">
        <v>1308</v>
      </c>
      <c r="O584" t="s">
        <v>82</v>
      </c>
      <c r="P584" t="str">
        <f>"4170047044                    "</f>
        <v xml:space="preserve">4170047044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43.78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137.94</v>
      </c>
      <c r="BM584">
        <v>20.69</v>
      </c>
      <c r="BN584">
        <v>158.63</v>
      </c>
      <c r="BO584">
        <v>158.63</v>
      </c>
      <c r="BQ584" t="s">
        <v>1309</v>
      </c>
      <c r="BR584" t="s">
        <v>84</v>
      </c>
      <c r="BS584" s="3">
        <v>45846</v>
      </c>
      <c r="BT584" s="4">
        <v>0.47013888888888888</v>
      </c>
      <c r="BU584" t="s">
        <v>1285</v>
      </c>
      <c r="BV584" t="s">
        <v>98</v>
      </c>
      <c r="BY584">
        <v>1200</v>
      </c>
      <c r="BZ584" t="s">
        <v>89</v>
      </c>
      <c r="CA584" t="s">
        <v>1286</v>
      </c>
      <c r="CC584" t="s">
        <v>407</v>
      </c>
      <c r="CD584">
        <v>4399</v>
      </c>
      <c r="CE584" t="s">
        <v>239</v>
      </c>
      <c r="CF584" s="3">
        <v>45846</v>
      </c>
      <c r="CI584">
        <v>1</v>
      </c>
      <c r="CJ584">
        <v>1</v>
      </c>
      <c r="CK584">
        <v>23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"080066398546"</f>
        <v>080066398546</v>
      </c>
      <c r="F585" s="3">
        <v>45845</v>
      </c>
      <c r="G585">
        <v>202604</v>
      </c>
      <c r="H585" t="s">
        <v>75</v>
      </c>
      <c r="I585" t="s">
        <v>76</v>
      </c>
      <c r="J585" t="s">
        <v>77</v>
      </c>
      <c r="K585" t="s">
        <v>78</v>
      </c>
      <c r="L585" t="s">
        <v>135</v>
      </c>
      <c r="M585" t="s">
        <v>136</v>
      </c>
      <c r="N585" t="s">
        <v>379</v>
      </c>
      <c r="O585" t="s">
        <v>82</v>
      </c>
      <c r="P585" t="str">
        <f>"4170047026                    "</f>
        <v xml:space="preserve">4170047026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22.6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71.2</v>
      </c>
      <c r="BM585">
        <v>10.68</v>
      </c>
      <c r="BN585">
        <v>81.88</v>
      </c>
      <c r="BO585">
        <v>81.88</v>
      </c>
      <c r="BQ585" t="s">
        <v>380</v>
      </c>
      <c r="BR585" t="s">
        <v>84</v>
      </c>
      <c r="BS585" s="3">
        <v>45846</v>
      </c>
      <c r="BT585" s="4">
        <v>0.41666666666666669</v>
      </c>
      <c r="BU585" t="s">
        <v>1318</v>
      </c>
      <c r="BV585" t="s">
        <v>98</v>
      </c>
      <c r="BY585">
        <v>1200</v>
      </c>
      <c r="BZ585" t="s">
        <v>89</v>
      </c>
      <c r="CA585" t="s">
        <v>1319</v>
      </c>
      <c r="CC585" t="s">
        <v>136</v>
      </c>
      <c r="CD585">
        <v>3212</v>
      </c>
      <c r="CE585" t="s">
        <v>239</v>
      </c>
      <c r="CF585" s="3">
        <v>45847</v>
      </c>
      <c r="CI585">
        <v>2</v>
      </c>
      <c r="CJ585">
        <v>1</v>
      </c>
      <c r="CK585">
        <v>21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"080066398581"</f>
        <v>080066398581</v>
      </c>
      <c r="F586" s="3">
        <v>45845</v>
      </c>
      <c r="G586">
        <v>202604</v>
      </c>
      <c r="H586" t="s">
        <v>75</v>
      </c>
      <c r="I586" t="s">
        <v>76</v>
      </c>
      <c r="J586" t="s">
        <v>77</v>
      </c>
      <c r="K586" t="s">
        <v>78</v>
      </c>
      <c r="L586" t="s">
        <v>305</v>
      </c>
      <c r="M586" t="s">
        <v>306</v>
      </c>
      <c r="N586" t="s">
        <v>572</v>
      </c>
      <c r="O586" t="s">
        <v>82</v>
      </c>
      <c r="P586" t="str">
        <f>"4170047031                    "</f>
        <v xml:space="preserve">4170047031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22.6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71.2</v>
      </c>
      <c r="BM586">
        <v>10.68</v>
      </c>
      <c r="BN586">
        <v>81.88</v>
      </c>
      <c r="BO586">
        <v>81.88</v>
      </c>
      <c r="BQ586" t="s">
        <v>573</v>
      </c>
      <c r="BR586" t="s">
        <v>84</v>
      </c>
      <c r="BS586" s="3">
        <v>45846</v>
      </c>
      <c r="BT586" s="4">
        <v>0.4375</v>
      </c>
      <c r="BU586" t="s">
        <v>1327</v>
      </c>
      <c r="BV586" t="s">
        <v>98</v>
      </c>
      <c r="BY586">
        <v>1200</v>
      </c>
      <c r="BZ586" t="s">
        <v>89</v>
      </c>
      <c r="CA586" t="s">
        <v>1307</v>
      </c>
      <c r="CC586" t="s">
        <v>306</v>
      </c>
      <c r="CD586">
        <v>5201</v>
      </c>
      <c r="CE586" t="s">
        <v>239</v>
      </c>
      <c r="CF586" s="3">
        <v>45846</v>
      </c>
      <c r="CI586">
        <v>5</v>
      </c>
      <c r="CJ586">
        <v>1</v>
      </c>
      <c r="CK586">
        <v>21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"080066398610"</f>
        <v>080066398610</v>
      </c>
      <c r="F587" s="3">
        <v>45845</v>
      </c>
      <c r="G587">
        <v>202604</v>
      </c>
      <c r="H587" t="s">
        <v>75</v>
      </c>
      <c r="I587" t="s">
        <v>76</v>
      </c>
      <c r="J587" t="s">
        <v>77</v>
      </c>
      <c r="K587" t="s">
        <v>78</v>
      </c>
      <c r="L587" t="s">
        <v>168</v>
      </c>
      <c r="M587" t="s">
        <v>169</v>
      </c>
      <c r="N587" t="s">
        <v>206</v>
      </c>
      <c r="O587" t="s">
        <v>82</v>
      </c>
      <c r="P587" t="str">
        <f>"4170047104                    "</f>
        <v xml:space="preserve">4170047104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22.6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71.2</v>
      </c>
      <c r="BM587">
        <v>10.68</v>
      </c>
      <c r="BN587">
        <v>81.88</v>
      </c>
      <c r="BO587">
        <v>81.88</v>
      </c>
      <c r="BQ587" t="s">
        <v>207</v>
      </c>
      <c r="BR587" t="s">
        <v>84</v>
      </c>
      <c r="BS587" s="3">
        <v>45846</v>
      </c>
      <c r="BT587" s="4">
        <v>0.3611111111111111</v>
      </c>
      <c r="BU587" t="s">
        <v>208</v>
      </c>
      <c r="BV587" t="s">
        <v>98</v>
      </c>
      <c r="BY587">
        <v>1200</v>
      </c>
      <c r="BZ587" t="s">
        <v>89</v>
      </c>
      <c r="CA587" t="s">
        <v>196</v>
      </c>
      <c r="CC587" t="s">
        <v>169</v>
      </c>
      <c r="CD587">
        <v>6001</v>
      </c>
      <c r="CE587" t="s">
        <v>214</v>
      </c>
      <c r="CF587" s="3">
        <v>45846</v>
      </c>
      <c r="CI587">
        <v>1</v>
      </c>
      <c r="CJ587">
        <v>1</v>
      </c>
      <c r="CK587">
        <v>21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"080066398631"</f>
        <v>080066398631</v>
      </c>
      <c r="F588" s="3">
        <v>45845</v>
      </c>
      <c r="G588">
        <v>202604</v>
      </c>
      <c r="H588" t="s">
        <v>75</v>
      </c>
      <c r="I588" t="s">
        <v>76</v>
      </c>
      <c r="J588" t="s">
        <v>77</v>
      </c>
      <c r="K588" t="s">
        <v>78</v>
      </c>
      <c r="L588" t="s">
        <v>168</v>
      </c>
      <c r="M588" t="s">
        <v>169</v>
      </c>
      <c r="N588" t="s">
        <v>412</v>
      </c>
      <c r="O588" t="s">
        <v>82</v>
      </c>
      <c r="P588" t="str">
        <f>"4170047125                    "</f>
        <v xml:space="preserve">4170047125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22.6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71.2</v>
      </c>
      <c r="BM588">
        <v>10.68</v>
      </c>
      <c r="BN588">
        <v>81.88</v>
      </c>
      <c r="BO588">
        <v>81.88</v>
      </c>
      <c r="BQ588" t="s">
        <v>413</v>
      </c>
      <c r="BR588" t="s">
        <v>84</v>
      </c>
      <c r="BS588" s="3">
        <v>45846</v>
      </c>
      <c r="BT588" s="4">
        <v>0.33958333333333335</v>
      </c>
      <c r="BU588" t="s">
        <v>470</v>
      </c>
      <c r="BV588" t="s">
        <v>98</v>
      </c>
      <c r="BY588">
        <v>1200</v>
      </c>
      <c r="BZ588" t="s">
        <v>89</v>
      </c>
      <c r="CA588" t="s">
        <v>415</v>
      </c>
      <c r="CC588" t="s">
        <v>169</v>
      </c>
      <c r="CD588">
        <v>6001</v>
      </c>
      <c r="CE588" t="s">
        <v>239</v>
      </c>
      <c r="CF588" s="3">
        <v>45846</v>
      </c>
      <c r="CI588">
        <v>1</v>
      </c>
      <c r="CJ588">
        <v>1</v>
      </c>
      <c r="CK588">
        <v>21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"080066398665"</f>
        <v>080066398665</v>
      </c>
      <c r="F589" s="3">
        <v>45845</v>
      </c>
      <c r="G589">
        <v>202604</v>
      </c>
      <c r="H589" t="s">
        <v>75</v>
      </c>
      <c r="I589" t="s">
        <v>76</v>
      </c>
      <c r="J589" t="s">
        <v>77</v>
      </c>
      <c r="K589" t="s">
        <v>78</v>
      </c>
      <c r="L589" t="s">
        <v>168</v>
      </c>
      <c r="M589" t="s">
        <v>169</v>
      </c>
      <c r="N589" t="s">
        <v>202</v>
      </c>
      <c r="O589" t="s">
        <v>82</v>
      </c>
      <c r="P589" t="str">
        <f>"4170047079                    "</f>
        <v xml:space="preserve">4170047079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22.6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71.2</v>
      </c>
      <c r="BM589">
        <v>10.68</v>
      </c>
      <c r="BN589">
        <v>81.88</v>
      </c>
      <c r="BO589">
        <v>81.88</v>
      </c>
      <c r="BQ589" t="s">
        <v>203</v>
      </c>
      <c r="BR589" t="s">
        <v>84</v>
      </c>
      <c r="BS589" s="3">
        <v>45846</v>
      </c>
      <c r="BT589" s="4">
        <v>0.375</v>
      </c>
      <c r="BU589" t="s">
        <v>1328</v>
      </c>
      <c r="BV589" t="s">
        <v>98</v>
      </c>
      <c r="BY589">
        <v>1200</v>
      </c>
      <c r="BZ589" t="s">
        <v>89</v>
      </c>
      <c r="CA589" t="s">
        <v>205</v>
      </c>
      <c r="CC589" t="s">
        <v>169</v>
      </c>
      <c r="CD589">
        <v>6001</v>
      </c>
      <c r="CE589" t="s">
        <v>258</v>
      </c>
      <c r="CF589" s="3">
        <v>45846</v>
      </c>
      <c r="CI589">
        <v>1</v>
      </c>
      <c r="CJ589">
        <v>1</v>
      </c>
      <c r="CK589">
        <v>21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"080066398706"</f>
        <v>080066398706</v>
      </c>
      <c r="F590" s="3">
        <v>45845</v>
      </c>
      <c r="G590">
        <v>202604</v>
      </c>
      <c r="H590" t="s">
        <v>75</v>
      </c>
      <c r="I590" t="s">
        <v>76</v>
      </c>
      <c r="J590" t="s">
        <v>77</v>
      </c>
      <c r="K590" t="s">
        <v>78</v>
      </c>
      <c r="L590" t="s">
        <v>168</v>
      </c>
      <c r="M590" t="s">
        <v>169</v>
      </c>
      <c r="N590" t="s">
        <v>412</v>
      </c>
      <c r="O590" t="s">
        <v>82</v>
      </c>
      <c r="P590" t="str">
        <f>"4170047068                    "</f>
        <v xml:space="preserve">4170047068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71.2</v>
      </c>
      <c r="BM590">
        <v>10.68</v>
      </c>
      <c r="BN590">
        <v>81.88</v>
      </c>
      <c r="BO590">
        <v>81.88</v>
      </c>
      <c r="BQ590" t="s">
        <v>413</v>
      </c>
      <c r="BR590" t="s">
        <v>84</v>
      </c>
      <c r="BS590" s="3">
        <v>45846</v>
      </c>
      <c r="BT590" s="4">
        <v>0.34375</v>
      </c>
      <c r="BU590" t="s">
        <v>1298</v>
      </c>
      <c r="BV590" t="s">
        <v>98</v>
      </c>
      <c r="BY590">
        <v>1200</v>
      </c>
      <c r="BZ590" t="s">
        <v>89</v>
      </c>
      <c r="CA590" t="s">
        <v>415</v>
      </c>
      <c r="CC590" t="s">
        <v>169</v>
      </c>
      <c r="CD590">
        <v>6001</v>
      </c>
      <c r="CE590" t="s">
        <v>121</v>
      </c>
      <c r="CF590" s="3">
        <v>45846</v>
      </c>
      <c r="CI590">
        <v>1</v>
      </c>
      <c r="CJ590">
        <v>1</v>
      </c>
      <c r="CK590">
        <v>21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"080066398737"</f>
        <v>080066398737</v>
      </c>
      <c r="F591" s="3">
        <v>45845</v>
      </c>
      <c r="G591">
        <v>202604</v>
      </c>
      <c r="H591" t="s">
        <v>75</v>
      </c>
      <c r="I591" t="s">
        <v>76</v>
      </c>
      <c r="J591" t="s">
        <v>77</v>
      </c>
      <c r="K591" t="s">
        <v>78</v>
      </c>
      <c r="L591" t="s">
        <v>406</v>
      </c>
      <c r="M591" t="s">
        <v>407</v>
      </c>
      <c r="N591" t="s">
        <v>1308</v>
      </c>
      <c r="O591" t="s">
        <v>82</v>
      </c>
      <c r="P591" t="str">
        <f>"4170047019                    "</f>
        <v xml:space="preserve">4170047019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43.78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137.94</v>
      </c>
      <c r="BM591">
        <v>20.69</v>
      </c>
      <c r="BN591">
        <v>158.63</v>
      </c>
      <c r="BO591">
        <v>158.63</v>
      </c>
      <c r="BQ591" t="s">
        <v>1309</v>
      </c>
      <c r="BR591" t="s">
        <v>84</v>
      </c>
      <c r="BS591" s="3">
        <v>45846</v>
      </c>
      <c r="BT591" s="4">
        <v>0.46666666666666667</v>
      </c>
      <c r="BU591" t="s">
        <v>1310</v>
      </c>
      <c r="BV591" t="s">
        <v>98</v>
      </c>
      <c r="BY591">
        <v>1200</v>
      </c>
      <c r="BZ591" t="s">
        <v>89</v>
      </c>
      <c r="CA591" t="s">
        <v>1286</v>
      </c>
      <c r="CC591" t="s">
        <v>407</v>
      </c>
      <c r="CD591">
        <v>4399</v>
      </c>
      <c r="CE591" t="s">
        <v>121</v>
      </c>
      <c r="CF591" s="3">
        <v>45846</v>
      </c>
      <c r="CI591">
        <v>1</v>
      </c>
      <c r="CJ591">
        <v>1</v>
      </c>
      <c r="CK591">
        <v>23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"080066398866"</f>
        <v>080066398866</v>
      </c>
      <c r="F592" s="3">
        <v>45845</v>
      </c>
      <c r="G592">
        <v>202604</v>
      </c>
      <c r="H592" t="s">
        <v>75</v>
      </c>
      <c r="I592" t="s">
        <v>76</v>
      </c>
      <c r="J592" t="s">
        <v>77</v>
      </c>
      <c r="K592" t="s">
        <v>78</v>
      </c>
      <c r="L592" t="s">
        <v>406</v>
      </c>
      <c r="M592" t="s">
        <v>407</v>
      </c>
      <c r="N592" t="s">
        <v>1308</v>
      </c>
      <c r="O592" t="s">
        <v>82</v>
      </c>
      <c r="P592" t="str">
        <f>"4170047021                    "</f>
        <v xml:space="preserve">4170047021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43.78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137.94</v>
      </c>
      <c r="BM592">
        <v>20.69</v>
      </c>
      <c r="BN592">
        <v>158.63</v>
      </c>
      <c r="BO592">
        <v>158.63</v>
      </c>
      <c r="BQ592" t="s">
        <v>1309</v>
      </c>
      <c r="BR592" t="s">
        <v>84</v>
      </c>
      <c r="BS592" s="3">
        <v>45846</v>
      </c>
      <c r="BT592" s="4">
        <v>0.50347222222222221</v>
      </c>
      <c r="BU592" t="s">
        <v>1285</v>
      </c>
      <c r="BV592" t="s">
        <v>98</v>
      </c>
      <c r="BY592">
        <v>1200</v>
      </c>
      <c r="BZ592" t="s">
        <v>89</v>
      </c>
      <c r="CA592" t="s">
        <v>1286</v>
      </c>
      <c r="CC592" t="s">
        <v>407</v>
      </c>
      <c r="CD592">
        <v>4399</v>
      </c>
      <c r="CE592" t="s">
        <v>258</v>
      </c>
      <c r="CF592" s="3">
        <v>45846</v>
      </c>
      <c r="CI592">
        <v>1</v>
      </c>
      <c r="CJ592">
        <v>1</v>
      </c>
      <c r="CK592">
        <v>23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"080066398904"</f>
        <v>080066398904</v>
      </c>
      <c r="F593" s="3">
        <v>45845</v>
      </c>
      <c r="G593">
        <v>202604</v>
      </c>
      <c r="H593" t="s">
        <v>75</v>
      </c>
      <c r="I593" t="s">
        <v>76</v>
      </c>
      <c r="J593" t="s">
        <v>77</v>
      </c>
      <c r="K593" t="s">
        <v>78</v>
      </c>
      <c r="L593" t="s">
        <v>92</v>
      </c>
      <c r="M593" t="s">
        <v>93</v>
      </c>
      <c r="N593" t="s">
        <v>749</v>
      </c>
      <c r="O593" t="s">
        <v>82</v>
      </c>
      <c r="P593" t="str">
        <f>"4170047100                    "</f>
        <v xml:space="preserve">4170047100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22.6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71.2</v>
      </c>
      <c r="BM593">
        <v>10.68</v>
      </c>
      <c r="BN593">
        <v>81.88</v>
      </c>
      <c r="BO593">
        <v>81.88</v>
      </c>
      <c r="BQ593" t="s">
        <v>750</v>
      </c>
      <c r="BR593" t="s">
        <v>84</v>
      </c>
      <c r="BS593" s="3">
        <v>45846</v>
      </c>
      <c r="BT593" s="4">
        <v>0.38819444444444445</v>
      </c>
      <c r="BU593" t="s">
        <v>1329</v>
      </c>
      <c r="BV593" t="s">
        <v>98</v>
      </c>
      <c r="BY593">
        <v>1200</v>
      </c>
      <c r="BZ593" t="s">
        <v>89</v>
      </c>
      <c r="CA593" t="s">
        <v>491</v>
      </c>
      <c r="CC593" t="s">
        <v>93</v>
      </c>
      <c r="CD593">
        <v>4001</v>
      </c>
      <c r="CE593" t="s">
        <v>121</v>
      </c>
      <c r="CF593" s="3">
        <v>45847</v>
      </c>
      <c r="CI593">
        <v>1</v>
      </c>
      <c r="CJ593">
        <v>1</v>
      </c>
      <c r="CK593">
        <v>21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"080066398945"</f>
        <v>080066398945</v>
      </c>
      <c r="F594" s="3">
        <v>45845</v>
      </c>
      <c r="G594">
        <v>202604</v>
      </c>
      <c r="H594" t="s">
        <v>75</v>
      </c>
      <c r="I594" t="s">
        <v>76</v>
      </c>
      <c r="J594" t="s">
        <v>77</v>
      </c>
      <c r="K594" t="s">
        <v>78</v>
      </c>
      <c r="L594" t="s">
        <v>406</v>
      </c>
      <c r="M594" t="s">
        <v>407</v>
      </c>
      <c r="N594" t="s">
        <v>1308</v>
      </c>
      <c r="O594" t="s">
        <v>82</v>
      </c>
      <c r="P594" t="str">
        <f>"4170047022                    "</f>
        <v xml:space="preserve">4170047022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43.78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137.94</v>
      </c>
      <c r="BM594">
        <v>20.69</v>
      </c>
      <c r="BN594">
        <v>158.63</v>
      </c>
      <c r="BO594">
        <v>158.63</v>
      </c>
      <c r="BQ594" t="s">
        <v>1309</v>
      </c>
      <c r="BR594" t="s">
        <v>84</v>
      </c>
      <c r="BS594" s="3">
        <v>45846</v>
      </c>
      <c r="BT594" s="4">
        <v>0.46666666666666667</v>
      </c>
      <c r="BU594" t="s">
        <v>1285</v>
      </c>
      <c r="BV594" t="s">
        <v>98</v>
      </c>
      <c r="BY594">
        <v>1200</v>
      </c>
      <c r="BZ594" t="s">
        <v>89</v>
      </c>
      <c r="CA594" t="s">
        <v>1286</v>
      </c>
      <c r="CC594" t="s">
        <v>407</v>
      </c>
      <c r="CD594">
        <v>4399</v>
      </c>
      <c r="CE594" t="s">
        <v>1330</v>
      </c>
      <c r="CF594" s="3">
        <v>45846</v>
      </c>
      <c r="CI594">
        <v>1</v>
      </c>
      <c r="CJ594">
        <v>1</v>
      </c>
      <c r="CK594">
        <v>23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"080066398994"</f>
        <v>080066398994</v>
      </c>
      <c r="F595" s="3">
        <v>45845</v>
      </c>
      <c r="G595">
        <v>202604</v>
      </c>
      <c r="H595" t="s">
        <v>75</v>
      </c>
      <c r="I595" t="s">
        <v>76</v>
      </c>
      <c r="J595" t="s">
        <v>77</v>
      </c>
      <c r="K595" t="s">
        <v>78</v>
      </c>
      <c r="L595" t="s">
        <v>168</v>
      </c>
      <c r="M595" t="s">
        <v>169</v>
      </c>
      <c r="N595" t="s">
        <v>202</v>
      </c>
      <c r="O595" t="s">
        <v>82</v>
      </c>
      <c r="P595" t="str">
        <f>"4170047083                    "</f>
        <v xml:space="preserve">4170047083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22.6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71.2</v>
      </c>
      <c r="BM595">
        <v>10.68</v>
      </c>
      <c r="BN595">
        <v>81.88</v>
      </c>
      <c r="BO595">
        <v>81.88</v>
      </c>
      <c r="BQ595" t="s">
        <v>203</v>
      </c>
      <c r="BR595" t="s">
        <v>84</v>
      </c>
      <c r="BS595" s="3">
        <v>45846</v>
      </c>
      <c r="BT595" s="4">
        <v>0.37569444444444444</v>
      </c>
      <c r="BU595" t="s">
        <v>1328</v>
      </c>
      <c r="BV595" t="s">
        <v>98</v>
      </c>
      <c r="BY595">
        <v>1200</v>
      </c>
      <c r="BZ595" t="s">
        <v>89</v>
      </c>
      <c r="CA595" t="s">
        <v>205</v>
      </c>
      <c r="CC595" t="s">
        <v>169</v>
      </c>
      <c r="CD595">
        <v>6001</v>
      </c>
      <c r="CE595" t="s">
        <v>214</v>
      </c>
      <c r="CF595" s="3">
        <v>45846</v>
      </c>
      <c r="CI595">
        <v>1</v>
      </c>
      <c r="CJ595">
        <v>1</v>
      </c>
      <c r="CK595">
        <v>21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"080066399020"</f>
        <v>080066399020</v>
      </c>
      <c r="F596" s="3">
        <v>45845</v>
      </c>
      <c r="G596">
        <v>202604</v>
      </c>
      <c r="H596" t="s">
        <v>75</v>
      </c>
      <c r="I596" t="s">
        <v>76</v>
      </c>
      <c r="J596" t="s">
        <v>77</v>
      </c>
      <c r="K596" t="s">
        <v>78</v>
      </c>
      <c r="L596" t="s">
        <v>168</v>
      </c>
      <c r="M596" t="s">
        <v>169</v>
      </c>
      <c r="N596" t="s">
        <v>206</v>
      </c>
      <c r="O596" t="s">
        <v>82</v>
      </c>
      <c r="P596" t="str">
        <f>"4170047105                    "</f>
        <v xml:space="preserve">4170047105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22.6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71.2</v>
      </c>
      <c r="BM596">
        <v>10.68</v>
      </c>
      <c r="BN596">
        <v>81.88</v>
      </c>
      <c r="BO596">
        <v>81.88</v>
      </c>
      <c r="BQ596" t="s">
        <v>207</v>
      </c>
      <c r="BR596" t="s">
        <v>84</v>
      </c>
      <c r="BS596" s="3">
        <v>45846</v>
      </c>
      <c r="BT596" s="4">
        <v>0.3611111111111111</v>
      </c>
      <c r="BU596" t="s">
        <v>208</v>
      </c>
      <c r="BV596" t="s">
        <v>98</v>
      </c>
      <c r="BY596">
        <v>1200</v>
      </c>
      <c r="BZ596" t="s">
        <v>89</v>
      </c>
      <c r="CA596" t="s">
        <v>196</v>
      </c>
      <c r="CC596" t="s">
        <v>169</v>
      </c>
      <c r="CD596">
        <v>6001</v>
      </c>
      <c r="CE596" t="s">
        <v>214</v>
      </c>
      <c r="CF596" s="3">
        <v>45846</v>
      </c>
      <c r="CI596">
        <v>1</v>
      </c>
      <c r="CJ596">
        <v>1</v>
      </c>
      <c r="CK596">
        <v>21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"080066399043"</f>
        <v>080066399043</v>
      </c>
      <c r="F597" s="3">
        <v>45845</v>
      </c>
      <c r="G597">
        <v>202604</v>
      </c>
      <c r="H597" t="s">
        <v>75</v>
      </c>
      <c r="I597" t="s">
        <v>76</v>
      </c>
      <c r="J597" t="s">
        <v>77</v>
      </c>
      <c r="K597" t="s">
        <v>78</v>
      </c>
      <c r="L597" t="s">
        <v>406</v>
      </c>
      <c r="M597" t="s">
        <v>407</v>
      </c>
      <c r="N597" t="s">
        <v>1308</v>
      </c>
      <c r="O597" t="s">
        <v>82</v>
      </c>
      <c r="P597" t="str">
        <f>"4170047020                    "</f>
        <v xml:space="preserve">4170047020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142.63999999999999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4</v>
      </c>
      <c r="BJ597">
        <v>7</v>
      </c>
      <c r="BK597">
        <v>7</v>
      </c>
      <c r="BL597">
        <v>449.4</v>
      </c>
      <c r="BM597">
        <v>67.41</v>
      </c>
      <c r="BN597">
        <v>516.80999999999995</v>
      </c>
      <c r="BO597">
        <v>516.80999999999995</v>
      </c>
      <c r="BQ597" t="s">
        <v>1309</v>
      </c>
      <c r="BR597" t="s">
        <v>84</v>
      </c>
      <c r="BS597" s="3">
        <v>45846</v>
      </c>
      <c r="BT597" s="4">
        <v>0.46666666666666667</v>
      </c>
      <c r="BU597" t="s">
        <v>1285</v>
      </c>
      <c r="BV597" t="s">
        <v>98</v>
      </c>
      <c r="BY597">
        <v>35000</v>
      </c>
      <c r="BZ597" t="s">
        <v>89</v>
      </c>
      <c r="CA597" t="s">
        <v>1286</v>
      </c>
      <c r="CC597" t="s">
        <v>407</v>
      </c>
      <c r="CD597">
        <v>4399</v>
      </c>
      <c r="CE597" t="s">
        <v>91</v>
      </c>
      <c r="CF597" s="3">
        <v>45846</v>
      </c>
      <c r="CI597">
        <v>1</v>
      </c>
      <c r="CJ597">
        <v>1</v>
      </c>
      <c r="CK597">
        <v>23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"080066399066"</f>
        <v>080066399066</v>
      </c>
      <c r="F598" s="3">
        <v>45845</v>
      </c>
      <c r="G598">
        <v>202604</v>
      </c>
      <c r="H598" t="s">
        <v>75</v>
      </c>
      <c r="I598" t="s">
        <v>76</v>
      </c>
      <c r="J598" t="s">
        <v>77</v>
      </c>
      <c r="K598" t="s">
        <v>78</v>
      </c>
      <c r="L598" t="s">
        <v>168</v>
      </c>
      <c r="M598" t="s">
        <v>169</v>
      </c>
      <c r="N598" t="s">
        <v>726</v>
      </c>
      <c r="O598" t="s">
        <v>82</v>
      </c>
      <c r="P598" t="str">
        <f>"4170047053                    "</f>
        <v xml:space="preserve">4170047053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22.6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1.9</v>
      </c>
      <c r="BK598">
        <v>2</v>
      </c>
      <c r="BL598">
        <v>71.2</v>
      </c>
      <c r="BM598">
        <v>10.68</v>
      </c>
      <c r="BN598">
        <v>81.88</v>
      </c>
      <c r="BO598">
        <v>81.88</v>
      </c>
      <c r="BQ598" t="s">
        <v>727</v>
      </c>
      <c r="BR598" t="s">
        <v>84</v>
      </c>
      <c r="BS598" s="3">
        <v>45846</v>
      </c>
      <c r="BT598" s="4">
        <v>0.39652777777777776</v>
      </c>
      <c r="BU598" t="s">
        <v>1331</v>
      </c>
      <c r="BV598" t="s">
        <v>98</v>
      </c>
      <c r="BY598">
        <v>9600</v>
      </c>
      <c r="BZ598" t="s">
        <v>89</v>
      </c>
      <c r="CA598" t="s">
        <v>173</v>
      </c>
      <c r="CC598" t="s">
        <v>169</v>
      </c>
      <c r="CD598">
        <v>6001</v>
      </c>
      <c r="CE598" t="s">
        <v>117</v>
      </c>
      <c r="CF598" s="3">
        <v>45846</v>
      </c>
      <c r="CI598">
        <v>1</v>
      </c>
      <c r="CJ598">
        <v>1</v>
      </c>
      <c r="CK598">
        <v>21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"080066399095"</f>
        <v>080066399095</v>
      </c>
      <c r="F599" s="3">
        <v>45845</v>
      </c>
      <c r="G599">
        <v>202604</v>
      </c>
      <c r="H599" t="s">
        <v>75</v>
      </c>
      <c r="I599" t="s">
        <v>76</v>
      </c>
      <c r="J599" t="s">
        <v>77</v>
      </c>
      <c r="K599" t="s">
        <v>78</v>
      </c>
      <c r="L599" t="s">
        <v>168</v>
      </c>
      <c r="M599" t="s">
        <v>169</v>
      </c>
      <c r="N599" t="s">
        <v>206</v>
      </c>
      <c r="O599" t="s">
        <v>82</v>
      </c>
      <c r="P599" t="str">
        <f>"4170047106                    "</f>
        <v xml:space="preserve">4170047106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22.6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1.1000000000000001</v>
      </c>
      <c r="BK599">
        <v>2</v>
      </c>
      <c r="BL599">
        <v>71.2</v>
      </c>
      <c r="BM599">
        <v>10.68</v>
      </c>
      <c r="BN599">
        <v>81.88</v>
      </c>
      <c r="BO599">
        <v>81.88</v>
      </c>
      <c r="BQ599" t="s">
        <v>207</v>
      </c>
      <c r="BR599" t="s">
        <v>84</v>
      </c>
      <c r="BS599" s="3">
        <v>45846</v>
      </c>
      <c r="BT599" s="4">
        <v>0.35902777777777778</v>
      </c>
      <c r="BU599" t="s">
        <v>208</v>
      </c>
      <c r="BV599" t="s">
        <v>98</v>
      </c>
      <c r="BY599">
        <v>5320</v>
      </c>
      <c r="BZ599" t="s">
        <v>89</v>
      </c>
      <c r="CA599" t="s">
        <v>196</v>
      </c>
      <c r="CC599" t="s">
        <v>169</v>
      </c>
      <c r="CD599">
        <v>6001</v>
      </c>
      <c r="CE599" t="s">
        <v>117</v>
      </c>
      <c r="CF599" s="3">
        <v>45846</v>
      </c>
      <c r="CI599">
        <v>1</v>
      </c>
      <c r="CJ599">
        <v>1</v>
      </c>
      <c r="CK599">
        <v>21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"080066399150"</f>
        <v>080066399150</v>
      </c>
      <c r="F600" s="3">
        <v>45845</v>
      </c>
      <c r="G600">
        <v>202604</v>
      </c>
      <c r="H600" t="s">
        <v>75</v>
      </c>
      <c r="I600" t="s">
        <v>76</v>
      </c>
      <c r="J600" t="s">
        <v>77</v>
      </c>
      <c r="K600" t="s">
        <v>78</v>
      </c>
      <c r="L600" t="s">
        <v>135</v>
      </c>
      <c r="M600" t="s">
        <v>136</v>
      </c>
      <c r="N600" t="s">
        <v>379</v>
      </c>
      <c r="O600" t="s">
        <v>82</v>
      </c>
      <c r="P600" t="str">
        <f>"4170047074                    "</f>
        <v xml:space="preserve">4170047074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33.89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</v>
      </c>
      <c r="BJ600">
        <v>1.9</v>
      </c>
      <c r="BK600">
        <v>3</v>
      </c>
      <c r="BL600">
        <v>106.77</v>
      </c>
      <c r="BM600">
        <v>16.02</v>
      </c>
      <c r="BN600">
        <v>122.79</v>
      </c>
      <c r="BO600">
        <v>122.79</v>
      </c>
      <c r="BQ600" t="s">
        <v>380</v>
      </c>
      <c r="BR600" t="s">
        <v>84</v>
      </c>
      <c r="BS600" s="3">
        <v>45846</v>
      </c>
      <c r="BT600" s="4">
        <v>0.41666666666666669</v>
      </c>
      <c r="BU600" t="s">
        <v>1318</v>
      </c>
      <c r="BV600" t="s">
        <v>98</v>
      </c>
      <c r="BY600">
        <v>9600</v>
      </c>
      <c r="BZ600" t="s">
        <v>89</v>
      </c>
      <c r="CA600" t="s">
        <v>1319</v>
      </c>
      <c r="CC600" t="s">
        <v>136</v>
      </c>
      <c r="CD600">
        <v>3212</v>
      </c>
      <c r="CE600" t="s">
        <v>117</v>
      </c>
      <c r="CF600" s="3">
        <v>45847</v>
      </c>
      <c r="CI600">
        <v>2</v>
      </c>
      <c r="CJ600">
        <v>1</v>
      </c>
      <c r="CK600">
        <v>21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"080066399180"</f>
        <v>080066399180</v>
      </c>
      <c r="F601" s="3">
        <v>45845</v>
      </c>
      <c r="G601">
        <v>202604</v>
      </c>
      <c r="H601" t="s">
        <v>75</v>
      </c>
      <c r="I601" t="s">
        <v>76</v>
      </c>
      <c r="J601" t="s">
        <v>77</v>
      </c>
      <c r="K601" t="s">
        <v>78</v>
      </c>
      <c r="L601" t="s">
        <v>168</v>
      </c>
      <c r="M601" t="s">
        <v>169</v>
      </c>
      <c r="N601" t="s">
        <v>206</v>
      </c>
      <c r="O601" t="s">
        <v>82</v>
      </c>
      <c r="P601" t="str">
        <f>"4170047119                    "</f>
        <v xml:space="preserve">4170047119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45.18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3</v>
      </c>
      <c r="BJ601">
        <v>3.8</v>
      </c>
      <c r="BK601">
        <v>4</v>
      </c>
      <c r="BL601">
        <v>142.34</v>
      </c>
      <c r="BM601">
        <v>21.35</v>
      </c>
      <c r="BN601">
        <v>163.69</v>
      </c>
      <c r="BO601">
        <v>163.69</v>
      </c>
      <c r="BQ601" t="s">
        <v>207</v>
      </c>
      <c r="BR601" t="s">
        <v>84</v>
      </c>
      <c r="BS601" s="3">
        <v>45846</v>
      </c>
      <c r="BT601" s="4">
        <v>0.35902777777777778</v>
      </c>
      <c r="BU601" t="s">
        <v>208</v>
      </c>
      <c r="BV601" t="s">
        <v>98</v>
      </c>
      <c r="BY601">
        <v>19227</v>
      </c>
      <c r="BZ601" t="s">
        <v>89</v>
      </c>
      <c r="CA601" t="s">
        <v>196</v>
      </c>
      <c r="CC601" t="s">
        <v>169</v>
      </c>
      <c r="CD601">
        <v>6001</v>
      </c>
      <c r="CE601" t="s">
        <v>117</v>
      </c>
      <c r="CF601" s="3">
        <v>45846</v>
      </c>
      <c r="CI601">
        <v>1</v>
      </c>
      <c r="CJ601">
        <v>1</v>
      </c>
      <c r="CK601">
        <v>21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"080066399248"</f>
        <v>080066399248</v>
      </c>
      <c r="F602" s="3">
        <v>45845</v>
      </c>
      <c r="G602">
        <v>202604</v>
      </c>
      <c r="H602" t="s">
        <v>75</v>
      </c>
      <c r="I602" t="s">
        <v>76</v>
      </c>
      <c r="J602" t="s">
        <v>77</v>
      </c>
      <c r="K602" t="s">
        <v>78</v>
      </c>
      <c r="L602" t="s">
        <v>503</v>
      </c>
      <c r="M602" t="s">
        <v>504</v>
      </c>
      <c r="N602" t="s">
        <v>505</v>
      </c>
      <c r="O602" t="s">
        <v>82</v>
      </c>
      <c r="P602" t="str">
        <f>"4170047062                    "</f>
        <v xml:space="preserve">4170047062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43.78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1.6</v>
      </c>
      <c r="BK602">
        <v>2</v>
      </c>
      <c r="BL602">
        <v>137.94</v>
      </c>
      <c r="BM602">
        <v>20.69</v>
      </c>
      <c r="BN602">
        <v>158.63</v>
      </c>
      <c r="BO602">
        <v>158.63</v>
      </c>
      <c r="BQ602" t="s">
        <v>506</v>
      </c>
      <c r="BR602" t="s">
        <v>84</v>
      </c>
      <c r="BS602" s="3">
        <v>45846</v>
      </c>
      <c r="BT602" s="4">
        <v>0.41458333333333336</v>
      </c>
      <c r="BU602" t="s">
        <v>507</v>
      </c>
      <c r="BV602" t="s">
        <v>98</v>
      </c>
      <c r="BY602">
        <v>8064</v>
      </c>
      <c r="BZ602" t="s">
        <v>89</v>
      </c>
      <c r="CA602" t="s">
        <v>508</v>
      </c>
      <c r="CC602" t="s">
        <v>504</v>
      </c>
      <c r="CD602">
        <v>7130</v>
      </c>
      <c r="CE602" t="s">
        <v>91</v>
      </c>
      <c r="CF602" s="3">
        <v>45847</v>
      </c>
      <c r="CI602">
        <v>1</v>
      </c>
      <c r="CJ602">
        <v>1</v>
      </c>
      <c r="CK602">
        <v>23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"080066399294"</f>
        <v>080066399294</v>
      </c>
      <c r="F603" s="3">
        <v>45845</v>
      </c>
      <c r="G603">
        <v>202604</v>
      </c>
      <c r="H603" t="s">
        <v>75</v>
      </c>
      <c r="I603" t="s">
        <v>76</v>
      </c>
      <c r="J603" t="s">
        <v>77</v>
      </c>
      <c r="K603" t="s">
        <v>78</v>
      </c>
      <c r="L603" t="s">
        <v>406</v>
      </c>
      <c r="M603" t="s">
        <v>407</v>
      </c>
      <c r="N603" t="s">
        <v>1283</v>
      </c>
      <c r="O603" t="s">
        <v>82</v>
      </c>
      <c r="P603" t="str">
        <f>"4170047050                    "</f>
        <v xml:space="preserve">4170047050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201.96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10</v>
      </c>
      <c r="BJ603">
        <v>3.8</v>
      </c>
      <c r="BK603">
        <v>10</v>
      </c>
      <c r="BL603">
        <v>636.28</v>
      </c>
      <c r="BM603">
        <v>95.44</v>
      </c>
      <c r="BN603">
        <v>731.72</v>
      </c>
      <c r="BO603">
        <v>731.72</v>
      </c>
      <c r="BQ603" t="s">
        <v>1284</v>
      </c>
      <c r="BR603" t="s">
        <v>84</v>
      </c>
      <c r="BS603" s="3">
        <v>45846</v>
      </c>
      <c r="BT603" s="4">
        <v>0.48958333333333331</v>
      </c>
      <c r="BU603" t="s">
        <v>1314</v>
      </c>
      <c r="BV603" t="s">
        <v>98</v>
      </c>
      <c r="BY603">
        <v>19227</v>
      </c>
      <c r="BZ603" t="s">
        <v>89</v>
      </c>
      <c r="CA603" t="s">
        <v>1286</v>
      </c>
      <c r="CC603" t="s">
        <v>407</v>
      </c>
      <c r="CD603">
        <v>4400</v>
      </c>
      <c r="CE603" t="s">
        <v>117</v>
      </c>
      <c r="CF603" s="3">
        <v>45846</v>
      </c>
      <c r="CI603">
        <v>1</v>
      </c>
      <c r="CJ603">
        <v>1</v>
      </c>
      <c r="CK603">
        <v>23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"080066399308"</f>
        <v>080066399308</v>
      </c>
      <c r="F604" s="3">
        <v>45845</v>
      </c>
      <c r="G604">
        <v>202604</v>
      </c>
      <c r="H604" t="s">
        <v>75</v>
      </c>
      <c r="I604" t="s">
        <v>76</v>
      </c>
      <c r="J604" t="s">
        <v>77</v>
      </c>
      <c r="K604" t="s">
        <v>78</v>
      </c>
      <c r="L604" t="s">
        <v>79</v>
      </c>
      <c r="M604" t="s">
        <v>80</v>
      </c>
      <c r="N604" t="s">
        <v>141</v>
      </c>
      <c r="O604" t="s">
        <v>82</v>
      </c>
      <c r="P604" t="str">
        <f>"4170047070                    "</f>
        <v xml:space="preserve">4170047070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45.18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4</v>
      </c>
      <c r="BJ604">
        <v>3.6</v>
      </c>
      <c r="BK604">
        <v>4</v>
      </c>
      <c r="BL604">
        <v>142.34</v>
      </c>
      <c r="BM604">
        <v>21.35</v>
      </c>
      <c r="BN604">
        <v>163.69</v>
      </c>
      <c r="BO604">
        <v>163.69</v>
      </c>
      <c r="BQ604" t="s">
        <v>142</v>
      </c>
      <c r="BR604" t="s">
        <v>84</v>
      </c>
      <c r="BS604" s="3">
        <v>45846</v>
      </c>
      <c r="BT604" s="4">
        <v>0.41875000000000001</v>
      </c>
      <c r="BU604" t="s">
        <v>143</v>
      </c>
      <c r="BV604" t="s">
        <v>98</v>
      </c>
      <c r="BY604">
        <v>18228</v>
      </c>
      <c r="BZ604" t="s">
        <v>89</v>
      </c>
      <c r="CA604" t="s">
        <v>144</v>
      </c>
      <c r="CC604" t="s">
        <v>80</v>
      </c>
      <c r="CD604">
        <v>7441</v>
      </c>
      <c r="CE604" t="s">
        <v>91</v>
      </c>
      <c r="CF604" s="3">
        <v>45847</v>
      </c>
      <c r="CI604">
        <v>1</v>
      </c>
      <c r="CJ604">
        <v>1</v>
      </c>
      <c r="CK604">
        <v>21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"080066399326"</f>
        <v>080066399326</v>
      </c>
      <c r="F605" s="3">
        <v>45845</v>
      </c>
      <c r="G605">
        <v>202604</v>
      </c>
      <c r="H605" t="s">
        <v>75</v>
      </c>
      <c r="I605" t="s">
        <v>76</v>
      </c>
      <c r="J605" t="s">
        <v>77</v>
      </c>
      <c r="K605" t="s">
        <v>78</v>
      </c>
      <c r="L605" t="s">
        <v>503</v>
      </c>
      <c r="M605" t="s">
        <v>504</v>
      </c>
      <c r="N605" t="s">
        <v>505</v>
      </c>
      <c r="O605" t="s">
        <v>82</v>
      </c>
      <c r="P605" t="str">
        <f>"4170047012                    "</f>
        <v xml:space="preserve">4170047012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132.76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5</v>
      </c>
      <c r="BJ605">
        <v>6.5</v>
      </c>
      <c r="BK605">
        <v>6.5</v>
      </c>
      <c r="BL605">
        <v>418.26</v>
      </c>
      <c r="BM605">
        <v>62.74</v>
      </c>
      <c r="BN605">
        <v>481</v>
      </c>
      <c r="BO605">
        <v>481</v>
      </c>
      <c r="BQ605" t="s">
        <v>506</v>
      </c>
      <c r="BR605" t="s">
        <v>84</v>
      </c>
      <c r="BS605" s="3">
        <v>45846</v>
      </c>
      <c r="BT605" s="4">
        <v>0.4152777777777778</v>
      </c>
      <c r="BU605" t="s">
        <v>507</v>
      </c>
      <c r="BV605" t="s">
        <v>98</v>
      </c>
      <c r="BY605">
        <v>32256</v>
      </c>
      <c r="BZ605" t="s">
        <v>89</v>
      </c>
      <c r="CA605" t="s">
        <v>508</v>
      </c>
      <c r="CC605" t="s">
        <v>504</v>
      </c>
      <c r="CD605">
        <v>7130</v>
      </c>
      <c r="CE605" t="s">
        <v>91</v>
      </c>
      <c r="CF605" s="3">
        <v>45847</v>
      </c>
      <c r="CI605">
        <v>1</v>
      </c>
      <c r="CJ605">
        <v>1</v>
      </c>
      <c r="CK605">
        <v>23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"080066399793"</f>
        <v>080066399793</v>
      </c>
      <c r="F606" s="3">
        <v>45845</v>
      </c>
      <c r="G606">
        <v>202604</v>
      </c>
      <c r="H606" t="s">
        <v>75</v>
      </c>
      <c r="I606" t="s">
        <v>76</v>
      </c>
      <c r="J606" t="s">
        <v>77</v>
      </c>
      <c r="K606" t="s">
        <v>78</v>
      </c>
      <c r="L606" t="s">
        <v>168</v>
      </c>
      <c r="M606" t="s">
        <v>169</v>
      </c>
      <c r="N606" t="s">
        <v>412</v>
      </c>
      <c r="O606" t="s">
        <v>82</v>
      </c>
      <c r="P606" t="str">
        <f>"4170047127                    "</f>
        <v xml:space="preserve">4170047127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71.2</v>
      </c>
      <c r="BM606">
        <v>10.68</v>
      </c>
      <c r="BN606">
        <v>81.88</v>
      </c>
      <c r="BO606">
        <v>81.88</v>
      </c>
      <c r="BQ606" t="s">
        <v>413</v>
      </c>
      <c r="BR606" t="s">
        <v>84</v>
      </c>
      <c r="BS606" s="3">
        <v>45846</v>
      </c>
      <c r="BT606" s="4">
        <v>0.33958333333333335</v>
      </c>
      <c r="BU606" t="s">
        <v>923</v>
      </c>
      <c r="BV606" t="s">
        <v>98</v>
      </c>
      <c r="BY606">
        <v>1200</v>
      </c>
      <c r="BZ606" t="s">
        <v>89</v>
      </c>
      <c r="CA606" t="s">
        <v>415</v>
      </c>
      <c r="CC606" t="s">
        <v>169</v>
      </c>
      <c r="CD606">
        <v>6001</v>
      </c>
      <c r="CE606" t="s">
        <v>239</v>
      </c>
      <c r="CF606" s="3">
        <v>45846</v>
      </c>
      <c r="CI606">
        <v>1</v>
      </c>
      <c r="CJ606">
        <v>1</v>
      </c>
      <c r="CK606">
        <v>21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"080066399828"</f>
        <v>080066399828</v>
      </c>
      <c r="F607" s="3">
        <v>45845</v>
      </c>
      <c r="G607">
        <v>202604</v>
      </c>
      <c r="H607" t="s">
        <v>75</v>
      </c>
      <c r="I607" t="s">
        <v>76</v>
      </c>
      <c r="J607" t="s">
        <v>77</v>
      </c>
      <c r="K607" t="s">
        <v>78</v>
      </c>
      <c r="L607" t="s">
        <v>305</v>
      </c>
      <c r="M607" t="s">
        <v>306</v>
      </c>
      <c r="N607" t="s">
        <v>640</v>
      </c>
      <c r="O607" t="s">
        <v>82</v>
      </c>
      <c r="P607" t="str">
        <f>"4170047154                    "</f>
        <v xml:space="preserve">4170047154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22.6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71.2</v>
      </c>
      <c r="BM607">
        <v>10.68</v>
      </c>
      <c r="BN607">
        <v>81.88</v>
      </c>
      <c r="BO607">
        <v>81.88</v>
      </c>
      <c r="BQ607" t="s">
        <v>641</v>
      </c>
      <c r="BR607" t="s">
        <v>84</v>
      </c>
      <c r="BS607" s="3">
        <v>45846</v>
      </c>
      <c r="BT607" s="4">
        <v>0.43402777777777779</v>
      </c>
      <c r="BU607" t="s">
        <v>975</v>
      </c>
      <c r="BV607" t="s">
        <v>98</v>
      </c>
      <c r="BY607">
        <v>1200</v>
      </c>
      <c r="BZ607" t="s">
        <v>89</v>
      </c>
      <c r="CA607" t="s">
        <v>310</v>
      </c>
      <c r="CC607" t="s">
        <v>306</v>
      </c>
      <c r="CD607">
        <v>5201</v>
      </c>
      <c r="CE607" t="s">
        <v>214</v>
      </c>
      <c r="CF607" s="3">
        <v>45846</v>
      </c>
      <c r="CI607">
        <v>1</v>
      </c>
      <c r="CJ607">
        <v>1</v>
      </c>
      <c r="CK607">
        <v>21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"080066399862"</f>
        <v>080066399862</v>
      </c>
      <c r="F608" s="3">
        <v>45845</v>
      </c>
      <c r="G608">
        <v>202604</v>
      </c>
      <c r="H608" t="s">
        <v>75</v>
      </c>
      <c r="I608" t="s">
        <v>76</v>
      </c>
      <c r="J608" t="s">
        <v>77</v>
      </c>
      <c r="K608" t="s">
        <v>78</v>
      </c>
      <c r="L608" t="s">
        <v>168</v>
      </c>
      <c r="M608" t="s">
        <v>169</v>
      </c>
      <c r="N608" t="s">
        <v>202</v>
      </c>
      <c r="O608" t="s">
        <v>82</v>
      </c>
      <c r="P608" t="str">
        <f>"4170047085                    "</f>
        <v xml:space="preserve">4170047085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22.6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71.2</v>
      </c>
      <c r="BM608">
        <v>10.68</v>
      </c>
      <c r="BN608">
        <v>81.88</v>
      </c>
      <c r="BO608">
        <v>81.88</v>
      </c>
      <c r="BQ608" t="s">
        <v>203</v>
      </c>
      <c r="BR608" t="s">
        <v>84</v>
      </c>
      <c r="BS608" s="3">
        <v>45846</v>
      </c>
      <c r="BT608" s="4">
        <v>0.375</v>
      </c>
      <c r="BU608" t="s">
        <v>1328</v>
      </c>
      <c r="BV608" t="s">
        <v>98</v>
      </c>
      <c r="BY608">
        <v>1200</v>
      </c>
      <c r="BZ608" t="s">
        <v>89</v>
      </c>
      <c r="CA608" t="s">
        <v>205</v>
      </c>
      <c r="CC608" t="s">
        <v>169</v>
      </c>
      <c r="CD608">
        <v>6001</v>
      </c>
      <c r="CE608" t="s">
        <v>214</v>
      </c>
      <c r="CF608" s="3">
        <v>45846</v>
      </c>
      <c r="CI608">
        <v>1</v>
      </c>
      <c r="CJ608">
        <v>1</v>
      </c>
      <c r="CK608">
        <v>21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"080066399895"</f>
        <v>080066399895</v>
      </c>
      <c r="F609" s="3">
        <v>45845</v>
      </c>
      <c r="G609">
        <v>202604</v>
      </c>
      <c r="H609" t="s">
        <v>75</v>
      </c>
      <c r="I609" t="s">
        <v>76</v>
      </c>
      <c r="J609" t="s">
        <v>77</v>
      </c>
      <c r="K609" t="s">
        <v>78</v>
      </c>
      <c r="L609" t="s">
        <v>808</v>
      </c>
      <c r="M609" t="s">
        <v>808</v>
      </c>
      <c r="N609" t="s">
        <v>1195</v>
      </c>
      <c r="O609" t="s">
        <v>82</v>
      </c>
      <c r="P609" t="str">
        <f>"4170047143                    "</f>
        <v xml:space="preserve">4170047143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31.78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100.13</v>
      </c>
      <c r="BM609">
        <v>15.02</v>
      </c>
      <c r="BN609">
        <v>115.15</v>
      </c>
      <c r="BO609">
        <v>115.15</v>
      </c>
      <c r="BQ609" t="s">
        <v>1196</v>
      </c>
      <c r="BR609" t="s">
        <v>84</v>
      </c>
      <c r="BS609" s="3">
        <v>45846</v>
      </c>
      <c r="BT609" s="4">
        <v>0.60277777777777775</v>
      </c>
      <c r="BU609" t="s">
        <v>1197</v>
      </c>
      <c r="BV609" t="s">
        <v>98</v>
      </c>
      <c r="BY609">
        <v>1200</v>
      </c>
      <c r="BZ609" t="s">
        <v>89</v>
      </c>
      <c r="CA609" t="s">
        <v>251</v>
      </c>
      <c r="CC609" t="s">
        <v>808</v>
      </c>
      <c r="CD609">
        <v>1490</v>
      </c>
      <c r="CE609" t="s">
        <v>1330</v>
      </c>
      <c r="CF609" s="3">
        <v>45847</v>
      </c>
      <c r="CI609">
        <v>1</v>
      </c>
      <c r="CJ609">
        <v>1</v>
      </c>
      <c r="CK609">
        <v>24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"080066399960"</f>
        <v>080066399960</v>
      </c>
      <c r="F610" s="3">
        <v>45845</v>
      </c>
      <c r="G610">
        <v>202604</v>
      </c>
      <c r="H610" t="s">
        <v>75</v>
      </c>
      <c r="I610" t="s">
        <v>76</v>
      </c>
      <c r="J610" t="s">
        <v>77</v>
      </c>
      <c r="K610" t="s">
        <v>78</v>
      </c>
      <c r="L610" t="s">
        <v>1332</v>
      </c>
      <c r="M610" t="s">
        <v>1333</v>
      </c>
      <c r="N610" t="s">
        <v>1334</v>
      </c>
      <c r="O610" t="s">
        <v>82</v>
      </c>
      <c r="P610" t="str">
        <f>"4170047102                    "</f>
        <v xml:space="preserve">4170047102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43.78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137.94</v>
      </c>
      <c r="BM610">
        <v>20.69</v>
      </c>
      <c r="BN610">
        <v>158.63</v>
      </c>
      <c r="BO610">
        <v>158.63</v>
      </c>
      <c r="BQ610" t="s">
        <v>1335</v>
      </c>
      <c r="BR610" t="s">
        <v>84</v>
      </c>
      <c r="BS610" s="3">
        <v>45846</v>
      </c>
      <c r="BT610" s="4">
        <v>0.42916666666666664</v>
      </c>
      <c r="BU610" t="s">
        <v>1336</v>
      </c>
      <c r="BV610" t="s">
        <v>98</v>
      </c>
      <c r="BY610">
        <v>1200</v>
      </c>
      <c r="BZ610" t="s">
        <v>89</v>
      </c>
      <c r="CA610" t="s">
        <v>1337</v>
      </c>
      <c r="CC610" t="s">
        <v>1333</v>
      </c>
      <c r="CD610">
        <v>2571</v>
      </c>
      <c r="CE610" t="s">
        <v>239</v>
      </c>
      <c r="CF610" s="3">
        <v>45847</v>
      </c>
      <c r="CI610">
        <v>1</v>
      </c>
      <c r="CJ610">
        <v>1</v>
      </c>
      <c r="CK610">
        <v>23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"080066399985"</f>
        <v>080066399985</v>
      </c>
      <c r="F611" s="3">
        <v>45845</v>
      </c>
      <c r="G611">
        <v>202604</v>
      </c>
      <c r="H611" t="s">
        <v>75</v>
      </c>
      <c r="I611" t="s">
        <v>76</v>
      </c>
      <c r="J611" t="s">
        <v>77</v>
      </c>
      <c r="K611" t="s">
        <v>78</v>
      </c>
      <c r="L611" t="s">
        <v>305</v>
      </c>
      <c r="M611" t="s">
        <v>306</v>
      </c>
      <c r="N611" t="s">
        <v>1320</v>
      </c>
      <c r="O611" t="s">
        <v>82</v>
      </c>
      <c r="P611" t="str">
        <f>"4170047155                    "</f>
        <v xml:space="preserve">4170047155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22.6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71.2</v>
      </c>
      <c r="BM611">
        <v>10.68</v>
      </c>
      <c r="BN611">
        <v>81.88</v>
      </c>
      <c r="BO611">
        <v>81.88</v>
      </c>
      <c r="BQ611" t="s">
        <v>308</v>
      </c>
      <c r="BR611" t="s">
        <v>84</v>
      </c>
      <c r="BS611" s="3">
        <v>45846</v>
      </c>
      <c r="BT611" s="4">
        <v>0.4375</v>
      </c>
      <c r="BU611" t="s">
        <v>309</v>
      </c>
      <c r="BV611" t="s">
        <v>98</v>
      </c>
      <c r="BY611">
        <v>1200</v>
      </c>
      <c r="BZ611" t="s">
        <v>89</v>
      </c>
      <c r="CA611" t="s">
        <v>310</v>
      </c>
      <c r="CC611" t="s">
        <v>306</v>
      </c>
      <c r="CD611">
        <v>5201</v>
      </c>
      <c r="CE611" t="s">
        <v>214</v>
      </c>
      <c r="CF611" s="3">
        <v>45846</v>
      </c>
      <c r="CI611">
        <v>1</v>
      </c>
      <c r="CJ611">
        <v>1</v>
      </c>
      <c r="CK611">
        <v>21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"080066400003"</f>
        <v>080066400003</v>
      </c>
      <c r="F612" s="3">
        <v>45845</v>
      </c>
      <c r="G612">
        <v>202604</v>
      </c>
      <c r="H612" t="s">
        <v>75</v>
      </c>
      <c r="I612" t="s">
        <v>76</v>
      </c>
      <c r="J612" t="s">
        <v>77</v>
      </c>
      <c r="K612" t="s">
        <v>78</v>
      </c>
      <c r="L612" t="s">
        <v>452</v>
      </c>
      <c r="M612" t="s">
        <v>453</v>
      </c>
      <c r="N612" t="s">
        <v>1338</v>
      </c>
      <c r="O612" t="s">
        <v>82</v>
      </c>
      <c r="P612" t="str">
        <f>"4170047152                    "</f>
        <v xml:space="preserve">4170047152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17.649999999999999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55.61</v>
      </c>
      <c r="BM612">
        <v>8.34</v>
      </c>
      <c r="BN612">
        <v>63.95</v>
      </c>
      <c r="BO612">
        <v>63.95</v>
      </c>
      <c r="BQ612" t="s">
        <v>1339</v>
      </c>
      <c r="BR612" t="s">
        <v>84</v>
      </c>
      <c r="BS612" s="3">
        <v>45846</v>
      </c>
      <c r="BT612" s="4">
        <v>0.39583333333333331</v>
      </c>
      <c r="BU612" t="s">
        <v>1340</v>
      </c>
      <c r="BV612" t="s">
        <v>98</v>
      </c>
      <c r="BY612">
        <v>1200</v>
      </c>
      <c r="BZ612" t="s">
        <v>89</v>
      </c>
      <c r="CA612" t="s">
        <v>873</v>
      </c>
      <c r="CC612" t="s">
        <v>453</v>
      </c>
      <c r="CD612">
        <v>1559</v>
      </c>
      <c r="CE612" t="s">
        <v>239</v>
      </c>
      <c r="CF612" s="3">
        <v>45846</v>
      </c>
      <c r="CI612">
        <v>1</v>
      </c>
      <c r="CJ612">
        <v>1</v>
      </c>
      <c r="CK612">
        <v>22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"080066400039"</f>
        <v>080066400039</v>
      </c>
      <c r="F613" s="3">
        <v>45845</v>
      </c>
      <c r="G613">
        <v>202604</v>
      </c>
      <c r="H613" t="s">
        <v>75</v>
      </c>
      <c r="I613" t="s">
        <v>76</v>
      </c>
      <c r="J613" t="s">
        <v>77</v>
      </c>
      <c r="K613" t="s">
        <v>78</v>
      </c>
      <c r="L613" t="s">
        <v>240</v>
      </c>
      <c r="M613" t="s">
        <v>241</v>
      </c>
      <c r="N613" t="s">
        <v>1341</v>
      </c>
      <c r="O613" t="s">
        <v>82</v>
      </c>
      <c r="P613" t="str">
        <f>"4170047148                    "</f>
        <v xml:space="preserve">4170047148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17.649999999999999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55.61</v>
      </c>
      <c r="BM613">
        <v>8.34</v>
      </c>
      <c r="BN613">
        <v>63.95</v>
      </c>
      <c r="BO613">
        <v>63.95</v>
      </c>
      <c r="BQ613" t="s">
        <v>1342</v>
      </c>
      <c r="BR613" t="s">
        <v>84</v>
      </c>
      <c r="BS613" s="3">
        <v>45846</v>
      </c>
      <c r="BT613" s="4">
        <v>0.41666666666666669</v>
      </c>
      <c r="BU613" t="s">
        <v>1343</v>
      </c>
      <c r="BV613" t="s">
        <v>98</v>
      </c>
      <c r="BY613">
        <v>1200</v>
      </c>
      <c r="BZ613" t="s">
        <v>89</v>
      </c>
      <c r="CA613" t="s">
        <v>1344</v>
      </c>
      <c r="CC613" t="s">
        <v>241</v>
      </c>
      <c r="CD613">
        <v>2169</v>
      </c>
      <c r="CE613" t="s">
        <v>239</v>
      </c>
      <c r="CF613" s="3">
        <v>45846</v>
      </c>
      <c r="CI613">
        <v>1</v>
      </c>
      <c r="CJ613">
        <v>1</v>
      </c>
      <c r="CK613">
        <v>22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"080066400096"</f>
        <v>080066400096</v>
      </c>
      <c r="F614" s="3">
        <v>45845</v>
      </c>
      <c r="G614">
        <v>202604</v>
      </c>
      <c r="H614" t="s">
        <v>75</v>
      </c>
      <c r="I614" t="s">
        <v>76</v>
      </c>
      <c r="J614" t="s">
        <v>77</v>
      </c>
      <c r="K614" t="s">
        <v>78</v>
      </c>
      <c r="L614" t="s">
        <v>704</v>
      </c>
      <c r="M614" t="s">
        <v>705</v>
      </c>
      <c r="N614" t="s">
        <v>829</v>
      </c>
      <c r="O614" t="s">
        <v>82</v>
      </c>
      <c r="P614" t="str">
        <f>"4170047126                    "</f>
        <v xml:space="preserve">4170047126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43.78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137.94</v>
      </c>
      <c r="BM614">
        <v>20.69</v>
      </c>
      <c r="BN614">
        <v>158.63</v>
      </c>
      <c r="BO614">
        <v>158.63</v>
      </c>
      <c r="BQ614" t="s">
        <v>830</v>
      </c>
      <c r="BR614" t="s">
        <v>84</v>
      </c>
      <c r="BS614" s="3">
        <v>45846</v>
      </c>
      <c r="BT614" s="4">
        <v>0.57777777777777772</v>
      </c>
      <c r="BU614" t="s">
        <v>1345</v>
      </c>
      <c r="BV614" t="s">
        <v>98</v>
      </c>
      <c r="BY614">
        <v>1200</v>
      </c>
      <c r="BZ614" t="s">
        <v>89</v>
      </c>
      <c r="CA614" t="s">
        <v>1152</v>
      </c>
      <c r="CC614" t="s">
        <v>705</v>
      </c>
      <c r="CD614">
        <v>6850</v>
      </c>
      <c r="CE614" t="s">
        <v>239</v>
      </c>
      <c r="CF614" s="3">
        <v>45847</v>
      </c>
      <c r="CI614">
        <v>2</v>
      </c>
      <c r="CJ614">
        <v>1</v>
      </c>
      <c r="CK614">
        <v>23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"080066400131"</f>
        <v>080066400131</v>
      </c>
      <c r="F615" s="3">
        <v>45845</v>
      </c>
      <c r="G615">
        <v>202604</v>
      </c>
      <c r="H615" t="s">
        <v>75</v>
      </c>
      <c r="I615" t="s">
        <v>76</v>
      </c>
      <c r="J615" t="s">
        <v>77</v>
      </c>
      <c r="K615" t="s">
        <v>78</v>
      </c>
      <c r="L615" t="s">
        <v>305</v>
      </c>
      <c r="M615" t="s">
        <v>306</v>
      </c>
      <c r="N615" t="s">
        <v>1346</v>
      </c>
      <c r="O615" t="s">
        <v>82</v>
      </c>
      <c r="P615" t="str">
        <f>"4170047067                    "</f>
        <v xml:space="preserve">4170047067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22.6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71.2</v>
      </c>
      <c r="BM615">
        <v>10.68</v>
      </c>
      <c r="BN615">
        <v>81.88</v>
      </c>
      <c r="BO615">
        <v>81.88</v>
      </c>
      <c r="BQ615" t="s">
        <v>1347</v>
      </c>
      <c r="BR615" t="s">
        <v>84</v>
      </c>
      <c r="BS615" s="3">
        <v>45846</v>
      </c>
      <c r="BT615" s="4">
        <v>0.4375</v>
      </c>
      <c r="BU615" t="s">
        <v>1348</v>
      </c>
      <c r="BV615" t="s">
        <v>98</v>
      </c>
      <c r="BY615">
        <v>1200</v>
      </c>
      <c r="BZ615" t="s">
        <v>89</v>
      </c>
      <c r="CA615" t="s">
        <v>1307</v>
      </c>
      <c r="CC615" t="s">
        <v>306</v>
      </c>
      <c r="CD615">
        <v>5201</v>
      </c>
      <c r="CE615" t="s">
        <v>239</v>
      </c>
      <c r="CF615" s="3">
        <v>45846</v>
      </c>
      <c r="CI615">
        <v>5</v>
      </c>
      <c r="CJ615">
        <v>1</v>
      </c>
      <c r="CK615">
        <v>21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"080066400160"</f>
        <v>080066400160</v>
      </c>
      <c r="F616" s="3">
        <v>45845</v>
      </c>
      <c r="G616">
        <v>202604</v>
      </c>
      <c r="H616" t="s">
        <v>75</v>
      </c>
      <c r="I616" t="s">
        <v>76</v>
      </c>
      <c r="J616" t="s">
        <v>77</v>
      </c>
      <c r="K616" t="s">
        <v>78</v>
      </c>
      <c r="L616" t="s">
        <v>151</v>
      </c>
      <c r="M616" t="s">
        <v>152</v>
      </c>
      <c r="N616" t="s">
        <v>1349</v>
      </c>
      <c r="O616" t="s">
        <v>82</v>
      </c>
      <c r="P616" t="str">
        <f>"4170047153                    "</f>
        <v xml:space="preserve">4170047153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22.6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71.2</v>
      </c>
      <c r="BM616">
        <v>10.68</v>
      </c>
      <c r="BN616">
        <v>81.88</v>
      </c>
      <c r="BO616">
        <v>81.88</v>
      </c>
      <c r="BQ616" t="s">
        <v>1350</v>
      </c>
      <c r="BR616" t="s">
        <v>84</v>
      </c>
      <c r="BS616" s="3">
        <v>45846</v>
      </c>
      <c r="BT616" s="4">
        <v>0.35972222222222222</v>
      </c>
      <c r="BU616" t="s">
        <v>1351</v>
      </c>
      <c r="BV616" t="s">
        <v>98</v>
      </c>
      <c r="BY616">
        <v>1200</v>
      </c>
      <c r="BZ616" t="s">
        <v>89</v>
      </c>
      <c r="CA616" t="s">
        <v>1352</v>
      </c>
      <c r="CC616" t="s">
        <v>152</v>
      </c>
      <c r="CD616" s="5" t="s">
        <v>157</v>
      </c>
      <c r="CE616" t="s">
        <v>239</v>
      </c>
      <c r="CF616" s="3">
        <v>45846</v>
      </c>
      <c r="CI616">
        <v>1</v>
      </c>
      <c r="CJ616">
        <v>1</v>
      </c>
      <c r="CK616">
        <v>21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"080066400195"</f>
        <v>080066400195</v>
      </c>
      <c r="F617" s="3">
        <v>45845</v>
      </c>
      <c r="G617">
        <v>202604</v>
      </c>
      <c r="H617" t="s">
        <v>75</v>
      </c>
      <c r="I617" t="s">
        <v>76</v>
      </c>
      <c r="J617" t="s">
        <v>77</v>
      </c>
      <c r="K617" t="s">
        <v>78</v>
      </c>
      <c r="L617" t="s">
        <v>92</v>
      </c>
      <c r="M617" t="s">
        <v>93</v>
      </c>
      <c r="N617" t="s">
        <v>1266</v>
      </c>
      <c r="O617" t="s">
        <v>82</v>
      </c>
      <c r="P617" t="str">
        <f>"4170047072                    "</f>
        <v xml:space="preserve">4170047072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22.6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71.2</v>
      </c>
      <c r="BM617">
        <v>10.68</v>
      </c>
      <c r="BN617">
        <v>81.88</v>
      </c>
      <c r="BO617">
        <v>81.88</v>
      </c>
      <c r="BQ617" t="s">
        <v>1267</v>
      </c>
      <c r="BR617" t="s">
        <v>84</v>
      </c>
      <c r="BS617" s="3">
        <v>45846</v>
      </c>
      <c r="BT617" s="4">
        <v>0.45833333333333331</v>
      </c>
      <c r="BU617" t="s">
        <v>97</v>
      </c>
      <c r="BV617" t="s">
        <v>86</v>
      </c>
      <c r="BW617" t="s">
        <v>194</v>
      </c>
      <c r="BX617" t="s">
        <v>739</v>
      </c>
      <c r="BY617">
        <v>1200</v>
      </c>
      <c r="BZ617" t="s">
        <v>89</v>
      </c>
      <c r="CA617" t="s">
        <v>100</v>
      </c>
      <c r="CC617" t="s">
        <v>93</v>
      </c>
      <c r="CD617">
        <v>4072</v>
      </c>
      <c r="CE617" t="s">
        <v>239</v>
      </c>
      <c r="CF617" s="3">
        <v>45846</v>
      </c>
      <c r="CI617">
        <v>1</v>
      </c>
      <c r="CJ617">
        <v>1</v>
      </c>
      <c r="CK617">
        <v>21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"080066400246"</f>
        <v>080066400246</v>
      </c>
      <c r="F618" s="3">
        <v>45845</v>
      </c>
      <c r="G618">
        <v>202604</v>
      </c>
      <c r="H618" t="s">
        <v>75</v>
      </c>
      <c r="I618" t="s">
        <v>76</v>
      </c>
      <c r="J618" t="s">
        <v>77</v>
      </c>
      <c r="K618" t="s">
        <v>78</v>
      </c>
      <c r="L618" t="s">
        <v>305</v>
      </c>
      <c r="M618" t="s">
        <v>306</v>
      </c>
      <c r="N618" t="s">
        <v>1353</v>
      </c>
      <c r="O618" t="s">
        <v>82</v>
      </c>
      <c r="P618" t="str">
        <f>"4170047129                    "</f>
        <v xml:space="preserve">4170047129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22.6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71.2</v>
      </c>
      <c r="BM618">
        <v>10.68</v>
      </c>
      <c r="BN618">
        <v>81.88</v>
      </c>
      <c r="BO618">
        <v>81.88</v>
      </c>
      <c r="BQ618" t="s">
        <v>1354</v>
      </c>
      <c r="BR618" t="s">
        <v>84</v>
      </c>
      <c r="BS618" s="3">
        <v>45847</v>
      </c>
      <c r="BT618" s="4">
        <v>0.60416666666666663</v>
      </c>
      <c r="BU618" t="s">
        <v>1355</v>
      </c>
      <c r="BV618" t="s">
        <v>86</v>
      </c>
      <c r="BW618" t="s">
        <v>1356</v>
      </c>
      <c r="BX618" t="s">
        <v>1357</v>
      </c>
      <c r="BY618">
        <v>1200</v>
      </c>
      <c r="BZ618" t="s">
        <v>89</v>
      </c>
      <c r="CC618" t="s">
        <v>306</v>
      </c>
      <c r="CD618">
        <v>5201</v>
      </c>
      <c r="CE618" t="s">
        <v>1358</v>
      </c>
      <c r="CF618" s="3">
        <v>45847</v>
      </c>
      <c r="CI618">
        <v>1</v>
      </c>
      <c r="CJ618">
        <v>2</v>
      </c>
      <c r="CK618">
        <v>21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"080066400409"</f>
        <v>080066400409</v>
      </c>
      <c r="F619" s="3">
        <v>45845</v>
      </c>
      <c r="G619">
        <v>202604</v>
      </c>
      <c r="H619" t="s">
        <v>75</v>
      </c>
      <c r="I619" t="s">
        <v>76</v>
      </c>
      <c r="J619" t="s">
        <v>77</v>
      </c>
      <c r="K619" t="s">
        <v>78</v>
      </c>
      <c r="L619" t="s">
        <v>246</v>
      </c>
      <c r="M619" t="s">
        <v>247</v>
      </c>
      <c r="N619" t="s">
        <v>1359</v>
      </c>
      <c r="O619" t="s">
        <v>82</v>
      </c>
      <c r="P619" t="str">
        <f>"4170047121                    "</f>
        <v xml:space="preserve">4170047121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31.78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100.13</v>
      </c>
      <c r="BM619">
        <v>15.02</v>
      </c>
      <c r="BN619">
        <v>115.15</v>
      </c>
      <c r="BO619">
        <v>115.15</v>
      </c>
      <c r="BQ619" t="s">
        <v>1360</v>
      </c>
      <c r="BR619" t="s">
        <v>84</v>
      </c>
      <c r="BS619" s="3">
        <v>45846</v>
      </c>
      <c r="BT619" s="4">
        <v>0.375</v>
      </c>
      <c r="BU619" t="s">
        <v>1361</v>
      </c>
      <c r="BV619" t="s">
        <v>98</v>
      </c>
      <c r="BY619">
        <v>1200</v>
      </c>
      <c r="BZ619" t="s">
        <v>89</v>
      </c>
      <c r="CA619" t="s">
        <v>251</v>
      </c>
      <c r="CC619" t="s">
        <v>247</v>
      </c>
      <c r="CD619">
        <v>1438</v>
      </c>
      <c r="CE619" t="s">
        <v>239</v>
      </c>
      <c r="CF619" s="3">
        <v>45847</v>
      </c>
      <c r="CI619">
        <v>1</v>
      </c>
      <c r="CJ619">
        <v>1</v>
      </c>
      <c r="CK619">
        <v>24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"080066400433"</f>
        <v>080066400433</v>
      </c>
      <c r="F620" s="3">
        <v>45845</v>
      </c>
      <c r="G620">
        <v>202604</v>
      </c>
      <c r="H620" t="s">
        <v>75</v>
      </c>
      <c r="I620" t="s">
        <v>76</v>
      </c>
      <c r="J620" t="s">
        <v>77</v>
      </c>
      <c r="K620" t="s">
        <v>78</v>
      </c>
      <c r="L620" t="s">
        <v>146</v>
      </c>
      <c r="M620" t="s">
        <v>146</v>
      </c>
      <c r="N620" t="s">
        <v>986</v>
      </c>
      <c r="O620" t="s">
        <v>82</v>
      </c>
      <c r="P620" t="str">
        <f>"4170047118                    "</f>
        <v xml:space="preserve">4170047118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43.78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137.94</v>
      </c>
      <c r="BM620">
        <v>20.69</v>
      </c>
      <c r="BN620">
        <v>158.63</v>
      </c>
      <c r="BO620">
        <v>158.63</v>
      </c>
      <c r="BQ620" t="s">
        <v>987</v>
      </c>
      <c r="BR620" t="s">
        <v>84</v>
      </c>
      <c r="BS620" s="3">
        <v>45846</v>
      </c>
      <c r="BT620" s="4">
        <v>0.53611111111111109</v>
      </c>
      <c r="BU620" t="s">
        <v>988</v>
      </c>
      <c r="BV620" t="s">
        <v>98</v>
      </c>
      <c r="BY620">
        <v>1200</v>
      </c>
      <c r="BZ620" t="s">
        <v>89</v>
      </c>
      <c r="CA620" t="s">
        <v>989</v>
      </c>
      <c r="CC620" t="s">
        <v>146</v>
      </c>
      <c r="CD620">
        <v>7646</v>
      </c>
      <c r="CE620" t="s">
        <v>239</v>
      </c>
      <c r="CF620" s="3">
        <v>45847</v>
      </c>
      <c r="CI620">
        <v>1</v>
      </c>
      <c r="CJ620">
        <v>1</v>
      </c>
      <c r="CK620">
        <v>23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"080066400477"</f>
        <v>080066400477</v>
      </c>
      <c r="F621" s="3">
        <v>45845</v>
      </c>
      <c r="G621">
        <v>202604</v>
      </c>
      <c r="H621" t="s">
        <v>75</v>
      </c>
      <c r="I621" t="s">
        <v>76</v>
      </c>
      <c r="J621" t="s">
        <v>77</v>
      </c>
      <c r="K621" t="s">
        <v>78</v>
      </c>
      <c r="L621" t="s">
        <v>704</v>
      </c>
      <c r="M621" t="s">
        <v>705</v>
      </c>
      <c r="N621" t="s">
        <v>829</v>
      </c>
      <c r="O621" t="s">
        <v>82</v>
      </c>
      <c r="P621" t="str">
        <f>"4170047060                    "</f>
        <v xml:space="preserve">4170047060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43.78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137.94</v>
      </c>
      <c r="BM621">
        <v>20.69</v>
      </c>
      <c r="BN621">
        <v>158.63</v>
      </c>
      <c r="BO621">
        <v>158.63</v>
      </c>
      <c r="BQ621" t="s">
        <v>830</v>
      </c>
      <c r="BR621" t="s">
        <v>84</v>
      </c>
      <c r="BS621" s="3">
        <v>45846</v>
      </c>
      <c r="BT621" s="4">
        <v>0.57708333333333328</v>
      </c>
      <c r="BU621" t="s">
        <v>1345</v>
      </c>
      <c r="BV621" t="s">
        <v>98</v>
      </c>
      <c r="BY621">
        <v>1200</v>
      </c>
      <c r="BZ621" t="s">
        <v>89</v>
      </c>
      <c r="CA621" t="s">
        <v>1152</v>
      </c>
      <c r="CC621" t="s">
        <v>705</v>
      </c>
      <c r="CD621">
        <v>6850</v>
      </c>
      <c r="CE621" t="s">
        <v>239</v>
      </c>
      <c r="CF621" s="3">
        <v>45847</v>
      </c>
      <c r="CI621">
        <v>2</v>
      </c>
      <c r="CJ621">
        <v>1</v>
      </c>
      <c r="CK621">
        <v>23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"080066400526"</f>
        <v>080066400526</v>
      </c>
      <c r="F622" s="3">
        <v>45845</v>
      </c>
      <c r="G622">
        <v>202604</v>
      </c>
      <c r="H622" t="s">
        <v>75</v>
      </c>
      <c r="I622" t="s">
        <v>76</v>
      </c>
      <c r="J622" t="s">
        <v>77</v>
      </c>
      <c r="K622" t="s">
        <v>78</v>
      </c>
      <c r="L622" t="s">
        <v>305</v>
      </c>
      <c r="M622" t="s">
        <v>306</v>
      </c>
      <c r="N622" t="s">
        <v>640</v>
      </c>
      <c r="O622" t="s">
        <v>82</v>
      </c>
      <c r="P622" t="str">
        <f>"4170047046                    "</f>
        <v xml:space="preserve">4170047046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22.6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71.2</v>
      </c>
      <c r="BM622">
        <v>10.68</v>
      </c>
      <c r="BN622">
        <v>81.88</v>
      </c>
      <c r="BO622">
        <v>81.88</v>
      </c>
      <c r="BQ622" t="s">
        <v>641</v>
      </c>
      <c r="BR622" t="s">
        <v>84</v>
      </c>
      <c r="BS622" s="3">
        <v>45846</v>
      </c>
      <c r="BT622" s="4">
        <v>0.43402777777777779</v>
      </c>
      <c r="BU622" t="s">
        <v>975</v>
      </c>
      <c r="BV622" t="s">
        <v>98</v>
      </c>
      <c r="BY622">
        <v>1200</v>
      </c>
      <c r="BZ622" t="s">
        <v>89</v>
      </c>
      <c r="CA622" t="s">
        <v>310</v>
      </c>
      <c r="CC622" t="s">
        <v>306</v>
      </c>
      <c r="CD622">
        <v>5201</v>
      </c>
      <c r="CE622" t="s">
        <v>214</v>
      </c>
      <c r="CF622" s="3">
        <v>45846</v>
      </c>
      <c r="CI622">
        <v>1</v>
      </c>
      <c r="CJ622">
        <v>1</v>
      </c>
      <c r="CK622">
        <v>21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"080066400542"</f>
        <v>080066400542</v>
      </c>
      <c r="F623" s="3">
        <v>45845</v>
      </c>
      <c r="G623">
        <v>202604</v>
      </c>
      <c r="H623" t="s">
        <v>75</v>
      </c>
      <c r="I623" t="s">
        <v>76</v>
      </c>
      <c r="J623" t="s">
        <v>77</v>
      </c>
      <c r="K623" t="s">
        <v>78</v>
      </c>
      <c r="L623" t="s">
        <v>79</v>
      </c>
      <c r="M623" t="s">
        <v>80</v>
      </c>
      <c r="N623" t="s">
        <v>188</v>
      </c>
      <c r="O623" t="s">
        <v>82</v>
      </c>
      <c r="P623" t="str">
        <f>"4170047057                    "</f>
        <v xml:space="preserve">4170047057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22.6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71.2</v>
      </c>
      <c r="BM623">
        <v>10.68</v>
      </c>
      <c r="BN623">
        <v>81.88</v>
      </c>
      <c r="BO623">
        <v>81.88</v>
      </c>
      <c r="BQ623" t="s">
        <v>189</v>
      </c>
      <c r="BR623" t="s">
        <v>84</v>
      </c>
      <c r="BS623" s="3">
        <v>45846</v>
      </c>
      <c r="BT623" s="4">
        <v>0.36527777777777776</v>
      </c>
      <c r="BU623" t="s">
        <v>1362</v>
      </c>
      <c r="BV623" t="s">
        <v>98</v>
      </c>
      <c r="BY623">
        <v>1200</v>
      </c>
      <c r="BZ623" t="s">
        <v>89</v>
      </c>
      <c r="CC623" t="s">
        <v>80</v>
      </c>
      <c r="CD623">
        <v>7441</v>
      </c>
      <c r="CE623" t="s">
        <v>239</v>
      </c>
      <c r="CF623" s="3">
        <v>45847</v>
      </c>
      <c r="CI623">
        <v>1</v>
      </c>
      <c r="CJ623">
        <v>1</v>
      </c>
      <c r="CK623">
        <v>21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"080066400584"</f>
        <v>080066400584</v>
      </c>
      <c r="F624" s="3">
        <v>45845</v>
      </c>
      <c r="G624">
        <v>202604</v>
      </c>
      <c r="H624" t="s">
        <v>75</v>
      </c>
      <c r="I624" t="s">
        <v>76</v>
      </c>
      <c r="J624" t="s">
        <v>77</v>
      </c>
      <c r="K624" t="s">
        <v>78</v>
      </c>
      <c r="L624" t="s">
        <v>75</v>
      </c>
      <c r="M624" t="s">
        <v>76</v>
      </c>
      <c r="N624" t="s">
        <v>118</v>
      </c>
      <c r="O624" t="s">
        <v>82</v>
      </c>
      <c r="P624" t="str">
        <f>"4170047081                    "</f>
        <v xml:space="preserve">4170047081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17.649999999999999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5</v>
      </c>
      <c r="BJ624">
        <v>3.1</v>
      </c>
      <c r="BK624">
        <v>5</v>
      </c>
      <c r="BL624">
        <v>55.61</v>
      </c>
      <c r="BM624">
        <v>8.34</v>
      </c>
      <c r="BN624">
        <v>63.95</v>
      </c>
      <c r="BO624">
        <v>63.95</v>
      </c>
      <c r="BQ624" t="s">
        <v>119</v>
      </c>
      <c r="BR624" t="s">
        <v>84</v>
      </c>
      <c r="BS624" s="3">
        <v>45846</v>
      </c>
      <c r="BT624" s="4">
        <v>0.3840277777777778</v>
      </c>
      <c r="BU624" t="s">
        <v>1363</v>
      </c>
      <c r="BV624" t="s">
        <v>98</v>
      </c>
      <c r="BY624">
        <v>15680</v>
      </c>
      <c r="BZ624" t="s">
        <v>89</v>
      </c>
      <c r="CA624" t="s">
        <v>213</v>
      </c>
      <c r="CC624" t="s">
        <v>76</v>
      </c>
      <c r="CD624">
        <v>1600</v>
      </c>
      <c r="CE624" t="s">
        <v>91</v>
      </c>
      <c r="CF624" s="3">
        <v>45846</v>
      </c>
      <c r="CI624">
        <v>1</v>
      </c>
      <c r="CJ624">
        <v>1</v>
      </c>
      <c r="CK624">
        <v>22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"080066400708"</f>
        <v>080066400708</v>
      </c>
      <c r="F625" s="3">
        <v>45845</v>
      </c>
      <c r="G625">
        <v>202604</v>
      </c>
      <c r="H625" t="s">
        <v>75</v>
      </c>
      <c r="I625" t="s">
        <v>76</v>
      </c>
      <c r="J625" t="s">
        <v>77</v>
      </c>
      <c r="K625" t="s">
        <v>78</v>
      </c>
      <c r="L625" t="s">
        <v>79</v>
      </c>
      <c r="M625" t="s">
        <v>80</v>
      </c>
      <c r="N625" t="s">
        <v>931</v>
      </c>
      <c r="O625" t="s">
        <v>82</v>
      </c>
      <c r="P625" t="str">
        <f>"4170047156                    "</f>
        <v xml:space="preserve">4170047156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45.18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4</v>
      </c>
      <c r="BJ625">
        <v>1.9</v>
      </c>
      <c r="BK625">
        <v>4</v>
      </c>
      <c r="BL625">
        <v>142.34</v>
      </c>
      <c r="BM625">
        <v>21.35</v>
      </c>
      <c r="BN625">
        <v>163.69</v>
      </c>
      <c r="BO625">
        <v>163.69</v>
      </c>
      <c r="BQ625" t="s">
        <v>932</v>
      </c>
      <c r="BR625" t="s">
        <v>84</v>
      </c>
      <c r="BS625" s="3">
        <v>45846</v>
      </c>
      <c r="BT625" s="4">
        <v>0.39791666666666664</v>
      </c>
      <c r="BU625" t="s">
        <v>1364</v>
      </c>
      <c r="BV625" t="s">
        <v>98</v>
      </c>
      <c r="BY625">
        <v>9600</v>
      </c>
      <c r="BZ625" t="s">
        <v>89</v>
      </c>
      <c r="CA625" t="s">
        <v>934</v>
      </c>
      <c r="CC625" t="s">
        <v>80</v>
      </c>
      <c r="CD625">
        <v>7535</v>
      </c>
      <c r="CE625" t="s">
        <v>117</v>
      </c>
      <c r="CF625" s="3">
        <v>45847</v>
      </c>
      <c r="CI625">
        <v>1</v>
      </c>
      <c r="CJ625">
        <v>1</v>
      </c>
      <c r="CK625">
        <v>21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"080066400762"</f>
        <v>080066400762</v>
      </c>
      <c r="F626" s="3">
        <v>45845</v>
      </c>
      <c r="G626">
        <v>202604</v>
      </c>
      <c r="H626" t="s">
        <v>75</v>
      </c>
      <c r="I626" t="s">
        <v>76</v>
      </c>
      <c r="J626" t="s">
        <v>77</v>
      </c>
      <c r="K626" t="s">
        <v>78</v>
      </c>
      <c r="L626" t="s">
        <v>554</v>
      </c>
      <c r="M626" t="s">
        <v>555</v>
      </c>
      <c r="N626" t="s">
        <v>556</v>
      </c>
      <c r="O626" t="s">
        <v>82</v>
      </c>
      <c r="P626" t="str">
        <f>"4170047110                    "</f>
        <v xml:space="preserve">4170047110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22.6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1.1000000000000001</v>
      </c>
      <c r="BK626">
        <v>2</v>
      </c>
      <c r="BL626">
        <v>71.2</v>
      </c>
      <c r="BM626">
        <v>10.68</v>
      </c>
      <c r="BN626">
        <v>81.88</v>
      </c>
      <c r="BO626">
        <v>81.88</v>
      </c>
      <c r="BQ626" t="s">
        <v>557</v>
      </c>
      <c r="BR626" t="s">
        <v>84</v>
      </c>
      <c r="BS626" s="3">
        <v>45846</v>
      </c>
      <c r="BT626" s="4">
        <v>0.39444444444444443</v>
      </c>
      <c r="BU626" t="s">
        <v>558</v>
      </c>
      <c r="BV626" t="s">
        <v>98</v>
      </c>
      <c r="BY626">
        <v>5320</v>
      </c>
      <c r="BZ626" t="s">
        <v>89</v>
      </c>
      <c r="CA626" t="s">
        <v>559</v>
      </c>
      <c r="CC626" t="s">
        <v>555</v>
      </c>
      <c r="CD626" s="5" t="s">
        <v>560</v>
      </c>
      <c r="CE626" t="s">
        <v>117</v>
      </c>
      <c r="CF626" s="3">
        <v>45846</v>
      </c>
      <c r="CI626">
        <v>1</v>
      </c>
      <c r="CJ626">
        <v>1</v>
      </c>
      <c r="CK626">
        <v>21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"080066400793"</f>
        <v>080066400793</v>
      </c>
      <c r="F627" s="3">
        <v>45845</v>
      </c>
      <c r="G627">
        <v>202604</v>
      </c>
      <c r="H627" t="s">
        <v>75</v>
      </c>
      <c r="I627" t="s">
        <v>76</v>
      </c>
      <c r="J627" t="s">
        <v>77</v>
      </c>
      <c r="K627" t="s">
        <v>78</v>
      </c>
      <c r="L627" t="s">
        <v>92</v>
      </c>
      <c r="M627" t="s">
        <v>93</v>
      </c>
      <c r="N627" t="s">
        <v>334</v>
      </c>
      <c r="O627" t="s">
        <v>82</v>
      </c>
      <c r="P627" t="str">
        <f>"4170047114                    "</f>
        <v xml:space="preserve">4170047114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79.05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7</v>
      </c>
      <c r="BJ627">
        <v>3.2</v>
      </c>
      <c r="BK627">
        <v>7</v>
      </c>
      <c r="BL627">
        <v>249.05</v>
      </c>
      <c r="BM627">
        <v>37.36</v>
      </c>
      <c r="BN627">
        <v>286.41000000000003</v>
      </c>
      <c r="BO627">
        <v>286.41000000000003</v>
      </c>
      <c r="BQ627" t="s">
        <v>335</v>
      </c>
      <c r="BR627" t="s">
        <v>84</v>
      </c>
      <c r="BS627" s="3">
        <v>45846</v>
      </c>
      <c r="BT627" s="4">
        <v>0.41736111111111113</v>
      </c>
      <c r="BU627" t="s">
        <v>1365</v>
      </c>
      <c r="BV627" t="s">
        <v>98</v>
      </c>
      <c r="BY627">
        <v>16240</v>
      </c>
      <c r="BZ627" t="s">
        <v>89</v>
      </c>
      <c r="CA627" t="s">
        <v>337</v>
      </c>
      <c r="CC627" t="s">
        <v>93</v>
      </c>
      <c r="CD627">
        <v>4052</v>
      </c>
      <c r="CE627" t="s">
        <v>91</v>
      </c>
      <c r="CF627" s="3">
        <v>45847</v>
      </c>
      <c r="CI627">
        <v>1</v>
      </c>
      <c r="CJ627">
        <v>1</v>
      </c>
      <c r="CK627">
        <v>21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"080066400830"</f>
        <v>080066400830</v>
      </c>
      <c r="F628" s="3">
        <v>45845</v>
      </c>
      <c r="G628">
        <v>202604</v>
      </c>
      <c r="H628" t="s">
        <v>75</v>
      </c>
      <c r="I628" t="s">
        <v>76</v>
      </c>
      <c r="J628" t="s">
        <v>77</v>
      </c>
      <c r="K628" t="s">
        <v>78</v>
      </c>
      <c r="L628" t="s">
        <v>240</v>
      </c>
      <c r="M628" t="s">
        <v>241</v>
      </c>
      <c r="N628" t="s">
        <v>1366</v>
      </c>
      <c r="O628" t="s">
        <v>95</v>
      </c>
      <c r="P628" t="str">
        <f>"4170047134                    "</f>
        <v xml:space="preserve">4170047134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51.47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3</v>
      </c>
      <c r="BI628">
        <v>33</v>
      </c>
      <c r="BJ628">
        <v>26.7</v>
      </c>
      <c r="BK628">
        <v>33</v>
      </c>
      <c r="BL628">
        <v>168.02</v>
      </c>
      <c r="BM628">
        <v>25.2</v>
      </c>
      <c r="BN628">
        <v>193.22</v>
      </c>
      <c r="BO628">
        <v>193.22</v>
      </c>
      <c r="BQ628" t="s">
        <v>1367</v>
      </c>
      <c r="BR628" t="s">
        <v>84</v>
      </c>
      <c r="BS628" s="3">
        <v>45846</v>
      </c>
      <c r="BT628" s="4">
        <v>0.43888888888888888</v>
      </c>
      <c r="BU628" t="s">
        <v>1368</v>
      </c>
      <c r="BV628" t="s">
        <v>98</v>
      </c>
      <c r="BY628">
        <v>44460</v>
      </c>
      <c r="BZ628" t="s">
        <v>99</v>
      </c>
      <c r="CA628" t="s">
        <v>1369</v>
      </c>
      <c r="CC628" t="s">
        <v>241</v>
      </c>
      <c r="CD628">
        <v>2022</v>
      </c>
      <c r="CE628" t="s">
        <v>226</v>
      </c>
      <c r="CF628" s="3">
        <v>45847</v>
      </c>
      <c r="CI628">
        <v>1</v>
      </c>
      <c r="CJ628">
        <v>1</v>
      </c>
      <c r="CK628">
        <v>42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"080066400900"</f>
        <v>080066400900</v>
      </c>
      <c r="F629" s="3">
        <v>45845</v>
      </c>
      <c r="G629">
        <v>202604</v>
      </c>
      <c r="H629" t="s">
        <v>75</v>
      </c>
      <c r="I629" t="s">
        <v>76</v>
      </c>
      <c r="J629" t="s">
        <v>77</v>
      </c>
      <c r="K629" t="s">
        <v>78</v>
      </c>
      <c r="L629" t="s">
        <v>1370</v>
      </c>
      <c r="M629" t="s">
        <v>1371</v>
      </c>
      <c r="N629" t="s">
        <v>1372</v>
      </c>
      <c r="O629" t="s">
        <v>95</v>
      </c>
      <c r="P629" t="str">
        <f>"4170047192                    "</f>
        <v xml:space="preserve">4170047192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137.19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2</v>
      </c>
      <c r="BI629">
        <v>30</v>
      </c>
      <c r="BJ629">
        <v>38.9</v>
      </c>
      <c r="BK629">
        <v>39</v>
      </c>
      <c r="BL629">
        <v>438.09</v>
      </c>
      <c r="BM629">
        <v>65.709999999999994</v>
      </c>
      <c r="BN629">
        <v>503.8</v>
      </c>
      <c r="BO629">
        <v>503.8</v>
      </c>
      <c r="BQ629" t="s">
        <v>1373</v>
      </c>
      <c r="BR629" t="s">
        <v>84</v>
      </c>
      <c r="BS629" s="3">
        <v>45846</v>
      </c>
      <c r="BT629" s="4">
        <v>0.50902777777777775</v>
      </c>
      <c r="BU629" t="s">
        <v>1374</v>
      </c>
      <c r="BV629" t="s">
        <v>98</v>
      </c>
      <c r="BY629">
        <v>97200</v>
      </c>
      <c r="BZ629" t="s">
        <v>99</v>
      </c>
      <c r="CA629" t="s">
        <v>1375</v>
      </c>
      <c r="CC629" t="s">
        <v>1371</v>
      </c>
      <c r="CD629" s="5" t="s">
        <v>1376</v>
      </c>
      <c r="CE629" t="s">
        <v>1377</v>
      </c>
      <c r="CF629" s="3">
        <v>45847</v>
      </c>
      <c r="CI629">
        <v>1</v>
      </c>
      <c r="CJ629">
        <v>1</v>
      </c>
      <c r="CK629">
        <v>43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"080066400983"</f>
        <v>080066400983</v>
      </c>
      <c r="F630" s="3">
        <v>45845</v>
      </c>
      <c r="G630">
        <v>202604</v>
      </c>
      <c r="H630" t="s">
        <v>75</v>
      </c>
      <c r="I630" t="s">
        <v>76</v>
      </c>
      <c r="J630" t="s">
        <v>77</v>
      </c>
      <c r="K630" t="s">
        <v>78</v>
      </c>
      <c r="L630" t="s">
        <v>92</v>
      </c>
      <c r="M630" t="s">
        <v>93</v>
      </c>
      <c r="N630" t="s">
        <v>291</v>
      </c>
      <c r="O630" t="s">
        <v>95</v>
      </c>
      <c r="P630" t="str">
        <f>"4170047174                    "</f>
        <v xml:space="preserve">4170047174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52.72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19</v>
      </c>
      <c r="BJ630">
        <v>19.399999999999999</v>
      </c>
      <c r="BK630">
        <v>20</v>
      </c>
      <c r="BL630">
        <v>171.97</v>
      </c>
      <c r="BM630">
        <v>25.8</v>
      </c>
      <c r="BN630">
        <v>197.77</v>
      </c>
      <c r="BO630">
        <v>197.77</v>
      </c>
      <c r="BQ630" t="s">
        <v>292</v>
      </c>
      <c r="BR630" t="s">
        <v>84</v>
      </c>
      <c r="BS630" s="3">
        <v>45846</v>
      </c>
      <c r="BT630" s="4">
        <v>0.42222222222222222</v>
      </c>
      <c r="BU630" t="s">
        <v>847</v>
      </c>
      <c r="BV630" t="s">
        <v>98</v>
      </c>
      <c r="BY630">
        <v>97200</v>
      </c>
      <c r="BZ630" t="s">
        <v>99</v>
      </c>
      <c r="CA630" t="s">
        <v>1104</v>
      </c>
      <c r="CC630" t="s">
        <v>93</v>
      </c>
      <c r="CD630">
        <v>4051</v>
      </c>
      <c r="CE630" t="s">
        <v>1377</v>
      </c>
      <c r="CF630" s="3">
        <v>45846</v>
      </c>
      <c r="CI630">
        <v>1</v>
      </c>
      <c r="CJ630">
        <v>1</v>
      </c>
      <c r="CK630">
        <v>41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"080066401040"</f>
        <v>080066401040</v>
      </c>
      <c r="F631" s="3">
        <v>45845</v>
      </c>
      <c r="G631">
        <v>202604</v>
      </c>
      <c r="H631" t="s">
        <v>75</v>
      </c>
      <c r="I631" t="s">
        <v>76</v>
      </c>
      <c r="J631" t="s">
        <v>77</v>
      </c>
      <c r="K631" t="s">
        <v>78</v>
      </c>
      <c r="L631" t="s">
        <v>168</v>
      </c>
      <c r="M631" t="s">
        <v>169</v>
      </c>
      <c r="N631" t="s">
        <v>206</v>
      </c>
      <c r="O631" t="s">
        <v>82</v>
      </c>
      <c r="P631" t="str">
        <f>"4170047016                    "</f>
        <v xml:space="preserve">4170047016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22.6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1.9</v>
      </c>
      <c r="BK631">
        <v>2</v>
      </c>
      <c r="BL631">
        <v>71.2</v>
      </c>
      <c r="BM631">
        <v>10.68</v>
      </c>
      <c r="BN631">
        <v>81.88</v>
      </c>
      <c r="BO631">
        <v>81.88</v>
      </c>
      <c r="BQ631" t="s">
        <v>207</v>
      </c>
      <c r="BR631" t="s">
        <v>84</v>
      </c>
      <c r="BS631" s="3">
        <v>45846</v>
      </c>
      <c r="BT631" s="4">
        <v>0.3611111111111111</v>
      </c>
      <c r="BU631" t="s">
        <v>208</v>
      </c>
      <c r="BV631" t="s">
        <v>98</v>
      </c>
      <c r="BY631">
        <v>9600</v>
      </c>
      <c r="BZ631" t="s">
        <v>89</v>
      </c>
      <c r="CA631" t="s">
        <v>196</v>
      </c>
      <c r="CC631" t="s">
        <v>169</v>
      </c>
      <c r="CD631">
        <v>6001</v>
      </c>
      <c r="CE631" t="s">
        <v>117</v>
      </c>
      <c r="CF631" s="3">
        <v>45846</v>
      </c>
      <c r="CI631">
        <v>1</v>
      </c>
      <c r="CJ631">
        <v>1</v>
      </c>
      <c r="CK631">
        <v>21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"080066401106"</f>
        <v>080066401106</v>
      </c>
      <c r="F632" s="3">
        <v>45845</v>
      </c>
      <c r="G632">
        <v>202604</v>
      </c>
      <c r="H632" t="s">
        <v>75</v>
      </c>
      <c r="I632" t="s">
        <v>76</v>
      </c>
      <c r="J632" t="s">
        <v>77</v>
      </c>
      <c r="K632" t="s">
        <v>78</v>
      </c>
      <c r="L632" t="s">
        <v>305</v>
      </c>
      <c r="M632" t="s">
        <v>306</v>
      </c>
      <c r="N632" t="s">
        <v>1320</v>
      </c>
      <c r="O632" t="s">
        <v>82</v>
      </c>
      <c r="P632" t="str">
        <f>"4170047063                    "</f>
        <v xml:space="preserve">4170047063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22.6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</v>
      </c>
      <c r="BK632">
        <v>1</v>
      </c>
      <c r="BL632">
        <v>71.2</v>
      </c>
      <c r="BM632">
        <v>10.68</v>
      </c>
      <c r="BN632">
        <v>81.88</v>
      </c>
      <c r="BO632">
        <v>81.88</v>
      </c>
      <c r="BQ632" t="s">
        <v>308</v>
      </c>
      <c r="BR632" t="s">
        <v>84</v>
      </c>
      <c r="BS632" s="3">
        <v>45846</v>
      </c>
      <c r="BT632" s="4">
        <v>0.43680555555555556</v>
      </c>
      <c r="BU632" t="s">
        <v>1378</v>
      </c>
      <c r="BV632" t="s">
        <v>98</v>
      </c>
      <c r="BY632">
        <v>4900</v>
      </c>
      <c r="BZ632" t="s">
        <v>89</v>
      </c>
      <c r="CA632" t="s">
        <v>310</v>
      </c>
      <c r="CC632" t="s">
        <v>306</v>
      </c>
      <c r="CD632">
        <v>5201</v>
      </c>
      <c r="CE632" t="s">
        <v>91</v>
      </c>
      <c r="CF632" s="3">
        <v>45846</v>
      </c>
      <c r="CI632">
        <v>1</v>
      </c>
      <c r="CJ632">
        <v>1</v>
      </c>
      <c r="CK632">
        <v>21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"080066401171"</f>
        <v>080066401171</v>
      </c>
      <c r="F633" s="3">
        <v>45845</v>
      </c>
      <c r="G633">
        <v>202604</v>
      </c>
      <c r="H633" t="s">
        <v>75</v>
      </c>
      <c r="I633" t="s">
        <v>76</v>
      </c>
      <c r="J633" t="s">
        <v>77</v>
      </c>
      <c r="K633" t="s">
        <v>78</v>
      </c>
      <c r="L633" t="s">
        <v>79</v>
      </c>
      <c r="M633" t="s">
        <v>80</v>
      </c>
      <c r="N633" t="s">
        <v>141</v>
      </c>
      <c r="O633" t="s">
        <v>82</v>
      </c>
      <c r="P633" t="str">
        <f>"4170047165                    "</f>
        <v xml:space="preserve">4170047165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22.6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1.1000000000000001</v>
      </c>
      <c r="BK633">
        <v>1.5</v>
      </c>
      <c r="BL633">
        <v>71.2</v>
      </c>
      <c r="BM633">
        <v>10.68</v>
      </c>
      <c r="BN633">
        <v>81.88</v>
      </c>
      <c r="BO633">
        <v>81.88</v>
      </c>
      <c r="BQ633" t="s">
        <v>142</v>
      </c>
      <c r="BR633" t="s">
        <v>84</v>
      </c>
      <c r="BS633" s="3">
        <v>45846</v>
      </c>
      <c r="BT633" s="4">
        <v>0.41875000000000001</v>
      </c>
      <c r="BU633" t="s">
        <v>143</v>
      </c>
      <c r="BV633" t="s">
        <v>98</v>
      </c>
      <c r="BY633">
        <v>5320</v>
      </c>
      <c r="BZ633" t="s">
        <v>89</v>
      </c>
      <c r="CA633" t="s">
        <v>144</v>
      </c>
      <c r="CC633" t="s">
        <v>80</v>
      </c>
      <c r="CD633">
        <v>7441</v>
      </c>
      <c r="CE633" t="s">
        <v>117</v>
      </c>
      <c r="CF633" s="3">
        <v>45847</v>
      </c>
      <c r="CI633">
        <v>1</v>
      </c>
      <c r="CJ633">
        <v>1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"080066401256"</f>
        <v>080066401256</v>
      </c>
      <c r="F634" s="3">
        <v>45845</v>
      </c>
      <c r="G634">
        <v>202604</v>
      </c>
      <c r="H634" t="s">
        <v>75</v>
      </c>
      <c r="I634" t="s">
        <v>76</v>
      </c>
      <c r="J634" t="s">
        <v>77</v>
      </c>
      <c r="K634" t="s">
        <v>78</v>
      </c>
      <c r="L634" t="s">
        <v>240</v>
      </c>
      <c r="M634" t="s">
        <v>241</v>
      </c>
      <c r="N634" t="s">
        <v>242</v>
      </c>
      <c r="O634" t="s">
        <v>311</v>
      </c>
      <c r="P634" t="str">
        <f>"4170047136                    "</f>
        <v xml:space="preserve">4170047136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17.66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2</v>
      </c>
      <c r="BI634">
        <v>5</v>
      </c>
      <c r="BJ634">
        <v>5.0999999999999996</v>
      </c>
      <c r="BK634">
        <v>6</v>
      </c>
      <c r="BL634">
        <v>55.63</v>
      </c>
      <c r="BM634">
        <v>8.34</v>
      </c>
      <c r="BN634">
        <v>63.97</v>
      </c>
      <c r="BO634">
        <v>63.97</v>
      </c>
      <c r="BQ634" t="s">
        <v>243</v>
      </c>
      <c r="BR634" t="s">
        <v>84</v>
      </c>
      <c r="BS634" s="3">
        <v>45846</v>
      </c>
      <c r="BT634" s="4">
        <v>0.40277777777777779</v>
      </c>
      <c r="BU634" t="s">
        <v>1379</v>
      </c>
      <c r="BV634" t="s">
        <v>98</v>
      </c>
      <c r="BY634">
        <v>25308</v>
      </c>
      <c r="BZ634" t="s">
        <v>99</v>
      </c>
      <c r="CA634" t="s">
        <v>1300</v>
      </c>
      <c r="CC634" t="s">
        <v>241</v>
      </c>
      <c r="CD634">
        <v>2091</v>
      </c>
      <c r="CE634" t="s">
        <v>91</v>
      </c>
      <c r="CF634" s="3">
        <v>45846</v>
      </c>
      <c r="CI634">
        <v>1</v>
      </c>
      <c r="CJ634">
        <v>1</v>
      </c>
      <c r="CK634">
        <v>32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"080066401325"</f>
        <v>080066401325</v>
      </c>
      <c r="F635" s="3">
        <v>45845</v>
      </c>
      <c r="G635">
        <v>202604</v>
      </c>
      <c r="H635" t="s">
        <v>75</v>
      </c>
      <c r="I635" t="s">
        <v>76</v>
      </c>
      <c r="J635" t="s">
        <v>77</v>
      </c>
      <c r="K635" t="s">
        <v>78</v>
      </c>
      <c r="L635" t="s">
        <v>406</v>
      </c>
      <c r="M635" t="s">
        <v>407</v>
      </c>
      <c r="N635" t="s">
        <v>1283</v>
      </c>
      <c r="O635" t="s">
        <v>82</v>
      </c>
      <c r="P635" t="str">
        <f>"4170047058                    "</f>
        <v xml:space="preserve">4170047058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43.78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2</v>
      </c>
      <c r="BJ635">
        <v>1.9</v>
      </c>
      <c r="BK635">
        <v>2</v>
      </c>
      <c r="BL635">
        <v>137.94</v>
      </c>
      <c r="BM635">
        <v>20.69</v>
      </c>
      <c r="BN635">
        <v>158.63</v>
      </c>
      <c r="BO635">
        <v>158.63</v>
      </c>
      <c r="BQ635" t="s">
        <v>1284</v>
      </c>
      <c r="BR635" t="s">
        <v>84</v>
      </c>
      <c r="BS635" s="3">
        <v>45846</v>
      </c>
      <c r="BT635" s="4">
        <v>0.48541666666666666</v>
      </c>
      <c r="BU635" t="s">
        <v>1380</v>
      </c>
      <c r="BV635" t="s">
        <v>98</v>
      </c>
      <c r="BY635">
        <v>9600</v>
      </c>
      <c r="BZ635" t="s">
        <v>89</v>
      </c>
      <c r="CA635" t="s">
        <v>1286</v>
      </c>
      <c r="CC635" t="s">
        <v>407</v>
      </c>
      <c r="CD635">
        <v>4400</v>
      </c>
      <c r="CE635" t="s">
        <v>117</v>
      </c>
      <c r="CF635" s="3">
        <v>45846</v>
      </c>
      <c r="CI635">
        <v>1</v>
      </c>
      <c r="CJ635">
        <v>1</v>
      </c>
      <c r="CK635">
        <v>23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"080066401359"</f>
        <v>080066401359</v>
      </c>
      <c r="F636" s="3">
        <v>45845</v>
      </c>
      <c r="G636">
        <v>202604</v>
      </c>
      <c r="H636" t="s">
        <v>75</v>
      </c>
      <c r="I636" t="s">
        <v>76</v>
      </c>
      <c r="J636" t="s">
        <v>77</v>
      </c>
      <c r="K636" t="s">
        <v>78</v>
      </c>
      <c r="L636" t="s">
        <v>79</v>
      </c>
      <c r="M636" t="s">
        <v>80</v>
      </c>
      <c r="N636" t="s">
        <v>698</v>
      </c>
      <c r="O636" t="s">
        <v>82</v>
      </c>
      <c r="P636" t="str">
        <f>"4170047039                    "</f>
        <v xml:space="preserve">4170047039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67.760000000000005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6</v>
      </c>
      <c r="BJ636">
        <v>1.9</v>
      </c>
      <c r="BK636">
        <v>6</v>
      </c>
      <c r="BL636">
        <v>213.48</v>
      </c>
      <c r="BM636">
        <v>32.020000000000003</v>
      </c>
      <c r="BN636">
        <v>245.5</v>
      </c>
      <c r="BO636">
        <v>245.5</v>
      </c>
      <c r="BQ636" t="s">
        <v>699</v>
      </c>
      <c r="BR636" t="s">
        <v>84</v>
      </c>
      <c r="BS636" s="3">
        <v>45846</v>
      </c>
      <c r="BT636" s="4">
        <v>0.39930555555555558</v>
      </c>
      <c r="BU636" t="s">
        <v>1381</v>
      </c>
      <c r="BV636" t="s">
        <v>98</v>
      </c>
      <c r="BY636">
        <v>9600</v>
      </c>
      <c r="BZ636" t="s">
        <v>89</v>
      </c>
      <c r="CA636" t="s">
        <v>289</v>
      </c>
      <c r="CC636" t="s">
        <v>80</v>
      </c>
      <c r="CD636">
        <v>7561</v>
      </c>
      <c r="CE636" t="s">
        <v>117</v>
      </c>
      <c r="CF636" s="3">
        <v>45847</v>
      </c>
      <c r="CI636">
        <v>1</v>
      </c>
      <c r="CJ636">
        <v>1</v>
      </c>
      <c r="CK636">
        <v>21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"080066401390"</f>
        <v>080066401390</v>
      </c>
      <c r="F637" s="3">
        <v>45845</v>
      </c>
      <c r="G637">
        <v>202604</v>
      </c>
      <c r="H637" t="s">
        <v>75</v>
      </c>
      <c r="I637" t="s">
        <v>76</v>
      </c>
      <c r="J637" t="s">
        <v>77</v>
      </c>
      <c r="K637" t="s">
        <v>78</v>
      </c>
      <c r="L637" t="s">
        <v>452</v>
      </c>
      <c r="M637" t="s">
        <v>453</v>
      </c>
      <c r="N637" t="s">
        <v>1321</v>
      </c>
      <c r="O637" t="s">
        <v>82</v>
      </c>
      <c r="P637" t="str">
        <f>"4170047124                    "</f>
        <v xml:space="preserve">4170047124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17.649999999999999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1.2</v>
      </c>
      <c r="BK637">
        <v>2</v>
      </c>
      <c r="BL637">
        <v>55.61</v>
      </c>
      <c r="BM637">
        <v>8.34</v>
      </c>
      <c r="BN637">
        <v>63.95</v>
      </c>
      <c r="BO637">
        <v>63.95</v>
      </c>
      <c r="BQ637" t="s">
        <v>1322</v>
      </c>
      <c r="BR637" t="s">
        <v>84</v>
      </c>
      <c r="BS637" s="3">
        <v>45846</v>
      </c>
      <c r="BT637" s="4">
        <v>0.36041666666666666</v>
      </c>
      <c r="BU637" t="s">
        <v>1323</v>
      </c>
      <c r="BV637" t="s">
        <v>98</v>
      </c>
      <c r="BY637">
        <v>6120</v>
      </c>
      <c r="BZ637" t="s">
        <v>89</v>
      </c>
      <c r="CA637" t="s">
        <v>873</v>
      </c>
      <c r="CC637" t="s">
        <v>453</v>
      </c>
      <c r="CD637">
        <v>1559</v>
      </c>
      <c r="CE637" t="s">
        <v>91</v>
      </c>
      <c r="CF637" s="3">
        <v>45846</v>
      </c>
      <c r="CI637">
        <v>1</v>
      </c>
      <c r="CJ637">
        <v>1</v>
      </c>
      <c r="CK637">
        <v>22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"080066401416"</f>
        <v>080066401416</v>
      </c>
      <c r="F638" s="3">
        <v>45845</v>
      </c>
      <c r="G638">
        <v>202604</v>
      </c>
      <c r="H638" t="s">
        <v>75</v>
      </c>
      <c r="I638" t="s">
        <v>76</v>
      </c>
      <c r="J638" t="s">
        <v>77</v>
      </c>
      <c r="K638" t="s">
        <v>78</v>
      </c>
      <c r="L638" t="s">
        <v>79</v>
      </c>
      <c r="M638" t="s">
        <v>80</v>
      </c>
      <c r="N638" t="s">
        <v>492</v>
      </c>
      <c r="O638" t="s">
        <v>82</v>
      </c>
      <c r="P638" t="str">
        <f>"4170047111                    "</f>
        <v xml:space="preserve">4170047111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45.18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</v>
      </c>
      <c r="BJ638">
        <v>3.9</v>
      </c>
      <c r="BK638">
        <v>4</v>
      </c>
      <c r="BL638">
        <v>142.34</v>
      </c>
      <c r="BM638">
        <v>21.35</v>
      </c>
      <c r="BN638">
        <v>163.69</v>
      </c>
      <c r="BO638">
        <v>163.69</v>
      </c>
      <c r="BQ638" t="s">
        <v>493</v>
      </c>
      <c r="BR638" t="s">
        <v>84</v>
      </c>
      <c r="BS638" s="3">
        <v>45846</v>
      </c>
      <c r="BT638" s="4">
        <v>0.42499999999999999</v>
      </c>
      <c r="BU638" t="s">
        <v>494</v>
      </c>
      <c r="BV638" t="s">
        <v>98</v>
      </c>
      <c r="BY638">
        <v>19584</v>
      </c>
      <c r="BZ638" t="s">
        <v>89</v>
      </c>
      <c r="CA638" t="s">
        <v>495</v>
      </c>
      <c r="CC638" t="s">
        <v>80</v>
      </c>
      <c r="CD638">
        <v>7800</v>
      </c>
      <c r="CE638" t="s">
        <v>91</v>
      </c>
      <c r="CF638" s="3">
        <v>45847</v>
      </c>
      <c r="CI638">
        <v>1</v>
      </c>
      <c r="CJ638">
        <v>1</v>
      </c>
      <c r="CK638">
        <v>21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"080066402417"</f>
        <v>080066402417</v>
      </c>
      <c r="F639" s="3">
        <v>45845</v>
      </c>
      <c r="G639">
        <v>202604</v>
      </c>
      <c r="H639" t="s">
        <v>75</v>
      </c>
      <c r="I639" t="s">
        <v>76</v>
      </c>
      <c r="J639" t="s">
        <v>77</v>
      </c>
      <c r="K639" t="s">
        <v>78</v>
      </c>
      <c r="L639" t="s">
        <v>277</v>
      </c>
      <c r="M639" t="s">
        <v>278</v>
      </c>
      <c r="N639" t="s">
        <v>918</v>
      </c>
      <c r="O639" t="s">
        <v>82</v>
      </c>
      <c r="P639" t="str">
        <f>"4170047115                    "</f>
        <v xml:space="preserve">4170047115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22.6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71.2</v>
      </c>
      <c r="BM639">
        <v>10.68</v>
      </c>
      <c r="BN639">
        <v>81.88</v>
      </c>
      <c r="BO639">
        <v>81.88</v>
      </c>
      <c r="BQ639" t="s">
        <v>919</v>
      </c>
      <c r="BR639" t="s">
        <v>84</v>
      </c>
      <c r="BS639" s="3">
        <v>45846</v>
      </c>
      <c r="BT639" s="4">
        <v>0.48680555555555555</v>
      </c>
      <c r="BU639" t="s">
        <v>920</v>
      </c>
      <c r="BV639" t="s">
        <v>86</v>
      </c>
      <c r="BW639" t="s">
        <v>194</v>
      </c>
      <c r="BX639" t="s">
        <v>1382</v>
      </c>
      <c r="BY639">
        <v>1200</v>
      </c>
      <c r="BZ639" t="s">
        <v>89</v>
      </c>
      <c r="CA639" t="s">
        <v>282</v>
      </c>
      <c r="CC639" t="s">
        <v>278</v>
      </c>
      <c r="CD639">
        <v>6229</v>
      </c>
      <c r="CE639" t="s">
        <v>239</v>
      </c>
      <c r="CF639" s="3">
        <v>45846</v>
      </c>
      <c r="CI639">
        <v>1</v>
      </c>
      <c r="CJ639">
        <v>1</v>
      </c>
      <c r="CK639">
        <v>21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"080066402454"</f>
        <v>080066402454</v>
      </c>
      <c r="F640" s="3">
        <v>45845</v>
      </c>
      <c r="G640">
        <v>202604</v>
      </c>
      <c r="H640" t="s">
        <v>75</v>
      </c>
      <c r="I640" t="s">
        <v>76</v>
      </c>
      <c r="J640" t="s">
        <v>77</v>
      </c>
      <c r="K640" t="s">
        <v>78</v>
      </c>
      <c r="L640" t="s">
        <v>92</v>
      </c>
      <c r="M640" t="s">
        <v>93</v>
      </c>
      <c r="N640" t="s">
        <v>1383</v>
      </c>
      <c r="O640" t="s">
        <v>82</v>
      </c>
      <c r="P640" t="str">
        <f>"4170047033                    "</f>
        <v xml:space="preserve">4170047033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22.6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71.2</v>
      </c>
      <c r="BM640">
        <v>10.68</v>
      </c>
      <c r="BN640">
        <v>81.88</v>
      </c>
      <c r="BO640">
        <v>81.88</v>
      </c>
      <c r="BQ640" t="s">
        <v>1384</v>
      </c>
      <c r="BR640" t="s">
        <v>84</v>
      </c>
      <c r="BS640" s="3">
        <v>45846</v>
      </c>
      <c r="BT640" s="4">
        <v>0.4236111111111111</v>
      </c>
      <c r="BU640" t="s">
        <v>285</v>
      </c>
      <c r="BV640" t="s">
        <v>98</v>
      </c>
      <c r="BY640">
        <v>1200</v>
      </c>
      <c r="BZ640" t="s">
        <v>89</v>
      </c>
      <c r="CA640" t="s">
        <v>1385</v>
      </c>
      <c r="CC640" t="s">
        <v>93</v>
      </c>
      <c r="CD640">
        <v>3629</v>
      </c>
      <c r="CE640" t="s">
        <v>239</v>
      </c>
      <c r="CF640" s="3">
        <v>45847</v>
      </c>
      <c r="CI640">
        <v>1</v>
      </c>
      <c r="CJ640">
        <v>1</v>
      </c>
      <c r="CK640">
        <v>21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"080066402483"</f>
        <v>080066402483</v>
      </c>
      <c r="F641" s="3">
        <v>45845</v>
      </c>
      <c r="G641">
        <v>202604</v>
      </c>
      <c r="H641" t="s">
        <v>75</v>
      </c>
      <c r="I641" t="s">
        <v>76</v>
      </c>
      <c r="J641" t="s">
        <v>77</v>
      </c>
      <c r="K641" t="s">
        <v>78</v>
      </c>
      <c r="L641" t="s">
        <v>102</v>
      </c>
      <c r="M641" t="s">
        <v>103</v>
      </c>
      <c r="N641" t="s">
        <v>104</v>
      </c>
      <c r="O641" t="s">
        <v>82</v>
      </c>
      <c r="P641" t="str">
        <f>"4170047177                    "</f>
        <v xml:space="preserve">4170047177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31.78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100.13</v>
      </c>
      <c r="BM641">
        <v>15.02</v>
      </c>
      <c r="BN641">
        <v>115.15</v>
      </c>
      <c r="BO641">
        <v>115.15</v>
      </c>
      <c r="BQ641" t="s">
        <v>833</v>
      </c>
      <c r="BR641" t="s">
        <v>84</v>
      </c>
      <c r="BS641" s="3">
        <v>45846</v>
      </c>
      <c r="BT641" s="4">
        <v>0.34236111111111112</v>
      </c>
      <c r="BU641" t="s">
        <v>1386</v>
      </c>
      <c r="BV641" t="s">
        <v>98</v>
      </c>
      <c r="BY641">
        <v>1200</v>
      </c>
      <c r="BZ641" t="s">
        <v>89</v>
      </c>
      <c r="CA641" t="s">
        <v>109</v>
      </c>
      <c r="CC641" t="s">
        <v>103</v>
      </c>
      <c r="CD641">
        <v>1748</v>
      </c>
      <c r="CE641" t="s">
        <v>239</v>
      </c>
      <c r="CF641" s="3">
        <v>45846</v>
      </c>
      <c r="CI641">
        <v>1</v>
      </c>
      <c r="CJ641">
        <v>1</v>
      </c>
      <c r="CK641">
        <v>24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"080066402514"</f>
        <v>080066402514</v>
      </c>
      <c r="F642" s="3">
        <v>45845</v>
      </c>
      <c r="G642">
        <v>202604</v>
      </c>
      <c r="H642" t="s">
        <v>75</v>
      </c>
      <c r="I642" t="s">
        <v>76</v>
      </c>
      <c r="J642" t="s">
        <v>77</v>
      </c>
      <c r="K642" t="s">
        <v>78</v>
      </c>
      <c r="L642" t="s">
        <v>146</v>
      </c>
      <c r="M642" t="s">
        <v>146</v>
      </c>
      <c r="N642" t="s">
        <v>986</v>
      </c>
      <c r="O642" t="s">
        <v>82</v>
      </c>
      <c r="P642" t="str">
        <f>"4170047116                    "</f>
        <v xml:space="preserve">4170047116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43.78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137.94</v>
      </c>
      <c r="BM642">
        <v>20.69</v>
      </c>
      <c r="BN642">
        <v>158.63</v>
      </c>
      <c r="BO642">
        <v>158.63</v>
      </c>
      <c r="BQ642" t="s">
        <v>987</v>
      </c>
      <c r="BR642" t="s">
        <v>84</v>
      </c>
      <c r="BS642" s="3">
        <v>45846</v>
      </c>
      <c r="BT642" s="4">
        <v>0.53611111111111109</v>
      </c>
      <c r="BU642" t="s">
        <v>988</v>
      </c>
      <c r="BV642" t="s">
        <v>98</v>
      </c>
      <c r="BY642">
        <v>1200</v>
      </c>
      <c r="BZ642" t="s">
        <v>89</v>
      </c>
      <c r="CA642" t="s">
        <v>989</v>
      </c>
      <c r="CC642" t="s">
        <v>146</v>
      </c>
      <c r="CD642">
        <v>7646</v>
      </c>
      <c r="CE642" t="s">
        <v>239</v>
      </c>
      <c r="CF642" s="3">
        <v>45847</v>
      </c>
      <c r="CI642">
        <v>1</v>
      </c>
      <c r="CJ642">
        <v>1</v>
      </c>
      <c r="CK642">
        <v>23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"080066402561"</f>
        <v>080066402561</v>
      </c>
      <c r="F643" s="3">
        <v>45845</v>
      </c>
      <c r="G643">
        <v>202604</v>
      </c>
      <c r="H643" t="s">
        <v>75</v>
      </c>
      <c r="I643" t="s">
        <v>76</v>
      </c>
      <c r="J643" t="s">
        <v>77</v>
      </c>
      <c r="K643" t="s">
        <v>78</v>
      </c>
      <c r="L643" t="s">
        <v>406</v>
      </c>
      <c r="M643" t="s">
        <v>407</v>
      </c>
      <c r="N643" t="s">
        <v>1308</v>
      </c>
      <c r="O643" t="s">
        <v>82</v>
      </c>
      <c r="P643" t="str">
        <f>"4170047056                    "</f>
        <v xml:space="preserve">4170047056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43.78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137.94</v>
      </c>
      <c r="BM643">
        <v>20.69</v>
      </c>
      <c r="BN643">
        <v>158.63</v>
      </c>
      <c r="BO643">
        <v>158.63</v>
      </c>
      <c r="BQ643" t="s">
        <v>1309</v>
      </c>
      <c r="BR643" t="s">
        <v>84</v>
      </c>
      <c r="BS643" s="3">
        <v>45846</v>
      </c>
      <c r="BT643" s="4">
        <v>0.50277777777777777</v>
      </c>
      <c r="BU643" t="s">
        <v>1285</v>
      </c>
      <c r="BV643" t="s">
        <v>98</v>
      </c>
      <c r="BY643">
        <v>1200</v>
      </c>
      <c r="BZ643" t="s">
        <v>89</v>
      </c>
      <c r="CA643" t="s">
        <v>1286</v>
      </c>
      <c r="CC643" t="s">
        <v>407</v>
      </c>
      <c r="CD643">
        <v>4399</v>
      </c>
      <c r="CE643" t="s">
        <v>239</v>
      </c>
      <c r="CF643" s="3">
        <v>45846</v>
      </c>
      <c r="CI643">
        <v>1</v>
      </c>
      <c r="CJ643">
        <v>1</v>
      </c>
      <c r="CK643">
        <v>23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"080066402626"</f>
        <v>080066402626</v>
      </c>
      <c r="F644" s="3">
        <v>45845</v>
      </c>
      <c r="G644">
        <v>202604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1324</v>
      </c>
      <c r="O644" t="s">
        <v>82</v>
      </c>
      <c r="P644" t="str">
        <f>"4170047142                    "</f>
        <v xml:space="preserve">4170047142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17.649999999999999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55.61</v>
      </c>
      <c r="BM644">
        <v>8.34</v>
      </c>
      <c r="BN644">
        <v>63.95</v>
      </c>
      <c r="BO644">
        <v>63.95</v>
      </c>
      <c r="BQ644" t="s">
        <v>1325</v>
      </c>
      <c r="BR644" t="s">
        <v>84</v>
      </c>
      <c r="BS644" s="3">
        <v>45846</v>
      </c>
      <c r="BT644" s="4">
        <v>0.38958333333333334</v>
      </c>
      <c r="BU644" t="s">
        <v>1387</v>
      </c>
      <c r="BV644" t="s">
        <v>98</v>
      </c>
      <c r="BY644">
        <v>1200</v>
      </c>
      <c r="BZ644" t="s">
        <v>89</v>
      </c>
      <c r="CA644" t="s">
        <v>1247</v>
      </c>
      <c r="CC644" t="s">
        <v>76</v>
      </c>
      <c r="CD644">
        <v>1600</v>
      </c>
      <c r="CE644" t="s">
        <v>239</v>
      </c>
      <c r="CF644" s="3">
        <v>45847</v>
      </c>
      <c r="CI644">
        <v>1</v>
      </c>
      <c r="CJ644">
        <v>1</v>
      </c>
      <c r="CK644">
        <v>22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"080066402675"</f>
        <v>080066402675</v>
      </c>
      <c r="F645" s="3">
        <v>45845</v>
      </c>
      <c r="G645">
        <v>202604</v>
      </c>
      <c r="H645" t="s">
        <v>75</v>
      </c>
      <c r="I645" t="s">
        <v>76</v>
      </c>
      <c r="J645" t="s">
        <v>77</v>
      </c>
      <c r="K645" t="s">
        <v>78</v>
      </c>
      <c r="L645" t="s">
        <v>75</v>
      </c>
      <c r="M645" t="s">
        <v>76</v>
      </c>
      <c r="N645" t="s">
        <v>118</v>
      </c>
      <c r="O645" t="s">
        <v>82</v>
      </c>
      <c r="P645" t="str">
        <f>"4170047171                    "</f>
        <v xml:space="preserve">4170047171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17.649999999999999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55.61</v>
      </c>
      <c r="BM645">
        <v>8.34</v>
      </c>
      <c r="BN645">
        <v>63.95</v>
      </c>
      <c r="BO645">
        <v>63.95</v>
      </c>
      <c r="BQ645" t="s">
        <v>119</v>
      </c>
      <c r="BR645" t="s">
        <v>84</v>
      </c>
      <c r="BS645" s="3">
        <v>45846</v>
      </c>
      <c r="BT645" s="4">
        <v>0.3840277777777778</v>
      </c>
      <c r="BU645" t="s">
        <v>1363</v>
      </c>
      <c r="BV645" t="s">
        <v>98</v>
      </c>
      <c r="BY645">
        <v>1200</v>
      </c>
      <c r="BZ645" t="s">
        <v>89</v>
      </c>
      <c r="CA645" t="s">
        <v>213</v>
      </c>
      <c r="CC645" t="s">
        <v>76</v>
      </c>
      <c r="CD645">
        <v>1600</v>
      </c>
      <c r="CE645" t="s">
        <v>239</v>
      </c>
      <c r="CF645" s="3">
        <v>45846</v>
      </c>
      <c r="CI645">
        <v>1</v>
      </c>
      <c r="CJ645">
        <v>1</v>
      </c>
      <c r="CK645">
        <v>22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"080066402697"</f>
        <v>080066402697</v>
      </c>
      <c r="F646" s="3">
        <v>45845</v>
      </c>
      <c r="G646">
        <v>202604</v>
      </c>
      <c r="H646" t="s">
        <v>75</v>
      </c>
      <c r="I646" t="s">
        <v>76</v>
      </c>
      <c r="J646" t="s">
        <v>77</v>
      </c>
      <c r="K646" t="s">
        <v>78</v>
      </c>
      <c r="L646" t="s">
        <v>122</v>
      </c>
      <c r="M646" t="s">
        <v>123</v>
      </c>
      <c r="N646" t="s">
        <v>357</v>
      </c>
      <c r="O646" t="s">
        <v>82</v>
      </c>
      <c r="P646" t="str">
        <f>"4170047193                    "</f>
        <v xml:space="preserve">4170047193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22.6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71.2</v>
      </c>
      <c r="BM646">
        <v>10.68</v>
      </c>
      <c r="BN646">
        <v>81.88</v>
      </c>
      <c r="BO646">
        <v>81.88</v>
      </c>
      <c r="BQ646" t="s">
        <v>358</v>
      </c>
      <c r="BR646" t="s">
        <v>84</v>
      </c>
      <c r="BS646" s="3">
        <v>45846</v>
      </c>
      <c r="BT646" s="4">
        <v>0.45555555555555555</v>
      </c>
      <c r="BU646" t="s">
        <v>359</v>
      </c>
      <c r="BV646" t="s">
        <v>98</v>
      </c>
      <c r="BY646">
        <v>1200</v>
      </c>
      <c r="BZ646" t="s">
        <v>89</v>
      </c>
      <c r="CA646" t="s">
        <v>1312</v>
      </c>
      <c r="CC646" t="s">
        <v>123</v>
      </c>
      <c r="CD646">
        <v>3610</v>
      </c>
      <c r="CE646" t="s">
        <v>239</v>
      </c>
      <c r="CF646" s="3">
        <v>45846</v>
      </c>
      <c r="CI646">
        <v>1</v>
      </c>
      <c r="CJ646">
        <v>1</v>
      </c>
      <c r="CK646">
        <v>21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"080066402750"</f>
        <v>080066402750</v>
      </c>
      <c r="F647" s="3">
        <v>45845</v>
      </c>
      <c r="G647">
        <v>202604</v>
      </c>
      <c r="H647" t="s">
        <v>75</v>
      </c>
      <c r="I647" t="s">
        <v>76</v>
      </c>
      <c r="J647" t="s">
        <v>77</v>
      </c>
      <c r="K647" t="s">
        <v>78</v>
      </c>
      <c r="L647" t="s">
        <v>111</v>
      </c>
      <c r="M647" t="s">
        <v>112</v>
      </c>
      <c r="N647" t="s">
        <v>884</v>
      </c>
      <c r="O647" t="s">
        <v>82</v>
      </c>
      <c r="P647" t="str">
        <f>"4170047035                    "</f>
        <v xml:space="preserve">4170047035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43.78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137.94</v>
      </c>
      <c r="BM647">
        <v>20.69</v>
      </c>
      <c r="BN647">
        <v>158.63</v>
      </c>
      <c r="BO647">
        <v>158.63</v>
      </c>
      <c r="BQ647" t="s">
        <v>885</v>
      </c>
      <c r="BR647" t="s">
        <v>84</v>
      </c>
      <c r="BS647" s="3">
        <v>45846</v>
      </c>
      <c r="BT647" s="4">
        <v>0.4375</v>
      </c>
      <c r="BU647" t="s">
        <v>886</v>
      </c>
      <c r="BV647" t="s">
        <v>98</v>
      </c>
      <c r="BY647">
        <v>1200</v>
      </c>
      <c r="BZ647" t="s">
        <v>89</v>
      </c>
      <c r="CA647" t="s">
        <v>116</v>
      </c>
      <c r="CC647" t="s">
        <v>112</v>
      </c>
      <c r="CD647">
        <v>1871</v>
      </c>
      <c r="CE647" t="s">
        <v>239</v>
      </c>
      <c r="CF647" s="3">
        <v>45847</v>
      </c>
      <c r="CI647">
        <v>1</v>
      </c>
      <c r="CJ647">
        <v>1</v>
      </c>
      <c r="CK647">
        <v>23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"080066402806"</f>
        <v>080066402806</v>
      </c>
      <c r="F648" s="3">
        <v>45845</v>
      </c>
      <c r="G648">
        <v>202604</v>
      </c>
      <c r="H648" t="s">
        <v>75</v>
      </c>
      <c r="I648" t="s">
        <v>76</v>
      </c>
      <c r="J648" t="s">
        <v>77</v>
      </c>
      <c r="K648" t="s">
        <v>78</v>
      </c>
      <c r="L648" t="s">
        <v>197</v>
      </c>
      <c r="M648" t="s">
        <v>198</v>
      </c>
      <c r="N648" t="s">
        <v>945</v>
      </c>
      <c r="O648" t="s">
        <v>82</v>
      </c>
      <c r="P648" t="str">
        <f>"4170047047                    "</f>
        <v xml:space="preserve">4170047047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17.649999999999999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55.61</v>
      </c>
      <c r="BM648">
        <v>8.34</v>
      </c>
      <c r="BN648">
        <v>63.95</v>
      </c>
      <c r="BO648">
        <v>63.95</v>
      </c>
      <c r="BQ648" t="s">
        <v>946</v>
      </c>
      <c r="BR648" t="s">
        <v>84</v>
      </c>
      <c r="BS648" s="3">
        <v>45846</v>
      </c>
      <c r="BT648" s="4">
        <v>0.35416666666666669</v>
      </c>
      <c r="BU648" t="s">
        <v>1388</v>
      </c>
      <c r="BV648" t="s">
        <v>98</v>
      </c>
      <c r="BY648">
        <v>1200</v>
      </c>
      <c r="BZ648" t="s">
        <v>89</v>
      </c>
      <c r="CA648" t="s">
        <v>948</v>
      </c>
      <c r="CC648" t="s">
        <v>198</v>
      </c>
      <c r="CD648">
        <v>1422</v>
      </c>
      <c r="CE648" t="s">
        <v>239</v>
      </c>
      <c r="CF648" s="3">
        <v>45846</v>
      </c>
      <c r="CI648">
        <v>1</v>
      </c>
      <c r="CJ648">
        <v>1</v>
      </c>
      <c r="CK648">
        <v>22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"080066402837"</f>
        <v>080066402837</v>
      </c>
      <c r="F649" s="3">
        <v>45845</v>
      </c>
      <c r="G649">
        <v>202604</v>
      </c>
      <c r="H649" t="s">
        <v>75</v>
      </c>
      <c r="I649" t="s">
        <v>76</v>
      </c>
      <c r="J649" t="s">
        <v>77</v>
      </c>
      <c r="K649" t="s">
        <v>78</v>
      </c>
      <c r="L649" t="s">
        <v>79</v>
      </c>
      <c r="M649" t="s">
        <v>80</v>
      </c>
      <c r="N649" t="s">
        <v>931</v>
      </c>
      <c r="O649" t="s">
        <v>82</v>
      </c>
      <c r="P649" t="str">
        <f>"4170047076                    "</f>
        <v xml:space="preserve">4170047076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22.6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71.2</v>
      </c>
      <c r="BM649">
        <v>10.68</v>
      </c>
      <c r="BN649">
        <v>81.88</v>
      </c>
      <c r="BO649">
        <v>81.88</v>
      </c>
      <c r="BQ649" t="s">
        <v>932</v>
      </c>
      <c r="BR649" t="s">
        <v>84</v>
      </c>
      <c r="BS649" s="3">
        <v>45846</v>
      </c>
      <c r="BT649" s="4">
        <v>0.39791666666666664</v>
      </c>
      <c r="BU649" t="s">
        <v>1364</v>
      </c>
      <c r="BV649" t="s">
        <v>98</v>
      </c>
      <c r="BY649">
        <v>1200</v>
      </c>
      <c r="BZ649" t="s">
        <v>89</v>
      </c>
      <c r="CA649" t="s">
        <v>934</v>
      </c>
      <c r="CC649" t="s">
        <v>80</v>
      </c>
      <c r="CD649">
        <v>7535</v>
      </c>
      <c r="CE649" t="s">
        <v>214</v>
      </c>
      <c r="CF649" s="3">
        <v>45847</v>
      </c>
      <c r="CI649">
        <v>1</v>
      </c>
      <c r="CJ649">
        <v>1</v>
      </c>
      <c r="CK649">
        <v>21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"080066402889"</f>
        <v>080066402889</v>
      </c>
      <c r="F650" s="3">
        <v>45845</v>
      </c>
      <c r="G650">
        <v>202604</v>
      </c>
      <c r="H650" t="s">
        <v>75</v>
      </c>
      <c r="I650" t="s">
        <v>76</v>
      </c>
      <c r="J650" t="s">
        <v>77</v>
      </c>
      <c r="K650" t="s">
        <v>78</v>
      </c>
      <c r="L650" t="s">
        <v>135</v>
      </c>
      <c r="M650" t="s">
        <v>136</v>
      </c>
      <c r="N650" t="s">
        <v>1149</v>
      </c>
      <c r="O650" t="s">
        <v>82</v>
      </c>
      <c r="P650" t="str">
        <f>"4170047159                    "</f>
        <v xml:space="preserve">4170047159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22.6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71.2</v>
      </c>
      <c r="BM650">
        <v>10.68</v>
      </c>
      <c r="BN650">
        <v>81.88</v>
      </c>
      <c r="BO650">
        <v>81.88</v>
      </c>
      <c r="BQ650" t="s">
        <v>1150</v>
      </c>
      <c r="BR650" t="s">
        <v>84</v>
      </c>
      <c r="BS650" s="3">
        <v>45846</v>
      </c>
      <c r="BT650" s="4">
        <v>0.41666666666666669</v>
      </c>
      <c r="BU650" t="s">
        <v>1389</v>
      </c>
      <c r="BV650" t="s">
        <v>98</v>
      </c>
      <c r="BY650">
        <v>1200</v>
      </c>
      <c r="BZ650" t="s">
        <v>89</v>
      </c>
      <c r="CA650" t="s">
        <v>349</v>
      </c>
      <c r="CC650" t="s">
        <v>136</v>
      </c>
      <c r="CD650">
        <v>3201</v>
      </c>
      <c r="CE650" t="s">
        <v>214</v>
      </c>
      <c r="CF650" s="3">
        <v>45847</v>
      </c>
      <c r="CI650">
        <v>5</v>
      </c>
      <c r="CJ650">
        <v>1</v>
      </c>
      <c r="CK650">
        <v>21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"080066402957"</f>
        <v>080066402957</v>
      </c>
      <c r="F651" s="3">
        <v>45845</v>
      </c>
      <c r="G651">
        <v>202604</v>
      </c>
      <c r="H651" t="s">
        <v>75</v>
      </c>
      <c r="I651" t="s">
        <v>76</v>
      </c>
      <c r="J651" t="s">
        <v>77</v>
      </c>
      <c r="K651" t="s">
        <v>78</v>
      </c>
      <c r="L651" t="s">
        <v>1390</v>
      </c>
      <c r="M651" t="s">
        <v>1391</v>
      </c>
      <c r="N651" t="s">
        <v>1392</v>
      </c>
      <c r="O651" t="s">
        <v>82</v>
      </c>
      <c r="P651" t="str">
        <f>"4170047160                    "</f>
        <v xml:space="preserve">4170047160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43.78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137.94</v>
      </c>
      <c r="BM651">
        <v>20.69</v>
      </c>
      <c r="BN651">
        <v>158.63</v>
      </c>
      <c r="BO651">
        <v>158.63</v>
      </c>
      <c r="BQ651" t="s">
        <v>1393</v>
      </c>
      <c r="BR651" t="s">
        <v>84</v>
      </c>
      <c r="BS651" s="3">
        <v>45846</v>
      </c>
      <c r="BT651" s="4">
        <v>0.5805555555555556</v>
      </c>
      <c r="BU651" t="s">
        <v>1394</v>
      </c>
      <c r="BV651" t="s">
        <v>86</v>
      </c>
      <c r="BW651" t="s">
        <v>1395</v>
      </c>
      <c r="BX651" t="s">
        <v>1396</v>
      </c>
      <c r="BY651">
        <v>1200</v>
      </c>
      <c r="BZ651" t="s">
        <v>89</v>
      </c>
      <c r="CA651" t="s">
        <v>1397</v>
      </c>
      <c r="CC651" t="s">
        <v>1391</v>
      </c>
      <c r="CD651" s="5" t="s">
        <v>1398</v>
      </c>
      <c r="CE651" t="s">
        <v>239</v>
      </c>
      <c r="CF651" s="3">
        <v>45847</v>
      </c>
      <c r="CI651">
        <v>1</v>
      </c>
      <c r="CJ651">
        <v>1</v>
      </c>
      <c r="CK651">
        <v>23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"080066403011"</f>
        <v>080066403011</v>
      </c>
      <c r="F652" s="3">
        <v>45845</v>
      </c>
      <c r="G652">
        <v>202604</v>
      </c>
      <c r="H652" t="s">
        <v>75</v>
      </c>
      <c r="I652" t="s">
        <v>76</v>
      </c>
      <c r="J652" t="s">
        <v>77</v>
      </c>
      <c r="K652" t="s">
        <v>78</v>
      </c>
      <c r="L652" t="s">
        <v>252</v>
      </c>
      <c r="M652" t="s">
        <v>253</v>
      </c>
      <c r="N652" t="s">
        <v>254</v>
      </c>
      <c r="O652" t="s">
        <v>82</v>
      </c>
      <c r="P652" t="str">
        <f>"4170047181                    "</f>
        <v xml:space="preserve">4170047181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43.78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137.94</v>
      </c>
      <c r="BM652">
        <v>20.69</v>
      </c>
      <c r="BN652">
        <v>158.63</v>
      </c>
      <c r="BO652">
        <v>158.63</v>
      </c>
      <c r="BQ652" t="s">
        <v>255</v>
      </c>
      <c r="BR652" t="s">
        <v>84</v>
      </c>
      <c r="BS652" s="3">
        <v>45846</v>
      </c>
      <c r="BT652" s="4">
        <v>0.38541666666666669</v>
      </c>
      <c r="BU652" t="s">
        <v>1399</v>
      </c>
      <c r="BV652" t="s">
        <v>98</v>
      </c>
      <c r="BY652">
        <v>1200</v>
      </c>
      <c r="BZ652" t="s">
        <v>89</v>
      </c>
      <c r="CC652" t="s">
        <v>253</v>
      </c>
      <c r="CD652">
        <v>1947</v>
      </c>
      <c r="CE652" t="s">
        <v>239</v>
      </c>
      <c r="CF652" s="3">
        <v>45846</v>
      </c>
      <c r="CI652">
        <v>1</v>
      </c>
      <c r="CJ652">
        <v>1</v>
      </c>
      <c r="CK652">
        <v>23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"080066403628"</f>
        <v>080066403628</v>
      </c>
      <c r="F653" s="3">
        <v>45845</v>
      </c>
      <c r="G653">
        <v>202604</v>
      </c>
      <c r="H653" t="s">
        <v>75</v>
      </c>
      <c r="I653" t="s">
        <v>76</v>
      </c>
      <c r="J653" t="s">
        <v>77</v>
      </c>
      <c r="K653" t="s">
        <v>78</v>
      </c>
      <c r="L653" t="s">
        <v>79</v>
      </c>
      <c r="M653" t="s">
        <v>80</v>
      </c>
      <c r="N653" t="s">
        <v>286</v>
      </c>
      <c r="O653" t="s">
        <v>82</v>
      </c>
      <c r="P653" t="str">
        <f>"4170047238                    "</f>
        <v xml:space="preserve">4170047238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22.6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71.2</v>
      </c>
      <c r="BM653">
        <v>10.68</v>
      </c>
      <c r="BN653">
        <v>81.88</v>
      </c>
      <c r="BO653">
        <v>81.88</v>
      </c>
      <c r="BQ653" t="s">
        <v>287</v>
      </c>
      <c r="BR653" t="s">
        <v>84</v>
      </c>
      <c r="BS653" s="3">
        <v>45846</v>
      </c>
      <c r="BT653" s="4">
        <v>0.35486111111111113</v>
      </c>
      <c r="BU653" t="s">
        <v>685</v>
      </c>
      <c r="BV653" t="s">
        <v>98</v>
      </c>
      <c r="BY653">
        <v>1200</v>
      </c>
      <c r="BZ653" t="s">
        <v>89</v>
      </c>
      <c r="CA653" t="s">
        <v>289</v>
      </c>
      <c r="CC653" t="s">
        <v>80</v>
      </c>
      <c r="CD653">
        <v>7530</v>
      </c>
      <c r="CE653" t="s">
        <v>239</v>
      </c>
      <c r="CF653" s="3">
        <v>45847</v>
      </c>
      <c r="CI653">
        <v>1</v>
      </c>
      <c r="CJ653">
        <v>1</v>
      </c>
      <c r="CK653">
        <v>21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"080066403655"</f>
        <v>080066403655</v>
      </c>
      <c r="F654" s="3">
        <v>45845</v>
      </c>
      <c r="G654">
        <v>202604</v>
      </c>
      <c r="H654" t="s">
        <v>75</v>
      </c>
      <c r="I654" t="s">
        <v>76</v>
      </c>
      <c r="J654" t="s">
        <v>77</v>
      </c>
      <c r="K654" t="s">
        <v>78</v>
      </c>
      <c r="L654" t="s">
        <v>151</v>
      </c>
      <c r="M654" t="s">
        <v>152</v>
      </c>
      <c r="N654" t="s">
        <v>153</v>
      </c>
      <c r="O654" t="s">
        <v>82</v>
      </c>
      <c r="P654" t="str">
        <f>"4170047180                    "</f>
        <v xml:space="preserve">4170047180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22.6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71.2</v>
      </c>
      <c r="BM654">
        <v>10.68</v>
      </c>
      <c r="BN654">
        <v>81.88</v>
      </c>
      <c r="BO654">
        <v>81.88</v>
      </c>
      <c r="BQ654" t="s">
        <v>154</v>
      </c>
      <c r="BR654" t="s">
        <v>84</v>
      </c>
      <c r="BS654" s="3">
        <v>45846</v>
      </c>
      <c r="BT654" s="4">
        <v>0.35972222222222222</v>
      </c>
      <c r="BU654" t="s">
        <v>1297</v>
      </c>
      <c r="BV654" t="s">
        <v>98</v>
      </c>
      <c r="BY654">
        <v>1200</v>
      </c>
      <c r="BZ654" t="s">
        <v>89</v>
      </c>
      <c r="CA654" t="s">
        <v>156</v>
      </c>
      <c r="CC654" t="s">
        <v>152</v>
      </c>
      <c r="CD654" s="5" t="s">
        <v>157</v>
      </c>
      <c r="CE654" t="s">
        <v>239</v>
      </c>
      <c r="CF654" s="3">
        <v>45846</v>
      </c>
      <c r="CI654">
        <v>1</v>
      </c>
      <c r="CJ654">
        <v>1</v>
      </c>
      <c r="CK654">
        <v>21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"080066403712"</f>
        <v>080066403712</v>
      </c>
      <c r="F655" s="3">
        <v>45845</v>
      </c>
      <c r="G655">
        <v>202604</v>
      </c>
      <c r="H655" t="s">
        <v>75</v>
      </c>
      <c r="I655" t="s">
        <v>76</v>
      </c>
      <c r="J655" t="s">
        <v>77</v>
      </c>
      <c r="K655" t="s">
        <v>78</v>
      </c>
      <c r="L655" t="s">
        <v>79</v>
      </c>
      <c r="M655" t="s">
        <v>80</v>
      </c>
      <c r="N655" t="s">
        <v>931</v>
      </c>
      <c r="O655" t="s">
        <v>82</v>
      </c>
      <c r="P655" t="str">
        <f>"4170047190                    "</f>
        <v xml:space="preserve">4170047190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22.6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71.2</v>
      </c>
      <c r="BM655">
        <v>10.68</v>
      </c>
      <c r="BN655">
        <v>81.88</v>
      </c>
      <c r="BO655">
        <v>81.88</v>
      </c>
      <c r="BQ655" t="s">
        <v>932</v>
      </c>
      <c r="BR655" t="s">
        <v>84</v>
      </c>
      <c r="BS655" s="3">
        <v>45846</v>
      </c>
      <c r="BT655" s="4">
        <v>0.39791666666666664</v>
      </c>
      <c r="BU655" t="s">
        <v>1364</v>
      </c>
      <c r="BV655" t="s">
        <v>98</v>
      </c>
      <c r="BY655">
        <v>1200</v>
      </c>
      <c r="BZ655" t="s">
        <v>89</v>
      </c>
      <c r="CA655" t="s">
        <v>934</v>
      </c>
      <c r="CC655" t="s">
        <v>80</v>
      </c>
      <c r="CD655">
        <v>7535</v>
      </c>
      <c r="CE655" t="s">
        <v>239</v>
      </c>
      <c r="CF655" s="3">
        <v>45847</v>
      </c>
      <c r="CI655">
        <v>1</v>
      </c>
      <c r="CJ655">
        <v>1</v>
      </c>
      <c r="CK655">
        <v>21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"080066403771"</f>
        <v>080066403771</v>
      </c>
      <c r="F656" s="3">
        <v>45845</v>
      </c>
      <c r="G656">
        <v>202604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562</v>
      </c>
      <c r="O656" t="s">
        <v>82</v>
      </c>
      <c r="P656" t="str">
        <f>"4170047188                    "</f>
        <v xml:space="preserve">4170047188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17.649999999999999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55.61</v>
      </c>
      <c r="BM656">
        <v>8.34</v>
      </c>
      <c r="BN656">
        <v>63.95</v>
      </c>
      <c r="BO656">
        <v>63.95</v>
      </c>
      <c r="BQ656" t="s">
        <v>563</v>
      </c>
      <c r="BR656" t="s">
        <v>84</v>
      </c>
      <c r="BS656" s="3">
        <v>45846</v>
      </c>
      <c r="BT656" s="4">
        <v>0.39930555555555558</v>
      </c>
      <c r="BU656" t="s">
        <v>564</v>
      </c>
      <c r="BV656" t="s">
        <v>98</v>
      </c>
      <c r="BY656">
        <v>1200</v>
      </c>
      <c r="BZ656" t="s">
        <v>89</v>
      </c>
      <c r="CA656" t="s">
        <v>565</v>
      </c>
      <c r="CC656" t="s">
        <v>76</v>
      </c>
      <c r="CD656">
        <v>1619</v>
      </c>
      <c r="CE656" t="s">
        <v>239</v>
      </c>
      <c r="CF656" s="3">
        <v>45847</v>
      </c>
      <c r="CI656">
        <v>1</v>
      </c>
      <c r="CJ656">
        <v>1</v>
      </c>
      <c r="CK656">
        <v>22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"080066403805"</f>
        <v>080066403805</v>
      </c>
      <c r="F657" s="3">
        <v>45845</v>
      </c>
      <c r="G657">
        <v>202604</v>
      </c>
      <c r="H657" t="s">
        <v>75</v>
      </c>
      <c r="I657" t="s">
        <v>76</v>
      </c>
      <c r="J657" t="s">
        <v>77</v>
      </c>
      <c r="K657" t="s">
        <v>78</v>
      </c>
      <c r="L657" t="s">
        <v>92</v>
      </c>
      <c r="M657" t="s">
        <v>93</v>
      </c>
      <c r="N657" t="s">
        <v>291</v>
      </c>
      <c r="O657" t="s">
        <v>82</v>
      </c>
      <c r="P657" t="str">
        <f>"4170047173                    "</f>
        <v xml:space="preserve">4170047173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22.6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71.2</v>
      </c>
      <c r="BM657">
        <v>10.68</v>
      </c>
      <c r="BN657">
        <v>81.88</v>
      </c>
      <c r="BO657">
        <v>81.88</v>
      </c>
      <c r="BQ657" t="s">
        <v>292</v>
      </c>
      <c r="BR657" t="s">
        <v>84</v>
      </c>
      <c r="BS657" s="3">
        <v>45846</v>
      </c>
      <c r="BT657" s="4">
        <v>0.34097222222222223</v>
      </c>
      <c r="BU657" t="s">
        <v>847</v>
      </c>
      <c r="BV657" t="s">
        <v>98</v>
      </c>
      <c r="BY657">
        <v>1200</v>
      </c>
      <c r="BZ657" t="s">
        <v>89</v>
      </c>
      <c r="CA657" t="s">
        <v>294</v>
      </c>
      <c r="CC657" t="s">
        <v>93</v>
      </c>
      <c r="CD657">
        <v>4051</v>
      </c>
      <c r="CE657" t="s">
        <v>239</v>
      </c>
      <c r="CF657" s="3">
        <v>45846</v>
      </c>
      <c r="CI657">
        <v>1</v>
      </c>
      <c r="CJ657">
        <v>1</v>
      </c>
      <c r="CK657">
        <v>21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"080066403874"</f>
        <v>080066403874</v>
      </c>
      <c r="F658" s="3">
        <v>45845</v>
      </c>
      <c r="G658">
        <v>202604</v>
      </c>
      <c r="H658" t="s">
        <v>75</v>
      </c>
      <c r="I658" t="s">
        <v>76</v>
      </c>
      <c r="J658" t="s">
        <v>77</v>
      </c>
      <c r="K658" t="s">
        <v>78</v>
      </c>
      <c r="L658" t="s">
        <v>79</v>
      </c>
      <c r="M658" t="s">
        <v>80</v>
      </c>
      <c r="N658" t="s">
        <v>286</v>
      </c>
      <c r="O658" t="s">
        <v>82</v>
      </c>
      <c r="P658" t="str">
        <f>"4170047066                    "</f>
        <v xml:space="preserve">4170047066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22.6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71.2</v>
      </c>
      <c r="BM658">
        <v>10.68</v>
      </c>
      <c r="BN658">
        <v>81.88</v>
      </c>
      <c r="BO658">
        <v>81.88</v>
      </c>
      <c r="BQ658" t="s">
        <v>287</v>
      </c>
      <c r="BR658" t="s">
        <v>84</v>
      </c>
      <c r="BS658" s="3">
        <v>45846</v>
      </c>
      <c r="BT658" s="4">
        <v>0.35486111111111113</v>
      </c>
      <c r="BU658" t="s">
        <v>685</v>
      </c>
      <c r="BV658" t="s">
        <v>98</v>
      </c>
      <c r="BY658">
        <v>1200</v>
      </c>
      <c r="BZ658" t="s">
        <v>89</v>
      </c>
      <c r="CA658" t="s">
        <v>289</v>
      </c>
      <c r="CC658" t="s">
        <v>80</v>
      </c>
      <c r="CD658">
        <v>7530</v>
      </c>
      <c r="CE658" t="s">
        <v>239</v>
      </c>
      <c r="CF658" s="3">
        <v>45847</v>
      </c>
      <c r="CI658">
        <v>1</v>
      </c>
      <c r="CJ658">
        <v>1</v>
      </c>
      <c r="CK658">
        <v>21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"080066403930"</f>
        <v>080066403930</v>
      </c>
      <c r="F659" s="3">
        <v>45845</v>
      </c>
      <c r="G659">
        <v>202604</v>
      </c>
      <c r="H659" t="s">
        <v>75</v>
      </c>
      <c r="I659" t="s">
        <v>76</v>
      </c>
      <c r="J659" t="s">
        <v>77</v>
      </c>
      <c r="K659" t="s">
        <v>78</v>
      </c>
      <c r="L659" t="s">
        <v>758</v>
      </c>
      <c r="M659" t="s">
        <v>759</v>
      </c>
      <c r="N659" t="s">
        <v>760</v>
      </c>
      <c r="O659" t="s">
        <v>82</v>
      </c>
      <c r="P659" t="str">
        <f>"4170047097                    "</f>
        <v xml:space="preserve">4170047097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43.78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137.94</v>
      </c>
      <c r="BM659">
        <v>20.69</v>
      </c>
      <c r="BN659">
        <v>158.63</v>
      </c>
      <c r="BO659">
        <v>158.63</v>
      </c>
      <c r="BQ659" t="s">
        <v>761</v>
      </c>
      <c r="BR659" t="s">
        <v>84</v>
      </c>
      <c r="BS659" s="3">
        <v>45846</v>
      </c>
      <c r="BT659" s="4">
        <v>0.46041666666666664</v>
      </c>
      <c r="BU659" t="s">
        <v>1259</v>
      </c>
      <c r="BV659" t="s">
        <v>98</v>
      </c>
      <c r="BY659">
        <v>1200</v>
      </c>
      <c r="BZ659" t="s">
        <v>89</v>
      </c>
      <c r="CA659" t="s">
        <v>763</v>
      </c>
      <c r="CC659" t="s">
        <v>759</v>
      </c>
      <c r="CD659">
        <v>2531</v>
      </c>
      <c r="CE659" t="s">
        <v>239</v>
      </c>
      <c r="CF659" s="3">
        <v>45847</v>
      </c>
      <c r="CI659">
        <v>1</v>
      </c>
      <c r="CJ659">
        <v>1</v>
      </c>
      <c r="CK659">
        <v>23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"080066403959"</f>
        <v>080066403959</v>
      </c>
      <c r="F660" s="3">
        <v>45845</v>
      </c>
      <c r="G660">
        <v>202604</v>
      </c>
      <c r="H660" t="s">
        <v>75</v>
      </c>
      <c r="I660" t="s">
        <v>76</v>
      </c>
      <c r="J660" t="s">
        <v>77</v>
      </c>
      <c r="K660" t="s">
        <v>78</v>
      </c>
      <c r="L660" t="s">
        <v>221</v>
      </c>
      <c r="M660" t="s">
        <v>222</v>
      </c>
      <c r="N660" t="s">
        <v>223</v>
      </c>
      <c r="O660" t="s">
        <v>82</v>
      </c>
      <c r="P660" t="str">
        <f>"4170047164                    "</f>
        <v xml:space="preserve">4170047164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43.78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16.739999999999998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154.68</v>
      </c>
      <c r="BM660">
        <v>23.2</v>
      </c>
      <c r="BN660">
        <v>177.88</v>
      </c>
      <c r="BO660">
        <v>177.88</v>
      </c>
      <c r="BQ660" t="s">
        <v>224</v>
      </c>
      <c r="BR660" t="s">
        <v>84</v>
      </c>
      <c r="BS660" s="3">
        <v>45846</v>
      </c>
      <c r="BT660" s="4">
        <v>0.33333333333333331</v>
      </c>
      <c r="BU660" t="s">
        <v>225</v>
      </c>
      <c r="BV660" t="s">
        <v>98</v>
      </c>
      <c r="BY660">
        <v>1200</v>
      </c>
      <c r="BZ660" t="s">
        <v>460</v>
      </c>
      <c r="CC660" t="s">
        <v>222</v>
      </c>
      <c r="CD660">
        <v>2716</v>
      </c>
      <c r="CE660" t="s">
        <v>239</v>
      </c>
      <c r="CF660" s="3">
        <v>45849</v>
      </c>
      <c r="CI660">
        <v>5</v>
      </c>
      <c r="CJ660">
        <v>1</v>
      </c>
      <c r="CK660">
        <v>23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"080066404085"</f>
        <v>080066404085</v>
      </c>
      <c r="F661" s="3">
        <v>45845</v>
      </c>
      <c r="G661">
        <v>202604</v>
      </c>
      <c r="H661" t="s">
        <v>75</v>
      </c>
      <c r="I661" t="s">
        <v>76</v>
      </c>
      <c r="J661" t="s">
        <v>77</v>
      </c>
      <c r="K661" t="s">
        <v>78</v>
      </c>
      <c r="L661" t="s">
        <v>1400</v>
      </c>
      <c r="M661" t="s">
        <v>1401</v>
      </c>
      <c r="N661" t="s">
        <v>1402</v>
      </c>
      <c r="O661" t="s">
        <v>82</v>
      </c>
      <c r="P661" t="str">
        <f>"4170047176                    "</f>
        <v xml:space="preserve">4170047176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43.78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137.94</v>
      </c>
      <c r="BM661">
        <v>20.69</v>
      </c>
      <c r="BN661">
        <v>158.63</v>
      </c>
      <c r="BO661">
        <v>158.63</v>
      </c>
      <c r="BQ661" t="s">
        <v>1403</v>
      </c>
      <c r="BR661" t="s">
        <v>84</v>
      </c>
      <c r="BS661" s="3">
        <v>45846</v>
      </c>
      <c r="BT661" s="4">
        <v>0.59583333333333333</v>
      </c>
      <c r="BU661" t="s">
        <v>1404</v>
      </c>
      <c r="BV661" t="s">
        <v>98</v>
      </c>
      <c r="BY661">
        <v>1200</v>
      </c>
      <c r="BZ661" t="s">
        <v>89</v>
      </c>
      <c r="CA661" t="s">
        <v>1405</v>
      </c>
      <c r="CC661" t="s">
        <v>1401</v>
      </c>
      <c r="CD661">
        <v>4449</v>
      </c>
      <c r="CE661" t="s">
        <v>239</v>
      </c>
      <c r="CF661" s="3">
        <v>45847</v>
      </c>
      <c r="CI661">
        <v>1</v>
      </c>
      <c r="CJ661">
        <v>1</v>
      </c>
      <c r="CK661">
        <v>23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"080066404108"</f>
        <v>080066404108</v>
      </c>
      <c r="F662" s="3">
        <v>45845</v>
      </c>
      <c r="G662">
        <v>202604</v>
      </c>
      <c r="H662" t="s">
        <v>75</v>
      </c>
      <c r="I662" t="s">
        <v>76</v>
      </c>
      <c r="J662" t="s">
        <v>77</v>
      </c>
      <c r="K662" t="s">
        <v>78</v>
      </c>
      <c r="L662" t="s">
        <v>79</v>
      </c>
      <c r="M662" t="s">
        <v>80</v>
      </c>
      <c r="N662" t="s">
        <v>1050</v>
      </c>
      <c r="O662" t="s">
        <v>82</v>
      </c>
      <c r="P662" t="str">
        <f>"4170047144                    "</f>
        <v xml:space="preserve">4170047144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22.6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71.2</v>
      </c>
      <c r="BM662">
        <v>10.68</v>
      </c>
      <c r="BN662">
        <v>81.88</v>
      </c>
      <c r="BO662">
        <v>81.88</v>
      </c>
      <c r="BQ662" t="s">
        <v>1051</v>
      </c>
      <c r="BR662" t="s">
        <v>84</v>
      </c>
      <c r="BS662" s="3">
        <v>45846</v>
      </c>
      <c r="BT662" s="4">
        <v>0.64513888888888893</v>
      </c>
      <c r="BU662" t="s">
        <v>1276</v>
      </c>
      <c r="BV662" t="s">
        <v>86</v>
      </c>
      <c r="BW662" t="s">
        <v>87</v>
      </c>
      <c r="BX662" t="s">
        <v>1277</v>
      </c>
      <c r="BY662">
        <v>1200</v>
      </c>
      <c r="BZ662" t="s">
        <v>89</v>
      </c>
      <c r="CC662" t="s">
        <v>80</v>
      </c>
      <c r="CD662">
        <v>7490</v>
      </c>
      <c r="CE662" t="s">
        <v>239</v>
      </c>
      <c r="CF662" s="3">
        <v>45847</v>
      </c>
      <c r="CI662">
        <v>1</v>
      </c>
      <c r="CJ662">
        <v>1</v>
      </c>
      <c r="CK662">
        <v>21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"080066404147"</f>
        <v>080066404147</v>
      </c>
      <c r="F663" s="3">
        <v>45845</v>
      </c>
      <c r="G663">
        <v>202604</v>
      </c>
      <c r="H663" t="s">
        <v>75</v>
      </c>
      <c r="I663" t="s">
        <v>76</v>
      </c>
      <c r="J663" t="s">
        <v>77</v>
      </c>
      <c r="K663" t="s">
        <v>78</v>
      </c>
      <c r="L663" t="s">
        <v>452</v>
      </c>
      <c r="M663" t="s">
        <v>453</v>
      </c>
      <c r="N663" t="s">
        <v>968</v>
      </c>
      <c r="O663" t="s">
        <v>95</v>
      </c>
      <c r="P663" t="str">
        <f>"4170047221                    "</f>
        <v xml:space="preserve">4170047221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33.72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3</v>
      </c>
      <c r="BJ663">
        <v>1.4</v>
      </c>
      <c r="BK663">
        <v>3</v>
      </c>
      <c r="BL663">
        <v>112.11</v>
      </c>
      <c r="BM663">
        <v>16.82</v>
      </c>
      <c r="BN663">
        <v>128.93</v>
      </c>
      <c r="BO663">
        <v>128.93</v>
      </c>
      <c r="BQ663" t="s">
        <v>1098</v>
      </c>
      <c r="BR663" t="s">
        <v>84</v>
      </c>
      <c r="BS663" s="3">
        <v>45846</v>
      </c>
      <c r="BT663" s="4">
        <v>0.41666666666666669</v>
      </c>
      <c r="BU663" t="s">
        <v>1406</v>
      </c>
      <c r="BV663" t="s">
        <v>98</v>
      </c>
      <c r="BY663">
        <v>6840</v>
      </c>
      <c r="BZ663" t="s">
        <v>99</v>
      </c>
      <c r="CA663" t="s">
        <v>873</v>
      </c>
      <c r="CC663" t="s">
        <v>453</v>
      </c>
      <c r="CD663">
        <v>1559</v>
      </c>
      <c r="CE663" t="s">
        <v>1303</v>
      </c>
      <c r="CF663" s="3">
        <v>45846</v>
      </c>
      <c r="CI663">
        <v>1</v>
      </c>
      <c r="CJ663">
        <v>1</v>
      </c>
      <c r="CK663">
        <v>42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"080066404194"</f>
        <v>080066404194</v>
      </c>
      <c r="F664" s="3">
        <v>45845</v>
      </c>
      <c r="G664">
        <v>202604</v>
      </c>
      <c r="H664" t="s">
        <v>75</v>
      </c>
      <c r="I664" t="s">
        <v>76</v>
      </c>
      <c r="J664" t="s">
        <v>77</v>
      </c>
      <c r="K664" t="s">
        <v>78</v>
      </c>
      <c r="L664" t="s">
        <v>758</v>
      </c>
      <c r="M664" t="s">
        <v>759</v>
      </c>
      <c r="N664" t="s">
        <v>760</v>
      </c>
      <c r="O664" t="s">
        <v>82</v>
      </c>
      <c r="P664" t="str">
        <f>"4170047112                    "</f>
        <v xml:space="preserve">4170047112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142.63999999999999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7</v>
      </c>
      <c r="BJ664">
        <v>5.3</v>
      </c>
      <c r="BK664">
        <v>7</v>
      </c>
      <c r="BL664">
        <v>449.4</v>
      </c>
      <c r="BM664">
        <v>67.41</v>
      </c>
      <c r="BN664">
        <v>516.80999999999995</v>
      </c>
      <c r="BO664">
        <v>516.80999999999995</v>
      </c>
      <c r="BQ664" t="s">
        <v>761</v>
      </c>
      <c r="BR664" t="s">
        <v>84</v>
      </c>
      <c r="BS664" s="3">
        <v>45846</v>
      </c>
      <c r="BT664" s="4">
        <v>0.45833333333333331</v>
      </c>
      <c r="BU664" t="s">
        <v>762</v>
      </c>
      <c r="BV664" t="s">
        <v>98</v>
      </c>
      <c r="BY664">
        <v>26400</v>
      </c>
      <c r="BZ664" t="s">
        <v>89</v>
      </c>
      <c r="CA664" t="s">
        <v>763</v>
      </c>
      <c r="CC664" t="s">
        <v>759</v>
      </c>
      <c r="CD664">
        <v>2531</v>
      </c>
      <c r="CE664" t="s">
        <v>91</v>
      </c>
      <c r="CF664" s="3">
        <v>45847</v>
      </c>
      <c r="CI664">
        <v>1</v>
      </c>
      <c r="CJ664">
        <v>1</v>
      </c>
      <c r="CK664">
        <v>23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"080066404224"</f>
        <v>080066404224</v>
      </c>
      <c r="F665" s="3">
        <v>45845</v>
      </c>
      <c r="G665">
        <v>202604</v>
      </c>
      <c r="H665" t="s">
        <v>75</v>
      </c>
      <c r="I665" t="s">
        <v>76</v>
      </c>
      <c r="J665" t="s">
        <v>77</v>
      </c>
      <c r="K665" t="s">
        <v>78</v>
      </c>
      <c r="L665" t="s">
        <v>542</v>
      </c>
      <c r="M665" t="s">
        <v>543</v>
      </c>
      <c r="N665" t="s">
        <v>352</v>
      </c>
      <c r="O665" t="s">
        <v>82</v>
      </c>
      <c r="P665" t="str">
        <f>"4170047145                    "</f>
        <v xml:space="preserve">4170047145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17.649999999999999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6</v>
      </c>
      <c r="BJ665">
        <v>3.4</v>
      </c>
      <c r="BK665">
        <v>6</v>
      </c>
      <c r="BL665">
        <v>55.61</v>
      </c>
      <c r="BM665">
        <v>8.34</v>
      </c>
      <c r="BN665">
        <v>63.95</v>
      </c>
      <c r="BO665">
        <v>63.95</v>
      </c>
      <c r="BQ665" t="s">
        <v>353</v>
      </c>
      <c r="BR665" t="s">
        <v>84</v>
      </c>
      <c r="BS665" s="3">
        <v>45846</v>
      </c>
      <c r="BT665" s="4">
        <v>0.37291666666666667</v>
      </c>
      <c r="BU665" t="s">
        <v>1407</v>
      </c>
      <c r="BV665" t="s">
        <v>98</v>
      </c>
      <c r="BY665">
        <v>16965</v>
      </c>
      <c r="BZ665" t="s">
        <v>89</v>
      </c>
      <c r="CA665" t="s">
        <v>748</v>
      </c>
      <c r="CC665" t="s">
        <v>543</v>
      </c>
      <c r="CD665">
        <v>1451</v>
      </c>
      <c r="CE665" t="s">
        <v>117</v>
      </c>
      <c r="CF665" s="3">
        <v>45847</v>
      </c>
      <c r="CI665">
        <v>1</v>
      </c>
      <c r="CJ665">
        <v>1</v>
      </c>
      <c r="CK665">
        <v>22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"080066404275"</f>
        <v>080066404275</v>
      </c>
      <c r="F666" s="3">
        <v>45845</v>
      </c>
      <c r="G666">
        <v>202604</v>
      </c>
      <c r="H666" t="s">
        <v>75</v>
      </c>
      <c r="I666" t="s">
        <v>76</v>
      </c>
      <c r="J666" t="s">
        <v>77</v>
      </c>
      <c r="K666" t="s">
        <v>78</v>
      </c>
      <c r="L666" t="s">
        <v>79</v>
      </c>
      <c r="M666" t="s">
        <v>80</v>
      </c>
      <c r="N666" t="s">
        <v>1083</v>
      </c>
      <c r="O666" t="s">
        <v>82</v>
      </c>
      <c r="P666" t="str">
        <f>"4170047237                    "</f>
        <v xml:space="preserve">4170047237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22.6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1.1000000000000001</v>
      </c>
      <c r="BK666">
        <v>2</v>
      </c>
      <c r="BL666">
        <v>71.2</v>
      </c>
      <c r="BM666">
        <v>10.68</v>
      </c>
      <c r="BN666">
        <v>81.88</v>
      </c>
      <c r="BO666">
        <v>81.88</v>
      </c>
      <c r="BQ666" t="s">
        <v>1084</v>
      </c>
      <c r="BR666" t="s">
        <v>84</v>
      </c>
      <c r="BS666" s="3">
        <v>45846</v>
      </c>
      <c r="BT666" s="4">
        <v>0.41805555555555557</v>
      </c>
      <c r="BU666" t="s">
        <v>1184</v>
      </c>
      <c r="BV666" t="s">
        <v>98</v>
      </c>
      <c r="BY666">
        <v>5320</v>
      </c>
      <c r="BZ666" t="s">
        <v>89</v>
      </c>
      <c r="CC666" t="s">
        <v>80</v>
      </c>
      <c r="CD666">
        <v>8001</v>
      </c>
      <c r="CE666" t="s">
        <v>117</v>
      </c>
      <c r="CF666" s="3">
        <v>45847</v>
      </c>
      <c r="CI666">
        <v>1</v>
      </c>
      <c r="CJ666">
        <v>1</v>
      </c>
      <c r="CK666">
        <v>21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"080066404324"</f>
        <v>080066404324</v>
      </c>
      <c r="F667" s="3">
        <v>45845</v>
      </c>
      <c r="G667">
        <v>202604</v>
      </c>
      <c r="H667" t="s">
        <v>75</v>
      </c>
      <c r="I667" t="s">
        <v>76</v>
      </c>
      <c r="J667" t="s">
        <v>77</v>
      </c>
      <c r="K667" t="s">
        <v>78</v>
      </c>
      <c r="L667" t="s">
        <v>79</v>
      </c>
      <c r="M667" t="s">
        <v>80</v>
      </c>
      <c r="N667" t="s">
        <v>1083</v>
      </c>
      <c r="O667" t="s">
        <v>82</v>
      </c>
      <c r="P667" t="str">
        <f>"4170047071                    "</f>
        <v xml:space="preserve">4170047071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22.6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2</v>
      </c>
      <c r="BJ667">
        <v>1.1000000000000001</v>
      </c>
      <c r="BK667">
        <v>2</v>
      </c>
      <c r="BL667">
        <v>71.2</v>
      </c>
      <c r="BM667">
        <v>10.68</v>
      </c>
      <c r="BN667">
        <v>81.88</v>
      </c>
      <c r="BO667">
        <v>81.88</v>
      </c>
      <c r="BQ667" t="s">
        <v>1084</v>
      </c>
      <c r="BR667" t="s">
        <v>84</v>
      </c>
      <c r="BS667" s="3">
        <v>45846</v>
      </c>
      <c r="BT667" s="4">
        <v>0.41805555555555557</v>
      </c>
      <c r="BU667" t="s">
        <v>1184</v>
      </c>
      <c r="BV667" t="s">
        <v>98</v>
      </c>
      <c r="BY667">
        <v>5320</v>
      </c>
      <c r="BZ667" t="s">
        <v>89</v>
      </c>
      <c r="CC667" t="s">
        <v>80</v>
      </c>
      <c r="CD667">
        <v>8001</v>
      </c>
      <c r="CE667" t="s">
        <v>145</v>
      </c>
      <c r="CF667" s="3">
        <v>45847</v>
      </c>
      <c r="CI667">
        <v>1</v>
      </c>
      <c r="CJ667">
        <v>1</v>
      </c>
      <c r="CK667">
        <v>21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"080066404379"</f>
        <v>080066404379</v>
      </c>
      <c r="F668" s="3">
        <v>45845</v>
      </c>
      <c r="G668">
        <v>202604</v>
      </c>
      <c r="H668" t="s">
        <v>75</v>
      </c>
      <c r="I668" t="s">
        <v>76</v>
      </c>
      <c r="J668" t="s">
        <v>77</v>
      </c>
      <c r="K668" t="s">
        <v>78</v>
      </c>
      <c r="L668" t="s">
        <v>554</v>
      </c>
      <c r="M668" t="s">
        <v>555</v>
      </c>
      <c r="N668" t="s">
        <v>556</v>
      </c>
      <c r="O668" t="s">
        <v>95</v>
      </c>
      <c r="P668" t="str">
        <f>"4170047014                    "</f>
        <v xml:space="preserve">4170047014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43.7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1.9</v>
      </c>
      <c r="BK668">
        <v>4</v>
      </c>
      <c r="BL668">
        <v>143.55000000000001</v>
      </c>
      <c r="BM668">
        <v>21.53</v>
      </c>
      <c r="BN668">
        <v>165.08</v>
      </c>
      <c r="BO668">
        <v>165.08</v>
      </c>
      <c r="BQ668" t="s">
        <v>557</v>
      </c>
      <c r="BR668" t="s">
        <v>84</v>
      </c>
      <c r="BS668" s="3">
        <v>45846</v>
      </c>
      <c r="BT668" s="4">
        <v>0.39513888888888887</v>
      </c>
      <c r="BU668" t="s">
        <v>558</v>
      </c>
      <c r="BV668" t="s">
        <v>98</v>
      </c>
      <c r="BY668">
        <v>9600</v>
      </c>
      <c r="BZ668" t="s">
        <v>99</v>
      </c>
      <c r="CA668" t="s">
        <v>559</v>
      </c>
      <c r="CC668" t="s">
        <v>555</v>
      </c>
      <c r="CD668" s="5" t="s">
        <v>560</v>
      </c>
      <c r="CE668" t="s">
        <v>117</v>
      </c>
      <c r="CF668" s="3">
        <v>45846</v>
      </c>
      <c r="CI668">
        <v>1</v>
      </c>
      <c r="CJ668">
        <v>1</v>
      </c>
      <c r="CK668">
        <v>41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"080066404443"</f>
        <v>080066404443</v>
      </c>
      <c r="F669" s="3">
        <v>45845</v>
      </c>
      <c r="G669">
        <v>202604</v>
      </c>
      <c r="H669" t="s">
        <v>75</v>
      </c>
      <c r="I669" t="s">
        <v>76</v>
      </c>
      <c r="J669" t="s">
        <v>77</v>
      </c>
      <c r="K669" t="s">
        <v>78</v>
      </c>
      <c r="L669" t="s">
        <v>75</v>
      </c>
      <c r="M669" t="s">
        <v>76</v>
      </c>
      <c r="N669" t="s">
        <v>809</v>
      </c>
      <c r="O669" t="s">
        <v>82</v>
      </c>
      <c r="P669" t="str">
        <f>"4170047078                    "</f>
        <v xml:space="preserve">4170047078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17.649999999999999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5</v>
      </c>
      <c r="BJ669">
        <v>2.1</v>
      </c>
      <c r="BK669">
        <v>5</v>
      </c>
      <c r="BL669">
        <v>55.61</v>
      </c>
      <c r="BM669">
        <v>8.34</v>
      </c>
      <c r="BN669">
        <v>63.95</v>
      </c>
      <c r="BO669">
        <v>63.95</v>
      </c>
      <c r="BQ669" t="s">
        <v>810</v>
      </c>
      <c r="BR669" t="s">
        <v>84</v>
      </c>
      <c r="BS669" s="3">
        <v>45846</v>
      </c>
      <c r="BT669" s="4">
        <v>0.36041666666666666</v>
      </c>
      <c r="BU669" t="s">
        <v>1227</v>
      </c>
      <c r="BV669" t="s">
        <v>98</v>
      </c>
      <c r="BY669">
        <v>10584</v>
      </c>
      <c r="BZ669" t="s">
        <v>89</v>
      </c>
      <c r="CA669" t="s">
        <v>883</v>
      </c>
      <c r="CC669" t="s">
        <v>76</v>
      </c>
      <c r="CD669">
        <v>1666</v>
      </c>
      <c r="CE669" t="s">
        <v>91</v>
      </c>
      <c r="CF669" s="3">
        <v>45846</v>
      </c>
      <c r="CI669">
        <v>1</v>
      </c>
      <c r="CJ669">
        <v>1</v>
      </c>
      <c r="CK669">
        <v>22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"080066404497"</f>
        <v>080066404497</v>
      </c>
      <c r="F670" s="3">
        <v>45845</v>
      </c>
      <c r="G670">
        <v>202604</v>
      </c>
      <c r="H670" t="s">
        <v>75</v>
      </c>
      <c r="I670" t="s">
        <v>76</v>
      </c>
      <c r="J670" t="s">
        <v>77</v>
      </c>
      <c r="K670" t="s">
        <v>78</v>
      </c>
      <c r="L670" t="s">
        <v>1408</v>
      </c>
      <c r="M670" t="s">
        <v>1409</v>
      </c>
      <c r="N670" t="s">
        <v>1410</v>
      </c>
      <c r="O670" t="s">
        <v>82</v>
      </c>
      <c r="P670" t="str">
        <f>"4170047137                    "</f>
        <v xml:space="preserve">4170047137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63.56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3</v>
      </c>
      <c r="BJ670">
        <v>2.1</v>
      </c>
      <c r="BK670">
        <v>3</v>
      </c>
      <c r="BL670">
        <v>200.24</v>
      </c>
      <c r="BM670">
        <v>30.04</v>
      </c>
      <c r="BN670">
        <v>230.28</v>
      </c>
      <c r="BO670">
        <v>230.28</v>
      </c>
      <c r="BQ670" t="s">
        <v>1411</v>
      </c>
      <c r="BR670" t="s">
        <v>84</v>
      </c>
      <c r="BS670" s="3">
        <v>45846</v>
      </c>
      <c r="BT670" s="4">
        <v>0.40277777777777779</v>
      </c>
      <c r="BU670" t="s">
        <v>1412</v>
      </c>
      <c r="BV670" t="s">
        <v>98</v>
      </c>
      <c r="BY670">
        <v>10584</v>
      </c>
      <c r="BZ670" t="s">
        <v>89</v>
      </c>
      <c r="CA670" t="s">
        <v>1413</v>
      </c>
      <c r="CC670" t="s">
        <v>1409</v>
      </c>
      <c r="CD670">
        <v>2309</v>
      </c>
      <c r="CE670" t="s">
        <v>91</v>
      </c>
      <c r="CF670" s="3">
        <v>45846</v>
      </c>
      <c r="CI670">
        <v>1</v>
      </c>
      <c r="CJ670">
        <v>1</v>
      </c>
      <c r="CK670">
        <v>23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"080066404535"</f>
        <v>080066404535</v>
      </c>
      <c r="F671" s="3">
        <v>45845</v>
      </c>
      <c r="G671">
        <v>202604</v>
      </c>
      <c r="H671" t="s">
        <v>75</v>
      </c>
      <c r="I671" t="s">
        <v>76</v>
      </c>
      <c r="J671" t="s">
        <v>77</v>
      </c>
      <c r="K671" t="s">
        <v>78</v>
      </c>
      <c r="L671" t="s">
        <v>92</v>
      </c>
      <c r="M671" t="s">
        <v>93</v>
      </c>
      <c r="N671" t="s">
        <v>291</v>
      </c>
      <c r="O671" t="s">
        <v>95</v>
      </c>
      <c r="P671" t="str">
        <f>"4170047135                    "</f>
        <v xml:space="preserve">4170047135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52.72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19</v>
      </c>
      <c r="BJ671">
        <v>19.399999999999999</v>
      </c>
      <c r="BK671">
        <v>20</v>
      </c>
      <c r="BL671">
        <v>171.97</v>
      </c>
      <c r="BM671">
        <v>25.8</v>
      </c>
      <c r="BN671">
        <v>197.77</v>
      </c>
      <c r="BO671">
        <v>197.77</v>
      </c>
      <c r="BQ671" t="s">
        <v>292</v>
      </c>
      <c r="BR671" t="s">
        <v>84</v>
      </c>
      <c r="BS671" s="3">
        <v>45846</v>
      </c>
      <c r="BT671" s="4">
        <v>0.42222222222222222</v>
      </c>
      <c r="BU671" t="s">
        <v>847</v>
      </c>
      <c r="BV671" t="s">
        <v>98</v>
      </c>
      <c r="BY671">
        <v>97200</v>
      </c>
      <c r="BZ671" t="s">
        <v>99</v>
      </c>
      <c r="CA671" t="s">
        <v>1104</v>
      </c>
      <c r="CC671" t="s">
        <v>93</v>
      </c>
      <c r="CD671">
        <v>4051</v>
      </c>
      <c r="CE671" t="s">
        <v>1377</v>
      </c>
      <c r="CF671" s="3">
        <v>45846</v>
      </c>
      <c r="CI671">
        <v>1</v>
      </c>
      <c r="CJ671">
        <v>1</v>
      </c>
      <c r="CK671">
        <v>41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"080066404581"</f>
        <v>080066404581</v>
      </c>
      <c r="F672" s="3">
        <v>45845</v>
      </c>
      <c r="G672">
        <v>202604</v>
      </c>
      <c r="H672" t="s">
        <v>75</v>
      </c>
      <c r="I672" t="s">
        <v>76</v>
      </c>
      <c r="J672" t="s">
        <v>77</v>
      </c>
      <c r="K672" t="s">
        <v>78</v>
      </c>
      <c r="L672" t="s">
        <v>305</v>
      </c>
      <c r="M672" t="s">
        <v>306</v>
      </c>
      <c r="N672" t="s">
        <v>1320</v>
      </c>
      <c r="O672" t="s">
        <v>82</v>
      </c>
      <c r="P672" t="str">
        <f>"4170047139                    "</f>
        <v xml:space="preserve">4170047139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22.6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1.9</v>
      </c>
      <c r="BK672">
        <v>2</v>
      </c>
      <c r="BL672">
        <v>71.2</v>
      </c>
      <c r="BM672">
        <v>10.68</v>
      </c>
      <c r="BN672">
        <v>81.88</v>
      </c>
      <c r="BO672">
        <v>81.88</v>
      </c>
      <c r="BQ672" t="s">
        <v>308</v>
      </c>
      <c r="BR672" t="s">
        <v>84</v>
      </c>
      <c r="BS672" s="3">
        <v>45846</v>
      </c>
      <c r="BT672" s="4">
        <v>0.4375</v>
      </c>
      <c r="BU672" t="s">
        <v>1378</v>
      </c>
      <c r="BV672" t="s">
        <v>98</v>
      </c>
      <c r="BY672">
        <v>9600</v>
      </c>
      <c r="BZ672" t="s">
        <v>89</v>
      </c>
      <c r="CA672" t="s">
        <v>310</v>
      </c>
      <c r="CC672" t="s">
        <v>306</v>
      </c>
      <c r="CD672">
        <v>5201</v>
      </c>
      <c r="CE672" t="s">
        <v>117</v>
      </c>
      <c r="CF672" s="3">
        <v>45846</v>
      </c>
      <c r="CI672">
        <v>1</v>
      </c>
      <c r="CJ672">
        <v>1</v>
      </c>
      <c r="CK672">
        <v>21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"080066405296"</f>
        <v>080066405296</v>
      </c>
      <c r="F673" s="3">
        <v>45845</v>
      </c>
      <c r="G673">
        <v>202604</v>
      </c>
      <c r="H673" t="s">
        <v>75</v>
      </c>
      <c r="I673" t="s">
        <v>76</v>
      </c>
      <c r="J673" t="s">
        <v>77</v>
      </c>
      <c r="K673" t="s">
        <v>78</v>
      </c>
      <c r="L673" t="s">
        <v>79</v>
      </c>
      <c r="M673" t="s">
        <v>80</v>
      </c>
      <c r="N673" t="s">
        <v>492</v>
      </c>
      <c r="O673" t="s">
        <v>82</v>
      </c>
      <c r="P673" t="str">
        <f>"4170047234                    "</f>
        <v xml:space="preserve">4170047234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22.6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71.2</v>
      </c>
      <c r="BM673">
        <v>10.68</v>
      </c>
      <c r="BN673">
        <v>81.88</v>
      </c>
      <c r="BO673">
        <v>81.88</v>
      </c>
      <c r="BQ673" t="s">
        <v>493</v>
      </c>
      <c r="BR673" t="s">
        <v>84</v>
      </c>
      <c r="BS673" s="3">
        <v>45846</v>
      </c>
      <c r="BT673" s="4">
        <v>0.42499999999999999</v>
      </c>
      <c r="BU673" t="s">
        <v>494</v>
      </c>
      <c r="BV673" t="s">
        <v>98</v>
      </c>
      <c r="BY673">
        <v>1200</v>
      </c>
      <c r="BZ673" t="s">
        <v>89</v>
      </c>
      <c r="CA673" t="s">
        <v>495</v>
      </c>
      <c r="CC673" t="s">
        <v>80</v>
      </c>
      <c r="CD673">
        <v>7800</v>
      </c>
      <c r="CE673" t="s">
        <v>239</v>
      </c>
      <c r="CF673" s="3">
        <v>45847</v>
      </c>
      <c r="CI673">
        <v>1</v>
      </c>
      <c r="CJ673">
        <v>1</v>
      </c>
      <c r="CK673">
        <v>21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"080066405304"</f>
        <v>080066405304</v>
      </c>
      <c r="F674" s="3">
        <v>45845</v>
      </c>
      <c r="G674">
        <v>202604</v>
      </c>
      <c r="H674" t="s">
        <v>75</v>
      </c>
      <c r="I674" t="s">
        <v>76</v>
      </c>
      <c r="J674" t="s">
        <v>77</v>
      </c>
      <c r="K674" t="s">
        <v>78</v>
      </c>
      <c r="L674" t="s">
        <v>79</v>
      </c>
      <c r="M674" t="s">
        <v>80</v>
      </c>
      <c r="N674" t="s">
        <v>1414</v>
      </c>
      <c r="O674" t="s">
        <v>82</v>
      </c>
      <c r="P674" t="str">
        <f>"4170047169                    "</f>
        <v xml:space="preserve">4170047169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22.6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71.2</v>
      </c>
      <c r="BM674">
        <v>10.68</v>
      </c>
      <c r="BN674">
        <v>81.88</v>
      </c>
      <c r="BO674">
        <v>81.88</v>
      </c>
      <c r="BQ674" t="s">
        <v>1415</v>
      </c>
      <c r="BR674" t="s">
        <v>84</v>
      </c>
      <c r="BS674" s="3">
        <v>45846</v>
      </c>
      <c r="BT674" s="4">
        <v>0.50763888888888886</v>
      </c>
      <c r="BU674" t="s">
        <v>1416</v>
      </c>
      <c r="BV674" t="s">
        <v>86</v>
      </c>
      <c r="BY674">
        <v>1200</v>
      </c>
      <c r="BZ674" t="s">
        <v>89</v>
      </c>
      <c r="CA674" t="s">
        <v>1417</v>
      </c>
      <c r="CC674" t="s">
        <v>80</v>
      </c>
      <c r="CD674">
        <v>7460</v>
      </c>
      <c r="CE674" t="s">
        <v>239</v>
      </c>
      <c r="CF674" s="3">
        <v>45847</v>
      </c>
      <c r="CI674">
        <v>1</v>
      </c>
      <c r="CJ674">
        <v>1</v>
      </c>
      <c r="CK674">
        <v>21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"080066405322"</f>
        <v>080066405322</v>
      </c>
      <c r="F675" s="3">
        <v>45845</v>
      </c>
      <c r="G675">
        <v>202604</v>
      </c>
      <c r="H675" t="s">
        <v>75</v>
      </c>
      <c r="I675" t="s">
        <v>76</v>
      </c>
      <c r="J675" t="s">
        <v>77</v>
      </c>
      <c r="K675" t="s">
        <v>78</v>
      </c>
      <c r="L675" t="s">
        <v>168</v>
      </c>
      <c r="M675" t="s">
        <v>169</v>
      </c>
      <c r="N675" t="s">
        <v>202</v>
      </c>
      <c r="O675" t="s">
        <v>82</v>
      </c>
      <c r="P675" t="str">
        <f>"4170047248                    "</f>
        <v xml:space="preserve">4170047248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22.6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71.2</v>
      </c>
      <c r="BM675">
        <v>10.68</v>
      </c>
      <c r="BN675">
        <v>81.88</v>
      </c>
      <c r="BO675">
        <v>81.88</v>
      </c>
      <c r="BQ675" t="s">
        <v>203</v>
      </c>
      <c r="BR675" t="s">
        <v>84</v>
      </c>
      <c r="BS675" s="3">
        <v>45846</v>
      </c>
      <c r="BT675" s="4">
        <v>0.375</v>
      </c>
      <c r="BU675" t="s">
        <v>1328</v>
      </c>
      <c r="BV675" t="s">
        <v>98</v>
      </c>
      <c r="BY675">
        <v>1200</v>
      </c>
      <c r="BZ675" t="s">
        <v>89</v>
      </c>
      <c r="CA675" t="s">
        <v>205</v>
      </c>
      <c r="CC675" t="s">
        <v>169</v>
      </c>
      <c r="CD675">
        <v>6001</v>
      </c>
      <c r="CE675" t="s">
        <v>239</v>
      </c>
      <c r="CF675" s="3">
        <v>45846</v>
      </c>
      <c r="CI675">
        <v>1</v>
      </c>
      <c r="CJ675">
        <v>1</v>
      </c>
      <c r="CK675">
        <v>21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"080066405338"</f>
        <v>080066405338</v>
      </c>
      <c r="F676" s="3">
        <v>45845</v>
      </c>
      <c r="G676">
        <v>202604</v>
      </c>
      <c r="H676" t="s">
        <v>75</v>
      </c>
      <c r="I676" t="s">
        <v>76</v>
      </c>
      <c r="J676" t="s">
        <v>77</v>
      </c>
      <c r="K676" t="s">
        <v>78</v>
      </c>
      <c r="L676" t="s">
        <v>168</v>
      </c>
      <c r="M676" t="s">
        <v>169</v>
      </c>
      <c r="N676" t="s">
        <v>412</v>
      </c>
      <c r="O676" t="s">
        <v>82</v>
      </c>
      <c r="P676" t="str">
        <f>"4170047255                    "</f>
        <v xml:space="preserve">4170047255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22.6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71.2</v>
      </c>
      <c r="BM676">
        <v>10.68</v>
      </c>
      <c r="BN676">
        <v>81.88</v>
      </c>
      <c r="BO676">
        <v>81.88</v>
      </c>
      <c r="BQ676" t="s">
        <v>413</v>
      </c>
      <c r="BR676" t="s">
        <v>84</v>
      </c>
      <c r="BS676" s="3">
        <v>45846</v>
      </c>
      <c r="BT676" s="4">
        <v>0.33958333333333335</v>
      </c>
      <c r="BU676" t="s">
        <v>1298</v>
      </c>
      <c r="BV676" t="s">
        <v>98</v>
      </c>
      <c r="BY676">
        <v>1200</v>
      </c>
      <c r="BZ676" t="s">
        <v>89</v>
      </c>
      <c r="CA676" t="s">
        <v>415</v>
      </c>
      <c r="CC676" t="s">
        <v>169</v>
      </c>
      <c r="CD676">
        <v>6001</v>
      </c>
      <c r="CE676" t="s">
        <v>1170</v>
      </c>
      <c r="CF676" s="3">
        <v>45846</v>
      </c>
      <c r="CI676">
        <v>1</v>
      </c>
      <c r="CJ676">
        <v>1</v>
      </c>
      <c r="CK676">
        <v>21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"080066405390"</f>
        <v>080066405390</v>
      </c>
      <c r="F677" s="3">
        <v>45845</v>
      </c>
      <c r="G677">
        <v>202604</v>
      </c>
      <c r="H677" t="s">
        <v>75</v>
      </c>
      <c r="I677" t="s">
        <v>76</v>
      </c>
      <c r="J677" t="s">
        <v>77</v>
      </c>
      <c r="K677" t="s">
        <v>78</v>
      </c>
      <c r="L677" t="s">
        <v>122</v>
      </c>
      <c r="M677" t="s">
        <v>123</v>
      </c>
      <c r="N677" t="s">
        <v>1176</v>
      </c>
      <c r="O677" t="s">
        <v>82</v>
      </c>
      <c r="P677" t="str">
        <f>"4170047235                    "</f>
        <v xml:space="preserve">4170047235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22.6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71.2</v>
      </c>
      <c r="BM677">
        <v>10.68</v>
      </c>
      <c r="BN677">
        <v>81.88</v>
      </c>
      <c r="BO677">
        <v>81.88</v>
      </c>
      <c r="BQ677" t="s">
        <v>1177</v>
      </c>
      <c r="BR677" t="s">
        <v>84</v>
      </c>
      <c r="BS677" s="3">
        <v>45847</v>
      </c>
      <c r="BT677" s="4">
        <v>0.42222222222222222</v>
      </c>
      <c r="BU677" t="s">
        <v>1178</v>
      </c>
      <c r="BV677" t="s">
        <v>86</v>
      </c>
      <c r="BY677">
        <v>1200</v>
      </c>
      <c r="BZ677" t="s">
        <v>89</v>
      </c>
      <c r="CA677" t="s">
        <v>187</v>
      </c>
      <c r="CC677" t="s">
        <v>123</v>
      </c>
      <c r="CD677">
        <v>3610</v>
      </c>
      <c r="CE677" t="s">
        <v>239</v>
      </c>
      <c r="CF677" s="3">
        <v>45847</v>
      </c>
      <c r="CI677">
        <v>1</v>
      </c>
      <c r="CJ677">
        <v>2</v>
      </c>
      <c r="CK677">
        <v>21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"080066405440"</f>
        <v>080066405440</v>
      </c>
      <c r="F678" s="3">
        <v>45845</v>
      </c>
      <c r="G678">
        <v>202604</v>
      </c>
      <c r="H678" t="s">
        <v>75</v>
      </c>
      <c r="I678" t="s">
        <v>76</v>
      </c>
      <c r="J678" t="s">
        <v>77</v>
      </c>
      <c r="K678" t="s">
        <v>78</v>
      </c>
      <c r="L678" t="s">
        <v>168</v>
      </c>
      <c r="M678" t="s">
        <v>169</v>
      </c>
      <c r="N678" t="s">
        <v>861</v>
      </c>
      <c r="O678" t="s">
        <v>82</v>
      </c>
      <c r="P678" t="str">
        <f>"4170047175                    "</f>
        <v xml:space="preserve">4170047175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22.6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71.2</v>
      </c>
      <c r="BM678">
        <v>10.68</v>
      </c>
      <c r="BN678">
        <v>81.88</v>
      </c>
      <c r="BO678">
        <v>81.88</v>
      </c>
      <c r="BQ678" t="s">
        <v>862</v>
      </c>
      <c r="BR678" t="s">
        <v>84</v>
      </c>
      <c r="BS678" s="3">
        <v>45846</v>
      </c>
      <c r="BT678" s="4">
        <v>0.30902777777777779</v>
      </c>
      <c r="BU678" t="s">
        <v>1418</v>
      </c>
      <c r="BV678" t="s">
        <v>98</v>
      </c>
      <c r="BY678">
        <v>1200</v>
      </c>
      <c r="BZ678" t="s">
        <v>89</v>
      </c>
      <c r="CA678" t="s">
        <v>423</v>
      </c>
      <c r="CC678" t="s">
        <v>169</v>
      </c>
      <c r="CD678">
        <v>6045</v>
      </c>
      <c r="CE678" t="s">
        <v>239</v>
      </c>
      <c r="CF678" s="3">
        <v>45846</v>
      </c>
      <c r="CI678">
        <v>1</v>
      </c>
      <c r="CJ678">
        <v>1</v>
      </c>
      <c r="CK678">
        <v>21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"080066405482"</f>
        <v>080066405482</v>
      </c>
      <c r="F679" s="3">
        <v>45845</v>
      </c>
      <c r="G679">
        <v>202604</v>
      </c>
      <c r="H679" t="s">
        <v>75</v>
      </c>
      <c r="I679" t="s">
        <v>76</v>
      </c>
      <c r="J679" t="s">
        <v>77</v>
      </c>
      <c r="K679" t="s">
        <v>78</v>
      </c>
      <c r="L679" t="s">
        <v>75</v>
      </c>
      <c r="M679" t="s">
        <v>76</v>
      </c>
      <c r="N679" t="s">
        <v>809</v>
      </c>
      <c r="O679" t="s">
        <v>82</v>
      </c>
      <c r="P679" t="str">
        <f>"4170047029                    "</f>
        <v xml:space="preserve">4170047029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17.649999999999999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1.1000000000000001</v>
      </c>
      <c r="BK679">
        <v>2</v>
      </c>
      <c r="BL679">
        <v>55.61</v>
      </c>
      <c r="BM679">
        <v>8.34</v>
      </c>
      <c r="BN679">
        <v>63.95</v>
      </c>
      <c r="BO679">
        <v>63.95</v>
      </c>
      <c r="BQ679" t="s">
        <v>810</v>
      </c>
      <c r="BR679" t="s">
        <v>84</v>
      </c>
      <c r="BS679" s="3">
        <v>45846</v>
      </c>
      <c r="BT679" s="4">
        <v>0.36041666666666666</v>
      </c>
      <c r="BU679" t="s">
        <v>1227</v>
      </c>
      <c r="BV679" t="s">
        <v>98</v>
      </c>
      <c r="BY679">
        <v>5320</v>
      </c>
      <c r="BZ679" t="s">
        <v>89</v>
      </c>
      <c r="CA679" t="s">
        <v>883</v>
      </c>
      <c r="CC679" t="s">
        <v>76</v>
      </c>
      <c r="CD679">
        <v>1666</v>
      </c>
      <c r="CE679" t="s">
        <v>266</v>
      </c>
      <c r="CF679" s="3">
        <v>45846</v>
      </c>
      <c r="CI679">
        <v>1</v>
      </c>
      <c r="CJ679">
        <v>1</v>
      </c>
      <c r="CK679">
        <v>22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"080066405747"</f>
        <v>080066405747</v>
      </c>
      <c r="F680" s="3">
        <v>45845</v>
      </c>
      <c r="G680">
        <v>202604</v>
      </c>
      <c r="H680" t="s">
        <v>75</v>
      </c>
      <c r="I680" t="s">
        <v>76</v>
      </c>
      <c r="J680" t="s">
        <v>77</v>
      </c>
      <c r="K680" t="s">
        <v>78</v>
      </c>
      <c r="L680" t="s">
        <v>79</v>
      </c>
      <c r="M680" t="s">
        <v>80</v>
      </c>
      <c r="N680" t="s">
        <v>81</v>
      </c>
      <c r="O680" t="s">
        <v>82</v>
      </c>
      <c r="P680" t="str">
        <f>"4170047269                    "</f>
        <v xml:space="preserve">4170047269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33.89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0.9</v>
      </c>
      <c r="BK680">
        <v>3</v>
      </c>
      <c r="BL680">
        <v>106.77</v>
      </c>
      <c r="BM680">
        <v>16.02</v>
      </c>
      <c r="BN680">
        <v>122.79</v>
      </c>
      <c r="BO680">
        <v>122.79</v>
      </c>
      <c r="BQ680" t="s">
        <v>83</v>
      </c>
      <c r="BR680" t="s">
        <v>84</v>
      </c>
      <c r="BS680" s="3">
        <v>45846</v>
      </c>
      <c r="BT680" s="4">
        <v>0.72013888888888888</v>
      </c>
      <c r="BU680" t="s">
        <v>1419</v>
      </c>
      <c r="BV680" t="s">
        <v>86</v>
      </c>
      <c r="BW680" t="s">
        <v>1395</v>
      </c>
      <c r="BX680" t="s">
        <v>1420</v>
      </c>
      <c r="BY680">
        <v>4275</v>
      </c>
      <c r="BZ680" t="s">
        <v>89</v>
      </c>
      <c r="CA680" t="s">
        <v>90</v>
      </c>
      <c r="CC680" t="s">
        <v>80</v>
      </c>
      <c r="CD680">
        <v>7550</v>
      </c>
      <c r="CE680" t="s">
        <v>266</v>
      </c>
      <c r="CF680" s="3">
        <v>45847</v>
      </c>
      <c r="CI680">
        <v>1</v>
      </c>
      <c r="CJ680">
        <v>1</v>
      </c>
      <c r="CK680">
        <v>21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"080066404667"</f>
        <v>080066404667</v>
      </c>
      <c r="F681" s="3">
        <v>45845</v>
      </c>
      <c r="G681">
        <v>202604</v>
      </c>
      <c r="H681" t="s">
        <v>75</v>
      </c>
      <c r="I681" t="s">
        <v>76</v>
      </c>
      <c r="J681" t="s">
        <v>77</v>
      </c>
      <c r="K681" t="s">
        <v>78</v>
      </c>
      <c r="L681" t="s">
        <v>102</v>
      </c>
      <c r="M681" t="s">
        <v>103</v>
      </c>
      <c r="N681" t="s">
        <v>104</v>
      </c>
      <c r="O681" t="s">
        <v>311</v>
      </c>
      <c r="P681" t="str">
        <f>"4170047093                    "</f>
        <v xml:space="preserve">4170047093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9</v>
      </c>
      <c r="BJ681">
        <v>0</v>
      </c>
      <c r="BK681">
        <v>9</v>
      </c>
      <c r="BL681">
        <v>0</v>
      </c>
      <c r="BM681">
        <v>0</v>
      </c>
      <c r="BN681">
        <v>0</v>
      </c>
      <c r="BO681">
        <v>0</v>
      </c>
      <c r="BQ681" t="s">
        <v>833</v>
      </c>
      <c r="BR681" t="s">
        <v>84</v>
      </c>
      <c r="BS681" t="s">
        <v>587</v>
      </c>
      <c r="BY681">
        <v>45632</v>
      </c>
      <c r="BZ681" t="s">
        <v>1421</v>
      </c>
      <c r="CC681" t="s">
        <v>103</v>
      </c>
      <c r="CD681">
        <v>1748</v>
      </c>
      <c r="CE681" t="s">
        <v>117</v>
      </c>
      <c r="CF681" s="3">
        <v>45847</v>
      </c>
      <c r="CI681">
        <v>1</v>
      </c>
      <c r="CJ681" t="s">
        <v>587</v>
      </c>
      <c r="CK681">
        <v>-1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"080066405983"</f>
        <v>080066405983</v>
      </c>
      <c r="F682" s="3">
        <v>45845</v>
      </c>
      <c r="G682">
        <v>202604</v>
      </c>
      <c r="H682" t="s">
        <v>75</v>
      </c>
      <c r="I682" t="s">
        <v>76</v>
      </c>
      <c r="J682" t="s">
        <v>77</v>
      </c>
      <c r="K682" t="s">
        <v>78</v>
      </c>
      <c r="L682" t="s">
        <v>168</v>
      </c>
      <c r="M682" t="s">
        <v>169</v>
      </c>
      <c r="N682" t="s">
        <v>1422</v>
      </c>
      <c r="O682" t="s">
        <v>82</v>
      </c>
      <c r="P682" t="str">
        <f>"4170047179                    "</f>
        <v xml:space="preserve">4170047179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56.47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5</v>
      </c>
      <c r="BJ682">
        <v>3.4</v>
      </c>
      <c r="BK682">
        <v>5</v>
      </c>
      <c r="BL682">
        <v>177.91</v>
      </c>
      <c r="BM682">
        <v>26.69</v>
      </c>
      <c r="BN682">
        <v>204.6</v>
      </c>
      <c r="BO682">
        <v>204.6</v>
      </c>
      <c r="BQ682" t="s">
        <v>1423</v>
      </c>
      <c r="BR682" t="s">
        <v>84</v>
      </c>
      <c r="BS682" s="3">
        <v>45846</v>
      </c>
      <c r="BT682" s="4">
        <v>0.38611111111111113</v>
      </c>
      <c r="BU682" t="s">
        <v>1424</v>
      </c>
      <c r="BV682" t="s">
        <v>98</v>
      </c>
      <c r="BY682">
        <v>16965</v>
      </c>
      <c r="BZ682" t="s">
        <v>89</v>
      </c>
      <c r="CA682" t="s">
        <v>196</v>
      </c>
      <c r="CC682" t="s">
        <v>169</v>
      </c>
      <c r="CD682">
        <v>6001</v>
      </c>
      <c r="CE682" t="s">
        <v>117</v>
      </c>
      <c r="CF682" s="3">
        <v>45846</v>
      </c>
      <c r="CI682">
        <v>1</v>
      </c>
      <c r="CJ682">
        <v>1</v>
      </c>
      <c r="CK682">
        <v>21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"080066405993"</f>
        <v>080066405993</v>
      </c>
      <c r="F683" s="3">
        <v>45845</v>
      </c>
      <c r="G683">
        <v>202604</v>
      </c>
      <c r="H683" t="s">
        <v>75</v>
      </c>
      <c r="I683" t="s">
        <v>76</v>
      </c>
      <c r="J683" t="s">
        <v>77</v>
      </c>
      <c r="K683" t="s">
        <v>78</v>
      </c>
      <c r="L683" t="s">
        <v>79</v>
      </c>
      <c r="M683" t="s">
        <v>80</v>
      </c>
      <c r="N683" t="s">
        <v>141</v>
      </c>
      <c r="O683" t="s">
        <v>82</v>
      </c>
      <c r="P683" t="str">
        <f>"4170047215                    "</f>
        <v xml:space="preserve">4170047215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22.6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1.3</v>
      </c>
      <c r="BK683">
        <v>1.5</v>
      </c>
      <c r="BL683">
        <v>71.2</v>
      </c>
      <c r="BM683">
        <v>10.68</v>
      </c>
      <c r="BN683">
        <v>81.88</v>
      </c>
      <c r="BO683">
        <v>81.88</v>
      </c>
      <c r="BQ683" t="s">
        <v>142</v>
      </c>
      <c r="BR683" t="s">
        <v>84</v>
      </c>
      <c r="BS683" s="3">
        <v>45846</v>
      </c>
      <c r="BT683" s="4">
        <v>0.41875000000000001</v>
      </c>
      <c r="BU683" t="s">
        <v>143</v>
      </c>
      <c r="BV683" t="s">
        <v>98</v>
      </c>
      <c r="BY683">
        <v>6384</v>
      </c>
      <c r="BZ683" t="s">
        <v>89</v>
      </c>
      <c r="CA683" t="s">
        <v>144</v>
      </c>
      <c r="CC683" t="s">
        <v>80</v>
      </c>
      <c r="CD683">
        <v>7441</v>
      </c>
      <c r="CE683" t="s">
        <v>117</v>
      </c>
      <c r="CF683" s="3">
        <v>45847</v>
      </c>
      <c r="CI683">
        <v>1</v>
      </c>
      <c r="CJ683">
        <v>1</v>
      </c>
      <c r="CK683">
        <v>21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"080066428309"</f>
        <v>080066428309</v>
      </c>
      <c r="F684" s="3">
        <v>45846</v>
      </c>
      <c r="G684">
        <v>202604</v>
      </c>
      <c r="H684" t="s">
        <v>75</v>
      </c>
      <c r="I684" t="s">
        <v>76</v>
      </c>
      <c r="J684" t="s">
        <v>77</v>
      </c>
      <c r="K684" t="s">
        <v>78</v>
      </c>
      <c r="L684" t="s">
        <v>79</v>
      </c>
      <c r="M684" t="s">
        <v>80</v>
      </c>
      <c r="N684" t="s">
        <v>376</v>
      </c>
      <c r="O684" t="s">
        <v>82</v>
      </c>
      <c r="P684" t="str">
        <f>"4170047425                    "</f>
        <v xml:space="preserve">4170047425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22.6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0.3</v>
      </c>
      <c r="BK684">
        <v>1</v>
      </c>
      <c r="BL684">
        <v>71.2</v>
      </c>
      <c r="BM684">
        <v>10.68</v>
      </c>
      <c r="BN684">
        <v>81.88</v>
      </c>
      <c r="BO684">
        <v>81.88</v>
      </c>
      <c r="BQ684" t="s">
        <v>377</v>
      </c>
      <c r="BR684" t="s">
        <v>84</v>
      </c>
      <c r="BS684" s="3">
        <v>45847</v>
      </c>
      <c r="BT684" s="4">
        <v>0.41805555555555557</v>
      </c>
      <c r="BU684" t="s">
        <v>1184</v>
      </c>
      <c r="BV684" t="s">
        <v>98</v>
      </c>
      <c r="BY684">
        <v>1350</v>
      </c>
      <c r="BZ684" t="s">
        <v>89</v>
      </c>
      <c r="CC684" t="s">
        <v>80</v>
      </c>
      <c r="CD684">
        <v>8001</v>
      </c>
      <c r="CE684" t="s">
        <v>239</v>
      </c>
      <c r="CF684" s="3">
        <v>45848</v>
      </c>
      <c r="CI684">
        <v>1</v>
      </c>
      <c r="CJ684">
        <v>1</v>
      </c>
      <c r="CK684">
        <v>21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"080066430608"</f>
        <v>080066430608</v>
      </c>
      <c r="F685" s="3">
        <v>45846</v>
      </c>
      <c r="G685">
        <v>202604</v>
      </c>
      <c r="H685" t="s">
        <v>75</v>
      </c>
      <c r="I685" t="s">
        <v>76</v>
      </c>
      <c r="J685" t="s">
        <v>77</v>
      </c>
      <c r="K685" t="s">
        <v>78</v>
      </c>
      <c r="L685" t="s">
        <v>1128</v>
      </c>
      <c r="M685" t="s">
        <v>1129</v>
      </c>
      <c r="N685" t="s">
        <v>1192</v>
      </c>
      <c r="O685" t="s">
        <v>82</v>
      </c>
      <c r="P685" t="str">
        <f>"4170047468                    "</f>
        <v xml:space="preserve">4170047468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22.6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0.1</v>
      </c>
      <c r="BK685">
        <v>1</v>
      </c>
      <c r="BL685">
        <v>71.2</v>
      </c>
      <c r="BM685">
        <v>10.68</v>
      </c>
      <c r="BN685">
        <v>81.88</v>
      </c>
      <c r="BO685">
        <v>81.88</v>
      </c>
      <c r="BQ685" t="s">
        <v>1193</v>
      </c>
      <c r="BR685" t="s">
        <v>84</v>
      </c>
      <c r="BS685" s="3">
        <v>45849</v>
      </c>
      <c r="BT685" s="4">
        <v>0.49791666666666667</v>
      </c>
      <c r="BU685" t="s">
        <v>534</v>
      </c>
      <c r="BV685" t="s">
        <v>86</v>
      </c>
      <c r="BY685">
        <v>450</v>
      </c>
      <c r="BZ685" t="s">
        <v>89</v>
      </c>
      <c r="CA685" t="s">
        <v>535</v>
      </c>
      <c r="CC685" t="s">
        <v>1129</v>
      </c>
      <c r="CD685">
        <v>7600</v>
      </c>
      <c r="CE685" t="s">
        <v>239</v>
      </c>
      <c r="CI685">
        <v>1</v>
      </c>
      <c r="CJ685">
        <v>3</v>
      </c>
      <c r="CK685">
        <v>21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"080066427598"</f>
        <v>080066427598</v>
      </c>
      <c r="F686" s="3">
        <v>45846</v>
      </c>
      <c r="G686">
        <v>202604</v>
      </c>
      <c r="H686" t="s">
        <v>75</v>
      </c>
      <c r="I686" t="s">
        <v>76</v>
      </c>
      <c r="J686" t="s">
        <v>77</v>
      </c>
      <c r="K686" t="s">
        <v>78</v>
      </c>
      <c r="L686" t="s">
        <v>79</v>
      </c>
      <c r="M686" t="s">
        <v>80</v>
      </c>
      <c r="N686" t="s">
        <v>698</v>
      </c>
      <c r="O686" t="s">
        <v>311</v>
      </c>
      <c r="P686" t="str">
        <f>"4170047408                    "</f>
        <v xml:space="preserve">4170047408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42.38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0.3</v>
      </c>
      <c r="BK686">
        <v>1</v>
      </c>
      <c r="BL686">
        <v>133.51</v>
      </c>
      <c r="BM686">
        <v>20.03</v>
      </c>
      <c r="BN686">
        <v>153.54</v>
      </c>
      <c r="BO686">
        <v>153.54</v>
      </c>
      <c r="BQ686" t="s">
        <v>1108</v>
      </c>
      <c r="BR686" t="s">
        <v>84</v>
      </c>
      <c r="BS686" s="3">
        <v>45847</v>
      </c>
      <c r="BT686" s="4">
        <v>0.38263888888888886</v>
      </c>
      <c r="BU686" t="s">
        <v>1425</v>
      </c>
      <c r="BV686" t="s">
        <v>98</v>
      </c>
      <c r="BY686">
        <v>1350</v>
      </c>
      <c r="BZ686" t="s">
        <v>99</v>
      </c>
      <c r="CA686" t="s">
        <v>1426</v>
      </c>
      <c r="CC686" t="s">
        <v>80</v>
      </c>
      <c r="CD686">
        <v>7561</v>
      </c>
      <c r="CE686" t="s">
        <v>239</v>
      </c>
      <c r="CF686" s="3">
        <v>45848</v>
      </c>
      <c r="CI686">
        <v>1</v>
      </c>
      <c r="CJ686">
        <v>1</v>
      </c>
      <c r="CK686">
        <v>31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"080066430600"</f>
        <v>080066430600</v>
      </c>
      <c r="F687" s="3">
        <v>45846</v>
      </c>
      <c r="G687">
        <v>202604</v>
      </c>
      <c r="H687" t="s">
        <v>75</v>
      </c>
      <c r="I687" t="s">
        <v>76</v>
      </c>
      <c r="J687" t="s">
        <v>77</v>
      </c>
      <c r="K687" t="s">
        <v>78</v>
      </c>
      <c r="L687" t="s">
        <v>92</v>
      </c>
      <c r="M687" t="s">
        <v>93</v>
      </c>
      <c r="N687" t="s">
        <v>334</v>
      </c>
      <c r="O687" t="s">
        <v>82</v>
      </c>
      <c r="P687" t="str">
        <f>"4170047460                    "</f>
        <v xml:space="preserve">4170047460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22.6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1.1000000000000001</v>
      </c>
      <c r="BK687">
        <v>1.5</v>
      </c>
      <c r="BL687">
        <v>71.2</v>
      </c>
      <c r="BM687">
        <v>10.68</v>
      </c>
      <c r="BN687">
        <v>81.88</v>
      </c>
      <c r="BO687">
        <v>81.88</v>
      </c>
      <c r="BQ687" t="s">
        <v>335</v>
      </c>
      <c r="BR687" t="s">
        <v>84</v>
      </c>
      <c r="BS687" s="3">
        <v>45847</v>
      </c>
      <c r="BT687" s="4">
        <v>0.38194444444444442</v>
      </c>
      <c r="BU687" t="s">
        <v>1427</v>
      </c>
      <c r="BV687" t="s">
        <v>98</v>
      </c>
      <c r="BY687">
        <v>5320</v>
      </c>
      <c r="BZ687" t="s">
        <v>89</v>
      </c>
      <c r="CA687" t="s">
        <v>1428</v>
      </c>
      <c r="CC687" t="s">
        <v>93</v>
      </c>
      <c r="CD687">
        <v>4052</v>
      </c>
      <c r="CE687" t="s">
        <v>117</v>
      </c>
      <c r="CF687" s="3">
        <v>45848</v>
      </c>
      <c r="CI687">
        <v>1</v>
      </c>
      <c r="CJ687">
        <v>1</v>
      </c>
      <c r="CK687">
        <v>21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"080066415628"</f>
        <v>080066415628</v>
      </c>
      <c r="F688" s="3">
        <v>45846</v>
      </c>
      <c r="G688">
        <v>202604</v>
      </c>
      <c r="H688" t="s">
        <v>75</v>
      </c>
      <c r="I688" t="s">
        <v>76</v>
      </c>
      <c r="J688" t="s">
        <v>77</v>
      </c>
      <c r="K688" t="s">
        <v>78</v>
      </c>
      <c r="L688" t="s">
        <v>168</v>
      </c>
      <c r="M688" t="s">
        <v>169</v>
      </c>
      <c r="N688" t="s">
        <v>1429</v>
      </c>
      <c r="O688" t="s">
        <v>82</v>
      </c>
      <c r="P688" t="str">
        <f>"4170047208                    "</f>
        <v xml:space="preserve">4170047208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45.18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3.7</v>
      </c>
      <c r="BK688">
        <v>4</v>
      </c>
      <c r="BL688">
        <v>142.34</v>
      </c>
      <c r="BM688">
        <v>21.35</v>
      </c>
      <c r="BN688">
        <v>163.69</v>
      </c>
      <c r="BO688">
        <v>163.69</v>
      </c>
      <c r="BQ688" t="s">
        <v>1430</v>
      </c>
      <c r="BR688" t="s">
        <v>84</v>
      </c>
      <c r="BS688" s="3">
        <v>45847</v>
      </c>
      <c r="BT688" s="4">
        <v>0.33333333333333331</v>
      </c>
      <c r="BU688" t="s">
        <v>1431</v>
      </c>
      <c r="BV688" t="s">
        <v>98</v>
      </c>
      <c r="BY688">
        <v>18304</v>
      </c>
      <c r="BZ688" t="s">
        <v>89</v>
      </c>
      <c r="CA688" t="s">
        <v>423</v>
      </c>
      <c r="CC688" t="s">
        <v>169</v>
      </c>
      <c r="CD688">
        <v>6045</v>
      </c>
      <c r="CE688" t="s">
        <v>117</v>
      </c>
      <c r="CF688" s="3">
        <v>45847</v>
      </c>
      <c r="CI688">
        <v>1</v>
      </c>
      <c r="CJ688">
        <v>1</v>
      </c>
      <c r="CK688">
        <v>21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"080011560366"</f>
        <v>080011560366</v>
      </c>
      <c r="F689" s="3">
        <v>45846</v>
      </c>
      <c r="G689">
        <v>202604</v>
      </c>
      <c r="H689" t="s">
        <v>197</v>
      </c>
      <c r="I689" t="s">
        <v>198</v>
      </c>
      <c r="J689" t="s">
        <v>1432</v>
      </c>
      <c r="K689" t="s">
        <v>78</v>
      </c>
      <c r="L689" t="s">
        <v>75</v>
      </c>
      <c r="M689" t="s">
        <v>76</v>
      </c>
      <c r="N689" t="s">
        <v>228</v>
      </c>
      <c r="O689" t="s">
        <v>82</v>
      </c>
      <c r="P689" t="str">
        <f>"ZA1001395416                  "</f>
        <v xml:space="preserve">ZA1001395416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17.649999999999999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0.5</v>
      </c>
      <c r="BJ689">
        <v>1.2</v>
      </c>
      <c r="BK689">
        <v>2</v>
      </c>
      <c r="BL689">
        <v>55.61</v>
      </c>
      <c r="BM689">
        <v>8.34</v>
      </c>
      <c r="BN689">
        <v>63.95</v>
      </c>
      <c r="BO689">
        <v>63.95</v>
      </c>
      <c r="BP689" t="s">
        <v>587</v>
      </c>
      <c r="BQ689" t="s">
        <v>230</v>
      </c>
      <c r="BR689" t="s">
        <v>1433</v>
      </c>
      <c r="BS689" s="3">
        <v>45847</v>
      </c>
      <c r="BT689" s="4">
        <v>0.35902777777777778</v>
      </c>
      <c r="BU689" t="s">
        <v>1434</v>
      </c>
      <c r="BV689" t="s">
        <v>98</v>
      </c>
      <c r="BY689">
        <v>5759.2</v>
      </c>
      <c r="BZ689" t="s">
        <v>89</v>
      </c>
      <c r="CA689" t="s">
        <v>304</v>
      </c>
      <c r="CC689" t="s">
        <v>76</v>
      </c>
      <c r="CD689">
        <v>1619</v>
      </c>
      <c r="CE689" t="s">
        <v>233</v>
      </c>
      <c r="CF689" s="3">
        <v>45848</v>
      </c>
      <c r="CI689">
        <v>1</v>
      </c>
      <c r="CJ689">
        <v>1</v>
      </c>
      <c r="CK689">
        <v>22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"080066412418"</f>
        <v>080066412418</v>
      </c>
      <c r="F690" s="3">
        <v>45846</v>
      </c>
      <c r="G690">
        <v>202604</v>
      </c>
      <c r="H690" t="s">
        <v>75</v>
      </c>
      <c r="I690" t="s">
        <v>76</v>
      </c>
      <c r="J690" t="s">
        <v>77</v>
      </c>
      <c r="K690" t="s">
        <v>78</v>
      </c>
      <c r="L690" t="s">
        <v>122</v>
      </c>
      <c r="M690" t="s">
        <v>123</v>
      </c>
      <c r="N690" t="s">
        <v>972</v>
      </c>
      <c r="O690" t="s">
        <v>82</v>
      </c>
      <c r="P690" t="str">
        <f>"4170047201                    "</f>
        <v xml:space="preserve">4170047201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22.6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1.7</v>
      </c>
      <c r="BK690">
        <v>2</v>
      </c>
      <c r="BL690">
        <v>71.2</v>
      </c>
      <c r="BM690">
        <v>10.68</v>
      </c>
      <c r="BN690">
        <v>81.88</v>
      </c>
      <c r="BO690">
        <v>81.88</v>
      </c>
      <c r="BQ690" t="s">
        <v>973</v>
      </c>
      <c r="BR690" t="s">
        <v>84</v>
      </c>
      <c r="BS690" s="3">
        <v>45847</v>
      </c>
      <c r="BT690" s="4">
        <v>0.50347222222222221</v>
      </c>
      <c r="BU690" t="s">
        <v>974</v>
      </c>
      <c r="BV690" t="s">
        <v>98</v>
      </c>
      <c r="BY690">
        <v>8512</v>
      </c>
      <c r="BZ690" t="s">
        <v>89</v>
      </c>
      <c r="CA690" t="s">
        <v>166</v>
      </c>
      <c r="CC690" t="s">
        <v>123</v>
      </c>
      <c r="CD690">
        <v>3610</v>
      </c>
      <c r="CE690" t="s">
        <v>117</v>
      </c>
      <c r="CF690" s="3">
        <v>45848</v>
      </c>
      <c r="CI690">
        <v>1</v>
      </c>
      <c r="CJ690">
        <v>1</v>
      </c>
      <c r="CK690">
        <v>21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"080066412420"</f>
        <v>080066412420</v>
      </c>
      <c r="F691" s="3">
        <v>45846</v>
      </c>
      <c r="G691">
        <v>202604</v>
      </c>
      <c r="H691" t="s">
        <v>75</v>
      </c>
      <c r="I691" t="s">
        <v>76</v>
      </c>
      <c r="J691" t="s">
        <v>77</v>
      </c>
      <c r="K691" t="s">
        <v>78</v>
      </c>
      <c r="L691" t="s">
        <v>79</v>
      </c>
      <c r="M691" t="s">
        <v>80</v>
      </c>
      <c r="N691" t="s">
        <v>492</v>
      </c>
      <c r="O691" t="s">
        <v>82</v>
      </c>
      <c r="P691" t="str">
        <f>"4170047196                    "</f>
        <v xml:space="preserve">4170047196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39.53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3.1</v>
      </c>
      <c r="BK691">
        <v>3.5</v>
      </c>
      <c r="BL691">
        <v>124.55</v>
      </c>
      <c r="BM691">
        <v>18.68</v>
      </c>
      <c r="BN691">
        <v>143.22999999999999</v>
      </c>
      <c r="BO691">
        <v>143.22999999999999</v>
      </c>
      <c r="BQ691" t="s">
        <v>493</v>
      </c>
      <c r="BR691" t="s">
        <v>84</v>
      </c>
      <c r="BS691" s="3">
        <v>45847</v>
      </c>
      <c r="BT691" s="4">
        <v>0.42499999999999999</v>
      </c>
      <c r="BU691" t="s">
        <v>494</v>
      </c>
      <c r="BV691" t="s">
        <v>98</v>
      </c>
      <c r="BY691">
        <v>15360</v>
      </c>
      <c r="BZ691" t="s">
        <v>89</v>
      </c>
      <c r="CA691" t="s">
        <v>495</v>
      </c>
      <c r="CC691" t="s">
        <v>80</v>
      </c>
      <c r="CD691">
        <v>7800</v>
      </c>
      <c r="CE691" t="s">
        <v>117</v>
      </c>
      <c r="CF691" s="3">
        <v>45848</v>
      </c>
      <c r="CI691">
        <v>1</v>
      </c>
      <c r="CJ691">
        <v>1</v>
      </c>
      <c r="CK691">
        <v>21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"080066412443"</f>
        <v>080066412443</v>
      </c>
      <c r="F692" s="3">
        <v>45846</v>
      </c>
      <c r="G692">
        <v>202604</v>
      </c>
      <c r="H692" t="s">
        <v>75</v>
      </c>
      <c r="I692" t="s">
        <v>76</v>
      </c>
      <c r="J692" t="s">
        <v>77</v>
      </c>
      <c r="K692" t="s">
        <v>78</v>
      </c>
      <c r="L692" t="s">
        <v>92</v>
      </c>
      <c r="M692" t="s">
        <v>93</v>
      </c>
      <c r="N692" t="s">
        <v>723</v>
      </c>
      <c r="O692" t="s">
        <v>82</v>
      </c>
      <c r="P692" t="str">
        <f>"4170047222                    "</f>
        <v xml:space="preserve">4170047222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79.05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7</v>
      </c>
      <c r="BJ692">
        <v>5.6</v>
      </c>
      <c r="BK692">
        <v>7</v>
      </c>
      <c r="BL692">
        <v>249.05</v>
      </c>
      <c r="BM692">
        <v>37.36</v>
      </c>
      <c r="BN692">
        <v>286.41000000000003</v>
      </c>
      <c r="BO692">
        <v>286.41000000000003</v>
      </c>
      <c r="BQ692" t="s">
        <v>724</v>
      </c>
      <c r="BR692" t="s">
        <v>84</v>
      </c>
      <c r="BS692" s="3">
        <v>45847</v>
      </c>
      <c r="BT692" s="4">
        <v>0.47916666666666669</v>
      </c>
      <c r="BU692" t="s">
        <v>354</v>
      </c>
      <c r="BV692" t="s">
        <v>86</v>
      </c>
      <c r="BW692" t="s">
        <v>219</v>
      </c>
      <c r="BX692" t="s">
        <v>1435</v>
      </c>
      <c r="BY692">
        <v>27840</v>
      </c>
      <c r="BZ692" t="s">
        <v>89</v>
      </c>
      <c r="CA692" t="s">
        <v>166</v>
      </c>
      <c r="CC692" t="s">
        <v>93</v>
      </c>
      <c r="CD692">
        <v>4000</v>
      </c>
      <c r="CE692" t="s">
        <v>91</v>
      </c>
      <c r="CF692" s="3">
        <v>45848</v>
      </c>
      <c r="CI692">
        <v>1</v>
      </c>
      <c r="CJ692">
        <v>1</v>
      </c>
      <c r="CK692">
        <v>21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"080066412460"</f>
        <v>080066412460</v>
      </c>
      <c r="F693" s="3">
        <v>45846</v>
      </c>
      <c r="G693">
        <v>202604</v>
      </c>
      <c r="H693" t="s">
        <v>75</v>
      </c>
      <c r="I693" t="s">
        <v>76</v>
      </c>
      <c r="J693" t="s">
        <v>77</v>
      </c>
      <c r="K693" t="s">
        <v>78</v>
      </c>
      <c r="L693" t="s">
        <v>197</v>
      </c>
      <c r="M693" t="s">
        <v>198</v>
      </c>
      <c r="N693" t="s">
        <v>1436</v>
      </c>
      <c r="O693" t="s">
        <v>82</v>
      </c>
      <c r="P693" t="str">
        <f>"4170047147                    "</f>
        <v xml:space="preserve">4170047147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17.649999999999999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5</v>
      </c>
      <c r="BJ693">
        <v>1.9</v>
      </c>
      <c r="BK693">
        <v>5</v>
      </c>
      <c r="BL693">
        <v>55.61</v>
      </c>
      <c r="BM693">
        <v>8.34</v>
      </c>
      <c r="BN693">
        <v>63.95</v>
      </c>
      <c r="BO693">
        <v>63.95</v>
      </c>
      <c r="BQ693" t="s">
        <v>1437</v>
      </c>
      <c r="BR693" t="s">
        <v>84</v>
      </c>
      <c r="BS693" s="3">
        <v>45847</v>
      </c>
      <c r="BT693" s="4">
        <v>0.38124999999999998</v>
      </c>
      <c r="BU693" t="s">
        <v>1438</v>
      </c>
      <c r="BV693" t="s">
        <v>98</v>
      </c>
      <c r="BY693">
        <v>9600</v>
      </c>
      <c r="BZ693" t="s">
        <v>89</v>
      </c>
      <c r="CA693" t="s">
        <v>318</v>
      </c>
      <c r="CC693" t="s">
        <v>198</v>
      </c>
      <c r="CD693">
        <v>1422</v>
      </c>
      <c r="CE693" t="s">
        <v>117</v>
      </c>
      <c r="CF693" s="3">
        <v>45847</v>
      </c>
      <c r="CI693">
        <v>1</v>
      </c>
      <c r="CJ693">
        <v>1</v>
      </c>
      <c r="CK693">
        <v>22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"080066412479"</f>
        <v>080066412479</v>
      </c>
      <c r="F694" s="3">
        <v>45846</v>
      </c>
      <c r="G694">
        <v>202604</v>
      </c>
      <c r="H694" t="s">
        <v>75</v>
      </c>
      <c r="I694" t="s">
        <v>76</v>
      </c>
      <c r="J694" t="s">
        <v>77</v>
      </c>
      <c r="K694" t="s">
        <v>78</v>
      </c>
      <c r="L694" t="s">
        <v>79</v>
      </c>
      <c r="M694" t="s">
        <v>80</v>
      </c>
      <c r="N694" t="s">
        <v>698</v>
      </c>
      <c r="O694" t="s">
        <v>82</v>
      </c>
      <c r="P694" t="str">
        <f>"4170047229                    "</f>
        <v xml:space="preserve">4170047229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22.6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1.3</v>
      </c>
      <c r="BK694">
        <v>1.5</v>
      </c>
      <c r="BL694">
        <v>71.2</v>
      </c>
      <c r="BM694">
        <v>10.68</v>
      </c>
      <c r="BN694">
        <v>81.88</v>
      </c>
      <c r="BO694">
        <v>81.88</v>
      </c>
      <c r="BQ694" t="s">
        <v>699</v>
      </c>
      <c r="BR694" t="s">
        <v>84</v>
      </c>
      <c r="BS694" s="3">
        <v>45847</v>
      </c>
      <c r="BT694" s="4">
        <v>0.38263888888888886</v>
      </c>
      <c r="BU694" t="s">
        <v>1425</v>
      </c>
      <c r="BV694" t="s">
        <v>98</v>
      </c>
      <c r="BY694">
        <v>6384</v>
      </c>
      <c r="BZ694" t="s">
        <v>89</v>
      </c>
      <c r="CA694" t="s">
        <v>1426</v>
      </c>
      <c r="CC694" t="s">
        <v>80</v>
      </c>
      <c r="CD694">
        <v>7561</v>
      </c>
      <c r="CE694" t="s">
        <v>117</v>
      </c>
      <c r="CF694" s="3">
        <v>45848</v>
      </c>
      <c r="CI694">
        <v>1</v>
      </c>
      <c r="CJ694">
        <v>1</v>
      </c>
      <c r="CK694">
        <v>21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"080066412495"</f>
        <v>080066412495</v>
      </c>
      <c r="F695" s="3">
        <v>45846</v>
      </c>
      <c r="G695">
        <v>202604</v>
      </c>
      <c r="H695" t="s">
        <v>75</v>
      </c>
      <c r="I695" t="s">
        <v>76</v>
      </c>
      <c r="J695" t="s">
        <v>77</v>
      </c>
      <c r="K695" t="s">
        <v>78</v>
      </c>
      <c r="L695" t="s">
        <v>168</v>
      </c>
      <c r="M695" t="s">
        <v>169</v>
      </c>
      <c r="N695" t="s">
        <v>360</v>
      </c>
      <c r="O695" t="s">
        <v>82</v>
      </c>
      <c r="P695" t="str">
        <f>"4170047228                    "</f>
        <v xml:space="preserve">4170047228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22.6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1.3</v>
      </c>
      <c r="BK695">
        <v>1.5</v>
      </c>
      <c r="BL695">
        <v>71.2</v>
      </c>
      <c r="BM695">
        <v>10.68</v>
      </c>
      <c r="BN695">
        <v>81.88</v>
      </c>
      <c r="BO695">
        <v>81.88</v>
      </c>
      <c r="BQ695" t="s">
        <v>361</v>
      </c>
      <c r="BR695" t="s">
        <v>84</v>
      </c>
      <c r="BS695" s="3">
        <v>45847</v>
      </c>
      <c r="BT695" s="4">
        <v>0.36875000000000002</v>
      </c>
      <c r="BU695" t="s">
        <v>1439</v>
      </c>
      <c r="BV695" t="s">
        <v>98</v>
      </c>
      <c r="BY695">
        <v>6384</v>
      </c>
      <c r="BZ695" t="s">
        <v>89</v>
      </c>
      <c r="CA695" t="s">
        <v>423</v>
      </c>
      <c r="CC695" t="s">
        <v>169</v>
      </c>
      <c r="CD695">
        <v>6001</v>
      </c>
      <c r="CE695" t="s">
        <v>117</v>
      </c>
      <c r="CF695" s="3">
        <v>45847</v>
      </c>
      <c r="CI695">
        <v>1</v>
      </c>
      <c r="CJ695">
        <v>1</v>
      </c>
      <c r="CK695">
        <v>21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"080066412514"</f>
        <v>080066412514</v>
      </c>
      <c r="F696" s="3">
        <v>45846</v>
      </c>
      <c r="G696">
        <v>202604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1440</v>
      </c>
      <c r="O696" t="s">
        <v>82</v>
      </c>
      <c r="P696" t="str">
        <f>"4170047195                    "</f>
        <v xml:space="preserve">4170047195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56.47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5</v>
      </c>
      <c r="BJ696">
        <v>4.5</v>
      </c>
      <c r="BK696">
        <v>5</v>
      </c>
      <c r="BL696">
        <v>177.91</v>
      </c>
      <c r="BM696">
        <v>26.69</v>
      </c>
      <c r="BN696">
        <v>204.6</v>
      </c>
      <c r="BO696">
        <v>204.6</v>
      </c>
      <c r="BQ696" t="s">
        <v>1441</v>
      </c>
      <c r="BR696" t="s">
        <v>84</v>
      </c>
      <c r="BS696" s="3">
        <v>45847</v>
      </c>
      <c r="BT696" s="4">
        <v>0.37777777777777777</v>
      </c>
      <c r="BU696" t="s">
        <v>1442</v>
      </c>
      <c r="BV696" t="s">
        <v>98</v>
      </c>
      <c r="BY696">
        <v>22620</v>
      </c>
      <c r="BZ696" t="s">
        <v>89</v>
      </c>
      <c r="CA696" t="s">
        <v>508</v>
      </c>
      <c r="CC696" t="s">
        <v>80</v>
      </c>
      <c r="CD696">
        <v>8001</v>
      </c>
      <c r="CE696" t="s">
        <v>117</v>
      </c>
      <c r="CF696" s="3">
        <v>45848</v>
      </c>
      <c r="CI696">
        <v>1</v>
      </c>
      <c r="CJ696">
        <v>1</v>
      </c>
      <c r="CK696">
        <v>21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"080066412543"</f>
        <v>080066412543</v>
      </c>
      <c r="F697" s="3">
        <v>45846</v>
      </c>
      <c r="G697">
        <v>202604</v>
      </c>
      <c r="H697" t="s">
        <v>75</v>
      </c>
      <c r="I697" t="s">
        <v>76</v>
      </c>
      <c r="J697" t="s">
        <v>77</v>
      </c>
      <c r="K697" t="s">
        <v>78</v>
      </c>
      <c r="L697" t="s">
        <v>240</v>
      </c>
      <c r="M697" t="s">
        <v>241</v>
      </c>
      <c r="N697" t="s">
        <v>242</v>
      </c>
      <c r="O697" t="s">
        <v>82</v>
      </c>
      <c r="P697" t="str">
        <f>"4170047206                    "</f>
        <v xml:space="preserve">4170047206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17.649999999999999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1.3</v>
      </c>
      <c r="BK697">
        <v>2</v>
      </c>
      <c r="BL697">
        <v>55.61</v>
      </c>
      <c r="BM697">
        <v>8.34</v>
      </c>
      <c r="BN697">
        <v>63.95</v>
      </c>
      <c r="BO697">
        <v>63.95</v>
      </c>
      <c r="BQ697" t="s">
        <v>243</v>
      </c>
      <c r="BR697" t="s">
        <v>84</v>
      </c>
      <c r="BS697" s="3">
        <v>45847</v>
      </c>
      <c r="BT697" s="4">
        <v>0.375</v>
      </c>
      <c r="BU697" t="s">
        <v>1443</v>
      </c>
      <c r="BV697" t="s">
        <v>98</v>
      </c>
      <c r="BY697">
        <v>6384</v>
      </c>
      <c r="BZ697" t="s">
        <v>89</v>
      </c>
      <c r="CA697" t="s">
        <v>245</v>
      </c>
      <c r="CC697" t="s">
        <v>241</v>
      </c>
      <c r="CD697">
        <v>2091</v>
      </c>
      <c r="CE697" t="s">
        <v>117</v>
      </c>
      <c r="CF697" s="3">
        <v>45848</v>
      </c>
      <c r="CI697">
        <v>1</v>
      </c>
      <c r="CJ697">
        <v>1</v>
      </c>
      <c r="CK697">
        <v>22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"080066412562"</f>
        <v>080066412562</v>
      </c>
      <c r="F698" s="3">
        <v>45846</v>
      </c>
      <c r="G698">
        <v>202604</v>
      </c>
      <c r="H698" t="s">
        <v>75</v>
      </c>
      <c r="I698" t="s">
        <v>76</v>
      </c>
      <c r="J698" t="s">
        <v>77</v>
      </c>
      <c r="K698" t="s">
        <v>78</v>
      </c>
      <c r="L698" t="s">
        <v>92</v>
      </c>
      <c r="M698" t="s">
        <v>93</v>
      </c>
      <c r="N698" t="s">
        <v>94</v>
      </c>
      <c r="O698" t="s">
        <v>82</v>
      </c>
      <c r="P698" t="str">
        <f>"4170047213                    "</f>
        <v xml:space="preserve">4170047213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180.66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16</v>
      </c>
      <c r="BJ698">
        <v>8.1</v>
      </c>
      <c r="BK698">
        <v>16</v>
      </c>
      <c r="BL698">
        <v>569.17999999999995</v>
      </c>
      <c r="BM698">
        <v>85.38</v>
      </c>
      <c r="BN698">
        <v>654.55999999999995</v>
      </c>
      <c r="BO698">
        <v>654.55999999999995</v>
      </c>
      <c r="BQ698" t="s">
        <v>96</v>
      </c>
      <c r="BR698" t="s">
        <v>84</v>
      </c>
      <c r="BS698" s="3">
        <v>45847</v>
      </c>
      <c r="BT698" s="4">
        <v>0.78541666666666665</v>
      </c>
      <c r="BU698" t="s">
        <v>383</v>
      </c>
      <c r="BV698" t="s">
        <v>86</v>
      </c>
      <c r="BY698">
        <v>40320</v>
      </c>
      <c r="BZ698" t="s">
        <v>89</v>
      </c>
      <c r="CA698" t="s">
        <v>384</v>
      </c>
      <c r="CC698" t="s">
        <v>93</v>
      </c>
      <c r="CD698">
        <v>4052</v>
      </c>
      <c r="CE698" t="s">
        <v>226</v>
      </c>
      <c r="CI698">
        <v>1</v>
      </c>
      <c r="CJ698">
        <v>1</v>
      </c>
      <c r="CK698">
        <v>21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"080066412586"</f>
        <v>080066412586</v>
      </c>
      <c r="F699" s="3">
        <v>45846</v>
      </c>
      <c r="G699">
        <v>202604</v>
      </c>
      <c r="H699" t="s">
        <v>75</v>
      </c>
      <c r="I699" t="s">
        <v>76</v>
      </c>
      <c r="J699" t="s">
        <v>77</v>
      </c>
      <c r="K699" t="s">
        <v>78</v>
      </c>
      <c r="L699" t="s">
        <v>240</v>
      </c>
      <c r="M699" t="s">
        <v>241</v>
      </c>
      <c r="N699" t="s">
        <v>851</v>
      </c>
      <c r="O699" t="s">
        <v>311</v>
      </c>
      <c r="P699" t="str">
        <f>"4170047232                    "</f>
        <v xml:space="preserve">4170047232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17.66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4</v>
      </c>
      <c r="BJ699">
        <v>7</v>
      </c>
      <c r="BK699">
        <v>7</v>
      </c>
      <c r="BL699">
        <v>55.63</v>
      </c>
      <c r="BM699">
        <v>8.34</v>
      </c>
      <c r="BN699">
        <v>63.97</v>
      </c>
      <c r="BO699">
        <v>63.97</v>
      </c>
      <c r="BQ699" t="s">
        <v>852</v>
      </c>
      <c r="BR699" t="s">
        <v>84</v>
      </c>
      <c r="BS699" s="3">
        <v>45847</v>
      </c>
      <c r="BT699" s="4">
        <v>0.40555555555555556</v>
      </c>
      <c r="BU699" t="s">
        <v>1444</v>
      </c>
      <c r="BV699" t="s">
        <v>98</v>
      </c>
      <c r="BY699">
        <v>34960</v>
      </c>
      <c r="BZ699" t="s">
        <v>99</v>
      </c>
      <c r="CA699" t="s">
        <v>451</v>
      </c>
      <c r="CC699" t="s">
        <v>241</v>
      </c>
      <c r="CD699">
        <v>2094</v>
      </c>
      <c r="CE699" t="s">
        <v>226</v>
      </c>
      <c r="CF699" s="3">
        <v>45847</v>
      </c>
      <c r="CI699">
        <v>1</v>
      </c>
      <c r="CJ699">
        <v>1</v>
      </c>
      <c r="CK699">
        <v>32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"080066412601"</f>
        <v>080066412601</v>
      </c>
      <c r="F700" s="3">
        <v>45846</v>
      </c>
      <c r="G700">
        <v>202604</v>
      </c>
      <c r="H700" t="s">
        <v>75</v>
      </c>
      <c r="I700" t="s">
        <v>76</v>
      </c>
      <c r="J700" t="s">
        <v>77</v>
      </c>
      <c r="K700" t="s">
        <v>78</v>
      </c>
      <c r="L700" t="s">
        <v>240</v>
      </c>
      <c r="M700" t="s">
        <v>241</v>
      </c>
      <c r="N700" t="s">
        <v>1341</v>
      </c>
      <c r="O700" t="s">
        <v>82</v>
      </c>
      <c r="P700" t="str">
        <f>"4170047230                    "</f>
        <v xml:space="preserve">4170047230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17.649999999999999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3.7</v>
      </c>
      <c r="BK700">
        <v>4</v>
      </c>
      <c r="BL700">
        <v>55.61</v>
      </c>
      <c r="BM700">
        <v>8.34</v>
      </c>
      <c r="BN700">
        <v>63.95</v>
      </c>
      <c r="BO700">
        <v>63.95</v>
      </c>
      <c r="BQ700" t="s">
        <v>1342</v>
      </c>
      <c r="BR700" t="s">
        <v>84</v>
      </c>
      <c r="BS700" s="3">
        <v>45847</v>
      </c>
      <c r="BT700" s="4">
        <v>0.4861111111111111</v>
      </c>
      <c r="BU700" t="s">
        <v>1445</v>
      </c>
      <c r="BV700" t="s">
        <v>86</v>
      </c>
      <c r="BW700" t="s">
        <v>219</v>
      </c>
      <c r="BX700" t="s">
        <v>1446</v>
      </c>
      <c r="BY700">
        <v>18304</v>
      </c>
      <c r="BZ700" t="s">
        <v>89</v>
      </c>
      <c r="CA700" t="s">
        <v>1344</v>
      </c>
      <c r="CC700" t="s">
        <v>241</v>
      </c>
      <c r="CD700">
        <v>2169</v>
      </c>
      <c r="CE700" t="s">
        <v>117</v>
      </c>
      <c r="CF700" s="3">
        <v>45848</v>
      </c>
      <c r="CI700">
        <v>1</v>
      </c>
      <c r="CJ700">
        <v>1</v>
      </c>
      <c r="CK700">
        <v>22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"080066412627"</f>
        <v>080066412627</v>
      </c>
      <c r="F701" s="3">
        <v>45846</v>
      </c>
      <c r="G701">
        <v>202604</v>
      </c>
      <c r="H701" t="s">
        <v>75</v>
      </c>
      <c r="I701" t="s">
        <v>76</v>
      </c>
      <c r="J701" t="s">
        <v>77</v>
      </c>
      <c r="K701" t="s">
        <v>78</v>
      </c>
      <c r="L701" t="s">
        <v>92</v>
      </c>
      <c r="M701" t="s">
        <v>93</v>
      </c>
      <c r="N701" t="s">
        <v>723</v>
      </c>
      <c r="O701" t="s">
        <v>82</v>
      </c>
      <c r="P701" t="str">
        <f>"4170047223                    "</f>
        <v xml:space="preserve">4170047223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39.53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3</v>
      </c>
      <c r="BJ701">
        <v>3.1</v>
      </c>
      <c r="BK701">
        <v>3.5</v>
      </c>
      <c r="BL701">
        <v>124.55</v>
      </c>
      <c r="BM701">
        <v>18.68</v>
      </c>
      <c r="BN701">
        <v>143.22999999999999</v>
      </c>
      <c r="BO701">
        <v>143.22999999999999</v>
      </c>
      <c r="BQ701" t="s">
        <v>724</v>
      </c>
      <c r="BR701" t="s">
        <v>84</v>
      </c>
      <c r="BS701" s="3">
        <v>45847</v>
      </c>
      <c r="BT701" s="4">
        <v>0.47916666666666669</v>
      </c>
      <c r="BU701" t="s">
        <v>354</v>
      </c>
      <c r="BV701" t="s">
        <v>86</v>
      </c>
      <c r="BW701" t="s">
        <v>219</v>
      </c>
      <c r="BX701" t="s">
        <v>1435</v>
      </c>
      <c r="BY701">
        <v>15360</v>
      </c>
      <c r="BZ701" t="s">
        <v>89</v>
      </c>
      <c r="CA701" t="s">
        <v>166</v>
      </c>
      <c r="CC701" t="s">
        <v>93</v>
      </c>
      <c r="CD701">
        <v>4000</v>
      </c>
      <c r="CE701" t="s">
        <v>145</v>
      </c>
      <c r="CF701" s="3">
        <v>45848</v>
      </c>
      <c r="CI701">
        <v>1</v>
      </c>
      <c r="CJ701">
        <v>1</v>
      </c>
      <c r="CK701">
        <v>21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"080066412648"</f>
        <v>080066412648</v>
      </c>
      <c r="F702" s="3">
        <v>45846</v>
      </c>
      <c r="G702">
        <v>202604</v>
      </c>
      <c r="H702" t="s">
        <v>75</v>
      </c>
      <c r="I702" t="s">
        <v>76</v>
      </c>
      <c r="J702" t="s">
        <v>77</v>
      </c>
      <c r="K702" t="s">
        <v>78</v>
      </c>
      <c r="L702" t="s">
        <v>1447</v>
      </c>
      <c r="M702" t="s">
        <v>1448</v>
      </c>
      <c r="N702" t="s">
        <v>1449</v>
      </c>
      <c r="O702" t="s">
        <v>82</v>
      </c>
      <c r="P702" t="str">
        <f>"4170047211                    "</f>
        <v xml:space="preserve">4170047211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43.78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1.3</v>
      </c>
      <c r="BK702">
        <v>1.5</v>
      </c>
      <c r="BL702">
        <v>137.94</v>
      </c>
      <c r="BM702">
        <v>20.69</v>
      </c>
      <c r="BN702">
        <v>158.63</v>
      </c>
      <c r="BO702">
        <v>158.63</v>
      </c>
      <c r="BQ702" t="s">
        <v>1450</v>
      </c>
      <c r="BR702" t="s">
        <v>84</v>
      </c>
      <c r="BS702" s="3">
        <v>45847</v>
      </c>
      <c r="BT702" s="4">
        <v>0.6118055555555556</v>
      </c>
      <c r="BU702" t="s">
        <v>1451</v>
      </c>
      <c r="BV702" t="s">
        <v>98</v>
      </c>
      <c r="BY702">
        <v>6384</v>
      </c>
      <c r="BZ702" t="s">
        <v>89</v>
      </c>
      <c r="CA702" t="s">
        <v>1452</v>
      </c>
      <c r="CC702" t="s">
        <v>1448</v>
      </c>
      <c r="CD702">
        <v>2380</v>
      </c>
      <c r="CE702" t="s">
        <v>145</v>
      </c>
      <c r="CF702" s="3">
        <v>45848</v>
      </c>
      <c r="CI702">
        <v>1</v>
      </c>
      <c r="CJ702">
        <v>1</v>
      </c>
      <c r="CK702">
        <v>23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"080066412687"</f>
        <v>080066412687</v>
      </c>
      <c r="F703" s="3">
        <v>45846</v>
      </c>
      <c r="G703">
        <v>202604</v>
      </c>
      <c r="H703" t="s">
        <v>75</v>
      </c>
      <c r="I703" t="s">
        <v>76</v>
      </c>
      <c r="J703" t="s">
        <v>77</v>
      </c>
      <c r="K703" t="s">
        <v>78</v>
      </c>
      <c r="L703" t="s">
        <v>240</v>
      </c>
      <c r="M703" t="s">
        <v>241</v>
      </c>
      <c r="N703" t="s">
        <v>242</v>
      </c>
      <c r="O703" t="s">
        <v>311</v>
      </c>
      <c r="P703" t="str">
        <f>"4170047257                    "</f>
        <v xml:space="preserve">4170047257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25.58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7</v>
      </c>
      <c r="BJ703">
        <v>12</v>
      </c>
      <c r="BK703">
        <v>12</v>
      </c>
      <c r="BL703">
        <v>80.59</v>
      </c>
      <c r="BM703">
        <v>12.09</v>
      </c>
      <c r="BN703">
        <v>92.68</v>
      </c>
      <c r="BO703">
        <v>92.68</v>
      </c>
      <c r="BQ703" t="s">
        <v>243</v>
      </c>
      <c r="BR703" t="s">
        <v>84</v>
      </c>
      <c r="BS703" s="3">
        <v>45847</v>
      </c>
      <c r="BT703" s="4">
        <v>0.38541666666666669</v>
      </c>
      <c r="BU703" t="s">
        <v>1443</v>
      </c>
      <c r="BV703" t="s">
        <v>98</v>
      </c>
      <c r="BY703">
        <v>60000</v>
      </c>
      <c r="BZ703" t="s">
        <v>99</v>
      </c>
      <c r="CA703" t="s">
        <v>245</v>
      </c>
      <c r="CC703" t="s">
        <v>241</v>
      </c>
      <c r="CD703">
        <v>2091</v>
      </c>
      <c r="CE703" t="s">
        <v>91</v>
      </c>
      <c r="CF703" s="3">
        <v>45848</v>
      </c>
      <c r="CI703">
        <v>1</v>
      </c>
      <c r="CJ703">
        <v>1</v>
      </c>
      <c r="CK703">
        <v>32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"080066412708"</f>
        <v>080066412708</v>
      </c>
      <c r="F704" s="3">
        <v>45846</v>
      </c>
      <c r="G704">
        <v>202604</v>
      </c>
      <c r="H704" t="s">
        <v>75</v>
      </c>
      <c r="I704" t="s">
        <v>76</v>
      </c>
      <c r="J704" t="s">
        <v>77</v>
      </c>
      <c r="K704" t="s">
        <v>78</v>
      </c>
      <c r="L704" t="s">
        <v>122</v>
      </c>
      <c r="M704" t="s">
        <v>123</v>
      </c>
      <c r="N704" t="s">
        <v>184</v>
      </c>
      <c r="O704" t="s">
        <v>82</v>
      </c>
      <c r="P704" t="str">
        <f>"4170047203                    "</f>
        <v xml:space="preserve">4170047203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39.53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3.1</v>
      </c>
      <c r="BK704">
        <v>3.5</v>
      </c>
      <c r="BL704">
        <v>124.55</v>
      </c>
      <c r="BM704">
        <v>18.68</v>
      </c>
      <c r="BN704">
        <v>143.22999999999999</v>
      </c>
      <c r="BO704">
        <v>143.22999999999999</v>
      </c>
      <c r="BQ704" t="s">
        <v>185</v>
      </c>
      <c r="BR704" t="s">
        <v>84</v>
      </c>
      <c r="BS704" s="3">
        <v>45847</v>
      </c>
      <c r="BT704" s="4">
        <v>0.38333333333333336</v>
      </c>
      <c r="BU704" t="s">
        <v>186</v>
      </c>
      <c r="BV704" t="s">
        <v>98</v>
      </c>
      <c r="BY704">
        <v>15360</v>
      </c>
      <c r="BZ704" t="s">
        <v>89</v>
      </c>
      <c r="CA704" t="s">
        <v>187</v>
      </c>
      <c r="CC704" t="s">
        <v>123</v>
      </c>
      <c r="CD704">
        <v>3610</v>
      </c>
      <c r="CE704" t="s">
        <v>117</v>
      </c>
      <c r="CF704" s="3">
        <v>45847</v>
      </c>
      <c r="CI704">
        <v>1</v>
      </c>
      <c r="CJ704">
        <v>1</v>
      </c>
      <c r="CK704">
        <v>21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"080066412756"</f>
        <v>080066412756</v>
      </c>
      <c r="F705" s="3">
        <v>45846</v>
      </c>
      <c r="G705">
        <v>202604</v>
      </c>
      <c r="H705" t="s">
        <v>75</v>
      </c>
      <c r="I705" t="s">
        <v>76</v>
      </c>
      <c r="J705" t="s">
        <v>77</v>
      </c>
      <c r="K705" t="s">
        <v>78</v>
      </c>
      <c r="L705" t="s">
        <v>277</v>
      </c>
      <c r="M705" t="s">
        <v>278</v>
      </c>
      <c r="N705" t="s">
        <v>279</v>
      </c>
      <c r="O705" t="s">
        <v>82</v>
      </c>
      <c r="P705" t="str">
        <f>"4170047246                    "</f>
        <v xml:space="preserve">4170047246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45.18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4</v>
      </c>
      <c r="BJ705">
        <v>3.1</v>
      </c>
      <c r="BK705">
        <v>4</v>
      </c>
      <c r="BL705">
        <v>142.34</v>
      </c>
      <c r="BM705">
        <v>21.35</v>
      </c>
      <c r="BN705">
        <v>163.69</v>
      </c>
      <c r="BO705">
        <v>163.69</v>
      </c>
      <c r="BQ705" t="s">
        <v>280</v>
      </c>
      <c r="BR705" t="s">
        <v>84</v>
      </c>
      <c r="BS705" s="3">
        <v>45847</v>
      </c>
      <c r="BT705" s="4">
        <v>0.3923611111111111</v>
      </c>
      <c r="BU705" t="s">
        <v>1124</v>
      </c>
      <c r="BV705" t="s">
        <v>98</v>
      </c>
      <c r="BY705">
        <v>15360</v>
      </c>
      <c r="BZ705" t="s">
        <v>89</v>
      </c>
      <c r="CA705" t="s">
        <v>282</v>
      </c>
      <c r="CC705" t="s">
        <v>278</v>
      </c>
      <c r="CD705">
        <v>6230</v>
      </c>
      <c r="CE705" t="s">
        <v>117</v>
      </c>
      <c r="CF705" s="3">
        <v>45847</v>
      </c>
      <c r="CI705">
        <v>1</v>
      </c>
      <c r="CJ705">
        <v>1</v>
      </c>
      <c r="CK705">
        <v>21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"080066412819"</f>
        <v>080066412819</v>
      </c>
      <c r="F706" s="3">
        <v>45846</v>
      </c>
      <c r="G706">
        <v>202604</v>
      </c>
      <c r="H706" t="s">
        <v>75</v>
      </c>
      <c r="I706" t="s">
        <v>76</v>
      </c>
      <c r="J706" t="s">
        <v>77</v>
      </c>
      <c r="K706" t="s">
        <v>78</v>
      </c>
      <c r="L706" t="s">
        <v>79</v>
      </c>
      <c r="M706" t="s">
        <v>80</v>
      </c>
      <c r="N706" t="s">
        <v>1453</v>
      </c>
      <c r="O706" t="s">
        <v>82</v>
      </c>
      <c r="P706" t="str">
        <f>"4170047275                    "</f>
        <v xml:space="preserve">4170047275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33.89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3</v>
      </c>
      <c r="BJ706">
        <v>1.7</v>
      </c>
      <c r="BK706">
        <v>3</v>
      </c>
      <c r="BL706">
        <v>106.77</v>
      </c>
      <c r="BM706">
        <v>16.02</v>
      </c>
      <c r="BN706">
        <v>122.79</v>
      </c>
      <c r="BO706">
        <v>122.79</v>
      </c>
      <c r="BQ706" t="s">
        <v>1454</v>
      </c>
      <c r="BR706" t="s">
        <v>84</v>
      </c>
      <c r="BS706" s="3">
        <v>45847</v>
      </c>
      <c r="BT706" s="4">
        <v>0.34652777777777777</v>
      </c>
      <c r="BU706" t="s">
        <v>1455</v>
      </c>
      <c r="BV706" t="s">
        <v>98</v>
      </c>
      <c r="BY706">
        <v>8512</v>
      </c>
      <c r="BZ706" t="s">
        <v>89</v>
      </c>
      <c r="CA706" t="s">
        <v>1426</v>
      </c>
      <c r="CC706" t="s">
        <v>80</v>
      </c>
      <c r="CD706">
        <v>7535</v>
      </c>
      <c r="CE706" t="s">
        <v>117</v>
      </c>
      <c r="CF706" s="3">
        <v>45848</v>
      </c>
      <c r="CI706">
        <v>1</v>
      </c>
      <c r="CJ706">
        <v>1</v>
      </c>
      <c r="CK706">
        <v>21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"080066412840"</f>
        <v>080066412840</v>
      </c>
      <c r="F707" s="3">
        <v>45846</v>
      </c>
      <c r="G707">
        <v>202604</v>
      </c>
      <c r="H707" t="s">
        <v>75</v>
      </c>
      <c r="I707" t="s">
        <v>76</v>
      </c>
      <c r="J707" t="s">
        <v>77</v>
      </c>
      <c r="K707" t="s">
        <v>78</v>
      </c>
      <c r="L707" t="s">
        <v>79</v>
      </c>
      <c r="M707" t="s">
        <v>80</v>
      </c>
      <c r="N707" t="s">
        <v>81</v>
      </c>
      <c r="O707" t="s">
        <v>82</v>
      </c>
      <c r="P707" t="str">
        <f>"4170047272                    "</f>
        <v xml:space="preserve">4170047272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33.89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1.1000000000000001</v>
      </c>
      <c r="BK707">
        <v>3</v>
      </c>
      <c r="BL707">
        <v>106.77</v>
      </c>
      <c r="BM707">
        <v>16.02</v>
      </c>
      <c r="BN707">
        <v>122.79</v>
      </c>
      <c r="BO707">
        <v>122.79</v>
      </c>
      <c r="BQ707" t="s">
        <v>83</v>
      </c>
      <c r="BR707" t="s">
        <v>84</v>
      </c>
      <c r="BS707" s="3">
        <v>45847</v>
      </c>
      <c r="BT707" s="4">
        <v>0.66041666666666665</v>
      </c>
      <c r="BU707" t="s">
        <v>1456</v>
      </c>
      <c r="BV707" t="s">
        <v>86</v>
      </c>
      <c r="BW707" t="s">
        <v>1395</v>
      </c>
      <c r="BX707" t="s">
        <v>1185</v>
      </c>
      <c r="BY707">
        <v>5320</v>
      </c>
      <c r="BZ707" t="s">
        <v>89</v>
      </c>
      <c r="CA707" t="s">
        <v>90</v>
      </c>
      <c r="CC707" t="s">
        <v>80</v>
      </c>
      <c r="CD707">
        <v>7550</v>
      </c>
      <c r="CE707" t="s">
        <v>117</v>
      </c>
      <c r="CF707" s="3">
        <v>45848</v>
      </c>
      <c r="CI707">
        <v>1</v>
      </c>
      <c r="CJ707">
        <v>1</v>
      </c>
      <c r="CK707">
        <v>21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"080066412863"</f>
        <v>080066412863</v>
      </c>
      <c r="F708" s="3">
        <v>45846</v>
      </c>
      <c r="G708">
        <v>202604</v>
      </c>
      <c r="H708" t="s">
        <v>75</v>
      </c>
      <c r="I708" t="s">
        <v>76</v>
      </c>
      <c r="J708" t="s">
        <v>77</v>
      </c>
      <c r="K708" t="s">
        <v>78</v>
      </c>
      <c r="L708" t="s">
        <v>79</v>
      </c>
      <c r="M708" t="s">
        <v>80</v>
      </c>
      <c r="N708" t="s">
        <v>81</v>
      </c>
      <c r="O708" t="s">
        <v>82</v>
      </c>
      <c r="P708" t="str">
        <f>"4170047274                    "</f>
        <v xml:space="preserve">4170047274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33.89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3</v>
      </c>
      <c r="BJ708">
        <v>1.1000000000000001</v>
      </c>
      <c r="BK708">
        <v>3</v>
      </c>
      <c r="BL708">
        <v>106.77</v>
      </c>
      <c r="BM708">
        <v>16.02</v>
      </c>
      <c r="BN708">
        <v>122.79</v>
      </c>
      <c r="BO708">
        <v>122.79</v>
      </c>
      <c r="BQ708" t="s">
        <v>83</v>
      </c>
      <c r="BR708" t="s">
        <v>84</v>
      </c>
      <c r="BS708" s="3">
        <v>45847</v>
      </c>
      <c r="BT708" s="4">
        <v>0.66041666666666665</v>
      </c>
      <c r="BU708" t="s">
        <v>1456</v>
      </c>
      <c r="BV708" t="s">
        <v>86</v>
      </c>
      <c r="BW708" t="s">
        <v>1395</v>
      </c>
      <c r="BX708" t="s">
        <v>1185</v>
      </c>
      <c r="BY708">
        <v>5320</v>
      </c>
      <c r="BZ708" t="s">
        <v>89</v>
      </c>
      <c r="CA708" t="s">
        <v>90</v>
      </c>
      <c r="CC708" t="s">
        <v>80</v>
      </c>
      <c r="CD708">
        <v>7550</v>
      </c>
      <c r="CE708" t="s">
        <v>117</v>
      </c>
      <c r="CF708" s="3">
        <v>45848</v>
      </c>
      <c r="CI708">
        <v>1</v>
      </c>
      <c r="CJ708">
        <v>1</v>
      </c>
      <c r="CK708">
        <v>21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"080066412958"</f>
        <v>080066412958</v>
      </c>
      <c r="F709" s="3">
        <v>45846</v>
      </c>
      <c r="G709">
        <v>202604</v>
      </c>
      <c r="H709" t="s">
        <v>75</v>
      </c>
      <c r="I709" t="s">
        <v>76</v>
      </c>
      <c r="J709" t="s">
        <v>77</v>
      </c>
      <c r="K709" t="s">
        <v>78</v>
      </c>
      <c r="L709" t="s">
        <v>79</v>
      </c>
      <c r="M709" t="s">
        <v>80</v>
      </c>
      <c r="N709" t="s">
        <v>81</v>
      </c>
      <c r="O709" t="s">
        <v>82</v>
      </c>
      <c r="P709" t="str">
        <f>"4170047271                    "</f>
        <v xml:space="preserve">4170047271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33.89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3</v>
      </c>
      <c r="BJ709">
        <v>1.1000000000000001</v>
      </c>
      <c r="BK709">
        <v>3</v>
      </c>
      <c r="BL709">
        <v>106.77</v>
      </c>
      <c r="BM709">
        <v>16.02</v>
      </c>
      <c r="BN709">
        <v>122.79</v>
      </c>
      <c r="BO709">
        <v>122.79</v>
      </c>
      <c r="BQ709" t="s">
        <v>83</v>
      </c>
      <c r="BR709" t="s">
        <v>84</v>
      </c>
      <c r="BS709" s="3">
        <v>45846</v>
      </c>
      <c r="BT709" s="4">
        <v>0.41666666666666669</v>
      </c>
      <c r="BU709" t="s">
        <v>1457</v>
      </c>
      <c r="BV709" t="s">
        <v>98</v>
      </c>
      <c r="BY709">
        <v>5320</v>
      </c>
      <c r="CC709" t="s">
        <v>80</v>
      </c>
      <c r="CD709">
        <v>7550</v>
      </c>
      <c r="CE709" t="s">
        <v>1458</v>
      </c>
      <c r="CF709" s="3">
        <v>45860</v>
      </c>
      <c r="CI709">
        <v>1</v>
      </c>
      <c r="CJ709">
        <v>0</v>
      </c>
      <c r="CK709">
        <v>21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"080066412991"</f>
        <v>080066412991</v>
      </c>
      <c r="F710" s="3">
        <v>45846</v>
      </c>
      <c r="G710">
        <v>202604</v>
      </c>
      <c r="H710" t="s">
        <v>75</v>
      </c>
      <c r="I710" t="s">
        <v>76</v>
      </c>
      <c r="J710" t="s">
        <v>77</v>
      </c>
      <c r="K710" t="s">
        <v>78</v>
      </c>
      <c r="L710" t="s">
        <v>79</v>
      </c>
      <c r="M710" t="s">
        <v>80</v>
      </c>
      <c r="N710" t="s">
        <v>81</v>
      </c>
      <c r="O710" t="s">
        <v>82</v>
      </c>
      <c r="P710" t="str">
        <f>"4170047273                    "</f>
        <v xml:space="preserve">4170047273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33.89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3</v>
      </c>
      <c r="BJ710">
        <v>1.1000000000000001</v>
      </c>
      <c r="BK710">
        <v>3</v>
      </c>
      <c r="BL710">
        <v>106.77</v>
      </c>
      <c r="BM710">
        <v>16.02</v>
      </c>
      <c r="BN710">
        <v>122.79</v>
      </c>
      <c r="BO710">
        <v>122.79</v>
      </c>
      <c r="BQ710" t="s">
        <v>83</v>
      </c>
      <c r="BR710" t="s">
        <v>84</v>
      </c>
      <c r="BS710" s="3">
        <v>45847</v>
      </c>
      <c r="BT710" s="4">
        <v>0.66111111111111109</v>
      </c>
      <c r="BU710" t="s">
        <v>1456</v>
      </c>
      <c r="BV710" t="s">
        <v>86</v>
      </c>
      <c r="BW710" t="s">
        <v>1395</v>
      </c>
      <c r="BX710" t="s">
        <v>1185</v>
      </c>
      <c r="BY710">
        <v>5320</v>
      </c>
      <c r="BZ710" t="s">
        <v>89</v>
      </c>
      <c r="CA710" t="s">
        <v>90</v>
      </c>
      <c r="CC710" t="s">
        <v>80</v>
      </c>
      <c r="CD710">
        <v>7550</v>
      </c>
      <c r="CE710" t="s">
        <v>117</v>
      </c>
      <c r="CF710" s="3">
        <v>45848</v>
      </c>
      <c r="CI710">
        <v>1</v>
      </c>
      <c r="CJ710">
        <v>1</v>
      </c>
      <c r="CK710">
        <v>21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"080066413032"</f>
        <v>080066413032</v>
      </c>
      <c r="F711" s="3">
        <v>45846</v>
      </c>
      <c r="G711">
        <v>202604</v>
      </c>
      <c r="H711" t="s">
        <v>75</v>
      </c>
      <c r="I711" t="s">
        <v>76</v>
      </c>
      <c r="J711" t="s">
        <v>77</v>
      </c>
      <c r="K711" t="s">
        <v>78</v>
      </c>
      <c r="L711" t="s">
        <v>503</v>
      </c>
      <c r="M711" t="s">
        <v>504</v>
      </c>
      <c r="N711" t="s">
        <v>505</v>
      </c>
      <c r="O711" t="s">
        <v>82</v>
      </c>
      <c r="P711" t="str">
        <f>"4170047185                    "</f>
        <v xml:space="preserve">4170047185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142.63999999999999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2</v>
      </c>
      <c r="BI711">
        <v>7</v>
      </c>
      <c r="BJ711">
        <v>4.2</v>
      </c>
      <c r="BK711">
        <v>7</v>
      </c>
      <c r="BL711">
        <v>449.4</v>
      </c>
      <c r="BM711">
        <v>67.41</v>
      </c>
      <c r="BN711">
        <v>516.80999999999995</v>
      </c>
      <c r="BO711">
        <v>516.80999999999995</v>
      </c>
      <c r="BQ711" t="s">
        <v>506</v>
      </c>
      <c r="BR711" t="s">
        <v>84</v>
      </c>
      <c r="BS711" s="3">
        <v>45847</v>
      </c>
      <c r="BT711" s="4">
        <v>0.38958333333333334</v>
      </c>
      <c r="BU711" t="s">
        <v>161</v>
      </c>
      <c r="BV711" t="s">
        <v>98</v>
      </c>
      <c r="BY711">
        <v>20968</v>
      </c>
      <c r="BZ711" t="s">
        <v>89</v>
      </c>
      <c r="CA711" t="s">
        <v>508</v>
      </c>
      <c r="CC711" t="s">
        <v>504</v>
      </c>
      <c r="CD711">
        <v>7130</v>
      </c>
      <c r="CE711" t="s">
        <v>117</v>
      </c>
      <c r="CF711" s="3">
        <v>45848</v>
      </c>
      <c r="CI711">
        <v>1</v>
      </c>
      <c r="CJ711">
        <v>1</v>
      </c>
      <c r="CK711">
        <v>23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"080066413059"</f>
        <v>080066413059</v>
      </c>
      <c r="F712" s="3">
        <v>45846</v>
      </c>
      <c r="G712">
        <v>202604</v>
      </c>
      <c r="H712" t="s">
        <v>75</v>
      </c>
      <c r="I712" t="s">
        <v>76</v>
      </c>
      <c r="J712" t="s">
        <v>77</v>
      </c>
      <c r="K712" t="s">
        <v>78</v>
      </c>
      <c r="L712" t="s">
        <v>758</v>
      </c>
      <c r="M712" t="s">
        <v>759</v>
      </c>
      <c r="N712" t="s">
        <v>760</v>
      </c>
      <c r="O712" t="s">
        <v>82</v>
      </c>
      <c r="P712" t="str">
        <f>"4170047013                    "</f>
        <v xml:space="preserve">4170047013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43.78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1</v>
      </c>
      <c r="BK712">
        <v>1</v>
      </c>
      <c r="BL712">
        <v>137.94</v>
      </c>
      <c r="BM712">
        <v>20.69</v>
      </c>
      <c r="BN712">
        <v>158.63</v>
      </c>
      <c r="BO712">
        <v>158.63</v>
      </c>
      <c r="BQ712" t="s">
        <v>761</v>
      </c>
      <c r="BR712" t="s">
        <v>84</v>
      </c>
      <c r="BS712" s="3">
        <v>45847</v>
      </c>
      <c r="BT712" s="4">
        <v>0.40208333333333335</v>
      </c>
      <c r="BU712" t="s">
        <v>1110</v>
      </c>
      <c r="BV712" t="s">
        <v>98</v>
      </c>
      <c r="BY712">
        <v>5160</v>
      </c>
      <c r="BZ712" t="s">
        <v>89</v>
      </c>
      <c r="CA712" t="s">
        <v>763</v>
      </c>
      <c r="CC712" t="s">
        <v>759</v>
      </c>
      <c r="CD712">
        <v>2531</v>
      </c>
      <c r="CE712" t="s">
        <v>91</v>
      </c>
      <c r="CF712" s="3">
        <v>45848</v>
      </c>
      <c r="CI712">
        <v>1</v>
      </c>
      <c r="CJ712">
        <v>1</v>
      </c>
      <c r="CK712">
        <v>23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"080066413089"</f>
        <v>080066413089</v>
      </c>
      <c r="F713" s="3">
        <v>45846</v>
      </c>
      <c r="G713">
        <v>202604</v>
      </c>
      <c r="H713" t="s">
        <v>75</v>
      </c>
      <c r="I713" t="s">
        <v>76</v>
      </c>
      <c r="J713" t="s">
        <v>77</v>
      </c>
      <c r="K713" t="s">
        <v>78</v>
      </c>
      <c r="L713" t="s">
        <v>554</v>
      </c>
      <c r="M713" t="s">
        <v>555</v>
      </c>
      <c r="N713" t="s">
        <v>556</v>
      </c>
      <c r="O713" t="s">
        <v>82</v>
      </c>
      <c r="P713" t="str">
        <f>"4170047265                    "</f>
        <v xml:space="preserve">4170047265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22.6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1.1000000000000001</v>
      </c>
      <c r="BK713">
        <v>1.5</v>
      </c>
      <c r="BL713">
        <v>71.2</v>
      </c>
      <c r="BM713">
        <v>10.68</v>
      </c>
      <c r="BN713">
        <v>81.88</v>
      </c>
      <c r="BO713">
        <v>81.88</v>
      </c>
      <c r="BQ713" t="s">
        <v>557</v>
      </c>
      <c r="BR713" t="s">
        <v>84</v>
      </c>
      <c r="BS713" s="3">
        <v>45847</v>
      </c>
      <c r="BT713" s="4">
        <v>0.36388888888888887</v>
      </c>
      <c r="BU713" t="s">
        <v>558</v>
      </c>
      <c r="BV713" t="s">
        <v>98</v>
      </c>
      <c r="BY713">
        <v>5320</v>
      </c>
      <c r="BZ713" t="s">
        <v>89</v>
      </c>
      <c r="CA713" t="s">
        <v>559</v>
      </c>
      <c r="CC713" t="s">
        <v>555</v>
      </c>
      <c r="CD713" s="5" t="s">
        <v>560</v>
      </c>
      <c r="CE713" t="s">
        <v>117</v>
      </c>
      <c r="CF713" s="3">
        <v>45847</v>
      </c>
      <c r="CI713">
        <v>1</v>
      </c>
      <c r="CJ713">
        <v>1</v>
      </c>
      <c r="CK713">
        <v>21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"080066413126"</f>
        <v>080066413126</v>
      </c>
      <c r="F714" s="3">
        <v>45846</v>
      </c>
      <c r="G714">
        <v>202604</v>
      </c>
      <c r="H714" t="s">
        <v>75</v>
      </c>
      <c r="I714" t="s">
        <v>76</v>
      </c>
      <c r="J714" t="s">
        <v>77</v>
      </c>
      <c r="K714" t="s">
        <v>78</v>
      </c>
      <c r="L714" t="s">
        <v>240</v>
      </c>
      <c r="M714" t="s">
        <v>241</v>
      </c>
      <c r="N714" t="s">
        <v>242</v>
      </c>
      <c r="O714" t="s">
        <v>82</v>
      </c>
      <c r="P714" t="str">
        <f>"4170047200                    "</f>
        <v xml:space="preserve">4170047200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17.649999999999999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3.1</v>
      </c>
      <c r="BK714">
        <v>4</v>
      </c>
      <c r="BL714">
        <v>55.61</v>
      </c>
      <c r="BM714">
        <v>8.34</v>
      </c>
      <c r="BN714">
        <v>63.95</v>
      </c>
      <c r="BO714">
        <v>63.95</v>
      </c>
      <c r="BQ714" t="s">
        <v>243</v>
      </c>
      <c r="BR714" t="s">
        <v>84</v>
      </c>
      <c r="BS714" s="3">
        <v>45847</v>
      </c>
      <c r="BT714" s="4">
        <v>0.38541666666666669</v>
      </c>
      <c r="BU714" t="s">
        <v>1443</v>
      </c>
      <c r="BV714" t="s">
        <v>98</v>
      </c>
      <c r="BY714">
        <v>15360</v>
      </c>
      <c r="BZ714" t="s">
        <v>89</v>
      </c>
      <c r="CA714" t="s">
        <v>245</v>
      </c>
      <c r="CC714" t="s">
        <v>241</v>
      </c>
      <c r="CD714">
        <v>2091</v>
      </c>
      <c r="CE714" t="s">
        <v>117</v>
      </c>
      <c r="CF714" s="3">
        <v>45848</v>
      </c>
      <c r="CI714">
        <v>1</v>
      </c>
      <c r="CJ714">
        <v>1</v>
      </c>
      <c r="CK714">
        <v>22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"080066413180"</f>
        <v>080066413180</v>
      </c>
      <c r="F715" s="3">
        <v>45846</v>
      </c>
      <c r="G715">
        <v>202604</v>
      </c>
      <c r="H715" t="s">
        <v>75</v>
      </c>
      <c r="I715" t="s">
        <v>76</v>
      </c>
      <c r="J715" t="s">
        <v>77</v>
      </c>
      <c r="K715" t="s">
        <v>78</v>
      </c>
      <c r="L715" t="s">
        <v>168</v>
      </c>
      <c r="M715" t="s">
        <v>169</v>
      </c>
      <c r="N715" t="s">
        <v>1459</v>
      </c>
      <c r="O715" t="s">
        <v>82</v>
      </c>
      <c r="P715" t="str">
        <f>"4170047205                    "</f>
        <v xml:space="preserve">4170047205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39.53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</v>
      </c>
      <c r="BJ715">
        <v>3.1</v>
      </c>
      <c r="BK715">
        <v>3.5</v>
      </c>
      <c r="BL715">
        <v>124.55</v>
      </c>
      <c r="BM715">
        <v>18.68</v>
      </c>
      <c r="BN715">
        <v>143.22999999999999</v>
      </c>
      <c r="BO715">
        <v>143.22999999999999</v>
      </c>
      <c r="BQ715" t="s">
        <v>1460</v>
      </c>
      <c r="BR715" t="s">
        <v>84</v>
      </c>
      <c r="BS715" s="3">
        <v>45847</v>
      </c>
      <c r="BT715" s="4">
        <v>0.38263888888888886</v>
      </c>
      <c r="BU715" t="s">
        <v>1461</v>
      </c>
      <c r="BV715" t="s">
        <v>98</v>
      </c>
      <c r="BY715">
        <v>15360</v>
      </c>
      <c r="BZ715" t="s">
        <v>89</v>
      </c>
      <c r="CA715" t="s">
        <v>423</v>
      </c>
      <c r="CC715" t="s">
        <v>169</v>
      </c>
      <c r="CD715">
        <v>6001</v>
      </c>
      <c r="CE715" t="s">
        <v>117</v>
      </c>
      <c r="CF715" s="3">
        <v>45847</v>
      </c>
      <c r="CI715">
        <v>1</v>
      </c>
      <c r="CJ715">
        <v>1</v>
      </c>
      <c r="CK715">
        <v>21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"080066413207"</f>
        <v>080066413207</v>
      </c>
      <c r="F716" s="3">
        <v>45846</v>
      </c>
      <c r="G716">
        <v>202604</v>
      </c>
      <c r="H716" t="s">
        <v>75</v>
      </c>
      <c r="I716" t="s">
        <v>76</v>
      </c>
      <c r="J716" t="s">
        <v>77</v>
      </c>
      <c r="K716" t="s">
        <v>78</v>
      </c>
      <c r="L716" t="s">
        <v>1462</v>
      </c>
      <c r="M716" t="s">
        <v>1463</v>
      </c>
      <c r="N716" t="s">
        <v>1464</v>
      </c>
      <c r="O716" t="s">
        <v>95</v>
      </c>
      <c r="P716" t="str">
        <f>"4170047109                    "</f>
        <v xml:space="preserve">4170047109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77.38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6</v>
      </c>
      <c r="BJ716">
        <v>19.5</v>
      </c>
      <c r="BK716">
        <v>20</v>
      </c>
      <c r="BL716">
        <v>249.65</v>
      </c>
      <c r="BM716">
        <v>37.450000000000003</v>
      </c>
      <c r="BN716">
        <v>287.10000000000002</v>
      </c>
      <c r="BO716">
        <v>287.10000000000002</v>
      </c>
      <c r="BQ716" t="s">
        <v>1465</v>
      </c>
      <c r="BR716" t="s">
        <v>84</v>
      </c>
      <c r="BS716" s="3">
        <v>45847</v>
      </c>
      <c r="BT716" s="4">
        <v>0.62152777777777779</v>
      </c>
      <c r="BU716" t="s">
        <v>1466</v>
      </c>
      <c r="BV716" t="s">
        <v>98</v>
      </c>
      <c r="BY716">
        <v>97344</v>
      </c>
      <c r="BZ716" t="s">
        <v>99</v>
      </c>
      <c r="CA716" t="s">
        <v>1467</v>
      </c>
      <c r="CC716" t="s">
        <v>1463</v>
      </c>
      <c r="CD716">
        <v>3290</v>
      </c>
      <c r="CE716" t="s">
        <v>91</v>
      </c>
      <c r="CF716" s="3">
        <v>45848</v>
      </c>
      <c r="CI716">
        <v>2</v>
      </c>
      <c r="CJ716">
        <v>1</v>
      </c>
      <c r="CK716">
        <v>43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"080066413249"</f>
        <v>080066413249</v>
      </c>
      <c r="F717" s="3">
        <v>45846</v>
      </c>
      <c r="G717">
        <v>202604</v>
      </c>
      <c r="H717" t="s">
        <v>75</v>
      </c>
      <c r="I717" t="s">
        <v>76</v>
      </c>
      <c r="J717" t="s">
        <v>77</v>
      </c>
      <c r="K717" t="s">
        <v>78</v>
      </c>
      <c r="L717" t="s">
        <v>240</v>
      </c>
      <c r="M717" t="s">
        <v>241</v>
      </c>
      <c r="N717" t="s">
        <v>242</v>
      </c>
      <c r="O717" t="s">
        <v>311</v>
      </c>
      <c r="P717" t="str">
        <f>"4170047227                    "</f>
        <v xml:space="preserve">4170047227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17.66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4</v>
      </c>
      <c r="BJ717">
        <v>5</v>
      </c>
      <c r="BK717">
        <v>5</v>
      </c>
      <c r="BL717">
        <v>55.63</v>
      </c>
      <c r="BM717">
        <v>8.34</v>
      </c>
      <c r="BN717">
        <v>63.97</v>
      </c>
      <c r="BO717">
        <v>63.97</v>
      </c>
      <c r="BQ717" t="s">
        <v>243</v>
      </c>
      <c r="BR717" t="s">
        <v>84</v>
      </c>
      <c r="BS717" s="3">
        <v>45847</v>
      </c>
      <c r="BT717" s="4">
        <v>0.38541666666666669</v>
      </c>
      <c r="BU717" t="s">
        <v>1443</v>
      </c>
      <c r="BV717" t="s">
        <v>98</v>
      </c>
      <c r="BY717">
        <v>24882</v>
      </c>
      <c r="BZ717" t="s">
        <v>99</v>
      </c>
      <c r="CA717" t="s">
        <v>245</v>
      </c>
      <c r="CC717" t="s">
        <v>241</v>
      </c>
      <c r="CD717">
        <v>2091</v>
      </c>
      <c r="CE717" t="s">
        <v>117</v>
      </c>
      <c r="CF717" s="3">
        <v>45848</v>
      </c>
      <c r="CI717">
        <v>1</v>
      </c>
      <c r="CJ717">
        <v>1</v>
      </c>
      <c r="CK717">
        <v>32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"080066413271"</f>
        <v>080066413271</v>
      </c>
      <c r="F718" s="3">
        <v>45846</v>
      </c>
      <c r="G718">
        <v>202604</v>
      </c>
      <c r="H718" t="s">
        <v>75</v>
      </c>
      <c r="I718" t="s">
        <v>76</v>
      </c>
      <c r="J718" t="s">
        <v>77</v>
      </c>
      <c r="K718" t="s">
        <v>78</v>
      </c>
      <c r="L718" t="s">
        <v>503</v>
      </c>
      <c r="M718" t="s">
        <v>504</v>
      </c>
      <c r="N718" t="s">
        <v>505</v>
      </c>
      <c r="O718" t="s">
        <v>82</v>
      </c>
      <c r="P718" t="str">
        <f>"4170047186                    "</f>
        <v xml:space="preserve">4170047186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182.19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9</v>
      </c>
      <c r="BJ718">
        <v>8.9</v>
      </c>
      <c r="BK718">
        <v>9</v>
      </c>
      <c r="BL718">
        <v>573.99</v>
      </c>
      <c r="BM718">
        <v>86.1</v>
      </c>
      <c r="BN718">
        <v>660.09</v>
      </c>
      <c r="BO718">
        <v>660.09</v>
      </c>
      <c r="BQ718" t="s">
        <v>506</v>
      </c>
      <c r="BR718" t="s">
        <v>84</v>
      </c>
      <c r="BS718" s="3">
        <v>45847</v>
      </c>
      <c r="BT718" s="4">
        <v>0.39027777777777778</v>
      </c>
      <c r="BU718" t="s">
        <v>161</v>
      </c>
      <c r="BV718" t="s">
        <v>98</v>
      </c>
      <c r="BY718">
        <v>44640</v>
      </c>
      <c r="BZ718" t="s">
        <v>89</v>
      </c>
      <c r="CA718" t="s">
        <v>508</v>
      </c>
      <c r="CC718" t="s">
        <v>504</v>
      </c>
      <c r="CD718">
        <v>7130</v>
      </c>
      <c r="CE718" t="s">
        <v>117</v>
      </c>
      <c r="CF718" s="3">
        <v>45848</v>
      </c>
      <c r="CI718">
        <v>1</v>
      </c>
      <c r="CJ718">
        <v>1</v>
      </c>
      <c r="CK718">
        <v>23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"080066413300"</f>
        <v>080066413300</v>
      </c>
      <c r="F719" s="3">
        <v>45846</v>
      </c>
      <c r="G719">
        <v>202604</v>
      </c>
      <c r="H719" t="s">
        <v>75</v>
      </c>
      <c r="I719" t="s">
        <v>76</v>
      </c>
      <c r="J719" t="s">
        <v>77</v>
      </c>
      <c r="K719" t="s">
        <v>78</v>
      </c>
      <c r="L719" t="s">
        <v>168</v>
      </c>
      <c r="M719" t="s">
        <v>169</v>
      </c>
      <c r="N719" t="s">
        <v>412</v>
      </c>
      <c r="O719" t="s">
        <v>82</v>
      </c>
      <c r="P719" t="str">
        <f>"4170047256                    "</f>
        <v xml:space="preserve">4170047256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79.05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7</v>
      </c>
      <c r="BJ719">
        <v>4.5</v>
      </c>
      <c r="BK719">
        <v>7</v>
      </c>
      <c r="BL719">
        <v>249.05</v>
      </c>
      <c r="BM719">
        <v>37.36</v>
      </c>
      <c r="BN719">
        <v>286.41000000000003</v>
      </c>
      <c r="BO719">
        <v>286.41000000000003</v>
      </c>
      <c r="BQ719" t="s">
        <v>413</v>
      </c>
      <c r="BR719" t="s">
        <v>84</v>
      </c>
      <c r="BS719" s="3">
        <v>45847</v>
      </c>
      <c r="BT719" s="4">
        <v>0.37291666666666667</v>
      </c>
      <c r="BU719" t="s">
        <v>470</v>
      </c>
      <c r="BV719" t="s">
        <v>98</v>
      </c>
      <c r="BY719">
        <v>22620</v>
      </c>
      <c r="BZ719" t="s">
        <v>89</v>
      </c>
      <c r="CA719" t="s">
        <v>415</v>
      </c>
      <c r="CC719" t="s">
        <v>169</v>
      </c>
      <c r="CD719">
        <v>6001</v>
      </c>
      <c r="CE719" t="s">
        <v>117</v>
      </c>
      <c r="CF719" s="3">
        <v>45847</v>
      </c>
      <c r="CI719">
        <v>1</v>
      </c>
      <c r="CJ719">
        <v>1</v>
      </c>
      <c r="CK719">
        <v>21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"080066414486"</f>
        <v>080066414486</v>
      </c>
      <c r="F720" s="3">
        <v>45846</v>
      </c>
      <c r="G720">
        <v>202604</v>
      </c>
      <c r="H720" t="s">
        <v>75</v>
      </c>
      <c r="I720" t="s">
        <v>76</v>
      </c>
      <c r="J720" t="s">
        <v>77</v>
      </c>
      <c r="K720" t="s">
        <v>78</v>
      </c>
      <c r="L720" t="s">
        <v>554</v>
      </c>
      <c r="M720" t="s">
        <v>555</v>
      </c>
      <c r="N720" t="s">
        <v>556</v>
      </c>
      <c r="O720" t="s">
        <v>82</v>
      </c>
      <c r="P720" t="str">
        <f>"4170047259                    "</f>
        <v xml:space="preserve">4170047259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22.6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71.2</v>
      </c>
      <c r="BM720">
        <v>10.68</v>
      </c>
      <c r="BN720">
        <v>81.88</v>
      </c>
      <c r="BO720">
        <v>81.88</v>
      </c>
      <c r="BQ720" t="s">
        <v>557</v>
      </c>
      <c r="BR720" t="s">
        <v>84</v>
      </c>
      <c r="BS720" s="3">
        <v>45847</v>
      </c>
      <c r="BT720" s="4">
        <v>0.36249999999999999</v>
      </c>
      <c r="BU720" t="s">
        <v>558</v>
      </c>
      <c r="BV720" t="s">
        <v>98</v>
      </c>
      <c r="BY720">
        <v>1200</v>
      </c>
      <c r="BZ720" t="s">
        <v>89</v>
      </c>
      <c r="CA720" t="s">
        <v>559</v>
      </c>
      <c r="CC720" t="s">
        <v>555</v>
      </c>
      <c r="CD720" s="5" t="s">
        <v>560</v>
      </c>
      <c r="CE720" t="s">
        <v>239</v>
      </c>
      <c r="CF720" s="3">
        <v>45847</v>
      </c>
      <c r="CI720">
        <v>1</v>
      </c>
      <c r="CJ720">
        <v>1</v>
      </c>
      <c r="CK720">
        <v>21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"080066414517"</f>
        <v>080066414517</v>
      </c>
      <c r="F721" s="3">
        <v>45846</v>
      </c>
      <c r="G721">
        <v>202604</v>
      </c>
      <c r="H721" t="s">
        <v>75</v>
      </c>
      <c r="I721" t="s">
        <v>76</v>
      </c>
      <c r="J721" t="s">
        <v>77</v>
      </c>
      <c r="K721" t="s">
        <v>78</v>
      </c>
      <c r="L721" t="s">
        <v>79</v>
      </c>
      <c r="M721" t="s">
        <v>80</v>
      </c>
      <c r="N721" t="s">
        <v>931</v>
      </c>
      <c r="O721" t="s">
        <v>311</v>
      </c>
      <c r="P721" t="str">
        <f>"4170047220                    "</f>
        <v xml:space="preserve">4170047220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233.04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3</v>
      </c>
      <c r="BI721">
        <v>3</v>
      </c>
      <c r="BJ721">
        <v>11</v>
      </c>
      <c r="BK721">
        <v>11</v>
      </c>
      <c r="BL721">
        <v>734.21</v>
      </c>
      <c r="BM721">
        <v>110.13</v>
      </c>
      <c r="BN721">
        <v>844.34</v>
      </c>
      <c r="BO721">
        <v>844.34</v>
      </c>
      <c r="BQ721" t="s">
        <v>932</v>
      </c>
      <c r="BR721" t="s">
        <v>84</v>
      </c>
      <c r="BS721" s="3">
        <v>45847</v>
      </c>
      <c r="BT721" s="4">
        <v>0.4236111111111111</v>
      </c>
      <c r="BU721" t="s">
        <v>933</v>
      </c>
      <c r="BV721" t="s">
        <v>98</v>
      </c>
      <c r="BY721">
        <v>18304</v>
      </c>
      <c r="BZ721" t="s">
        <v>99</v>
      </c>
      <c r="CA721" t="s">
        <v>934</v>
      </c>
      <c r="CC721" t="s">
        <v>80</v>
      </c>
      <c r="CD721">
        <v>7535</v>
      </c>
      <c r="CE721" t="s">
        <v>1468</v>
      </c>
      <c r="CF721" s="3">
        <v>45848</v>
      </c>
      <c r="CI721">
        <v>1</v>
      </c>
      <c r="CJ721">
        <v>1</v>
      </c>
      <c r="CK721">
        <v>31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"080066414556"</f>
        <v>080066414556</v>
      </c>
      <c r="F722" s="3">
        <v>45846</v>
      </c>
      <c r="G722">
        <v>202604</v>
      </c>
      <c r="H722" t="s">
        <v>75</v>
      </c>
      <c r="I722" t="s">
        <v>76</v>
      </c>
      <c r="J722" t="s">
        <v>77</v>
      </c>
      <c r="K722" t="s">
        <v>78</v>
      </c>
      <c r="L722" t="s">
        <v>75</v>
      </c>
      <c r="M722" t="s">
        <v>76</v>
      </c>
      <c r="N722" t="s">
        <v>1469</v>
      </c>
      <c r="O722" t="s">
        <v>311</v>
      </c>
      <c r="P722" t="str">
        <f>"4170047167                    "</f>
        <v xml:space="preserve">4170047167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17.66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3</v>
      </c>
      <c r="BJ722">
        <v>6.4</v>
      </c>
      <c r="BK722">
        <v>7</v>
      </c>
      <c r="BL722">
        <v>55.63</v>
      </c>
      <c r="BM722">
        <v>8.34</v>
      </c>
      <c r="BN722">
        <v>63.97</v>
      </c>
      <c r="BO722">
        <v>63.97</v>
      </c>
      <c r="BQ722" t="s">
        <v>1470</v>
      </c>
      <c r="BR722" t="s">
        <v>84</v>
      </c>
      <c r="BS722" s="3">
        <v>45847</v>
      </c>
      <c r="BT722" s="4">
        <v>0.35625000000000001</v>
      </c>
      <c r="BU722" t="s">
        <v>1471</v>
      </c>
      <c r="BV722" t="s">
        <v>98</v>
      </c>
      <c r="BY722">
        <v>31824</v>
      </c>
      <c r="BZ722" t="s">
        <v>99</v>
      </c>
      <c r="CA722" t="s">
        <v>778</v>
      </c>
      <c r="CC722" t="s">
        <v>76</v>
      </c>
      <c r="CD722">
        <v>1609</v>
      </c>
      <c r="CE722" t="s">
        <v>91</v>
      </c>
      <c r="CF722" s="3">
        <v>45848</v>
      </c>
      <c r="CI722">
        <v>1</v>
      </c>
      <c r="CJ722">
        <v>1</v>
      </c>
      <c r="CK722">
        <v>32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"080066414620"</f>
        <v>080066414620</v>
      </c>
      <c r="F723" s="3">
        <v>45846</v>
      </c>
      <c r="G723">
        <v>202604</v>
      </c>
      <c r="H723" t="s">
        <v>75</v>
      </c>
      <c r="I723" t="s">
        <v>76</v>
      </c>
      <c r="J723" t="s">
        <v>77</v>
      </c>
      <c r="K723" t="s">
        <v>78</v>
      </c>
      <c r="L723" t="s">
        <v>79</v>
      </c>
      <c r="M723" t="s">
        <v>80</v>
      </c>
      <c r="N723" t="s">
        <v>931</v>
      </c>
      <c r="O723" t="s">
        <v>82</v>
      </c>
      <c r="P723" t="str">
        <f>"4170047226                    "</f>
        <v xml:space="preserve">4170047226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45.18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</v>
      </c>
      <c r="BJ723">
        <v>3.7</v>
      </c>
      <c r="BK723">
        <v>4</v>
      </c>
      <c r="BL723">
        <v>142.34</v>
      </c>
      <c r="BM723">
        <v>21.35</v>
      </c>
      <c r="BN723">
        <v>163.69</v>
      </c>
      <c r="BO723">
        <v>163.69</v>
      </c>
      <c r="BQ723" t="s">
        <v>932</v>
      </c>
      <c r="BR723" t="s">
        <v>84</v>
      </c>
      <c r="BS723" s="3">
        <v>45847</v>
      </c>
      <c r="BT723" s="4">
        <v>0.4236111111111111</v>
      </c>
      <c r="BU723" t="s">
        <v>933</v>
      </c>
      <c r="BV723" t="s">
        <v>98</v>
      </c>
      <c r="BY723">
        <v>18304</v>
      </c>
      <c r="BZ723" t="s">
        <v>89</v>
      </c>
      <c r="CA723" t="s">
        <v>934</v>
      </c>
      <c r="CC723" t="s">
        <v>80</v>
      </c>
      <c r="CD723">
        <v>7535</v>
      </c>
      <c r="CE723" t="s">
        <v>117</v>
      </c>
      <c r="CF723" s="3">
        <v>45848</v>
      </c>
      <c r="CI723">
        <v>1</v>
      </c>
      <c r="CJ723">
        <v>1</v>
      </c>
      <c r="CK723">
        <v>21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"080066414647"</f>
        <v>080066414647</v>
      </c>
      <c r="F724" s="3">
        <v>45846</v>
      </c>
      <c r="G724">
        <v>202604</v>
      </c>
      <c r="H724" t="s">
        <v>75</v>
      </c>
      <c r="I724" t="s">
        <v>76</v>
      </c>
      <c r="J724" t="s">
        <v>77</v>
      </c>
      <c r="K724" t="s">
        <v>78</v>
      </c>
      <c r="L724" t="s">
        <v>92</v>
      </c>
      <c r="M724" t="s">
        <v>93</v>
      </c>
      <c r="N724" t="s">
        <v>339</v>
      </c>
      <c r="O724" t="s">
        <v>82</v>
      </c>
      <c r="P724" t="str">
        <f>"4170047202                    "</f>
        <v xml:space="preserve">4170047202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90.34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8</v>
      </c>
      <c r="BJ724">
        <v>7.7</v>
      </c>
      <c r="BK724">
        <v>8</v>
      </c>
      <c r="BL724">
        <v>284.62</v>
      </c>
      <c r="BM724">
        <v>42.69</v>
      </c>
      <c r="BN724">
        <v>327.31</v>
      </c>
      <c r="BO724">
        <v>327.31</v>
      </c>
      <c r="BQ724" t="s">
        <v>340</v>
      </c>
      <c r="BR724" t="s">
        <v>84</v>
      </c>
      <c r="BS724" s="3">
        <v>45847</v>
      </c>
      <c r="BT724" s="4">
        <v>0.43055555555555558</v>
      </c>
      <c r="BU724" t="s">
        <v>1472</v>
      </c>
      <c r="BV724" t="s">
        <v>98</v>
      </c>
      <c r="BY724">
        <v>38454</v>
      </c>
      <c r="BZ724" t="s">
        <v>89</v>
      </c>
      <c r="CA724" t="s">
        <v>1428</v>
      </c>
      <c r="CC724" t="s">
        <v>93</v>
      </c>
      <c r="CD724">
        <v>4052</v>
      </c>
      <c r="CE724" t="s">
        <v>117</v>
      </c>
      <c r="CF724" s="3">
        <v>45847</v>
      </c>
      <c r="CI724">
        <v>1</v>
      </c>
      <c r="CJ724">
        <v>1</v>
      </c>
      <c r="CK724">
        <v>21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"080066414681"</f>
        <v>080066414681</v>
      </c>
      <c r="F725" s="3">
        <v>45846</v>
      </c>
      <c r="G725">
        <v>202604</v>
      </c>
      <c r="H725" t="s">
        <v>75</v>
      </c>
      <c r="I725" t="s">
        <v>76</v>
      </c>
      <c r="J725" t="s">
        <v>77</v>
      </c>
      <c r="K725" t="s">
        <v>78</v>
      </c>
      <c r="L725" t="s">
        <v>79</v>
      </c>
      <c r="M725" t="s">
        <v>80</v>
      </c>
      <c r="N725" t="s">
        <v>81</v>
      </c>
      <c r="O725" t="s">
        <v>82</v>
      </c>
      <c r="P725" t="str">
        <f>"4170047268                    "</f>
        <v xml:space="preserve">4170047268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79.05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7</v>
      </c>
      <c r="BJ725">
        <v>1.9</v>
      </c>
      <c r="BK725">
        <v>7</v>
      </c>
      <c r="BL725">
        <v>249.05</v>
      </c>
      <c r="BM725">
        <v>37.36</v>
      </c>
      <c r="BN725">
        <v>286.41000000000003</v>
      </c>
      <c r="BO725">
        <v>286.41000000000003</v>
      </c>
      <c r="BQ725" t="s">
        <v>83</v>
      </c>
      <c r="BR725" t="s">
        <v>84</v>
      </c>
      <c r="BS725" s="3">
        <v>45847</v>
      </c>
      <c r="BT725" s="4">
        <v>0.66111111111111109</v>
      </c>
      <c r="BU725" t="s">
        <v>1456</v>
      </c>
      <c r="BV725" t="s">
        <v>86</v>
      </c>
      <c r="BW725" t="s">
        <v>1395</v>
      </c>
      <c r="BX725" t="s">
        <v>1185</v>
      </c>
      <c r="BY725">
        <v>9600</v>
      </c>
      <c r="BZ725" t="s">
        <v>89</v>
      </c>
      <c r="CA725" t="s">
        <v>90</v>
      </c>
      <c r="CC725" t="s">
        <v>80</v>
      </c>
      <c r="CD725">
        <v>7550</v>
      </c>
      <c r="CE725" t="s">
        <v>117</v>
      </c>
      <c r="CF725" s="3">
        <v>45848</v>
      </c>
      <c r="CI725">
        <v>1</v>
      </c>
      <c r="CJ725">
        <v>1</v>
      </c>
      <c r="CK725">
        <v>21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"080066414711"</f>
        <v>080066414711</v>
      </c>
      <c r="F726" s="3">
        <v>45846</v>
      </c>
      <c r="G726">
        <v>202604</v>
      </c>
      <c r="H726" t="s">
        <v>75</v>
      </c>
      <c r="I726" t="s">
        <v>76</v>
      </c>
      <c r="J726" t="s">
        <v>77</v>
      </c>
      <c r="K726" t="s">
        <v>78</v>
      </c>
      <c r="L726" t="s">
        <v>79</v>
      </c>
      <c r="M726" t="s">
        <v>80</v>
      </c>
      <c r="N726" t="s">
        <v>81</v>
      </c>
      <c r="O726" t="s">
        <v>82</v>
      </c>
      <c r="P726" t="str">
        <f>"4170047270                    "</f>
        <v xml:space="preserve">4170047270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79.05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7</v>
      </c>
      <c r="BJ726">
        <v>1.1000000000000001</v>
      </c>
      <c r="BK726">
        <v>7</v>
      </c>
      <c r="BL726">
        <v>249.05</v>
      </c>
      <c r="BM726">
        <v>37.36</v>
      </c>
      <c r="BN726">
        <v>286.41000000000003</v>
      </c>
      <c r="BO726">
        <v>286.41000000000003</v>
      </c>
      <c r="BQ726" t="s">
        <v>83</v>
      </c>
      <c r="BR726" t="s">
        <v>84</v>
      </c>
      <c r="BS726" s="3">
        <v>45847</v>
      </c>
      <c r="BT726" s="4">
        <v>0.66111111111111109</v>
      </c>
      <c r="BU726" t="s">
        <v>1456</v>
      </c>
      <c r="BV726" t="s">
        <v>86</v>
      </c>
      <c r="BW726" t="s">
        <v>1395</v>
      </c>
      <c r="BX726" t="s">
        <v>1185</v>
      </c>
      <c r="BY726">
        <v>5320</v>
      </c>
      <c r="BZ726" t="s">
        <v>89</v>
      </c>
      <c r="CA726" t="s">
        <v>90</v>
      </c>
      <c r="CC726" t="s">
        <v>80</v>
      </c>
      <c r="CD726">
        <v>7550</v>
      </c>
      <c r="CE726" t="s">
        <v>117</v>
      </c>
      <c r="CF726" s="3">
        <v>45848</v>
      </c>
      <c r="CI726">
        <v>1</v>
      </c>
      <c r="CJ726">
        <v>1</v>
      </c>
      <c r="CK726">
        <v>21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"080066414740"</f>
        <v>080066414740</v>
      </c>
      <c r="F727" s="3">
        <v>45846</v>
      </c>
      <c r="G727">
        <v>202604</v>
      </c>
      <c r="H727" t="s">
        <v>75</v>
      </c>
      <c r="I727" t="s">
        <v>76</v>
      </c>
      <c r="J727" t="s">
        <v>77</v>
      </c>
      <c r="K727" t="s">
        <v>78</v>
      </c>
      <c r="L727" t="s">
        <v>79</v>
      </c>
      <c r="M727" t="s">
        <v>80</v>
      </c>
      <c r="N727" t="s">
        <v>81</v>
      </c>
      <c r="O727" t="s">
        <v>82</v>
      </c>
      <c r="P727" t="str">
        <f>"4170047271                    "</f>
        <v xml:space="preserve">4170047271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33.89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3</v>
      </c>
      <c r="BJ727">
        <v>1.1000000000000001</v>
      </c>
      <c r="BK727">
        <v>3</v>
      </c>
      <c r="BL727">
        <v>106.77</v>
      </c>
      <c r="BM727">
        <v>16.02</v>
      </c>
      <c r="BN727">
        <v>122.79</v>
      </c>
      <c r="BO727">
        <v>122.79</v>
      </c>
      <c r="BQ727" t="s">
        <v>83</v>
      </c>
      <c r="BR727" t="s">
        <v>84</v>
      </c>
      <c r="BS727" s="3">
        <v>45847</v>
      </c>
      <c r="BT727" s="4">
        <v>0.66041666666666665</v>
      </c>
      <c r="BU727" t="s">
        <v>1456</v>
      </c>
      <c r="BV727" t="s">
        <v>86</v>
      </c>
      <c r="BW727" t="s">
        <v>1395</v>
      </c>
      <c r="BX727" t="s">
        <v>1185</v>
      </c>
      <c r="BY727">
        <v>5320</v>
      </c>
      <c r="BZ727" t="s">
        <v>89</v>
      </c>
      <c r="CA727" t="s">
        <v>90</v>
      </c>
      <c r="CC727" t="s">
        <v>80</v>
      </c>
      <c r="CD727">
        <v>7550</v>
      </c>
      <c r="CE727" t="s">
        <v>117</v>
      </c>
      <c r="CF727" s="3">
        <v>45848</v>
      </c>
      <c r="CI727">
        <v>1</v>
      </c>
      <c r="CJ727">
        <v>1</v>
      </c>
      <c r="CK727">
        <v>21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"080066414870"</f>
        <v>080066414870</v>
      </c>
      <c r="F728" s="3">
        <v>45846</v>
      </c>
      <c r="G728">
        <v>202604</v>
      </c>
      <c r="H728" t="s">
        <v>75</v>
      </c>
      <c r="I728" t="s">
        <v>76</v>
      </c>
      <c r="J728" t="s">
        <v>77</v>
      </c>
      <c r="K728" t="s">
        <v>78</v>
      </c>
      <c r="L728" t="s">
        <v>277</v>
      </c>
      <c r="M728" t="s">
        <v>278</v>
      </c>
      <c r="N728" t="s">
        <v>1473</v>
      </c>
      <c r="O728" t="s">
        <v>82</v>
      </c>
      <c r="P728" t="str">
        <f>"4170047197                    "</f>
        <v xml:space="preserve">4170047197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22.6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2</v>
      </c>
      <c r="BJ728">
        <v>1.3</v>
      </c>
      <c r="BK728">
        <v>2</v>
      </c>
      <c r="BL728">
        <v>71.2</v>
      </c>
      <c r="BM728">
        <v>10.68</v>
      </c>
      <c r="BN728">
        <v>81.88</v>
      </c>
      <c r="BO728">
        <v>81.88</v>
      </c>
      <c r="BQ728" t="s">
        <v>1474</v>
      </c>
      <c r="BR728" t="s">
        <v>84</v>
      </c>
      <c r="BS728" s="3">
        <v>45847</v>
      </c>
      <c r="BT728" s="4">
        <v>0.39930555555555558</v>
      </c>
      <c r="BU728" t="s">
        <v>1475</v>
      </c>
      <c r="BV728" t="s">
        <v>98</v>
      </c>
      <c r="BY728">
        <v>6384</v>
      </c>
      <c r="BZ728" t="s">
        <v>89</v>
      </c>
      <c r="CA728" t="s">
        <v>282</v>
      </c>
      <c r="CC728" t="s">
        <v>278</v>
      </c>
      <c r="CD728">
        <v>6229</v>
      </c>
      <c r="CE728" t="s">
        <v>117</v>
      </c>
      <c r="CF728" s="3">
        <v>45847</v>
      </c>
      <c r="CI728">
        <v>1</v>
      </c>
      <c r="CJ728">
        <v>1</v>
      </c>
      <c r="CK728">
        <v>21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"080066414912"</f>
        <v>080066414912</v>
      </c>
      <c r="F729" s="3">
        <v>45846</v>
      </c>
      <c r="G729">
        <v>202604</v>
      </c>
      <c r="H729" t="s">
        <v>75</v>
      </c>
      <c r="I729" t="s">
        <v>76</v>
      </c>
      <c r="J729" t="s">
        <v>77</v>
      </c>
      <c r="K729" t="s">
        <v>78</v>
      </c>
      <c r="L729" t="s">
        <v>168</v>
      </c>
      <c r="M729" t="s">
        <v>169</v>
      </c>
      <c r="N729" t="s">
        <v>202</v>
      </c>
      <c r="O729" t="s">
        <v>82</v>
      </c>
      <c r="P729" t="str">
        <f>"4170047214                    "</f>
        <v xml:space="preserve">4170047214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22.6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1.3</v>
      </c>
      <c r="BK729">
        <v>1.5</v>
      </c>
      <c r="BL729">
        <v>71.2</v>
      </c>
      <c r="BM729">
        <v>10.68</v>
      </c>
      <c r="BN729">
        <v>81.88</v>
      </c>
      <c r="BO729">
        <v>81.88</v>
      </c>
      <c r="BQ729" t="s">
        <v>203</v>
      </c>
      <c r="BR729" t="s">
        <v>84</v>
      </c>
      <c r="BS729" s="3">
        <v>45847</v>
      </c>
      <c r="BT729" s="4">
        <v>0.39097222222222222</v>
      </c>
      <c r="BU729" t="s">
        <v>1328</v>
      </c>
      <c r="BV729" t="s">
        <v>98</v>
      </c>
      <c r="BY729">
        <v>6384</v>
      </c>
      <c r="BZ729" t="s">
        <v>89</v>
      </c>
      <c r="CA729" t="s">
        <v>205</v>
      </c>
      <c r="CC729" t="s">
        <v>169</v>
      </c>
      <c r="CD729">
        <v>6001</v>
      </c>
      <c r="CE729" t="s">
        <v>117</v>
      </c>
      <c r="CF729" s="3">
        <v>45847</v>
      </c>
      <c r="CI729">
        <v>1</v>
      </c>
      <c r="CJ729">
        <v>1</v>
      </c>
      <c r="CK729">
        <v>21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"080066414976"</f>
        <v>080066414976</v>
      </c>
      <c r="F730" s="3">
        <v>45846</v>
      </c>
      <c r="G730">
        <v>202604</v>
      </c>
      <c r="H730" t="s">
        <v>75</v>
      </c>
      <c r="I730" t="s">
        <v>76</v>
      </c>
      <c r="J730" t="s">
        <v>77</v>
      </c>
      <c r="K730" t="s">
        <v>78</v>
      </c>
      <c r="L730" t="s">
        <v>122</v>
      </c>
      <c r="M730" t="s">
        <v>123</v>
      </c>
      <c r="N730" t="s">
        <v>184</v>
      </c>
      <c r="O730" t="s">
        <v>82</v>
      </c>
      <c r="P730" t="str">
        <f>"4170047204                    "</f>
        <v xml:space="preserve">4170047204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33.89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3</v>
      </c>
      <c r="BJ730">
        <v>1.3</v>
      </c>
      <c r="BK730">
        <v>3</v>
      </c>
      <c r="BL730">
        <v>106.77</v>
      </c>
      <c r="BM730">
        <v>16.02</v>
      </c>
      <c r="BN730">
        <v>122.79</v>
      </c>
      <c r="BO730">
        <v>122.79</v>
      </c>
      <c r="BQ730" t="s">
        <v>185</v>
      </c>
      <c r="BR730" t="s">
        <v>84</v>
      </c>
      <c r="BS730" s="3">
        <v>45847</v>
      </c>
      <c r="BT730" s="4">
        <v>0.3840277777777778</v>
      </c>
      <c r="BU730" t="s">
        <v>186</v>
      </c>
      <c r="BV730" t="s">
        <v>98</v>
      </c>
      <c r="BY730">
        <v>6384</v>
      </c>
      <c r="BZ730" t="s">
        <v>89</v>
      </c>
      <c r="CA730" t="s">
        <v>187</v>
      </c>
      <c r="CC730" t="s">
        <v>123</v>
      </c>
      <c r="CD730">
        <v>3610</v>
      </c>
      <c r="CE730" t="s">
        <v>117</v>
      </c>
      <c r="CF730" s="3">
        <v>45847</v>
      </c>
      <c r="CI730">
        <v>1</v>
      </c>
      <c r="CJ730">
        <v>1</v>
      </c>
      <c r="CK730">
        <v>21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"080066415016"</f>
        <v>080066415016</v>
      </c>
      <c r="F731" s="3">
        <v>45846</v>
      </c>
      <c r="G731">
        <v>202604</v>
      </c>
      <c r="H731" t="s">
        <v>75</v>
      </c>
      <c r="I731" t="s">
        <v>76</v>
      </c>
      <c r="J731" t="s">
        <v>77</v>
      </c>
      <c r="K731" t="s">
        <v>78</v>
      </c>
      <c r="L731" t="s">
        <v>79</v>
      </c>
      <c r="M731" t="s">
        <v>80</v>
      </c>
      <c r="N731" t="s">
        <v>1476</v>
      </c>
      <c r="O731" t="s">
        <v>82</v>
      </c>
      <c r="P731" t="str">
        <f>"4170047209                    "</f>
        <v xml:space="preserve">4170047209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45.18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4</v>
      </c>
      <c r="BJ731">
        <v>3.1</v>
      </c>
      <c r="BK731">
        <v>4</v>
      </c>
      <c r="BL731">
        <v>142.34</v>
      </c>
      <c r="BM731">
        <v>21.35</v>
      </c>
      <c r="BN731">
        <v>163.69</v>
      </c>
      <c r="BO731">
        <v>163.69</v>
      </c>
      <c r="BQ731" t="s">
        <v>1477</v>
      </c>
      <c r="BR731" t="s">
        <v>84</v>
      </c>
      <c r="BS731" s="3">
        <v>45847</v>
      </c>
      <c r="BT731" s="4">
        <v>0.40833333333333333</v>
      </c>
      <c r="BU731" t="s">
        <v>1478</v>
      </c>
      <c r="BV731" t="s">
        <v>98</v>
      </c>
      <c r="BY731">
        <v>15360</v>
      </c>
      <c r="BZ731" t="s">
        <v>89</v>
      </c>
      <c r="CC731" t="s">
        <v>80</v>
      </c>
      <c r="CD731">
        <v>7493</v>
      </c>
      <c r="CE731" t="s">
        <v>117</v>
      </c>
      <c r="CF731" s="3">
        <v>45848</v>
      </c>
      <c r="CI731">
        <v>1</v>
      </c>
      <c r="CJ731">
        <v>1</v>
      </c>
      <c r="CK731">
        <v>21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"080066415061"</f>
        <v>080066415061</v>
      </c>
      <c r="F732" s="3">
        <v>45846</v>
      </c>
      <c r="G732">
        <v>202604</v>
      </c>
      <c r="H732" t="s">
        <v>75</v>
      </c>
      <c r="I732" t="s">
        <v>76</v>
      </c>
      <c r="J732" t="s">
        <v>77</v>
      </c>
      <c r="K732" t="s">
        <v>78</v>
      </c>
      <c r="L732" t="s">
        <v>79</v>
      </c>
      <c r="M732" t="s">
        <v>80</v>
      </c>
      <c r="N732" t="s">
        <v>81</v>
      </c>
      <c r="O732" t="s">
        <v>82</v>
      </c>
      <c r="P732" t="str">
        <f>"4170047267                    "</f>
        <v xml:space="preserve">4170047267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45.18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4</v>
      </c>
      <c r="BJ732">
        <v>1.9</v>
      </c>
      <c r="BK732">
        <v>4</v>
      </c>
      <c r="BL732">
        <v>142.34</v>
      </c>
      <c r="BM732">
        <v>21.35</v>
      </c>
      <c r="BN732">
        <v>163.69</v>
      </c>
      <c r="BO732">
        <v>163.69</v>
      </c>
      <c r="BQ732" t="s">
        <v>83</v>
      </c>
      <c r="BR732" t="s">
        <v>84</v>
      </c>
      <c r="BS732" s="3">
        <v>45847</v>
      </c>
      <c r="BT732" s="4">
        <v>0.65972222222222221</v>
      </c>
      <c r="BU732" t="s">
        <v>1456</v>
      </c>
      <c r="BV732" t="s">
        <v>86</v>
      </c>
      <c r="BW732" t="s">
        <v>1395</v>
      </c>
      <c r="BX732" t="s">
        <v>1185</v>
      </c>
      <c r="BY732">
        <v>9600</v>
      </c>
      <c r="BZ732" t="s">
        <v>89</v>
      </c>
      <c r="CA732" t="s">
        <v>90</v>
      </c>
      <c r="CC732" t="s">
        <v>80</v>
      </c>
      <c r="CD732">
        <v>7550</v>
      </c>
      <c r="CE732" t="s">
        <v>117</v>
      </c>
      <c r="CF732" s="3">
        <v>45848</v>
      </c>
      <c r="CI732">
        <v>1</v>
      </c>
      <c r="CJ732">
        <v>1</v>
      </c>
      <c r="CK732">
        <v>21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"080066415087"</f>
        <v>080066415087</v>
      </c>
      <c r="F733" s="3">
        <v>45846</v>
      </c>
      <c r="G733">
        <v>202604</v>
      </c>
      <c r="H733" t="s">
        <v>75</v>
      </c>
      <c r="I733" t="s">
        <v>76</v>
      </c>
      <c r="J733" t="s">
        <v>77</v>
      </c>
      <c r="K733" t="s">
        <v>78</v>
      </c>
      <c r="L733" t="s">
        <v>295</v>
      </c>
      <c r="M733" t="s">
        <v>296</v>
      </c>
      <c r="N733" t="s">
        <v>1145</v>
      </c>
      <c r="O733" t="s">
        <v>82</v>
      </c>
      <c r="P733" t="str">
        <f>"4170047253                    "</f>
        <v xml:space="preserve">4170047253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17.649999999999999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4</v>
      </c>
      <c r="BJ733">
        <v>4.3</v>
      </c>
      <c r="BK733">
        <v>5</v>
      </c>
      <c r="BL733">
        <v>55.61</v>
      </c>
      <c r="BM733">
        <v>8.34</v>
      </c>
      <c r="BN733">
        <v>63.95</v>
      </c>
      <c r="BO733">
        <v>63.95</v>
      </c>
      <c r="BQ733" t="s">
        <v>1146</v>
      </c>
      <c r="BR733" t="s">
        <v>84</v>
      </c>
      <c r="BS733" s="3">
        <v>45847</v>
      </c>
      <c r="BT733" s="4">
        <v>0.44097222222222221</v>
      </c>
      <c r="BU733" t="s">
        <v>1115</v>
      </c>
      <c r="BV733" t="s">
        <v>86</v>
      </c>
      <c r="BY733">
        <v>21560</v>
      </c>
      <c r="BZ733" t="s">
        <v>89</v>
      </c>
      <c r="CA733" t="s">
        <v>1479</v>
      </c>
      <c r="CC733" t="s">
        <v>296</v>
      </c>
      <c r="CD733">
        <v>1460</v>
      </c>
      <c r="CE733" t="s">
        <v>91</v>
      </c>
      <c r="CF733" s="3">
        <v>45848</v>
      </c>
      <c r="CI733">
        <v>1</v>
      </c>
      <c r="CJ733">
        <v>1</v>
      </c>
      <c r="CK733">
        <v>22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"080066415121"</f>
        <v>080066415121</v>
      </c>
      <c r="F734" s="3">
        <v>45846</v>
      </c>
      <c r="G734">
        <v>202604</v>
      </c>
      <c r="H734" t="s">
        <v>75</v>
      </c>
      <c r="I734" t="s">
        <v>76</v>
      </c>
      <c r="J734" t="s">
        <v>77</v>
      </c>
      <c r="K734" t="s">
        <v>78</v>
      </c>
      <c r="L734" t="s">
        <v>79</v>
      </c>
      <c r="M734" t="s">
        <v>80</v>
      </c>
      <c r="N734" t="s">
        <v>141</v>
      </c>
      <c r="O734" t="s">
        <v>82</v>
      </c>
      <c r="P734" t="str">
        <f>"4170047172                    "</f>
        <v xml:space="preserve">4170047172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22.6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1.1000000000000001</v>
      </c>
      <c r="BK734">
        <v>1.5</v>
      </c>
      <c r="BL734">
        <v>71.2</v>
      </c>
      <c r="BM734">
        <v>10.68</v>
      </c>
      <c r="BN734">
        <v>81.88</v>
      </c>
      <c r="BO734">
        <v>81.88</v>
      </c>
      <c r="BQ734" t="s">
        <v>142</v>
      </c>
      <c r="BR734" t="s">
        <v>84</v>
      </c>
      <c r="BS734" s="3">
        <v>45847</v>
      </c>
      <c r="BT734" s="4">
        <v>0.40138888888888891</v>
      </c>
      <c r="BU734" t="s">
        <v>143</v>
      </c>
      <c r="BV734" t="s">
        <v>98</v>
      </c>
      <c r="BY734">
        <v>5320</v>
      </c>
      <c r="BZ734" t="s">
        <v>89</v>
      </c>
      <c r="CA734" t="s">
        <v>144</v>
      </c>
      <c r="CC734" t="s">
        <v>80</v>
      </c>
      <c r="CD734">
        <v>7441</v>
      </c>
      <c r="CE734" t="s">
        <v>117</v>
      </c>
      <c r="CF734" s="3">
        <v>45848</v>
      </c>
      <c r="CI734">
        <v>1</v>
      </c>
      <c r="CJ734">
        <v>1</v>
      </c>
      <c r="CK734">
        <v>21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"080066415163"</f>
        <v>080066415163</v>
      </c>
      <c r="F735" s="3">
        <v>45846</v>
      </c>
      <c r="G735">
        <v>202604</v>
      </c>
      <c r="H735" t="s">
        <v>75</v>
      </c>
      <c r="I735" t="s">
        <v>76</v>
      </c>
      <c r="J735" t="s">
        <v>77</v>
      </c>
      <c r="K735" t="s">
        <v>78</v>
      </c>
      <c r="L735" t="s">
        <v>151</v>
      </c>
      <c r="M735" t="s">
        <v>152</v>
      </c>
      <c r="N735" t="s">
        <v>1480</v>
      </c>
      <c r="O735" t="s">
        <v>82</v>
      </c>
      <c r="P735" t="str">
        <f>"4170047191                    "</f>
        <v xml:space="preserve">4170047191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22.6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1.1000000000000001</v>
      </c>
      <c r="BK735">
        <v>1.5</v>
      </c>
      <c r="BL735">
        <v>71.2</v>
      </c>
      <c r="BM735">
        <v>10.68</v>
      </c>
      <c r="BN735">
        <v>81.88</v>
      </c>
      <c r="BO735">
        <v>81.88</v>
      </c>
      <c r="BQ735" t="s">
        <v>1481</v>
      </c>
      <c r="BR735" t="s">
        <v>84</v>
      </c>
      <c r="BS735" s="3">
        <v>45847</v>
      </c>
      <c r="BT735" s="4">
        <v>0.41249999999999998</v>
      </c>
      <c r="BU735" t="s">
        <v>1482</v>
      </c>
      <c r="BV735" t="s">
        <v>98</v>
      </c>
      <c r="BY735">
        <v>5320</v>
      </c>
      <c r="BZ735" t="s">
        <v>89</v>
      </c>
      <c r="CA735" t="s">
        <v>716</v>
      </c>
      <c r="CC735" t="s">
        <v>152</v>
      </c>
      <c r="CD735" s="5" t="s">
        <v>717</v>
      </c>
      <c r="CE735" t="s">
        <v>145</v>
      </c>
      <c r="CF735" s="3">
        <v>45847</v>
      </c>
      <c r="CI735">
        <v>1</v>
      </c>
      <c r="CJ735">
        <v>1</v>
      </c>
      <c r="CK735">
        <v>21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"080066415216"</f>
        <v>080066415216</v>
      </c>
      <c r="F736" s="3">
        <v>45846</v>
      </c>
      <c r="G736">
        <v>202604</v>
      </c>
      <c r="H736" t="s">
        <v>75</v>
      </c>
      <c r="I736" t="s">
        <v>76</v>
      </c>
      <c r="J736" t="s">
        <v>77</v>
      </c>
      <c r="K736" t="s">
        <v>78</v>
      </c>
      <c r="L736" t="s">
        <v>79</v>
      </c>
      <c r="M736" t="s">
        <v>80</v>
      </c>
      <c r="N736" t="s">
        <v>81</v>
      </c>
      <c r="O736" t="s">
        <v>82</v>
      </c>
      <c r="P736" t="str">
        <f>"4170047210                    "</f>
        <v xml:space="preserve">4170047210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62.11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3</v>
      </c>
      <c r="BJ736">
        <v>5.2</v>
      </c>
      <c r="BK736">
        <v>5.5</v>
      </c>
      <c r="BL736">
        <v>195.69</v>
      </c>
      <c r="BM736">
        <v>29.35</v>
      </c>
      <c r="BN736">
        <v>225.04</v>
      </c>
      <c r="BO736">
        <v>225.04</v>
      </c>
      <c r="BQ736" t="s">
        <v>83</v>
      </c>
      <c r="BR736" t="s">
        <v>84</v>
      </c>
      <c r="BS736" s="3">
        <v>45847</v>
      </c>
      <c r="BT736" s="4">
        <v>0.65972222222222221</v>
      </c>
      <c r="BU736" t="s">
        <v>1456</v>
      </c>
      <c r="BV736" t="s">
        <v>86</v>
      </c>
      <c r="BW736" t="s">
        <v>87</v>
      </c>
      <c r="BX736" t="s">
        <v>1185</v>
      </c>
      <c r="BY736">
        <v>26013</v>
      </c>
      <c r="BZ736" t="s">
        <v>89</v>
      </c>
      <c r="CA736" t="s">
        <v>90</v>
      </c>
      <c r="CC736" t="s">
        <v>80</v>
      </c>
      <c r="CD736">
        <v>7550</v>
      </c>
      <c r="CE736" t="s">
        <v>145</v>
      </c>
      <c r="CF736" s="3">
        <v>45848</v>
      </c>
      <c r="CI736">
        <v>1</v>
      </c>
      <c r="CJ736">
        <v>1</v>
      </c>
      <c r="CK736">
        <v>21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"080066415257"</f>
        <v>080066415257</v>
      </c>
      <c r="F737" s="3">
        <v>45846</v>
      </c>
      <c r="G737">
        <v>202604</v>
      </c>
      <c r="H737" t="s">
        <v>75</v>
      </c>
      <c r="I737" t="s">
        <v>76</v>
      </c>
      <c r="J737" t="s">
        <v>77</v>
      </c>
      <c r="K737" t="s">
        <v>78</v>
      </c>
      <c r="L737" t="s">
        <v>503</v>
      </c>
      <c r="M737" t="s">
        <v>504</v>
      </c>
      <c r="N737" t="s">
        <v>505</v>
      </c>
      <c r="O737" t="s">
        <v>82</v>
      </c>
      <c r="P737" t="str">
        <f>"4170047245                    "</f>
        <v xml:space="preserve">4170047245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182.19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</v>
      </c>
      <c r="BI737">
        <v>9</v>
      </c>
      <c r="BJ737">
        <v>4.5999999999999996</v>
      </c>
      <c r="BK737">
        <v>9</v>
      </c>
      <c r="BL737">
        <v>573.99</v>
      </c>
      <c r="BM737">
        <v>86.1</v>
      </c>
      <c r="BN737">
        <v>660.09</v>
      </c>
      <c r="BO737">
        <v>660.09</v>
      </c>
      <c r="BQ737" t="s">
        <v>506</v>
      </c>
      <c r="BR737" t="s">
        <v>84</v>
      </c>
      <c r="BS737" s="3">
        <v>45847</v>
      </c>
      <c r="BT737" s="4">
        <v>0.38958333333333334</v>
      </c>
      <c r="BU737" t="s">
        <v>161</v>
      </c>
      <c r="BV737" t="s">
        <v>98</v>
      </c>
      <c r="BY737">
        <v>23172</v>
      </c>
      <c r="BZ737" t="s">
        <v>89</v>
      </c>
      <c r="CA737" t="s">
        <v>508</v>
      </c>
      <c r="CC737" t="s">
        <v>504</v>
      </c>
      <c r="CD737">
        <v>7130</v>
      </c>
      <c r="CE737" t="s">
        <v>145</v>
      </c>
      <c r="CF737" s="3">
        <v>45848</v>
      </c>
      <c r="CI737">
        <v>1</v>
      </c>
      <c r="CJ737">
        <v>1</v>
      </c>
      <c r="CK737">
        <v>23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"080066419567"</f>
        <v>080066419567</v>
      </c>
      <c r="F738" s="3">
        <v>45846</v>
      </c>
      <c r="G738">
        <v>202604</v>
      </c>
      <c r="H738" t="s">
        <v>75</v>
      </c>
      <c r="I738" t="s">
        <v>76</v>
      </c>
      <c r="J738" t="s">
        <v>77</v>
      </c>
      <c r="K738" t="s">
        <v>78</v>
      </c>
      <c r="L738" t="s">
        <v>168</v>
      </c>
      <c r="M738" t="s">
        <v>169</v>
      </c>
      <c r="N738" t="s">
        <v>206</v>
      </c>
      <c r="O738" t="s">
        <v>95</v>
      </c>
      <c r="P738" t="str">
        <f>"4170047339                    "</f>
        <v xml:space="preserve">4170047339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43.7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4</v>
      </c>
      <c r="BJ738">
        <v>1</v>
      </c>
      <c r="BK738">
        <v>4</v>
      </c>
      <c r="BL738">
        <v>143.55000000000001</v>
      </c>
      <c r="BM738">
        <v>21.53</v>
      </c>
      <c r="BN738">
        <v>165.08</v>
      </c>
      <c r="BO738">
        <v>165.08</v>
      </c>
      <c r="BQ738" t="s">
        <v>207</v>
      </c>
      <c r="BR738" t="s">
        <v>84</v>
      </c>
      <c r="BS738" s="3">
        <v>45848</v>
      </c>
      <c r="BT738" s="4">
        <v>0.40555555555555556</v>
      </c>
      <c r="BU738" t="s">
        <v>1483</v>
      </c>
      <c r="BV738" t="s">
        <v>98</v>
      </c>
      <c r="BY738">
        <v>4800</v>
      </c>
      <c r="BZ738" t="s">
        <v>99</v>
      </c>
      <c r="CA738" t="s">
        <v>196</v>
      </c>
      <c r="CC738" t="s">
        <v>169</v>
      </c>
      <c r="CD738">
        <v>6001</v>
      </c>
      <c r="CE738" t="s">
        <v>145</v>
      </c>
      <c r="CF738" s="3">
        <v>45848</v>
      </c>
      <c r="CI738">
        <v>3</v>
      </c>
      <c r="CJ738">
        <v>2</v>
      </c>
      <c r="CK738">
        <v>41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"080066419674"</f>
        <v>080066419674</v>
      </c>
      <c r="F739" s="3">
        <v>45846</v>
      </c>
      <c r="G739">
        <v>202604</v>
      </c>
      <c r="H739" t="s">
        <v>75</v>
      </c>
      <c r="I739" t="s">
        <v>76</v>
      </c>
      <c r="J739" t="s">
        <v>77</v>
      </c>
      <c r="K739" t="s">
        <v>78</v>
      </c>
      <c r="L739" t="s">
        <v>151</v>
      </c>
      <c r="M739" t="s">
        <v>152</v>
      </c>
      <c r="N739" t="s">
        <v>1484</v>
      </c>
      <c r="O739" t="s">
        <v>95</v>
      </c>
      <c r="P739" t="str">
        <f>"4170047216                    "</f>
        <v xml:space="preserve">4170047216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1008.95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2</v>
      </c>
      <c r="BI739">
        <v>550</v>
      </c>
      <c r="BJ739">
        <v>292.10000000000002</v>
      </c>
      <c r="BK739">
        <v>550</v>
      </c>
      <c r="BL739">
        <v>3184.6</v>
      </c>
      <c r="BM739">
        <v>477.69</v>
      </c>
      <c r="BN739">
        <v>3662.29</v>
      </c>
      <c r="BO739">
        <v>3662.29</v>
      </c>
      <c r="BQ739" t="s">
        <v>1485</v>
      </c>
      <c r="BR739" t="s">
        <v>84</v>
      </c>
      <c r="BS739" s="3">
        <v>45848</v>
      </c>
      <c r="BT739" s="4">
        <v>0.3888888888888889</v>
      </c>
      <c r="BU739" t="s">
        <v>1194</v>
      </c>
      <c r="BV739" t="s">
        <v>86</v>
      </c>
      <c r="BW739" t="s">
        <v>395</v>
      </c>
      <c r="BX739" t="s">
        <v>905</v>
      </c>
      <c r="BY739">
        <v>1460584</v>
      </c>
      <c r="BZ739" t="s">
        <v>99</v>
      </c>
      <c r="CA739" t="s">
        <v>1486</v>
      </c>
      <c r="CC739" t="s">
        <v>152</v>
      </c>
      <c r="CD739" s="5" t="s">
        <v>1487</v>
      </c>
      <c r="CE739" t="s">
        <v>536</v>
      </c>
      <c r="CF739" s="3">
        <v>45848</v>
      </c>
      <c r="CI739">
        <v>1</v>
      </c>
      <c r="CJ739">
        <v>2</v>
      </c>
      <c r="CK739">
        <v>41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"080066420363"</f>
        <v>080066420363</v>
      </c>
      <c r="F740" s="3">
        <v>45846</v>
      </c>
      <c r="G740">
        <v>202604</v>
      </c>
      <c r="H740" t="s">
        <v>75</v>
      </c>
      <c r="I740" t="s">
        <v>76</v>
      </c>
      <c r="J740" t="s">
        <v>77</v>
      </c>
      <c r="K740" t="s">
        <v>78</v>
      </c>
      <c r="L740" t="s">
        <v>1488</v>
      </c>
      <c r="M740" t="s">
        <v>1489</v>
      </c>
      <c r="N740" t="s">
        <v>1490</v>
      </c>
      <c r="O740" t="s">
        <v>95</v>
      </c>
      <c r="P740" t="str">
        <f>"009943879275                  "</f>
        <v xml:space="preserve">009943879275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398.48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51</v>
      </c>
      <c r="BJ740">
        <v>122</v>
      </c>
      <c r="BK740">
        <v>122</v>
      </c>
      <c r="BL740">
        <v>1261.29</v>
      </c>
      <c r="BM740">
        <v>189.19</v>
      </c>
      <c r="BN740">
        <v>1450.48</v>
      </c>
      <c r="BO740">
        <v>1450.48</v>
      </c>
      <c r="BQ740" t="s">
        <v>1491</v>
      </c>
      <c r="BR740" t="s">
        <v>84</v>
      </c>
      <c r="BS740" s="3">
        <v>45847</v>
      </c>
      <c r="BT740" s="4">
        <v>0.43263888888888891</v>
      </c>
      <c r="BU740" t="s">
        <v>1492</v>
      </c>
      <c r="BV740" t="s">
        <v>98</v>
      </c>
      <c r="BY740">
        <v>610244</v>
      </c>
      <c r="BZ740" t="s">
        <v>99</v>
      </c>
      <c r="CA740" t="s">
        <v>1493</v>
      </c>
      <c r="CC740" t="s">
        <v>1489</v>
      </c>
      <c r="CD740">
        <v>2430</v>
      </c>
      <c r="CE740" t="s">
        <v>536</v>
      </c>
      <c r="CF740" s="3">
        <v>45862</v>
      </c>
      <c r="CI740">
        <v>1</v>
      </c>
      <c r="CJ740">
        <v>1</v>
      </c>
      <c r="CK740">
        <v>43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"080066421088"</f>
        <v>080066421088</v>
      </c>
      <c r="F741" s="3">
        <v>45846</v>
      </c>
      <c r="G741">
        <v>202604</v>
      </c>
      <c r="H741" t="s">
        <v>75</v>
      </c>
      <c r="I741" t="s">
        <v>76</v>
      </c>
      <c r="J741" t="s">
        <v>77</v>
      </c>
      <c r="K741" t="s">
        <v>78</v>
      </c>
      <c r="L741" t="s">
        <v>221</v>
      </c>
      <c r="M741" t="s">
        <v>222</v>
      </c>
      <c r="N741" t="s">
        <v>223</v>
      </c>
      <c r="O741" t="s">
        <v>82</v>
      </c>
      <c r="P741" t="str">
        <f>"4170047252                    "</f>
        <v xml:space="preserve">4170047252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271.16000000000003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16.739999999999998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2</v>
      </c>
      <c r="BI741">
        <v>12</v>
      </c>
      <c r="BJ741">
        <v>13.5</v>
      </c>
      <c r="BK741">
        <v>13.5</v>
      </c>
      <c r="BL741">
        <v>871.04</v>
      </c>
      <c r="BM741">
        <v>130.66</v>
      </c>
      <c r="BN741">
        <v>1001.7</v>
      </c>
      <c r="BO741">
        <v>1001.7</v>
      </c>
      <c r="BQ741" t="s">
        <v>224</v>
      </c>
      <c r="BR741" t="s">
        <v>84</v>
      </c>
      <c r="BS741" s="3">
        <v>45847</v>
      </c>
      <c r="BT741" s="4">
        <v>0.35416666666666669</v>
      </c>
      <c r="BU741" t="s">
        <v>1494</v>
      </c>
      <c r="BV741" t="s">
        <v>98</v>
      </c>
      <c r="BY741">
        <v>33712</v>
      </c>
      <c r="BZ741" t="s">
        <v>460</v>
      </c>
      <c r="CC741" t="s">
        <v>222</v>
      </c>
      <c r="CD741">
        <v>2716</v>
      </c>
      <c r="CE741" t="s">
        <v>1495</v>
      </c>
      <c r="CF741" s="3">
        <v>45848</v>
      </c>
      <c r="CI741">
        <v>5</v>
      </c>
      <c r="CJ741">
        <v>1</v>
      </c>
      <c r="CK741">
        <v>23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"080066421785"</f>
        <v>080066421785</v>
      </c>
      <c r="F742" s="3">
        <v>45846</v>
      </c>
      <c r="G742">
        <v>202604</v>
      </c>
      <c r="H742" t="s">
        <v>75</v>
      </c>
      <c r="I742" t="s">
        <v>76</v>
      </c>
      <c r="J742" t="s">
        <v>77</v>
      </c>
      <c r="K742" t="s">
        <v>78</v>
      </c>
      <c r="L742" t="s">
        <v>240</v>
      </c>
      <c r="M742" t="s">
        <v>241</v>
      </c>
      <c r="N742" t="s">
        <v>447</v>
      </c>
      <c r="O742" t="s">
        <v>82</v>
      </c>
      <c r="P742" t="str">
        <f>"4170047282                    "</f>
        <v xml:space="preserve">4170047282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17.649999999999999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0.3</v>
      </c>
      <c r="BK742">
        <v>1</v>
      </c>
      <c r="BL742">
        <v>55.61</v>
      </c>
      <c r="BM742">
        <v>8.34</v>
      </c>
      <c r="BN742">
        <v>63.95</v>
      </c>
      <c r="BO742">
        <v>63.95</v>
      </c>
      <c r="BQ742" t="s">
        <v>448</v>
      </c>
      <c r="BR742" t="s">
        <v>84</v>
      </c>
      <c r="BS742" s="3">
        <v>45847</v>
      </c>
      <c r="BT742" s="4">
        <v>0.43402777777777779</v>
      </c>
      <c r="BU742" t="s">
        <v>1496</v>
      </c>
      <c r="BV742" t="s">
        <v>98</v>
      </c>
      <c r="BY742">
        <v>1350</v>
      </c>
      <c r="BZ742" t="s">
        <v>89</v>
      </c>
      <c r="CA742" t="s">
        <v>451</v>
      </c>
      <c r="CC742" t="s">
        <v>241</v>
      </c>
      <c r="CD742">
        <v>2094</v>
      </c>
      <c r="CE742" t="s">
        <v>239</v>
      </c>
      <c r="CF742" s="3">
        <v>45847</v>
      </c>
      <c r="CI742">
        <v>1</v>
      </c>
      <c r="CJ742">
        <v>1</v>
      </c>
      <c r="CK742">
        <v>22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"080066421867"</f>
        <v>080066421867</v>
      </c>
      <c r="F743" s="3">
        <v>45846</v>
      </c>
      <c r="G743">
        <v>202604</v>
      </c>
      <c r="H743" t="s">
        <v>75</v>
      </c>
      <c r="I743" t="s">
        <v>76</v>
      </c>
      <c r="J743" t="s">
        <v>77</v>
      </c>
      <c r="K743" t="s">
        <v>78</v>
      </c>
      <c r="L743" t="s">
        <v>168</v>
      </c>
      <c r="M743" t="s">
        <v>169</v>
      </c>
      <c r="N743" t="s">
        <v>342</v>
      </c>
      <c r="O743" t="s">
        <v>82</v>
      </c>
      <c r="P743" t="str">
        <f>"4170047276                    "</f>
        <v xml:space="preserve">4170047276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22.6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71.2</v>
      </c>
      <c r="BM743">
        <v>10.68</v>
      </c>
      <c r="BN743">
        <v>81.88</v>
      </c>
      <c r="BO743">
        <v>81.88</v>
      </c>
      <c r="BQ743" t="s">
        <v>343</v>
      </c>
      <c r="BR743" t="s">
        <v>84</v>
      </c>
      <c r="BS743" s="3">
        <v>45847</v>
      </c>
      <c r="BT743" s="4">
        <v>0.36527777777777776</v>
      </c>
      <c r="BU743" t="s">
        <v>1497</v>
      </c>
      <c r="BV743" t="s">
        <v>98</v>
      </c>
      <c r="BY743">
        <v>1240</v>
      </c>
      <c r="BZ743" t="s">
        <v>89</v>
      </c>
      <c r="CA743" t="s">
        <v>423</v>
      </c>
      <c r="CC743" t="s">
        <v>169</v>
      </c>
      <c r="CD743">
        <v>6000</v>
      </c>
      <c r="CE743" t="s">
        <v>239</v>
      </c>
      <c r="CF743" s="3">
        <v>45847</v>
      </c>
      <c r="CI743">
        <v>1</v>
      </c>
      <c r="CJ743">
        <v>1</v>
      </c>
      <c r="CK743">
        <v>21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"080066421922"</f>
        <v>080066421922</v>
      </c>
      <c r="F744" s="3">
        <v>45846</v>
      </c>
      <c r="G744">
        <v>202604</v>
      </c>
      <c r="H744" t="s">
        <v>75</v>
      </c>
      <c r="I744" t="s">
        <v>76</v>
      </c>
      <c r="J744" t="s">
        <v>77</v>
      </c>
      <c r="K744" t="s">
        <v>78</v>
      </c>
      <c r="L744" t="s">
        <v>854</v>
      </c>
      <c r="M744" t="s">
        <v>855</v>
      </c>
      <c r="N744" t="s">
        <v>856</v>
      </c>
      <c r="O744" t="s">
        <v>82</v>
      </c>
      <c r="P744" t="str">
        <f>"4170047288                    "</f>
        <v xml:space="preserve">4170047288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43.78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16.739999999999998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0.3</v>
      </c>
      <c r="BK744">
        <v>1</v>
      </c>
      <c r="BL744">
        <v>154.68</v>
      </c>
      <c r="BM744">
        <v>23.2</v>
      </c>
      <c r="BN744">
        <v>177.88</v>
      </c>
      <c r="BO744">
        <v>177.88</v>
      </c>
      <c r="BQ744" t="s">
        <v>857</v>
      </c>
      <c r="BR744" t="s">
        <v>84</v>
      </c>
      <c r="BS744" s="3">
        <v>45847</v>
      </c>
      <c r="BT744" s="4">
        <v>0.52083333333333337</v>
      </c>
      <c r="BU744" t="s">
        <v>1498</v>
      </c>
      <c r="BV744" t="s">
        <v>98</v>
      </c>
      <c r="BY744">
        <v>1350</v>
      </c>
      <c r="BZ744" t="s">
        <v>460</v>
      </c>
      <c r="CA744" t="s">
        <v>1499</v>
      </c>
      <c r="CC744" t="s">
        <v>855</v>
      </c>
      <c r="CD744" s="5" t="s">
        <v>860</v>
      </c>
      <c r="CE744" t="s">
        <v>239</v>
      </c>
      <c r="CF744" s="3">
        <v>45848</v>
      </c>
      <c r="CI744">
        <v>1</v>
      </c>
      <c r="CJ744">
        <v>1</v>
      </c>
      <c r="CK744">
        <v>23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"080066421967"</f>
        <v>080066421967</v>
      </c>
      <c r="F745" s="3">
        <v>45846</v>
      </c>
      <c r="G745">
        <v>202604</v>
      </c>
      <c r="H745" t="s">
        <v>75</v>
      </c>
      <c r="I745" t="s">
        <v>76</v>
      </c>
      <c r="J745" t="s">
        <v>77</v>
      </c>
      <c r="K745" t="s">
        <v>78</v>
      </c>
      <c r="L745" t="s">
        <v>146</v>
      </c>
      <c r="M745" t="s">
        <v>146</v>
      </c>
      <c r="N745" t="s">
        <v>633</v>
      </c>
      <c r="O745" t="s">
        <v>82</v>
      </c>
      <c r="P745" t="str">
        <f>"4170047332                    "</f>
        <v xml:space="preserve">4170047332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43.78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0.3</v>
      </c>
      <c r="BK745">
        <v>1</v>
      </c>
      <c r="BL745">
        <v>137.94</v>
      </c>
      <c r="BM745">
        <v>20.69</v>
      </c>
      <c r="BN745">
        <v>158.63</v>
      </c>
      <c r="BO745">
        <v>158.63</v>
      </c>
      <c r="BQ745" t="s">
        <v>634</v>
      </c>
      <c r="BR745" t="s">
        <v>84</v>
      </c>
      <c r="BS745" s="3">
        <v>45847</v>
      </c>
      <c r="BT745" s="4">
        <v>0.51944444444444449</v>
      </c>
      <c r="BU745" t="s">
        <v>1115</v>
      </c>
      <c r="BV745" t="s">
        <v>98</v>
      </c>
      <c r="BY745">
        <v>1350</v>
      </c>
      <c r="BZ745" t="s">
        <v>89</v>
      </c>
      <c r="CA745" t="s">
        <v>150</v>
      </c>
      <c r="CC745" t="s">
        <v>146</v>
      </c>
      <c r="CD745">
        <v>7646</v>
      </c>
      <c r="CE745" t="s">
        <v>239</v>
      </c>
      <c r="CF745" s="3">
        <v>45848</v>
      </c>
      <c r="CI745">
        <v>1</v>
      </c>
      <c r="CJ745">
        <v>1</v>
      </c>
      <c r="CK745">
        <v>23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"080066422005"</f>
        <v>080066422005</v>
      </c>
      <c r="F746" s="3">
        <v>45846</v>
      </c>
      <c r="G746">
        <v>202604</v>
      </c>
      <c r="H746" t="s">
        <v>75</v>
      </c>
      <c r="I746" t="s">
        <v>76</v>
      </c>
      <c r="J746" t="s">
        <v>77</v>
      </c>
      <c r="K746" t="s">
        <v>78</v>
      </c>
      <c r="L746" t="s">
        <v>168</v>
      </c>
      <c r="M746" t="s">
        <v>169</v>
      </c>
      <c r="N746" t="s">
        <v>206</v>
      </c>
      <c r="O746" t="s">
        <v>82</v>
      </c>
      <c r="P746" t="str">
        <f>"4170047241                    "</f>
        <v xml:space="preserve">4170047241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197.6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3</v>
      </c>
      <c r="BI746">
        <v>8</v>
      </c>
      <c r="BJ746">
        <v>17.399999999999999</v>
      </c>
      <c r="BK746">
        <v>17.5</v>
      </c>
      <c r="BL746">
        <v>622.54</v>
      </c>
      <c r="BM746">
        <v>93.38</v>
      </c>
      <c r="BN746">
        <v>715.92</v>
      </c>
      <c r="BO746">
        <v>715.92</v>
      </c>
      <c r="BQ746" t="s">
        <v>207</v>
      </c>
      <c r="BR746" t="s">
        <v>84</v>
      </c>
      <c r="BS746" s="3">
        <v>45847</v>
      </c>
      <c r="BT746" s="4">
        <v>0.4284722222222222</v>
      </c>
      <c r="BU746" t="s">
        <v>208</v>
      </c>
      <c r="BV746" t="s">
        <v>98</v>
      </c>
      <c r="BY746">
        <v>86848</v>
      </c>
      <c r="BZ746" t="s">
        <v>89</v>
      </c>
      <c r="CA746" t="s">
        <v>196</v>
      </c>
      <c r="CC746" t="s">
        <v>169</v>
      </c>
      <c r="CD746">
        <v>6001</v>
      </c>
      <c r="CE746" t="s">
        <v>117</v>
      </c>
      <c r="CF746" s="3">
        <v>45847</v>
      </c>
      <c r="CI746">
        <v>1</v>
      </c>
      <c r="CJ746">
        <v>1</v>
      </c>
      <c r="CK746">
        <v>21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"080066422079"</f>
        <v>080066422079</v>
      </c>
      <c r="F747" s="3">
        <v>45846</v>
      </c>
      <c r="G747">
        <v>202604</v>
      </c>
      <c r="H747" t="s">
        <v>75</v>
      </c>
      <c r="I747" t="s">
        <v>76</v>
      </c>
      <c r="J747" t="s">
        <v>77</v>
      </c>
      <c r="K747" t="s">
        <v>78</v>
      </c>
      <c r="L747" t="s">
        <v>79</v>
      </c>
      <c r="M747" t="s">
        <v>80</v>
      </c>
      <c r="N747" t="s">
        <v>698</v>
      </c>
      <c r="O747" t="s">
        <v>95</v>
      </c>
      <c r="P747" t="str">
        <f>"4170047231                    "</f>
        <v xml:space="preserve">4170047231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56.33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11</v>
      </c>
      <c r="BJ747">
        <v>22</v>
      </c>
      <c r="BK747">
        <v>22</v>
      </c>
      <c r="BL747">
        <v>183.34</v>
      </c>
      <c r="BM747">
        <v>27.5</v>
      </c>
      <c r="BN747">
        <v>210.84</v>
      </c>
      <c r="BO747">
        <v>210.84</v>
      </c>
      <c r="BQ747" t="s">
        <v>699</v>
      </c>
      <c r="BR747" t="s">
        <v>84</v>
      </c>
      <c r="BS747" s="3">
        <v>45849</v>
      </c>
      <c r="BT747" s="4">
        <v>0.63611111111111107</v>
      </c>
      <c r="BU747" t="s">
        <v>1500</v>
      </c>
      <c r="BV747" t="s">
        <v>98</v>
      </c>
      <c r="BY747">
        <v>109800</v>
      </c>
      <c r="BZ747" t="s">
        <v>99</v>
      </c>
      <c r="CA747" t="s">
        <v>934</v>
      </c>
      <c r="CC747" t="s">
        <v>80</v>
      </c>
      <c r="CD747">
        <v>7561</v>
      </c>
      <c r="CE747" t="s">
        <v>117</v>
      </c>
      <c r="CF747" s="3">
        <v>45852</v>
      </c>
      <c r="CI747">
        <v>3</v>
      </c>
      <c r="CJ747">
        <v>3</v>
      </c>
      <c r="CK747">
        <v>41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"080066422109"</f>
        <v>080066422109</v>
      </c>
      <c r="F748" s="3">
        <v>45846</v>
      </c>
      <c r="G748">
        <v>202604</v>
      </c>
      <c r="H748" t="s">
        <v>75</v>
      </c>
      <c r="I748" t="s">
        <v>76</v>
      </c>
      <c r="J748" t="s">
        <v>77</v>
      </c>
      <c r="K748" t="s">
        <v>78</v>
      </c>
      <c r="L748" t="s">
        <v>79</v>
      </c>
      <c r="M748" t="s">
        <v>80</v>
      </c>
      <c r="N748" t="s">
        <v>594</v>
      </c>
      <c r="O748" t="s">
        <v>82</v>
      </c>
      <c r="P748" t="str">
        <f>"4170047279                    "</f>
        <v xml:space="preserve">4170047279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22.6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1.9</v>
      </c>
      <c r="BK748">
        <v>2</v>
      </c>
      <c r="BL748">
        <v>71.2</v>
      </c>
      <c r="BM748">
        <v>10.68</v>
      </c>
      <c r="BN748">
        <v>81.88</v>
      </c>
      <c r="BO748">
        <v>81.88</v>
      </c>
      <c r="BQ748" t="s">
        <v>595</v>
      </c>
      <c r="BR748" t="s">
        <v>84</v>
      </c>
      <c r="BS748" s="3">
        <v>45847</v>
      </c>
      <c r="BT748" s="4">
        <v>0.37708333333333333</v>
      </c>
      <c r="BU748" t="s">
        <v>1501</v>
      </c>
      <c r="BV748" t="s">
        <v>98</v>
      </c>
      <c r="BY748">
        <v>9600</v>
      </c>
      <c r="BZ748" t="s">
        <v>89</v>
      </c>
      <c r="CA748" t="s">
        <v>579</v>
      </c>
      <c r="CC748" t="s">
        <v>80</v>
      </c>
      <c r="CD748">
        <v>7480</v>
      </c>
      <c r="CE748" t="s">
        <v>117</v>
      </c>
      <c r="CF748" s="3">
        <v>45848</v>
      </c>
      <c r="CI748">
        <v>1</v>
      </c>
      <c r="CJ748">
        <v>1</v>
      </c>
      <c r="CK748">
        <v>21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"080066422120"</f>
        <v>080066422120</v>
      </c>
      <c r="F749" s="3">
        <v>45846</v>
      </c>
      <c r="G749">
        <v>202604</v>
      </c>
      <c r="H749" t="s">
        <v>75</v>
      </c>
      <c r="I749" t="s">
        <v>76</v>
      </c>
      <c r="J749" t="s">
        <v>77</v>
      </c>
      <c r="K749" t="s">
        <v>78</v>
      </c>
      <c r="L749" t="s">
        <v>530</v>
      </c>
      <c r="M749" t="s">
        <v>531</v>
      </c>
      <c r="N749" t="s">
        <v>1502</v>
      </c>
      <c r="O749" t="s">
        <v>82</v>
      </c>
      <c r="P749" t="str">
        <f>"4170047263                    "</f>
        <v xml:space="preserve">4170047263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17.649999999999999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0.3</v>
      </c>
      <c r="BK749">
        <v>1</v>
      </c>
      <c r="BL749">
        <v>55.61</v>
      </c>
      <c r="BM749">
        <v>8.34</v>
      </c>
      <c r="BN749">
        <v>63.95</v>
      </c>
      <c r="BO749">
        <v>63.95</v>
      </c>
      <c r="BQ749" t="s">
        <v>1503</v>
      </c>
      <c r="BR749" t="s">
        <v>84</v>
      </c>
      <c r="BS749" s="3">
        <v>45847</v>
      </c>
      <c r="BT749" s="4">
        <v>0.40625</v>
      </c>
      <c r="BU749" t="s">
        <v>1504</v>
      </c>
      <c r="BV749" t="s">
        <v>98</v>
      </c>
      <c r="BY749">
        <v>1350</v>
      </c>
      <c r="BZ749" t="s">
        <v>89</v>
      </c>
      <c r="CA749" t="s">
        <v>1148</v>
      </c>
      <c r="CC749" t="s">
        <v>531</v>
      </c>
      <c r="CD749">
        <v>1554</v>
      </c>
      <c r="CE749" t="s">
        <v>239</v>
      </c>
      <c r="CF749" s="3">
        <v>45848</v>
      </c>
      <c r="CI749">
        <v>1</v>
      </c>
      <c r="CJ749">
        <v>1</v>
      </c>
      <c r="CK749">
        <v>22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"080066422145"</f>
        <v>080066422145</v>
      </c>
      <c r="F750" s="3">
        <v>45846</v>
      </c>
      <c r="G750">
        <v>202604</v>
      </c>
      <c r="H750" t="s">
        <v>75</v>
      </c>
      <c r="I750" t="s">
        <v>76</v>
      </c>
      <c r="J750" t="s">
        <v>77</v>
      </c>
      <c r="K750" t="s">
        <v>78</v>
      </c>
      <c r="L750" t="s">
        <v>240</v>
      </c>
      <c r="M750" t="s">
        <v>241</v>
      </c>
      <c r="N750" t="s">
        <v>1505</v>
      </c>
      <c r="O750" t="s">
        <v>82</v>
      </c>
      <c r="P750" t="str">
        <f>"4170047261                    "</f>
        <v xml:space="preserve">4170047261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17.649999999999999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2</v>
      </c>
      <c r="BJ750">
        <v>1.9</v>
      </c>
      <c r="BK750">
        <v>2</v>
      </c>
      <c r="BL750">
        <v>55.61</v>
      </c>
      <c r="BM750">
        <v>8.34</v>
      </c>
      <c r="BN750">
        <v>63.95</v>
      </c>
      <c r="BO750">
        <v>63.95</v>
      </c>
      <c r="BQ750" t="s">
        <v>1506</v>
      </c>
      <c r="BR750" t="s">
        <v>84</v>
      </c>
      <c r="BS750" s="3">
        <v>45847</v>
      </c>
      <c r="BT750" s="4">
        <v>0.37222222222222223</v>
      </c>
      <c r="BU750" t="s">
        <v>1507</v>
      </c>
      <c r="BV750" t="s">
        <v>98</v>
      </c>
      <c r="BY750">
        <v>9600</v>
      </c>
      <c r="BZ750" t="s">
        <v>89</v>
      </c>
      <c r="CA750" t="s">
        <v>1508</v>
      </c>
      <c r="CC750" t="s">
        <v>241</v>
      </c>
      <c r="CD750">
        <v>2001</v>
      </c>
      <c r="CE750" t="s">
        <v>117</v>
      </c>
      <c r="CF750" s="3">
        <v>45847</v>
      </c>
      <c r="CI750">
        <v>1</v>
      </c>
      <c r="CJ750">
        <v>1</v>
      </c>
      <c r="CK750">
        <v>22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"080066422161"</f>
        <v>080066422161</v>
      </c>
      <c r="F751" s="3">
        <v>45846</v>
      </c>
      <c r="G751">
        <v>202604</v>
      </c>
      <c r="H751" t="s">
        <v>75</v>
      </c>
      <c r="I751" t="s">
        <v>76</v>
      </c>
      <c r="J751" t="s">
        <v>77</v>
      </c>
      <c r="K751" t="s">
        <v>78</v>
      </c>
      <c r="L751" t="s">
        <v>75</v>
      </c>
      <c r="M751" t="s">
        <v>76</v>
      </c>
      <c r="N751" t="s">
        <v>562</v>
      </c>
      <c r="O751" t="s">
        <v>82</v>
      </c>
      <c r="P751" t="str">
        <f>"4170047233                    "</f>
        <v xml:space="preserve">4170047233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17.649999999999999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0.3</v>
      </c>
      <c r="BK751">
        <v>1</v>
      </c>
      <c r="BL751">
        <v>55.61</v>
      </c>
      <c r="BM751">
        <v>8.34</v>
      </c>
      <c r="BN751">
        <v>63.95</v>
      </c>
      <c r="BO751">
        <v>63.95</v>
      </c>
      <c r="BQ751" t="s">
        <v>563</v>
      </c>
      <c r="BR751" t="s">
        <v>84</v>
      </c>
      <c r="BS751" s="3">
        <v>45847</v>
      </c>
      <c r="BT751" s="4">
        <v>0.38819444444444445</v>
      </c>
      <c r="BU751" t="s">
        <v>796</v>
      </c>
      <c r="BV751" t="s">
        <v>98</v>
      </c>
      <c r="BY751">
        <v>1350</v>
      </c>
      <c r="BZ751" t="s">
        <v>89</v>
      </c>
      <c r="CA751" t="s">
        <v>797</v>
      </c>
      <c r="CC751" t="s">
        <v>76</v>
      </c>
      <c r="CD751">
        <v>1619</v>
      </c>
      <c r="CE751" t="s">
        <v>1509</v>
      </c>
      <c r="CF751" s="3">
        <v>45848</v>
      </c>
      <c r="CI751">
        <v>1</v>
      </c>
      <c r="CJ751">
        <v>1</v>
      </c>
      <c r="CK751">
        <v>22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"080066422191"</f>
        <v>080066422191</v>
      </c>
      <c r="F752" s="3">
        <v>45846</v>
      </c>
      <c r="G752">
        <v>202604</v>
      </c>
      <c r="H752" t="s">
        <v>75</v>
      </c>
      <c r="I752" t="s">
        <v>76</v>
      </c>
      <c r="J752" t="s">
        <v>77</v>
      </c>
      <c r="K752" t="s">
        <v>78</v>
      </c>
      <c r="L752" t="s">
        <v>75</v>
      </c>
      <c r="M752" t="s">
        <v>76</v>
      </c>
      <c r="N752" t="s">
        <v>701</v>
      </c>
      <c r="O752" t="s">
        <v>82</v>
      </c>
      <c r="P752" t="str">
        <f>"4170047254                    "</f>
        <v xml:space="preserve">4170047254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17.649999999999999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3</v>
      </c>
      <c r="BJ752">
        <v>1.7</v>
      </c>
      <c r="BK752">
        <v>3</v>
      </c>
      <c r="BL752">
        <v>55.61</v>
      </c>
      <c r="BM752">
        <v>8.34</v>
      </c>
      <c r="BN752">
        <v>63.95</v>
      </c>
      <c r="BO752">
        <v>63.95</v>
      </c>
      <c r="BQ752" t="s">
        <v>702</v>
      </c>
      <c r="BR752" t="s">
        <v>84</v>
      </c>
      <c r="BS752" s="3">
        <v>45847</v>
      </c>
      <c r="BT752" s="4">
        <v>0.40069444444444446</v>
      </c>
      <c r="BU752" t="s">
        <v>940</v>
      </c>
      <c r="BV752" t="s">
        <v>98</v>
      </c>
      <c r="BY752">
        <v>8512</v>
      </c>
      <c r="BZ752" t="s">
        <v>89</v>
      </c>
      <c r="CA752" t="s">
        <v>941</v>
      </c>
      <c r="CC752" t="s">
        <v>76</v>
      </c>
      <c r="CD752">
        <v>1645</v>
      </c>
      <c r="CE752" t="s">
        <v>117</v>
      </c>
      <c r="CF752" s="3">
        <v>45848</v>
      </c>
      <c r="CI752">
        <v>1</v>
      </c>
      <c r="CJ752">
        <v>1</v>
      </c>
      <c r="CK752">
        <v>22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"080066422194"</f>
        <v>080066422194</v>
      </c>
      <c r="F753" s="3">
        <v>45846</v>
      </c>
      <c r="G753">
        <v>202604</v>
      </c>
      <c r="H753" t="s">
        <v>75</v>
      </c>
      <c r="I753" t="s">
        <v>76</v>
      </c>
      <c r="J753" t="s">
        <v>77</v>
      </c>
      <c r="K753" t="s">
        <v>78</v>
      </c>
      <c r="L753" t="s">
        <v>151</v>
      </c>
      <c r="M753" t="s">
        <v>152</v>
      </c>
      <c r="N753" t="s">
        <v>500</v>
      </c>
      <c r="O753" t="s">
        <v>82</v>
      </c>
      <c r="P753" t="str">
        <f>"4170047239                    "</f>
        <v xml:space="preserve">4170047239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22.6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0.3</v>
      </c>
      <c r="BK753">
        <v>1</v>
      </c>
      <c r="BL753">
        <v>71.2</v>
      </c>
      <c r="BM753">
        <v>10.68</v>
      </c>
      <c r="BN753">
        <v>81.88</v>
      </c>
      <c r="BO753">
        <v>81.88</v>
      </c>
      <c r="BQ753" t="s">
        <v>501</v>
      </c>
      <c r="BR753" t="s">
        <v>84</v>
      </c>
      <c r="BS753" s="3">
        <v>45847</v>
      </c>
      <c r="BT753" s="4">
        <v>0.43472222222222223</v>
      </c>
      <c r="BU753" t="s">
        <v>561</v>
      </c>
      <c r="BV753" t="s">
        <v>98</v>
      </c>
      <c r="BY753">
        <v>1350</v>
      </c>
      <c r="BZ753" t="s">
        <v>89</v>
      </c>
      <c r="CA753" t="s">
        <v>388</v>
      </c>
      <c r="CC753" t="s">
        <v>152</v>
      </c>
      <c r="CD753" s="5" t="s">
        <v>157</v>
      </c>
      <c r="CE753" t="s">
        <v>239</v>
      </c>
      <c r="CF753" s="3">
        <v>45847</v>
      </c>
      <c r="CI753">
        <v>1</v>
      </c>
      <c r="CJ753">
        <v>1</v>
      </c>
      <c r="CK753">
        <v>21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"080066422230"</f>
        <v>080066422230</v>
      </c>
      <c r="F754" s="3">
        <v>45846</v>
      </c>
      <c r="G754">
        <v>202604</v>
      </c>
      <c r="H754" t="s">
        <v>75</v>
      </c>
      <c r="I754" t="s">
        <v>76</v>
      </c>
      <c r="J754" t="s">
        <v>77</v>
      </c>
      <c r="K754" t="s">
        <v>78</v>
      </c>
      <c r="L754" t="s">
        <v>221</v>
      </c>
      <c r="M754" t="s">
        <v>222</v>
      </c>
      <c r="N754" t="s">
        <v>223</v>
      </c>
      <c r="O754" t="s">
        <v>95</v>
      </c>
      <c r="P754" t="str">
        <f>"4170047306                    "</f>
        <v xml:space="preserve">4170047306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61.64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16.739999999999998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6</v>
      </c>
      <c r="BJ754">
        <v>2.4</v>
      </c>
      <c r="BK754">
        <v>6</v>
      </c>
      <c r="BL754">
        <v>216.8</v>
      </c>
      <c r="BM754">
        <v>32.520000000000003</v>
      </c>
      <c r="BN754">
        <v>249.32</v>
      </c>
      <c r="BO754">
        <v>249.32</v>
      </c>
      <c r="BQ754" t="s">
        <v>224</v>
      </c>
      <c r="BR754" t="s">
        <v>84</v>
      </c>
      <c r="BS754" s="3">
        <v>45847</v>
      </c>
      <c r="BT754" s="4">
        <v>0.35416666666666669</v>
      </c>
      <c r="BU754" t="s">
        <v>1494</v>
      </c>
      <c r="BV754" t="s">
        <v>98</v>
      </c>
      <c r="BY754">
        <v>12236</v>
      </c>
      <c r="BZ754" t="s">
        <v>991</v>
      </c>
      <c r="CC754" t="s">
        <v>222</v>
      </c>
      <c r="CD754">
        <v>2716</v>
      </c>
      <c r="CE754" t="s">
        <v>1510</v>
      </c>
      <c r="CF754" s="3">
        <v>45848</v>
      </c>
      <c r="CI754">
        <v>5</v>
      </c>
      <c r="CJ754">
        <v>1</v>
      </c>
      <c r="CK754">
        <v>43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"080066422295"</f>
        <v>080066422295</v>
      </c>
      <c r="F755" s="3">
        <v>45846</v>
      </c>
      <c r="G755">
        <v>202604</v>
      </c>
      <c r="H755" t="s">
        <v>75</v>
      </c>
      <c r="I755" t="s">
        <v>76</v>
      </c>
      <c r="J755" t="s">
        <v>77</v>
      </c>
      <c r="K755" t="s">
        <v>78</v>
      </c>
      <c r="L755" t="s">
        <v>122</v>
      </c>
      <c r="M755" t="s">
        <v>123</v>
      </c>
      <c r="N755" t="s">
        <v>1088</v>
      </c>
      <c r="O755" t="s">
        <v>82</v>
      </c>
      <c r="P755" t="str">
        <f>"4170047243                    "</f>
        <v xml:space="preserve">4170047243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45.18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4</v>
      </c>
      <c r="BJ755">
        <v>3.1</v>
      </c>
      <c r="BK755">
        <v>4</v>
      </c>
      <c r="BL755">
        <v>142.34</v>
      </c>
      <c r="BM755">
        <v>21.35</v>
      </c>
      <c r="BN755">
        <v>163.69</v>
      </c>
      <c r="BO755">
        <v>163.69</v>
      </c>
      <c r="BQ755" t="s">
        <v>1089</v>
      </c>
      <c r="BR755" t="s">
        <v>84</v>
      </c>
      <c r="BS755" s="3">
        <v>45847</v>
      </c>
      <c r="BT755" s="4">
        <v>0.49444444444444446</v>
      </c>
      <c r="BU755" t="s">
        <v>1511</v>
      </c>
      <c r="BV755" t="s">
        <v>86</v>
      </c>
      <c r="BW755" t="s">
        <v>219</v>
      </c>
      <c r="BX755" t="s">
        <v>1435</v>
      </c>
      <c r="BY755">
        <v>15360</v>
      </c>
      <c r="BZ755" t="s">
        <v>89</v>
      </c>
      <c r="CA755" t="s">
        <v>166</v>
      </c>
      <c r="CC755" t="s">
        <v>123</v>
      </c>
      <c r="CD755">
        <v>3600</v>
      </c>
      <c r="CE755" t="s">
        <v>117</v>
      </c>
      <c r="CF755" s="3">
        <v>45848</v>
      </c>
      <c r="CI755">
        <v>1</v>
      </c>
      <c r="CJ755">
        <v>1</v>
      </c>
      <c r="CK755">
        <v>21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"080066422360"</f>
        <v>080066422360</v>
      </c>
      <c r="F756" s="3">
        <v>45846</v>
      </c>
      <c r="G756">
        <v>202604</v>
      </c>
      <c r="H756" t="s">
        <v>75</v>
      </c>
      <c r="I756" t="s">
        <v>76</v>
      </c>
      <c r="J756" t="s">
        <v>77</v>
      </c>
      <c r="K756" t="s">
        <v>78</v>
      </c>
      <c r="L756" t="s">
        <v>758</v>
      </c>
      <c r="M756" t="s">
        <v>759</v>
      </c>
      <c r="N756" t="s">
        <v>760</v>
      </c>
      <c r="O756" t="s">
        <v>82</v>
      </c>
      <c r="P756" t="str">
        <f>"4170047242                    "</f>
        <v xml:space="preserve">4170047242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73.44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3.1</v>
      </c>
      <c r="BK756">
        <v>3.5</v>
      </c>
      <c r="BL756">
        <v>231.38</v>
      </c>
      <c r="BM756">
        <v>34.71</v>
      </c>
      <c r="BN756">
        <v>266.08999999999997</v>
      </c>
      <c r="BO756">
        <v>266.08999999999997</v>
      </c>
      <c r="BQ756" t="s">
        <v>761</v>
      </c>
      <c r="BR756" t="s">
        <v>84</v>
      </c>
      <c r="BS756" s="3">
        <v>45847</v>
      </c>
      <c r="BT756" s="4">
        <v>0.40277777777777779</v>
      </c>
      <c r="BU756" t="s">
        <v>1110</v>
      </c>
      <c r="BV756" t="s">
        <v>98</v>
      </c>
      <c r="BY756">
        <v>15360</v>
      </c>
      <c r="BZ756" t="s">
        <v>89</v>
      </c>
      <c r="CA756" t="s">
        <v>763</v>
      </c>
      <c r="CC756" t="s">
        <v>759</v>
      </c>
      <c r="CD756">
        <v>2531</v>
      </c>
      <c r="CE756" t="s">
        <v>117</v>
      </c>
      <c r="CF756" s="3">
        <v>45848</v>
      </c>
      <c r="CI756">
        <v>1</v>
      </c>
      <c r="CJ756">
        <v>1</v>
      </c>
      <c r="CK756">
        <v>23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"080066422421"</f>
        <v>080066422421</v>
      </c>
      <c r="F757" s="3">
        <v>45846</v>
      </c>
      <c r="G757">
        <v>202604</v>
      </c>
      <c r="H757" t="s">
        <v>75</v>
      </c>
      <c r="I757" t="s">
        <v>76</v>
      </c>
      <c r="J757" t="s">
        <v>77</v>
      </c>
      <c r="K757" t="s">
        <v>78</v>
      </c>
      <c r="L757" t="s">
        <v>79</v>
      </c>
      <c r="M757" t="s">
        <v>80</v>
      </c>
      <c r="N757" t="s">
        <v>286</v>
      </c>
      <c r="O757" t="s">
        <v>82</v>
      </c>
      <c r="P757" t="str">
        <f>"4170047329                    "</f>
        <v xml:space="preserve">4170047329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146.79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13</v>
      </c>
      <c r="BJ757">
        <v>8.9</v>
      </c>
      <c r="BK757">
        <v>13</v>
      </c>
      <c r="BL757">
        <v>462.47</v>
      </c>
      <c r="BM757">
        <v>69.37</v>
      </c>
      <c r="BN757">
        <v>531.84</v>
      </c>
      <c r="BO757">
        <v>531.84</v>
      </c>
      <c r="BQ757" t="s">
        <v>287</v>
      </c>
      <c r="BR757" t="s">
        <v>84</v>
      </c>
      <c r="BS757" s="3">
        <v>45847</v>
      </c>
      <c r="BT757" s="4">
        <v>0.3298611111111111</v>
      </c>
      <c r="BU757" t="s">
        <v>1512</v>
      </c>
      <c r="BV757" t="s">
        <v>98</v>
      </c>
      <c r="BY757">
        <v>44640</v>
      </c>
      <c r="BZ757" t="s">
        <v>89</v>
      </c>
      <c r="CA757" t="s">
        <v>1426</v>
      </c>
      <c r="CC757" t="s">
        <v>80</v>
      </c>
      <c r="CD757">
        <v>7530</v>
      </c>
      <c r="CE757" t="s">
        <v>117</v>
      </c>
      <c r="CF757" s="3">
        <v>45848</v>
      </c>
      <c r="CI757">
        <v>1</v>
      </c>
      <c r="CJ757">
        <v>1</v>
      </c>
      <c r="CK757">
        <v>21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"080066422465"</f>
        <v>080066422465</v>
      </c>
      <c r="F758" s="3">
        <v>45846</v>
      </c>
      <c r="G758">
        <v>202604</v>
      </c>
      <c r="H758" t="s">
        <v>75</v>
      </c>
      <c r="I758" t="s">
        <v>76</v>
      </c>
      <c r="J758" t="s">
        <v>77</v>
      </c>
      <c r="K758" t="s">
        <v>78</v>
      </c>
      <c r="L758" t="s">
        <v>151</v>
      </c>
      <c r="M758" t="s">
        <v>152</v>
      </c>
      <c r="N758" t="s">
        <v>1513</v>
      </c>
      <c r="O758" t="s">
        <v>82</v>
      </c>
      <c r="P758" t="str">
        <f>"4170047343                    "</f>
        <v xml:space="preserve">4170047343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22.6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1.1000000000000001</v>
      </c>
      <c r="BK758">
        <v>1.5</v>
      </c>
      <c r="BL758">
        <v>71.2</v>
      </c>
      <c r="BM758">
        <v>10.68</v>
      </c>
      <c r="BN758">
        <v>81.88</v>
      </c>
      <c r="BO758">
        <v>81.88</v>
      </c>
      <c r="BQ758" t="s">
        <v>1514</v>
      </c>
      <c r="BR758" t="s">
        <v>84</v>
      </c>
      <c r="BS758" s="3">
        <v>45847</v>
      </c>
      <c r="BT758" s="4">
        <v>0.4152777777777778</v>
      </c>
      <c r="BU758" t="s">
        <v>1515</v>
      </c>
      <c r="BV758" t="s">
        <v>98</v>
      </c>
      <c r="BY758">
        <v>5320</v>
      </c>
      <c r="BZ758" t="s">
        <v>89</v>
      </c>
      <c r="CA758" t="s">
        <v>716</v>
      </c>
      <c r="CC758" t="s">
        <v>152</v>
      </c>
      <c r="CD758" s="5" t="s">
        <v>157</v>
      </c>
      <c r="CE758" t="s">
        <v>117</v>
      </c>
      <c r="CF758" s="3">
        <v>45847</v>
      </c>
      <c r="CI758">
        <v>1</v>
      </c>
      <c r="CJ758">
        <v>1</v>
      </c>
      <c r="CK758">
        <v>21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"080066422505"</f>
        <v>080066422505</v>
      </c>
      <c r="F759" s="3">
        <v>45846</v>
      </c>
      <c r="G759">
        <v>202604</v>
      </c>
      <c r="H759" t="s">
        <v>75</v>
      </c>
      <c r="I759" t="s">
        <v>76</v>
      </c>
      <c r="J759" t="s">
        <v>77</v>
      </c>
      <c r="K759" t="s">
        <v>78</v>
      </c>
      <c r="L759" t="s">
        <v>92</v>
      </c>
      <c r="M759" t="s">
        <v>93</v>
      </c>
      <c r="N759" t="s">
        <v>749</v>
      </c>
      <c r="O759" t="s">
        <v>82</v>
      </c>
      <c r="P759" t="str">
        <f>"4170047260                    "</f>
        <v xml:space="preserve">4170047260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22.6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1.1000000000000001</v>
      </c>
      <c r="BK759">
        <v>1.5</v>
      </c>
      <c r="BL759">
        <v>71.2</v>
      </c>
      <c r="BM759">
        <v>10.68</v>
      </c>
      <c r="BN759">
        <v>81.88</v>
      </c>
      <c r="BO759">
        <v>81.88</v>
      </c>
      <c r="BQ759" t="s">
        <v>750</v>
      </c>
      <c r="BR759" t="s">
        <v>84</v>
      </c>
      <c r="BS759" s="3">
        <v>45847</v>
      </c>
      <c r="BT759" s="4">
        <v>0.41388888888888886</v>
      </c>
      <c r="BU759" t="s">
        <v>1329</v>
      </c>
      <c r="BV759" t="s">
        <v>98</v>
      </c>
      <c r="BY759">
        <v>5320</v>
      </c>
      <c r="BZ759" t="s">
        <v>89</v>
      </c>
      <c r="CA759" t="s">
        <v>491</v>
      </c>
      <c r="CC759" t="s">
        <v>93</v>
      </c>
      <c r="CD759">
        <v>4001</v>
      </c>
      <c r="CE759" t="s">
        <v>117</v>
      </c>
      <c r="CF759" s="3">
        <v>45848</v>
      </c>
      <c r="CI759">
        <v>1</v>
      </c>
      <c r="CJ759">
        <v>1</v>
      </c>
      <c r="CK759">
        <v>21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"080066422584"</f>
        <v>080066422584</v>
      </c>
      <c r="F760" s="3">
        <v>45846</v>
      </c>
      <c r="G760">
        <v>202604</v>
      </c>
      <c r="H760" t="s">
        <v>75</v>
      </c>
      <c r="I760" t="s">
        <v>76</v>
      </c>
      <c r="J760" t="s">
        <v>77</v>
      </c>
      <c r="K760" t="s">
        <v>78</v>
      </c>
      <c r="L760" t="s">
        <v>92</v>
      </c>
      <c r="M760" t="s">
        <v>93</v>
      </c>
      <c r="N760" t="s">
        <v>334</v>
      </c>
      <c r="O760" t="s">
        <v>82</v>
      </c>
      <c r="P760" t="str">
        <f>"4170047293                    "</f>
        <v xml:space="preserve">4170047293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22.6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0.3</v>
      </c>
      <c r="BK760">
        <v>1</v>
      </c>
      <c r="BL760">
        <v>71.2</v>
      </c>
      <c r="BM760">
        <v>10.68</v>
      </c>
      <c r="BN760">
        <v>81.88</v>
      </c>
      <c r="BO760">
        <v>81.88</v>
      </c>
      <c r="BQ760" t="s">
        <v>335</v>
      </c>
      <c r="BR760" t="s">
        <v>84</v>
      </c>
      <c r="BS760" s="3">
        <v>45847</v>
      </c>
      <c r="BT760" s="4">
        <v>0.38194444444444442</v>
      </c>
      <c r="BU760" t="s">
        <v>1427</v>
      </c>
      <c r="BV760" t="s">
        <v>98</v>
      </c>
      <c r="BY760">
        <v>1350</v>
      </c>
      <c r="BZ760" t="s">
        <v>89</v>
      </c>
      <c r="CA760" t="s">
        <v>1428</v>
      </c>
      <c r="CC760" t="s">
        <v>93</v>
      </c>
      <c r="CD760">
        <v>4052</v>
      </c>
      <c r="CE760" t="s">
        <v>239</v>
      </c>
      <c r="CF760" s="3">
        <v>45847</v>
      </c>
      <c r="CI760">
        <v>1</v>
      </c>
      <c r="CJ760">
        <v>1</v>
      </c>
      <c r="CK760">
        <v>21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"080066422581"</f>
        <v>080066422581</v>
      </c>
      <c r="F761" s="3">
        <v>45846</v>
      </c>
      <c r="G761">
        <v>202604</v>
      </c>
      <c r="H761" t="s">
        <v>75</v>
      </c>
      <c r="I761" t="s">
        <v>76</v>
      </c>
      <c r="J761" t="s">
        <v>77</v>
      </c>
      <c r="K761" t="s">
        <v>78</v>
      </c>
      <c r="L761" t="s">
        <v>174</v>
      </c>
      <c r="M761" t="s">
        <v>175</v>
      </c>
      <c r="N761" t="s">
        <v>659</v>
      </c>
      <c r="O761" t="s">
        <v>82</v>
      </c>
      <c r="P761" t="str">
        <f>"4170047327                    "</f>
        <v xml:space="preserve">4170047327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22.6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0.9</v>
      </c>
      <c r="BK761">
        <v>1</v>
      </c>
      <c r="BL761">
        <v>71.2</v>
      </c>
      <c r="BM761">
        <v>10.68</v>
      </c>
      <c r="BN761">
        <v>81.88</v>
      </c>
      <c r="BO761">
        <v>81.88</v>
      </c>
      <c r="BQ761" t="s">
        <v>660</v>
      </c>
      <c r="BR761" t="s">
        <v>84</v>
      </c>
      <c r="BS761" s="3">
        <v>45848</v>
      </c>
      <c r="BT761" s="4">
        <v>0.43402777777777779</v>
      </c>
      <c r="BU761" t="s">
        <v>661</v>
      </c>
      <c r="BV761" t="s">
        <v>86</v>
      </c>
      <c r="BW761" t="s">
        <v>194</v>
      </c>
      <c r="BX761" t="s">
        <v>816</v>
      </c>
      <c r="BY761">
        <v>4700</v>
      </c>
      <c r="BZ761" t="s">
        <v>89</v>
      </c>
      <c r="CA761" t="s">
        <v>173</v>
      </c>
      <c r="CC761" t="s">
        <v>175</v>
      </c>
      <c r="CD761">
        <v>6220</v>
      </c>
      <c r="CE761" t="s">
        <v>91</v>
      </c>
      <c r="CF761" s="3">
        <v>45848</v>
      </c>
      <c r="CI761">
        <v>1</v>
      </c>
      <c r="CJ761">
        <v>2</v>
      </c>
      <c r="CK761">
        <v>21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"080066422664"</f>
        <v>080066422664</v>
      </c>
      <c r="F762" s="3">
        <v>45846</v>
      </c>
      <c r="G762">
        <v>202604</v>
      </c>
      <c r="H762" t="s">
        <v>75</v>
      </c>
      <c r="I762" t="s">
        <v>76</v>
      </c>
      <c r="J762" t="s">
        <v>77</v>
      </c>
      <c r="K762" t="s">
        <v>78</v>
      </c>
      <c r="L762" t="s">
        <v>240</v>
      </c>
      <c r="M762" t="s">
        <v>241</v>
      </c>
      <c r="N762" t="s">
        <v>1516</v>
      </c>
      <c r="O762" t="s">
        <v>82</v>
      </c>
      <c r="P762" t="str">
        <f>"4170047317                    "</f>
        <v xml:space="preserve">4170047317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17.649999999999999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55.61</v>
      </c>
      <c r="BM762">
        <v>8.34</v>
      </c>
      <c r="BN762">
        <v>63.95</v>
      </c>
      <c r="BO762">
        <v>63.95</v>
      </c>
      <c r="BQ762" t="s">
        <v>1517</v>
      </c>
      <c r="BR762" t="s">
        <v>84</v>
      </c>
      <c r="BS762" s="3">
        <v>45847</v>
      </c>
      <c r="BT762" s="4">
        <v>0.37013888888888891</v>
      </c>
      <c r="BU762" t="s">
        <v>1518</v>
      </c>
      <c r="BV762" t="s">
        <v>98</v>
      </c>
      <c r="BY762">
        <v>1200</v>
      </c>
      <c r="BZ762" t="s">
        <v>89</v>
      </c>
      <c r="CA762" t="s">
        <v>397</v>
      </c>
      <c r="CC762" t="s">
        <v>241</v>
      </c>
      <c r="CD762">
        <v>2093</v>
      </c>
      <c r="CE762" t="s">
        <v>239</v>
      </c>
      <c r="CF762" s="3">
        <v>45848</v>
      </c>
      <c r="CI762">
        <v>1</v>
      </c>
      <c r="CJ762">
        <v>1</v>
      </c>
      <c r="CK762">
        <v>22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"080066422712"</f>
        <v>080066422712</v>
      </c>
      <c r="F763" s="3">
        <v>45846</v>
      </c>
      <c r="G763">
        <v>202604</v>
      </c>
      <c r="H763" t="s">
        <v>75</v>
      </c>
      <c r="I763" t="s">
        <v>76</v>
      </c>
      <c r="J763" t="s">
        <v>77</v>
      </c>
      <c r="K763" t="s">
        <v>78</v>
      </c>
      <c r="L763" t="s">
        <v>168</v>
      </c>
      <c r="M763" t="s">
        <v>169</v>
      </c>
      <c r="N763" t="s">
        <v>202</v>
      </c>
      <c r="O763" t="s">
        <v>82</v>
      </c>
      <c r="P763" t="str">
        <f>"4170047285                    "</f>
        <v xml:space="preserve">4170047285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22.6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0.3</v>
      </c>
      <c r="BK763">
        <v>1</v>
      </c>
      <c r="BL763">
        <v>71.2</v>
      </c>
      <c r="BM763">
        <v>10.68</v>
      </c>
      <c r="BN763">
        <v>81.88</v>
      </c>
      <c r="BO763">
        <v>81.88</v>
      </c>
      <c r="BQ763" t="s">
        <v>203</v>
      </c>
      <c r="BR763" t="s">
        <v>84</v>
      </c>
      <c r="BS763" s="3">
        <v>45847</v>
      </c>
      <c r="BT763" s="4">
        <v>0.3923611111111111</v>
      </c>
      <c r="BU763" t="s">
        <v>1519</v>
      </c>
      <c r="BV763" t="s">
        <v>98</v>
      </c>
      <c r="BY763">
        <v>1350</v>
      </c>
      <c r="BZ763" t="s">
        <v>89</v>
      </c>
      <c r="CA763" t="s">
        <v>205</v>
      </c>
      <c r="CC763" t="s">
        <v>169</v>
      </c>
      <c r="CD763">
        <v>6001</v>
      </c>
      <c r="CE763" t="s">
        <v>239</v>
      </c>
      <c r="CF763" s="3">
        <v>45847</v>
      </c>
      <c r="CI763">
        <v>1</v>
      </c>
      <c r="CJ763">
        <v>1</v>
      </c>
      <c r="CK763">
        <v>21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"080066422763"</f>
        <v>080066422763</v>
      </c>
      <c r="F764" s="3">
        <v>45846</v>
      </c>
      <c r="G764">
        <v>202604</v>
      </c>
      <c r="H764" t="s">
        <v>75</v>
      </c>
      <c r="I764" t="s">
        <v>76</v>
      </c>
      <c r="J764" t="s">
        <v>77</v>
      </c>
      <c r="K764" t="s">
        <v>78</v>
      </c>
      <c r="L764" t="s">
        <v>79</v>
      </c>
      <c r="M764" t="s">
        <v>80</v>
      </c>
      <c r="N764" t="s">
        <v>286</v>
      </c>
      <c r="O764" t="s">
        <v>82</v>
      </c>
      <c r="P764" t="str">
        <f>"4170047342                    "</f>
        <v xml:space="preserve">4170047342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22.6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0.3</v>
      </c>
      <c r="BK764">
        <v>1</v>
      </c>
      <c r="BL764">
        <v>71.2</v>
      </c>
      <c r="BM764">
        <v>10.68</v>
      </c>
      <c r="BN764">
        <v>81.88</v>
      </c>
      <c r="BO764">
        <v>81.88</v>
      </c>
      <c r="BQ764" t="s">
        <v>287</v>
      </c>
      <c r="BR764" t="s">
        <v>84</v>
      </c>
      <c r="BS764" s="3">
        <v>45847</v>
      </c>
      <c r="BT764" s="4">
        <v>0.32777777777777778</v>
      </c>
      <c r="BU764" t="s">
        <v>1512</v>
      </c>
      <c r="BV764" t="s">
        <v>98</v>
      </c>
      <c r="BY764">
        <v>1350</v>
      </c>
      <c r="BZ764" t="s">
        <v>89</v>
      </c>
      <c r="CA764" t="s">
        <v>1426</v>
      </c>
      <c r="CC764" t="s">
        <v>80</v>
      </c>
      <c r="CD764">
        <v>7530</v>
      </c>
      <c r="CE764" t="s">
        <v>239</v>
      </c>
      <c r="CF764" s="3">
        <v>45848</v>
      </c>
      <c r="CI764">
        <v>1</v>
      </c>
      <c r="CJ764">
        <v>1</v>
      </c>
      <c r="CK764">
        <v>21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"080066422807"</f>
        <v>080066422807</v>
      </c>
      <c r="F765" s="3">
        <v>45846</v>
      </c>
      <c r="G765">
        <v>202604</v>
      </c>
      <c r="H765" t="s">
        <v>75</v>
      </c>
      <c r="I765" t="s">
        <v>76</v>
      </c>
      <c r="J765" t="s">
        <v>77</v>
      </c>
      <c r="K765" t="s">
        <v>78</v>
      </c>
      <c r="L765" t="s">
        <v>1520</v>
      </c>
      <c r="M765" t="s">
        <v>1521</v>
      </c>
      <c r="N765" t="s">
        <v>1522</v>
      </c>
      <c r="O765" t="s">
        <v>82</v>
      </c>
      <c r="P765" t="str">
        <f>"4170047349                    "</f>
        <v xml:space="preserve">4170047349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43.78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0.3</v>
      </c>
      <c r="BK765">
        <v>1</v>
      </c>
      <c r="BL765">
        <v>137.94</v>
      </c>
      <c r="BM765">
        <v>20.69</v>
      </c>
      <c r="BN765">
        <v>158.63</v>
      </c>
      <c r="BO765">
        <v>158.63</v>
      </c>
      <c r="BQ765" t="s">
        <v>1523</v>
      </c>
      <c r="BR765" t="s">
        <v>84</v>
      </c>
      <c r="BS765" s="3">
        <v>45848</v>
      </c>
      <c r="BT765" s="4">
        <v>0.49583333333333335</v>
      </c>
      <c r="BU765" t="s">
        <v>1524</v>
      </c>
      <c r="BV765" t="s">
        <v>98</v>
      </c>
      <c r="BY765">
        <v>1350</v>
      </c>
      <c r="BZ765" t="s">
        <v>89</v>
      </c>
      <c r="CC765" t="s">
        <v>1521</v>
      </c>
      <c r="CD765">
        <v>4252</v>
      </c>
      <c r="CE765" t="s">
        <v>239</v>
      </c>
      <c r="CF765" s="3">
        <v>45848</v>
      </c>
      <c r="CI765">
        <v>2</v>
      </c>
      <c r="CJ765">
        <v>2</v>
      </c>
      <c r="CK765">
        <v>23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"080066422841"</f>
        <v>080066422841</v>
      </c>
      <c r="F766" s="3">
        <v>45846</v>
      </c>
      <c r="G766">
        <v>202604</v>
      </c>
      <c r="H766" t="s">
        <v>75</v>
      </c>
      <c r="I766" t="s">
        <v>76</v>
      </c>
      <c r="J766" t="s">
        <v>77</v>
      </c>
      <c r="K766" t="s">
        <v>78</v>
      </c>
      <c r="L766" t="s">
        <v>75</v>
      </c>
      <c r="M766" t="s">
        <v>76</v>
      </c>
      <c r="N766" t="s">
        <v>1525</v>
      </c>
      <c r="O766" t="s">
        <v>82</v>
      </c>
      <c r="P766" t="str">
        <f>"4170047340                    "</f>
        <v xml:space="preserve">4170047340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17.649999999999999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0.3</v>
      </c>
      <c r="BK766">
        <v>1</v>
      </c>
      <c r="BL766">
        <v>55.61</v>
      </c>
      <c r="BM766">
        <v>8.34</v>
      </c>
      <c r="BN766">
        <v>63.95</v>
      </c>
      <c r="BO766">
        <v>63.95</v>
      </c>
      <c r="BQ766" t="s">
        <v>1526</v>
      </c>
      <c r="BR766" t="s">
        <v>84</v>
      </c>
      <c r="BS766" s="3">
        <v>45847</v>
      </c>
      <c r="BT766" s="4">
        <v>0.4375</v>
      </c>
      <c r="BU766" t="s">
        <v>1527</v>
      </c>
      <c r="BV766" t="s">
        <v>98</v>
      </c>
      <c r="BY766">
        <v>1350</v>
      </c>
      <c r="BZ766" t="s">
        <v>89</v>
      </c>
      <c r="CC766" t="s">
        <v>76</v>
      </c>
      <c r="CD766">
        <v>1614</v>
      </c>
      <c r="CE766" t="s">
        <v>239</v>
      </c>
      <c r="CF766" s="3">
        <v>45848</v>
      </c>
      <c r="CI766">
        <v>1</v>
      </c>
      <c r="CJ766">
        <v>1</v>
      </c>
      <c r="CK766">
        <v>22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"080066422866"</f>
        <v>080066422866</v>
      </c>
      <c r="F767" s="3">
        <v>45846</v>
      </c>
      <c r="G767">
        <v>202604</v>
      </c>
      <c r="H767" t="s">
        <v>75</v>
      </c>
      <c r="I767" t="s">
        <v>76</v>
      </c>
      <c r="J767" t="s">
        <v>77</v>
      </c>
      <c r="K767" t="s">
        <v>78</v>
      </c>
      <c r="L767" t="s">
        <v>174</v>
      </c>
      <c r="M767" t="s">
        <v>175</v>
      </c>
      <c r="N767" t="s">
        <v>659</v>
      </c>
      <c r="O767" t="s">
        <v>82</v>
      </c>
      <c r="P767" t="str">
        <f>"4170047326                    "</f>
        <v xml:space="preserve">4170047326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33.89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3</v>
      </c>
      <c r="BJ767">
        <v>1.9</v>
      </c>
      <c r="BK767">
        <v>3</v>
      </c>
      <c r="BL767">
        <v>106.77</v>
      </c>
      <c r="BM767">
        <v>16.02</v>
      </c>
      <c r="BN767">
        <v>122.79</v>
      </c>
      <c r="BO767">
        <v>122.79</v>
      </c>
      <c r="BQ767" t="s">
        <v>660</v>
      </c>
      <c r="BR767" t="s">
        <v>84</v>
      </c>
      <c r="BS767" s="3">
        <v>45847</v>
      </c>
      <c r="BT767" s="4">
        <v>0.43472222222222223</v>
      </c>
      <c r="BU767" t="s">
        <v>661</v>
      </c>
      <c r="BV767" t="s">
        <v>98</v>
      </c>
      <c r="BY767">
        <v>9600</v>
      </c>
      <c r="BZ767" t="s">
        <v>89</v>
      </c>
      <c r="CA767" t="s">
        <v>173</v>
      </c>
      <c r="CC767" t="s">
        <v>175</v>
      </c>
      <c r="CD767">
        <v>6220</v>
      </c>
      <c r="CE767" t="s">
        <v>117</v>
      </c>
      <c r="CF767" s="3">
        <v>45847</v>
      </c>
      <c r="CI767">
        <v>1</v>
      </c>
      <c r="CJ767">
        <v>1</v>
      </c>
      <c r="CK767">
        <v>21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"080066422886"</f>
        <v>080066422886</v>
      </c>
      <c r="F768" s="3">
        <v>45846</v>
      </c>
      <c r="G768">
        <v>202604</v>
      </c>
      <c r="H768" t="s">
        <v>75</v>
      </c>
      <c r="I768" t="s">
        <v>76</v>
      </c>
      <c r="J768" t="s">
        <v>77</v>
      </c>
      <c r="K768" t="s">
        <v>78</v>
      </c>
      <c r="L768" t="s">
        <v>221</v>
      </c>
      <c r="M768" t="s">
        <v>222</v>
      </c>
      <c r="N768" t="s">
        <v>223</v>
      </c>
      <c r="O768" t="s">
        <v>82</v>
      </c>
      <c r="P768" t="str">
        <f>"4170047287                    "</f>
        <v xml:space="preserve">4170047287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43.78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0.3</v>
      </c>
      <c r="BK768">
        <v>1</v>
      </c>
      <c r="BL768">
        <v>137.94</v>
      </c>
      <c r="BM768">
        <v>20.69</v>
      </c>
      <c r="BN768">
        <v>158.63</v>
      </c>
      <c r="BO768">
        <v>158.63</v>
      </c>
      <c r="BQ768" t="s">
        <v>224</v>
      </c>
      <c r="BR768" t="s">
        <v>84</v>
      </c>
      <c r="BS768" s="3">
        <v>45847</v>
      </c>
      <c r="BT768" s="4">
        <v>0.35416666666666669</v>
      </c>
      <c r="BU768" t="s">
        <v>1494</v>
      </c>
      <c r="BV768" t="s">
        <v>98</v>
      </c>
      <c r="BY768">
        <v>1350</v>
      </c>
      <c r="BZ768" t="s">
        <v>89</v>
      </c>
      <c r="CC768" t="s">
        <v>222</v>
      </c>
      <c r="CD768">
        <v>2740</v>
      </c>
      <c r="CE768" t="s">
        <v>239</v>
      </c>
      <c r="CF768" s="3">
        <v>45848</v>
      </c>
      <c r="CI768">
        <v>1</v>
      </c>
      <c r="CJ768">
        <v>1</v>
      </c>
      <c r="CK768">
        <v>23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"080066422920"</f>
        <v>080066422920</v>
      </c>
      <c r="F769" s="3">
        <v>45846</v>
      </c>
      <c r="G769">
        <v>202604</v>
      </c>
      <c r="H769" t="s">
        <v>75</v>
      </c>
      <c r="I769" t="s">
        <v>76</v>
      </c>
      <c r="J769" t="s">
        <v>77</v>
      </c>
      <c r="K769" t="s">
        <v>78</v>
      </c>
      <c r="L769" t="s">
        <v>79</v>
      </c>
      <c r="M769" t="s">
        <v>80</v>
      </c>
      <c r="N769" t="s">
        <v>376</v>
      </c>
      <c r="O769" t="s">
        <v>82</v>
      </c>
      <c r="P769" t="str">
        <f>"4170047249                    "</f>
        <v xml:space="preserve">4170047249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33.89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2.7</v>
      </c>
      <c r="BK769">
        <v>3</v>
      </c>
      <c r="BL769">
        <v>106.77</v>
      </c>
      <c r="BM769">
        <v>16.02</v>
      </c>
      <c r="BN769">
        <v>122.79</v>
      </c>
      <c r="BO769">
        <v>122.79</v>
      </c>
      <c r="BQ769" t="s">
        <v>377</v>
      </c>
      <c r="BR769" t="s">
        <v>84</v>
      </c>
      <c r="BS769" s="3">
        <v>45847</v>
      </c>
      <c r="BT769" s="4">
        <v>0.41805555555555557</v>
      </c>
      <c r="BU769" t="s">
        <v>1184</v>
      </c>
      <c r="BV769" t="s">
        <v>98</v>
      </c>
      <c r="BY769">
        <v>13500</v>
      </c>
      <c r="BZ769" t="s">
        <v>89</v>
      </c>
      <c r="CC769" t="s">
        <v>80</v>
      </c>
      <c r="CD769">
        <v>8001</v>
      </c>
      <c r="CE769" t="s">
        <v>239</v>
      </c>
      <c r="CF769" s="3">
        <v>45848</v>
      </c>
      <c r="CI769">
        <v>1</v>
      </c>
      <c r="CJ769">
        <v>1</v>
      </c>
      <c r="CK769">
        <v>21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"080066422924"</f>
        <v>080066422924</v>
      </c>
      <c r="F770" s="3">
        <v>45846</v>
      </c>
      <c r="G770">
        <v>202604</v>
      </c>
      <c r="H770" t="s">
        <v>75</v>
      </c>
      <c r="I770" t="s">
        <v>76</v>
      </c>
      <c r="J770" t="s">
        <v>77</v>
      </c>
      <c r="K770" t="s">
        <v>78</v>
      </c>
      <c r="L770" t="s">
        <v>92</v>
      </c>
      <c r="M770" t="s">
        <v>93</v>
      </c>
      <c r="N770" t="s">
        <v>334</v>
      </c>
      <c r="O770" t="s">
        <v>82</v>
      </c>
      <c r="P770" t="str">
        <f>"4170047303                    "</f>
        <v xml:space="preserve">4170047303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22.6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1.4</v>
      </c>
      <c r="BK770">
        <v>1.5</v>
      </c>
      <c r="BL770">
        <v>71.2</v>
      </c>
      <c r="BM770">
        <v>10.68</v>
      </c>
      <c r="BN770">
        <v>81.88</v>
      </c>
      <c r="BO770">
        <v>81.88</v>
      </c>
      <c r="BQ770" t="s">
        <v>335</v>
      </c>
      <c r="BR770" t="s">
        <v>84</v>
      </c>
      <c r="BS770" s="3">
        <v>45847</v>
      </c>
      <c r="BT770" s="4">
        <v>0.38194444444444442</v>
      </c>
      <c r="BU770" t="s">
        <v>1427</v>
      </c>
      <c r="BV770" t="s">
        <v>98</v>
      </c>
      <c r="BY770">
        <v>7098</v>
      </c>
      <c r="BZ770" t="s">
        <v>89</v>
      </c>
      <c r="CA770" t="s">
        <v>1428</v>
      </c>
      <c r="CC770" t="s">
        <v>93</v>
      </c>
      <c r="CD770">
        <v>4052</v>
      </c>
      <c r="CE770" t="s">
        <v>91</v>
      </c>
      <c r="CF770" s="3">
        <v>45847</v>
      </c>
      <c r="CI770">
        <v>1</v>
      </c>
      <c r="CJ770">
        <v>1</v>
      </c>
      <c r="CK770">
        <v>21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"080066422954"</f>
        <v>080066422954</v>
      </c>
      <c r="F771" s="3">
        <v>45846</v>
      </c>
      <c r="G771">
        <v>202604</v>
      </c>
      <c r="H771" t="s">
        <v>75</v>
      </c>
      <c r="I771" t="s">
        <v>76</v>
      </c>
      <c r="J771" t="s">
        <v>77</v>
      </c>
      <c r="K771" t="s">
        <v>78</v>
      </c>
      <c r="L771" t="s">
        <v>503</v>
      </c>
      <c r="M771" t="s">
        <v>504</v>
      </c>
      <c r="N771" t="s">
        <v>505</v>
      </c>
      <c r="O771" t="s">
        <v>82</v>
      </c>
      <c r="P771" t="str">
        <f>"4170047347                    "</f>
        <v xml:space="preserve">4170047347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43.78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0.3</v>
      </c>
      <c r="BK771">
        <v>1</v>
      </c>
      <c r="BL771">
        <v>137.94</v>
      </c>
      <c r="BM771">
        <v>20.69</v>
      </c>
      <c r="BN771">
        <v>158.63</v>
      </c>
      <c r="BO771">
        <v>158.63</v>
      </c>
      <c r="BQ771" t="s">
        <v>506</v>
      </c>
      <c r="BR771" t="s">
        <v>84</v>
      </c>
      <c r="BS771" s="3">
        <v>45848</v>
      </c>
      <c r="BT771" s="4">
        <v>0.41597222222222224</v>
      </c>
      <c r="BU771" t="s">
        <v>1235</v>
      </c>
      <c r="BV771" t="s">
        <v>86</v>
      </c>
      <c r="BW771" t="s">
        <v>87</v>
      </c>
      <c r="BX771" t="s">
        <v>88</v>
      </c>
      <c r="BY771">
        <v>1350</v>
      </c>
      <c r="BZ771" t="s">
        <v>89</v>
      </c>
      <c r="CA771" t="s">
        <v>508</v>
      </c>
      <c r="CC771" t="s">
        <v>504</v>
      </c>
      <c r="CD771">
        <v>7130</v>
      </c>
      <c r="CE771" t="s">
        <v>239</v>
      </c>
      <c r="CF771" s="3">
        <v>45849</v>
      </c>
      <c r="CI771">
        <v>1</v>
      </c>
      <c r="CJ771">
        <v>2</v>
      </c>
      <c r="CK771">
        <v>23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"080066422958"</f>
        <v>080066422958</v>
      </c>
      <c r="F772" s="3">
        <v>45846</v>
      </c>
      <c r="G772">
        <v>202604</v>
      </c>
      <c r="H772" t="s">
        <v>75</v>
      </c>
      <c r="I772" t="s">
        <v>76</v>
      </c>
      <c r="J772" t="s">
        <v>77</v>
      </c>
      <c r="K772" t="s">
        <v>78</v>
      </c>
      <c r="L772" t="s">
        <v>168</v>
      </c>
      <c r="M772" t="s">
        <v>169</v>
      </c>
      <c r="N772" t="s">
        <v>894</v>
      </c>
      <c r="O772" t="s">
        <v>82</v>
      </c>
      <c r="P772" t="str">
        <f>"4170047437                    "</f>
        <v xml:space="preserve">4170047437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39.53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3.1</v>
      </c>
      <c r="BK772">
        <v>3.5</v>
      </c>
      <c r="BL772">
        <v>124.55</v>
      </c>
      <c r="BM772">
        <v>18.68</v>
      </c>
      <c r="BN772">
        <v>143.22999999999999</v>
      </c>
      <c r="BO772">
        <v>143.22999999999999</v>
      </c>
      <c r="BQ772" t="s">
        <v>895</v>
      </c>
      <c r="BR772" t="s">
        <v>84</v>
      </c>
      <c r="BS772" s="3">
        <v>45847</v>
      </c>
      <c r="BT772" s="4">
        <v>0.43402777777777779</v>
      </c>
      <c r="BU772" t="s">
        <v>896</v>
      </c>
      <c r="BV772" t="s">
        <v>98</v>
      </c>
      <c r="BY772">
        <v>15360</v>
      </c>
      <c r="BZ772" t="s">
        <v>89</v>
      </c>
      <c r="CA772" t="s">
        <v>282</v>
      </c>
      <c r="CC772" t="s">
        <v>169</v>
      </c>
      <c r="CD772">
        <v>6001</v>
      </c>
      <c r="CE772" t="s">
        <v>117</v>
      </c>
      <c r="CF772" s="3">
        <v>45847</v>
      </c>
      <c r="CI772">
        <v>1</v>
      </c>
      <c r="CJ772">
        <v>1</v>
      </c>
      <c r="CK772">
        <v>21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"080066422991"</f>
        <v>080066422991</v>
      </c>
      <c r="F773" s="3">
        <v>45846</v>
      </c>
      <c r="G773">
        <v>202604</v>
      </c>
      <c r="H773" t="s">
        <v>75</v>
      </c>
      <c r="I773" t="s">
        <v>76</v>
      </c>
      <c r="J773" t="s">
        <v>77</v>
      </c>
      <c r="K773" t="s">
        <v>78</v>
      </c>
      <c r="L773" t="s">
        <v>92</v>
      </c>
      <c r="M773" t="s">
        <v>93</v>
      </c>
      <c r="N773" t="s">
        <v>334</v>
      </c>
      <c r="O773" t="s">
        <v>82</v>
      </c>
      <c r="P773" t="str">
        <f>"4170047333                    "</f>
        <v xml:space="preserve">4170047333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22.6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0.3</v>
      </c>
      <c r="BK773">
        <v>1</v>
      </c>
      <c r="BL773">
        <v>71.2</v>
      </c>
      <c r="BM773">
        <v>10.68</v>
      </c>
      <c r="BN773">
        <v>81.88</v>
      </c>
      <c r="BO773">
        <v>81.88</v>
      </c>
      <c r="BQ773" t="s">
        <v>335</v>
      </c>
      <c r="BR773" t="s">
        <v>84</v>
      </c>
      <c r="BS773" s="3">
        <v>45847</v>
      </c>
      <c r="BT773" s="4">
        <v>0.38194444444444442</v>
      </c>
      <c r="BU773" t="s">
        <v>1427</v>
      </c>
      <c r="BV773" t="s">
        <v>98</v>
      </c>
      <c r="BY773">
        <v>1350</v>
      </c>
      <c r="BZ773" t="s">
        <v>89</v>
      </c>
      <c r="CA773" t="s">
        <v>1428</v>
      </c>
      <c r="CC773" t="s">
        <v>93</v>
      </c>
      <c r="CD773">
        <v>4052</v>
      </c>
      <c r="CE773" t="s">
        <v>239</v>
      </c>
      <c r="CF773" s="3">
        <v>45848</v>
      </c>
      <c r="CI773">
        <v>1</v>
      </c>
      <c r="CJ773">
        <v>1</v>
      </c>
      <c r="CK773">
        <v>21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"080066423059"</f>
        <v>080066423059</v>
      </c>
      <c r="F774" s="3">
        <v>45846</v>
      </c>
      <c r="G774">
        <v>202604</v>
      </c>
      <c r="H774" t="s">
        <v>75</v>
      </c>
      <c r="I774" t="s">
        <v>76</v>
      </c>
      <c r="J774" t="s">
        <v>77</v>
      </c>
      <c r="K774" t="s">
        <v>78</v>
      </c>
      <c r="L774" t="s">
        <v>79</v>
      </c>
      <c r="M774" t="s">
        <v>80</v>
      </c>
      <c r="N774" t="s">
        <v>931</v>
      </c>
      <c r="O774" t="s">
        <v>82</v>
      </c>
      <c r="P774" t="str">
        <f>"4170047217                    "</f>
        <v xml:space="preserve">4170047217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50.82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4.0999999999999996</v>
      </c>
      <c r="BK774">
        <v>4.5</v>
      </c>
      <c r="BL774">
        <v>160.12</v>
      </c>
      <c r="BM774">
        <v>24.02</v>
      </c>
      <c r="BN774">
        <v>184.14</v>
      </c>
      <c r="BO774">
        <v>184.14</v>
      </c>
      <c r="BQ774" t="s">
        <v>932</v>
      </c>
      <c r="BR774" t="s">
        <v>84</v>
      </c>
      <c r="BS774" s="3">
        <v>45847</v>
      </c>
      <c r="BT774" s="4">
        <v>0.4236111111111111</v>
      </c>
      <c r="BU774" t="s">
        <v>933</v>
      </c>
      <c r="BV774" t="s">
        <v>98</v>
      </c>
      <c r="BY774">
        <v>20592</v>
      </c>
      <c r="BZ774" t="s">
        <v>89</v>
      </c>
      <c r="CA774" t="s">
        <v>934</v>
      </c>
      <c r="CC774" t="s">
        <v>80</v>
      </c>
      <c r="CD774">
        <v>7535</v>
      </c>
      <c r="CE774" t="s">
        <v>117</v>
      </c>
      <c r="CF774" s="3">
        <v>45848</v>
      </c>
      <c r="CI774">
        <v>1</v>
      </c>
      <c r="CJ774">
        <v>1</v>
      </c>
      <c r="CK774">
        <v>21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"080066423070"</f>
        <v>080066423070</v>
      </c>
      <c r="F775" s="3">
        <v>45846</v>
      </c>
      <c r="G775">
        <v>202604</v>
      </c>
      <c r="H775" t="s">
        <v>75</v>
      </c>
      <c r="I775" t="s">
        <v>76</v>
      </c>
      <c r="J775" t="s">
        <v>77</v>
      </c>
      <c r="K775" t="s">
        <v>78</v>
      </c>
      <c r="L775" t="s">
        <v>554</v>
      </c>
      <c r="M775" t="s">
        <v>555</v>
      </c>
      <c r="N775" t="s">
        <v>556</v>
      </c>
      <c r="O775" t="s">
        <v>82</v>
      </c>
      <c r="P775" t="str">
        <f>"4170047258                    "</f>
        <v xml:space="preserve">4170047258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22.6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0.3</v>
      </c>
      <c r="BK775">
        <v>1</v>
      </c>
      <c r="BL775">
        <v>71.2</v>
      </c>
      <c r="BM775">
        <v>10.68</v>
      </c>
      <c r="BN775">
        <v>81.88</v>
      </c>
      <c r="BO775">
        <v>81.88</v>
      </c>
      <c r="BQ775" t="s">
        <v>557</v>
      </c>
      <c r="BR775" t="s">
        <v>84</v>
      </c>
      <c r="BS775" s="3">
        <v>45847</v>
      </c>
      <c r="BT775" s="4">
        <v>0.36180555555555555</v>
      </c>
      <c r="BU775" t="s">
        <v>558</v>
      </c>
      <c r="BV775" t="s">
        <v>98</v>
      </c>
      <c r="BY775">
        <v>1350</v>
      </c>
      <c r="BZ775" t="s">
        <v>89</v>
      </c>
      <c r="CA775" t="s">
        <v>559</v>
      </c>
      <c r="CC775" t="s">
        <v>555</v>
      </c>
      <c r="CD775" s="5" t="s">
        <v>560</v>
      </c>
      <c r="CE775" t="s">
        <v>239</v>
      </c>
      <c r="CF775" s="3">
        <v>45847</v>
      </c>
      <c r="CI775">
        <v>1</v>
      </c>
      <c r="CJ775">
        <v>1</v>
      </c>
      <c r="CK775">
        <v>21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"080066423165"</f>
        <v>080066423165</v>
      </c>
      <c r="F776" s="3">
        <v>45846</v>
      </c>
      <c r="G776">
        <v>202604</v>
      </c>
      <c r="H776" t="s">
        <v>75</v>
      </c>
      <c r="I776" t="s">
        <v>76</v>
      </c>
      <c r="J776" t="s">
        <v>77</v>
      </c>
      <c r="K776" t="s">
        <v>78</v>
      </c>
      <c r="L776" t="s">
        <v>197</v>
      </c>
      <c r="M776" t="s">
        <v>198</v>
      </c>
      <c r="N776" t="s">
        <v>1192</v>
      </c>
      <c r="O776" t="s">
        <v>82</v>
      </c>
      <c r="P776" t="str">
        <f>"4170047325                    "</f>
        <v xml:space="preserve">4170047325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17.649999999999999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55.61</v>
      </c>
      <c r="BM776">
        <v>8.34</v>
      </c>
      <c r="BN776">
        <v>63.95</v>
      </c>
      <c r="BO776">
        <v>63.95</v>
      </c>
      <c r="BQ776" t="s">
        <v>1193</v>
      </c>
      <c r="BR776" t="s">
        <v>84</v>
      </c>
      <c r="BS776" s="3">
        <v>45852</v>
      </c>
      <c r="BT776" s="4">
        <v>0.51736111111111116</v>
      </c>
      <c r="BU776" t="s">
        <v>1528</v>
      </c>
      <c r="BV776" t="s">
        <v>86</v>
      </c>
      <c r="BY776">
        <v>1200</v>
      </c>
      <c r="BZ776" t="s">
        <v>89</v>
      </c>
      <c r="CA776" t="s">
        <v>384</v>
      </c>
      <c r="CC776" t="s">
        <v>198</v>
      </c>
      <c r="CD776">
        <v>1428</v>
      </c>
      <c r="CE776" t="s">
        <v>214</v>
      </c>
      <c r="CF776" s="3">
        <v>45853</v>
      </c>
      <c r="CI776">
        <v>1</v>
      </c>
      <c r="CJ776">
        <v>4</v>
      </c>
      <c r="CK776">
        <v>22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"080066423216"</f>
        <v>080066423216</v>
      </c>
      <c r="F777" s="3">
        <v>45846</v>
      </c>
      <c r="G777">
        <v>202604</v>
      </c>
      <c r="H777" t="s">
        <v>75</v>
      </c>
      <c r="I777" t="s">
        <v>76</v>
      </c>
      <c r="J777" t="s">
        <v>77</v>
      </c>
      <c r="K777" t="s">
        <v>78</v>
      </c>
      <c r="L777" t="s">
        <v>554</v>
      </c>
      <c r="M777" t="s">
        <v>555</v>
      </c>
      <c r="N777" t="s">
        <v>556</v>
      </c>
      <c r="O777" t="s">
        <v>82</v>
      </c>
      <c r="P777" t="str">
        <f>"4170047323                    "</f>
        <v xml:space="preserve">4170047323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33.89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3</v>
      </c>
      <c r="BJ777">
        <v>1.1000000000000001</v>
      </c>
      <c r="BK777">
        <v>3</v>
      </c>
      <c r="BL777">
        <v>106.77</v>
      </c>
      <c r="BM777">
        <v>16.02</v>
      </c>
      <c r="BN777">
        <v>122.79</v>
      </c>
      <c r="BO777">
        <v>122.79</v>
      </c>
      <c r="BQ777" t="s">
        <v>557</v>
      </c>
      <c r="BR777" t="s">
        <v>84</v>
      </c>
      <c r="BS777" s="3">
        <v>45847</v>
      </c>
      <c r="BT777" s="4">
        <v>0.36388888888888887</v>
      </c>
      <c r="BU777" t="s">
        <v>558</v>
      </c>
      <c r="BV777" t="s">
        <v>98</v>
      </c>
      <c r="BY777">
        <v>5600</v>
      </c>
      <c r="BZ777" t="s">
        <v>89</v>
      </c>
      <c r="CA777" t="s">
        <v>559</v>
      </c>
      <c r="CC777" t="s">
        <v>555</v>
      </c>
      <c r="CD777" s="5" t="s">
        <v>560</v>
      </c>
      <c r="CE777" t="s">
        <v>91</v>
      </c>
      <c r="CF777" s="3">
        <v>45847</v>
      </c>
      <c r="CI777">
        <v>1</v>
      </c>
      <c r="CJ777">
        <v>1</v>
      </c>
      <c r="CK777">
        <v>21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"080066423209"</f>
        <v>080066423209</v>
      </c>
      <c r="F778" s="3">
        <v>45846</v>
      </c>
      <c r="G778">
        <v>202604</v>
      </c>
      <c r="H778" t="s">
        <v>75</v>
      </c>
      <c r="I778" t="s">
        <v>76</v>
      </c>
      <c r="J778" t="s">
        <v>77</v>
      </c>
      <c r="K778" t="s">
        <v>78</v>
      </c>
      <c r="L778" t="s">
        <v>75</v>
      </c>
      <c r="M778" t="s">
        <v>76</v>
      </c>
      <c r="N778" t="s">
        <v>1529</v>
      </c>
      <c r="O778" t="s">
        <v>82</v>
      </c>
      <c r="P778" t="str">
        <f>"4170047264                    "</f>
        <v xml:space="preserve">4170047264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17.649999999999999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0.3</v>
      </c>
      <c r="BK778">
        <v>1</v>
      </c>
      <c r="BL778">
        <v>55.61</v>
      </c>
      <c r="BM778">
        <v>8.34</v>
      </c>
      <c r="BN778">
        <v>63.95</v>
      </c>
      <c r="BO778">
        <v>63.95</v>
      </c>
      <c r="BQ778" t="s">
        <v>1530</v>
      </c>
      <c r="BR778" t="s">
        <v>84</v>
      </c>
      <c r="BS778" s="3">
        <v>45848</v>
      </c>
      <c r="BT778" s="4">
        <v>0.52013888888888893</v>
      </c>
      <c r="BU778" t="s">
        <v>534</v>
      </c>
      <c r="BV778" t="s">
        <v>86</v>
      </c>
      <c r="BY778">
        <v>1350</v>
      </c>
      <c r="BZ778" t="s">
        <v>89</v>
      </c>
      <c r="CA778" t="s">
        <v>535</v>
      </c>
      <c r="CC778" t="s">
        <v>76</v>
      </c>
      <c r="CD778">
        <v>1665</v>
      </c>
      <c r="CE778" t="s">
        <v>239</v>
      </c>
      <c r="CI778">
        <v>1</v>
      </c>
      <c r="CJ778">
        <v>2</v>
      </c>
      <c r="CK778">
        <v>22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"080066423300"</f>
        <v>080066423300</v>
      </c>
      <c r="F779" s="3">
        <v>45846</v>
      </c>
      <c r="G779">
        <v>202604</v>
      </c>
      <c r="H779" t="s">
        <v>75</v>
      </c>
      <c r="I779" t="s">
        <v>76</v>
      </c>
      <c r="J779" t="s">
        <v>77</v>
      </c>
      <c r="K779" t="s">
        <v>78</v>
      </c>
      <c r="L779" t="s">
        <v>168</v>
      </c>
      <c r="M779" t="s">
        <v>169</v>
      </c>
      <c r="N779" t="s">
        <v>202</v>
      </c>
      <c r="O779" t="s">
        <v>82</v>
      </c>
      <c r="P779" t="str">
        <f>"4170047421                    "</f>
        <v xml:space="preserve">4170047421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22.6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0.3</v>
      </c>
      <c r="BK779">
        <v>1</v>
      </c>
      <c r="BL779">
        <v>71.2</v>
      </c>
      <c r="BM779">
        <v>10.68</v>
      </c>
      <c r="BN779">
        <v>81.88</v>
      </c>
      <c r="BO779">
        <v>81.88</v>
      </c>
      <c r="BQ779" t="s">
        <v>1531</v>
      </c>
      <c r="BR779" t="s">
        <v>84</v>
      </c>
      <c r="BS779" s="3">
        <v>45847</v>
      </c>
      <c r="BT779" s="4">
        <v>0.39166666666666666</v>
      </c>
      <c r="BU779" t="s">
        <v>1519</v>
      </c>
      <c r="BV779" t="s">
        <v>98</v>
      </c>
      <c r="BY779">
        <v>1350</v>
      </c>
      <c r="BZ779" t="s">
        <v>89</v>
      </c>
      <c r="CA779" t="s">
        <v>205</v>
      </c>
      <c r="CC779" t="s">
        <v>169</v>
      </c>
      <c r="CD779">
        <v>6001</v>
      </c>
      <c r="CE779" t="s">
        <v>239</v>
      </c>
      <c r="CF779" s="3">
        <v>45847</v>
      </c>
      <c r="CI779">
        <v>1</v>
      </c>
      <c r="CJ779">
        <v>1</v>
      </c>
      <c r="CK779">
        <v>21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"080066423295"</f>
        <v>080066423295</v>
      </c>
      <c r="F780" s="3">
        <v>45846</v>
      </c>
      <c r="G780">
        <v>202604</v>
      </c>
      <c r="H780" t="s">
        <v>75</v>
      </c>
      <c r="I780" t="s">
        <v>76</v>
      </c>
      <c r="J780" t="s">
        <v>77</v>
      </c>
      <c r="K780" t="s">
        <v>78</v>
      </c>
      <c r="L780" t="s">
        <v>758</v>
      </c>
      <c r="M780" t="s">
        <v>759</v>
      </c>
      <c r="N780" t="s">
        <v>760</v>
      </c>
      <c r="O780" t="s">
        <v>82</v>
      </c>
      <c r="P780" t="str">
        <f>"4170047322                    "</f>
        <v xml:space="preserve">4170047322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43.78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0.9</v>
      </c>
      <c r="BK780">
        <v>2</v>
      </c>
      <c r="BL780">
        <v>137.94</v>
      </c>
      <c r="BM780">
        <v>20.69</v>
      </c>
      <c r="BN780">
        <v>158.63</v>
      </c>
      <c r="BO780">
        <v>158.63</v>
      </c>
      <c r="BQ780" t="s">
        <v>761</v>
      </c>
      <c r="BR780" t="s">
        <v>84</v>
      </c>
      <c r="BS780" s="3">
        <v>45847</v>
      </c>
      <c r="BT780" s="4">
        <v>0.40138888888888891</v>
      </c>
      <c r="BU780" t="s">
        <v>1110</v>
      </c>
      <c r="BV780" t="s">
        <v>98</v>
      </c>
      <c r="BY780">
        <v>4560</v>
      </c>
      <c r="BZ780" t="s">
        <v>89</v>
      </c>
      <c r="CA780" t="s">
        <v>763</v>
      </c>
      <c r="CC780" t="s">
        <v>759</v>
      </c>
      <c r="CD780">
        <v>2531</v>
      </c>
      <c r="CE780" t="s">
        <v>117</v>
      </c>
      <c r="CF780" s="3">
        <v>45848</v>
      </c>
      <c r="CI780">
        <v>1</v>
      </c>
      <c r="CJ780">
        <v>1</v>
      </c>
      <c r="CK780">
        <v>23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"080066423349"</f>
        <v>080066423349</v>
      </c>
      <c r="F781" s="3">
        <v>45846</v>
      </c>
      <c r="G781">
        <v>202604</v>
      </c>
      <c r="H781" t="s">
        <v>75</v>
      </c>
      <c r="I781" t="s">
        <v>76</v>
      </c>
      <c r="J781" t="s">
        <v>77</v>
      </c>
      <c r="K781" t="s">
        <v>78</v>
      </c>
      <c r="L781" t="s">
        <v>174</v>
      </c>
      <c r="M781" t="s">
        <v>175</v>
      </c>
      <c r="N781" t="s">
        <v>659</v>
      </c>
      <c r="O781" t="s">
        <v>82</v>
      </c>
      <c r="P781" t="str">
        <f>"4170047328                    "</f>
        <v xml:space="preserve">4170047328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22.6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1.9</v>
      </c>
      <c r="BK781">
        <v>2</v>
      </c>
      <c r="BL781">
        <v>71.2</v>
      </c>
      <c r="BM781">
        <v>10.68</v>
      </c>
      <c r="BN781">
        <v>81.88</v>
      </c>
      <c r="BO781">
        <v>81.88</v>
      </c>
      <c r="BQ781" t="s">
        <v>660</v>
      </c>
      <c r="BR781" t="s">
        <v>84</v>
      </c>
      <c r="BS781" s="3">
        <v>45847</v>
      </c>
      <c r="BT781" s="4">
        <v>0.43472222222222223</v>
      </c>
      <c r="BU781" t="s">
        <v>661</v>
      </c>
      <c r="BV781" t="s">
        <v>98</v>
      </c>
      <c r="BY781">
        <v>9600</v>
      </c>
      <c r="BZ781" t="s">
        <v>89</v>
      </c>
      <c r="CA781" t="s">
        <v>173</v>
      </c>
      <c r="CC781" t="s">
        <v>175</v>
      </c>
      <c r="CD781">
        <v>6220</v>
      </c>
      <c r="CE781" t="s">
        <v>117</v>
      </c>
      <c r="CF781" s="3">
        <v>45847</v>
      </c>
      <c r="CI781">
        <v>1</v>
      </c>
      <c r="CJ781">
        <v>1</v>
      </c>
      <c r="CK781">
        <v>21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"080066423507"</f>
        <v>080066423507</v>
      </c>
      <c r="F782" s="3">
        <v>45846</v>
      </c>
      <c r="G782">
        <v>202604</v>
      </c>
      <c r="H782" t="s">
        <v>75</v>
      </c>
      <c r="I782" t="s">
        <v>76</v>
      </c>
      <c r="J782" t="s">
        <v>77</v>
      </c>
      <c r="K782" t="s">
        <v>78</v>
      </c>
      <c r="L782" t="s">
        <v>240</v>
      </c>
      <c r="M782" t="s">
        <v>241</v>
      </c>
      <c r="N782" t="s">
        <v>1532</v>
      </c>
      <c r="O782" t="s">
        <v>82</v>
      </c>
      <c r="P782" t="str">
        <f>"4170047314                    "</f>
        <v xml:space="preserve">4170047314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17.649999999999999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0.3</v>
      </c>
      <c r="BK782">
        <v>1</v>
      </c>
      <c r="BL782">
        <v>55.61</v>
      </c>
      <c r="BM782">
        <v>8.34</v>
      </c>
      <c r="BN782">
        <v>63.95</v>
      </c>
      <c r="BO782">
        <v>63.95</v>
      </c>
      <c r="BQ782" t="s">
        <v>1533</v>
      </c>
      <c r="BR782" t="s">
        <v>84</v>
      </c>
      <c r="BS782" s="3">
        <v>45848</v>
      </c>
      <c r="BT782" s="4">
        <v>0.31597222222222221</v>
      </c>
      <c r="BU782" t="s">
        <v>1534</v>
      </c>
      <c r="BV782" t="s">
        <v>86</v>
      </c>
      <c r="BW782" t="s">
        <v>395</v>
      </c>
      <c r="BX782" t="s">
        <v>675</v>
      </c>
      <c r="BY782">
        <v>1350</v>
      </c>
      <c r="BZ782" t="s">
        <v>89</v>
      </c>
      <c r="CA782" t="s">
        <v>1535</v>
      </c>
      <c r="CC782" t="s">
        <v>241</v>
      </c>
      <c r="CD782">
        <v>2169</v>
      </c>
      <c r="CE782" t="s">
        <v>121</v>
      </c>
      <c r="CF782" s="3">
        <v>45848</v>
      </c>
      <c r="CI782">
        <v>1</v>
      </c>
      <c r="CJ782">
        <v>2</v>
      </c>
      <c r="CK782">
        <v>22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"080066423644"</f>
        <v>080066423644</v>
      </c>
      <c r="F783" s="3">
        <v>45846</v>
      </c>
      <c r="G783">
        <v>202604</v>
      </c>
      <c r="H783" t="s">
        <v>75</v>
      </c>
      <c r="I783" t="s">
        <v>76</v>
      </c>
      <c r="J783" t="s">
        <v>77</v>
      </c>
      <c r="K783" t="s">
        <v>78</v>
      </c>
      <c r="L783" t="s">
        <v>75</v>
      </c>
      <c r="M783" t="s">
        <v>76</v>
      </c>
      <c r="N783" t="s">
        <v>118</v>
      </c>
      <c r="O783" t="s">
        <v>311</v>
      </c>
      <c r="P783" t="str">
        <f>"4170047251                    "</f>
        <v xml:space="preserve">4170047251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17.66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7</v>
      </c>
      <c r="BJ783">
        <v>5</v>
      </c>
      <c r="BK783">
        <v>7</v>
      </c>
      <c r="BL783">
        <v>55.63</v>
      </c>
      <c r="BM783">
        <v>8.34</v>
      </c>
      <c r="BN783">
        <v>63.97</v>
      </c>
      <c r="BO783">
        <v>63.97</v>
      </c>
      <c r="BQ783" t="s">
        <v>119</v>
      </c>
      <c r="BR783" t="s">
        <v>84</v>
      </c>
      <c r="BS783" s="3">
        <v>45847</v>
      </c>
      <c r="BT783" s="4">
        <v>0.31388888888888888</v>
      </c>
      <c r="BU783" t="s">
        <v>1536</v>
      </c>
      <c r="BV783" t="s">
        <v>98</v>
      </c>
      <c r="BY783">
        <v>25200</v>
      </c>
      <c r="BZ783" t="s">
        <v>99</v>
      </c>
      <c r="CA783" t="s">
        <v>1537</v>
      </c>
      <c r="CC783" t="s">
        <v>76</v>
      </c>
      <c r="CD783">
        <v>1600</v>
      </c>
      <c r="CE783" t="s">
        <v>91</v>
      </c>
      <c r="CF783" s="3">
        <v>45848</v>
      </c>
      <c r="CI783">
        <v>1</v>
      </c>
      <c r="CJ783">
        <v>1</v>
      </c>
      <c r="CK783">
        <v>32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"080066423689"</f>
        <v>080066423689</v>
      </c>
      <c r="F784" s="3">
        <v>45846</v>
      </c>
      <c r="G784">
        <v>202604</v>
      </c>
      <c r="H784" t="s">
        <v>75</v>
      </c>
      <c r="I784" t="s">
        <v>76</v>
      </c>
      <c r="J784" t="s">
        <v>77</v>
      </c>
      <c r="K784" t="s">
        <v>78</v>
      </c>
      <c r="L784" t="s">
        <v>452</v>
      </c>
      <c r="M784" t="s">
        <v>453</v>
      </c>
      <c r="N784" t="s">
        <v>1538</v>
      </c>
      <c r="O784" t="s">
        <v>311</v>
      </c>
      <c r="P784" t="str">
        <f>"4170047266                    "</f>
        <v xml:space="preserve">4170047266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29.54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8</v>
      </c>
      <c r="BJ784">
        <v>13.4</v>
      </c>
      <c r="BK784">
        <v>14</v>
      </c>
      <c r="BL784">
        <v>93.07</v>
      </c>
      <c r="BM784">
        <v>13.96</v>
      </c>
      <c r="BN784">
        <v>107.03</v>
      </c>
      <c r="BO784">
        <v>107.03</v>
      </c>
      <c r="BQ784" t="s">
        <v>1539</v>
      </c>
      <c r="BR784" t="s">
        <v>84</v>
      </c>
      <c r="BS784" s="3">
        <v>45847</v>
      </c>
      <c r="BT784" s="4">
        <v>0.34027777777777779</v>
      </c>
      <c r="BU784" t="s">
        <v>1540</v>
      </c>
      <c r="BV784" t="s">
        <v>98</v>
      </c>
      <c r="BY784">
        <v>66880</v>
      </c>
      <c r="BZ784" t="s">
        <v>99</v>
      </c>
      <c r="CA784" t="s">
        <v>1541</v>
      </c>
      <c r="CC784" t="s">
        <v>453</v>
      </c>
      <c r="CD784">
        <v>1559</v>
      </c>
      <c r="CE784" t="s">
        <v>91</v>
      </c>
      <c r="CF784" s="3">
        <v>45848</v>
      </c>
      <c r="CI784">
        <v>1</v>
      </c>
      <c r="CJ784">
        <v>1</v>
      </c>
      <c r="CK784">
        <v>32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"080066423742"</f>
        <v>080066423742</v>
      </c>
      <c r="F785" s="3">
        <v>45846</v>
      </c>
      <c r="G785">
        <v>202604</v>
      </c>
      <c r="H785" t="s">
        <v>75</v>
      </c>
      <c r="I785" t="s">
        <v>76</v>
      </c>
      <c r="J785" t="s">
        <v>77</v>
      </c>
      <c r="K785" t="s">
        <v>78</v>
      </c>
      <c r="L785" t="s">
        <v>75</v>
      </c>
      <c r="M785" t="s">
        <v>76</v>
      </c>
      <c r="N785" t="s">
        <v>701</v>
      </c>
      <c r="O785" t="s">
        <v>311</v>
      </c>
      <c r="P785" t="str">
        <f>"4170047309                    "</f>
        <v xml:space="preserve">4170047309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21.62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7</v>
      </c>
      <c r="BJ785">
        <v>9.8000000000000007</v>
      </c>
      <c r="BK785">
        <v>10</v>
      </c>
      <c r="BL785">
        <v>68.11</v>
      </c>
      <c r="BM785">
        <v>10.220000000000001</v>
      </c>
      <c r="BN785">
        <v>78.33</v>
      </c>
      <c r="BO785">
        <v>78.33</v>
      </c>
      <c r="BQ785" t="s">
        <v>702</v>
      </c>
      <c r="BR785" t="s">
        <v>84</v>
      </c>
      <c r="BS785" s="3">
        <v>45847</v>
      </c>
      <c r="BT785" s="4">
        <v>0.4</v>
      </c>
      <c r="BU785" t="s">
        <v>940</v>
      </c>
      <c r="BV785" t="s">
        <v>98</v>
      </c>
      <c r="BY785">
        <v>49096</v>
      </c>
      <c r="BZ785" t="s">
        <v>99</v>
      </c>
      <c r="CA785" t="s">
        <v>941</v>
      </c>
      <c r="CC785" t="s">
        <v>76</v>
      </c>
      <c r="CD785">
        <v>1645</v>
      </c>
      <c r="CE785" t="s">
        <v>91</v>
      </c>
      <c r="CF785" s="3">
        <v>45848</v>
      </c>
      <c r="CI785">
        <v>1</v>
      </c>
      <c r="CJ785">
        <v>1</v>
      </c>
      <c r="CK785">
        <v>32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"080066423790"</f>
        <v>080066423790</v>
      </c>
      <c r="F786" s="3">
        <v>45846</v>
      </c>
      <c r="G786">
        <v>202604</v>
      </c>
      <c r="H786" t="s">
        <v>75</v>
      </c>
      <c r="I786" t="s">
        <v>76</v>
      </c>
      <c r="J786" t="s">
        <v>77</v>
      </c>
      <c r="K786" t="s">
        <v>78</v>
      </c>
      <c r="L786" t="s">
        <v>1390</v>
      </c>
      <c r="M786" t="s">
        <v>1391</v>
      </c>
      <c r="N786" t="s">
        <v>1392</v>
      </c>
      <c r="O786" t="s">
        <v>82</v>
      </c>
      <c r="P786" t="str">
        <f>"4170047336                    "</f>
        <v xml:space="preserve">4170047336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43.78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1.1000000000000001</v>
      </c>
      <c r="BK786">
        <v>2</v>
      </c>
      <c r="BL786">
        <v>137.94</v>
      </c>
      <c r="BM786">
        <v>20.69</v>
      </c>
      <c r="BN786">
        <v>158.63</v>
      </c>
      <c r="BO786">
        <v>158.63</v>
      </c>
      <c r="BQ786" t="s">
        <v>1393</v>
      </c>
      <c r="BR786" t="s">
        <v>84</v>
      </c>
      <c r="BS786" s="3">
        <v>45847</v>
      </c>
      <c r="BT786" s="4">
        <v>0.51041666666666663</v>
      </c>
      <c r="BU786" t="s">
        <v>1542</v>
      </c>
      <c r="BV786" t="s">
        <v>98</v>
      </c>
      <c r="BY786">
        <v>5320</v>
      </c>
      <c r="BZ786" t="s">
        <v>89</v>
      </c>
      <c r="CA786" t="s">
        <v>1543</v>
      </c>
      <c r="CC786" t="s">
        <v>1391</v>
      </c>
      <c r="CD786" s="5" t="s">
        <v>1398</v>
      </c>
      <c r="CE786" t="s">
        <v>117</v>
      </c>
      <c r="CF786" s="3">
        <v>45848</v>
      </c>
      <c r="CI786">
        <v>1</v>
      </c>
      <c r="CJ786">
        <v>1</v>
      </c>
      <c r="CK786">
        <v>23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"080066423830"</f>
        <v>080066423830</v>
      </c>
      <c r="F787" s="3">
        <v>45846</v>
      </c>
      <c r="G787">
        <v>202604</v>
      </c>
      <c r="H787" t="s">
        <v>75</v>
      </c>
      <c r="I787" t="s">
        <v>76</v>
      </c>
      <c r="J787" t="s">
        <v>77</v>
      </c>
      <c r="K787" t="s">
        <v>78</v>
      </c>
      <c r="L787" t="s">
        <v>305</v>
      </c>
      <c r="M787" t="s">
        <v>306</v>
      </c>
      <c r="N787" t="s">
        <v>640</v>
      </c>
      <c r="O787" t="s">
        <v>82</v>
      </c>
      <c r="P787" t="str">
        <f>"4170047335                    "</f>
        <v xml:space="preserve">4170047335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22.6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2</v>
      </c>
      <c r="BJ787">
        <v>1.1000000000000001</v>
      </c>
      <c r="BK787">
        <v>2</v>
      </c>
      <c r="BL787">
        <v>71.2</v>
      </c>
      <c r="BM787">
        <v>10.68</v>
      </c>
      <c r="BN787">
        <v>81.88</v>
      </c>
      <c r="BO787">
        <v>81.88</v>
      </c>
      <c r="BQ787" t="s">
        <v>641</v>
      </c>
      <c r="BR787" t="s">
        <v>84</v>
      </c>
      <c r="BS787" s="3">
        <v>45847</v>
      </c>
      <c r="BT787" s="4">
        <v>0.4375</v>
      </c>
      <c r="BU787" t="s">
        <v>1544</v>
      </c>
      <c r="BV787" t="s">
        <v>98</v>
      </c>
      <c r="BY787">
        <v>5320</v>
      </c>
      <c r="BZ787" t="s">
        <v>89</v>
      </c>
      <c r="CA787" t="s">
        <v>310</v>
      </c>
      <c r="CC787" t="s">
        <v>306</v>
      </c>
      <c r="CD787">
        <v>5201</v>
      </c>
      <c r="CE787" t="s">
        <v>117</v>
      </c>
      <c r="CF787" s="3">
        <v>45848</v>
      </c>
      <c r="CI787">
        <v>1</v>
      </c>
      <c r="CJ787">
        <v>1</v>
      </c>
      <c r="CK787">
        <v>21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"080066423871"</f>
        <v>080066423871</v>
      </c>
      <c r="F788" s="3">
        <v>45846</v>
      </c>
      <c r="G788">
        <v>202604</v>
      </c>
      <c r="H788" t="s">
        <v>75</v>
      </c>
      <c r="I788" t="s">
        <v>76</v>
      </c>
      <c r="J788" t="s">
        <v>77</v>
      </c>
      <c r="K788" t="s">
        <v>78</v>
      </c>
      <c r="L788" t="s">
        <v>168</v>
      </c>
      <c r="M788" t="s">
        <v>169</v>
      </c>
      <c r="N788" t="s">
        <v>1252</v>
      </c>
      <c r="O788" t="s">
        <v>82</v>
      </c>
      <c r="P788" t="str">
        <f>"4170047442                    "</f>
        <v xml:space="preserve">4170047442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22.6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0.3</v>
      </c>
      <c r="BK788">
        <v>1</v>
      </c>
      <c r="BL788">
        <v>71.2</v>
      </c>
      <c r="BM788">
        <v>10.68</v>
      </c>
      <c r="BN788">
        <v>81.88</v>
      </c>
      <c r="BO788">
        <v>81.88</v>
      </c>
      <c r="BQ788" t="s">
        <v>1545</v>
      </c>
      <c r="BR788" t="s">
        <v>84</v>
      </c>
      <c r="BS788" s="3">
        <v>45847</v>
      </c>
      <c r="BT788" s="4">
        <v>0.33333333333333331</v>
      </c>
      <c r="BU788" t="s">
        <v>1546</v>
      </c>
      <c r="BV788" t="s">
        <v>98</v>
      </c>
      <c r="BY788">
        <v>1350</v>
      </c>
      <c r="BZ788" t="s">
        <v>89</v>
      </c>
      <c r="CA788" t="s">
        <v>423</v>
      </c>
      <c r="CC788" t="s">
        <v>169</v>
      </c>
      <c r="CD788">
        <v>6045</v>
      </c>
      <c r="CE788" t="s">
        <v>239</v>
      </c>
      <c r="CF788" s="3">
        <v>45847</v>
      </c>
      <c r="CI788">
        <v>1</v>
      </c>
      <c r="CJ788">
        <v>1</v>
      </c>
      <c r="CK788">
        <v>21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"080066423906"</f>
        <v>080066423906</v>
      </c>
      <c r="F789" s="3">
        <v>45846</v>
      </c>
      <c r="G789">
        <v>202604</v>
      </c>
      <c r="H789" t="s">
        <v>75</v>
      </c>
      <c r="I789" t="s">
        <v>76</v>
      </c>
      <c r="J789" t="s">
        <v>77</v>
      </c>
      <c r="K789" t="s">
        <v>78</v>
      </c>
      <c r="L789" t="s">
        <v>168</v>
      </c>
      <c r="M789" t="s">
        <v>169</v>
      </c>
      <c r="N789" t="s">
        <v>726</v>
      </c>
      <c r="O789" t="s">
        <v>82</v>
      </c>
      <c r="P789" t="str">
        <f>"4170047341                    "</f>
        <v xml:space="preserve">4170047341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45.18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1.7</v>
      </c>
      <c r="BK789">
        <v>4</v>
      </c>
      <c r="BL789">
        <v>142.34</v>
      </c>
      <c r="BM789">
        <v>21.35</v>
      </c>
      <c r="BN789">
        <v>163.69</v>
      </c>
      <c r="BO789">
        <v>163.69</v>
      </c>
      <c r="BQ789" t="s">
        <v>727</v>
      </c>
      <c r="BR789" t="s">
        <v>84</v>
      </c>
      <c r="BS789" s="3">
        <v>45847</v>
      </c>
      <c r="BT789" s="4">
        <v>0.39583333333333331</v>
      </c>
      <c r="BU789" t="s">
        <v>1547</v>
      </c>
      <c r="BV789" t="s">
        <v>98</v>
      </c>
      <c r="BY789">
        <v>8512</v>
      </c>
      <c r="BZ789" t="s">
        <v>89</v>
      </c>
      <c r="CA789" t="s">
        <v>423</v>
      </c>
      <c r="CC789" t="s">
        <v>169</v>
      </c>
      <c r="CD789">
        <v>6001</v>
      </c>
      <c r="CE789" t="s">
        <v>117</v>
      </c>
      <c r="CF789" s="3">
        <v>45847</v>
      </c>
      <c r="CI789">
        <v>1</v>
      </c>
      <c r="CJ789">
        <v>1</v>
      </c>
      <c r="CK789">
        <v>21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"080066423919"</f>
        <v>080066423919</v>
      </c>
      <c r="F790" s="3">
        <v>45846</v>
      </c>
      <c r="G790">
        <v>202604</v>
      </c>
      <c r="H790" t="s">
        <v>75</v>
      </c>
      <c r="I790" t="s">
        <v>76</v>
      </c>
      <c r="J790" t="s">
        <v>77</v>
      </c>
      <c r="K790" t="s">
        <v>78</v>
      </c>
      <c r="L790" t="s">
        <v>197</v>
      </c>
      <c r="M790" t="s">
        <v>198</v>
      </c>
      <c r="N790" t="s">
        <v>1548</v>
      </c>
      <c r="O790" t="s">
        <v>82</v>
      </c>
      <c r="P790" t="str">
        <f>"4170047301                    "</f>
        <v xml:space="preserve">4170047301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17.649999999999999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0.3</v>
      </c>
      <c r="BK790">
        <v>1</v>
      </c>
      <c r="BL790">
        <v>55.61</v>
      </c>
      <c r="BM790">
        <v>8.34</v>
      </c>
      <c r="BN790">
        <v>63.95</v>
      </c>
      <c r="BO790">
        <v>63.95</v>
      </c>
      <c r="BQ790" t="s">
        <v>1549</v>
      </c>
      <c r="BR790" t="s">
        <v>84</v>
      </c>
      <c r="BS790" s="3">
        <v>45847</v>
      </c>
      <c r="BT790" s="4">
        <v>0.4375</v>
      </c>
      <c r="BU790" t="s">
        <v>668</v>
      </c>
      <c r="BV790" t="s">
        <v>98</v>
      </c>
      <c r="BY790">
        <v>1350</v>
      </c>
      <c r="BZ790" t="s">
        <v>89</v>
      </c>
      <c r="CC790" t="s">
        <v>198</v>
      </c>
      <c r="CD790">
        <v>1401</v>
      </c>
      <c r="CE790" t="s">
        <v>239</v>
      </c>
      <c r="CF790" s="3">
        <v>45848</v>
      </c>
      <c r="CI790">
        <v>1</v>
      </c>
      <c r="CJ790">
        <v>1</v>
      </c>
      <c r="CK790">
        <v>22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"080066423938"</f>
        <v>080066423938</v>
      </c>
      <c r="F791" s="3">
        <v>45846</v>
      </c>
      <c r="G791">
        <v>202604</v>
      </c>
      <c r="H791" t="s">
        <v>75</v>
      </c>
      <c r="I791" t="s">
        <v>76</v>
      </c>
      <c r="J791" t="s">
        <v>77</v>
      </c>
      <c r="K791" t="s">
        <v>78</v>
      </c>
      <c r="L791" t="s">
        <v>122</v>
      </c>
      <c r="M791" t="s">
        <v>123</v>
      </c>
      <c r="N791" t="s">
        <v>209</v>
      </c>
      <c r="O791" t="s">
        <v>82</v>
      </c>
      <c r="P791" t="str">
        <f>"4170047319                    "</f>
        <v xml:space="preserve">4170047319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101.63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6</v>
      </c>
      <c r="BJ791">
        <v>8.9</v>
      </c>
      <c r="BK791">
        <v>9</v>
      </c>
      <c r="BL791">
        <v>320.19</v>
      </c>
      <c r="BM791">
        <v>48.03</v>
      </c>
      <c r="BN791">
        <v>368.22</v>
      </c>
      <c r="BO791">
        <v>368.22</v>
      </c>
      <c r="BQ791" t="s">
        <v>210</v>
      </c>
      <c r="BR791" t="s">
        <v>84</v>
      </c>
      <c r="BS791" s="3">
        <v>45847</v>
      </c>
      <c r="BT791" s="4">
        <v>0.42569444444444443</v>
      </c>
      <c r="BU791" t="s">
        <v>1550</v>
      </c>
      <c r="BV791" t="s">
        <v>98</v>
      </c>
      <c r="BY791">
        <v>44640</v>
      </c>
      <c r="BZ791" t="s">
        <v>89</v>
      </c>
      <c r="CA791" t="s">
        <v>187</v>
      </c>
      <c r="CC791" t="s">
        <v>123</v>
      </c>
      <c r="CD791">
        <v>3600</v>
      </c>
      <c r="CE791" t="s">
        <v>117</v>
      </c>
      <c r="CF791" s="3">
        <v>45847</v>
      </c>
      <c r="CI791">
        <v>1</v>
      </c>
      <c r="CJ791">
        <v>1</v>
      </c>
      <c r="CK791">
        <v>21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"080066423950"</f>
        <v>080066423950</v>
      </c>
      <c r="F792" s="3">
        <v>45846</v>
      </c>
      <c r="G792">
        <v>202604</v>
      </c>
      <c r="H792" t="s">
        <v>75</v>
      </c>
      <c r="I792" t="s">
        <v>76</v>
      </c>
      <c r="J792" t="s">
        <v>77</v>
      </c>
      <c r="K792" t="s">
        <v>78</v>
      </c>
      <c r="L792" t="s">
        <v>79</v>
      </c>
      <c r="M792" t="s">
        <v>80</v>
      </c>
      <c r="N792" t="s">
        <v>1551</v>
      </c>
      <c r="O792" t="s">
        <v>82</v>
      </c>
      <c r="P792" t="str">
        <f>"4170047330                    "</f>
        <v xml:space="preserve">4170047330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22.6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0.3</v>
      </c>
      <c r="BK792">
        <v>1</v>
      </c>
      <c r="BL792">
        <v>71.2</v>
      </c>
      <c r="BM792">
        <v>10.68</v>
      </c>
      <c r="BN792">
        <v>81.88</v>
      </c>
      <c r="BO792">
        <v>81.88</v>
      </c>
      <c r="BQ792" t="s">
        <v>1552</v>
      </c>
      <c r="BR792" t="s">
        <v>84</v>
      </c>
      <c r="BS792" s="3">
        <v>45847</v>
      </c>
      <c r="BT792" s="4">
        <v>0.43194444444444446</v>
      </c>
      <c r="BU792" t="s">
        <v>1553</v>
      </c>
      <c r="BV792" t="s">
        <v>98</v>
      </c>
      <c r="BY792">
        <v>1350</v>
      </c>
      <c r="BZ792" t="s">
        <v>89</v>
      </c>
      <c r="CA792" t="s">
        <v>934</v>
      </c>
      <c r="CC792" t="s">
        <v>80</v>
      </c>
      <c r="CD792">
        <v>7535</v>
      </c>
      <c r="CE792" t="s">
        <v>239</v>
      </c>
      <c r="CF792" s="3">
        <v>45848</v>
      </c>
      <c r="CI792">
        <v>1</v>
      </c>
      <c r="CJ792">
        <v>1</v>
      </c>
      <c r="CK792">
        <v>21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"080066423960"</f>
        <v>080066423960</v>
      </c>
      <c r="F793" s="3">
        <v>45846</v>
      </c>
      <c r="G793">
        <v>202604</v>
      </c>
      <c r="H793" t="s">
        <v>75</v>
      </c>
      <c r="I793" t="s">
        <v>76</v>
      </c>
      <c r="J793" t="s">
        <v>77</v>
      </c>
      <c r="K793" t="s">
        <v>78</v>
      </c>
      <c r="L793" t="s">
        <v>305</v>
      </c>
      <c r="M793" t="s">
        <v>306</v>
      </c>
      <c r="N793" t="s">
        <v>640</v>
      </c>
      <c r="O793" t="s">
        <v>82</v>
      </c>
      <c r="P793" t="str">
        <f>"4170047311                    "</f>
        <v xml:space="preserve">4170047311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22.6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1.1000000000000001</v>
      </c>
      <c r="BK793">
        <v>2</v>
      </c>
      <c r="BL793">
        <v>71.2</v>
      </c>
      <c r="BM793">
        <v>10.68</v>
      </c>
      <c r="BN793">
        <v>81.88</v>
      </c>
      <c r="BO793">
        <v>81.88</v>
      </c>
      <c r="BQ793" t="s">
        <v>641</v>
      </c>
      <c r="BR793" t="s">
        <v>84</v>
      </c>
      <c r="BS793" s="3">
        <v>45847</v>
      </c>
      <c r="BT793" s="4">
        <v>0.4375</v>
      </c>
      <c r="BU793" t="s">
        <v>1544</v>
      </c>
      <c r="BV793" t="s">
        <v>98</v>
      </c>
      <c r="BY793">
        <v>5320</v>
      </c>
      <c r="BZ793" t="s">
        <v>89</v>
      </c>
      <c r="CA793" t="s">
        <v>310</v>
      </c>
      <c r="CC793" t="s">
        <v>306</v>
      </c>
      <c r="CD793">
        <v>5201</v>
      </c>
      <c r="CE793" t="s">
        <v>117</v>
      </c>
      <c r="CF793" s="3">
        <v>45848</v>
      </c>
      <c r="CI793">
        <v>1</v>
      </c>
      <c r="CJ793">
        <v>1</v>
      </c>
      <c r="CK793">
        <v>21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"080066423972"</f>
        <v>080066423972</v>
      </c>
      <c r="F794" s="3">
        <v>45846</v>
      </c>
      <c r="G794">
        <v>202604</v>
      </c>
      <c r="H794" t="s">
        <v>75</v>
      </c>
      <c r="I794" t="s">
        <v>76</v>
      </c>
      <c r="J794" t="s">
        <v>77</v>
      </c>
      <c r="K794" t="s">
        <v>78</v>
      </c>
      <c r="L794" t="s">
        <v>168</v>
      </c>
      <c r="M794" t="s">
        <v>169</v>
      </c>
      <c r="N794" t="s">
        <v>487</v>
      </c>
      <c r="O794" t="s">
        <v>82</v>
      </c>
      <c r="P794" t="str">
        <f>"4170047366                    "</f>
        <v xml:space="preserve">4170047366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22.6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0.3</v>
      </c>
      <c r="BK794">
        <v>1</v>
      </c>
      <c r="BL794">
        <v>71.2</v>
      </c>
      <c r="BM794">
        <v>10.68</v>
      </c>
      <c r="BN794">
        <v>81.88</v>
      </c>
      <c r="BO794">
        <v>81.88</v>
      </c>
      <c r="BQ794" t="s">
        <v>488</v>
      </c>
      <c r="BR794" t="s">
        <v>84</v>
      </c>
      <c r="BS794" s="3">
        <v>45847</v>
      </c>
      <c r="BT794" s="4">
        <v>0.42638888888888887</v>
      </c>
      <c r="BU794" t="s">
        <v>1554</v>
      </c>
      <c r="BV794" t="s">
        <v>98</v>
      </c>
      <c r="BY794">
        <v>1350</v>
      </c>
      <c r="BZ794" t="s">
        <v>89</v>
      </c>
      <c r="CA794" t="s">
        <v>415</v>
      </c>
      <c r="CC794" t="s">
        <v>169</v>
      </c>
      <c r="CD794">
        <v>6012</v>
      </c>
      <c r="CE794" t="s">
        <v>239</v>
      </c>
      <c r="CF794" s="3">
        <v>45847</v>
      </c>
      <c r="CI794">
        <v>1</v>
      </c>
      <c r="CJ794">
        <v>1</v>
      </c>
      <c r="CK794">
        <v>21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"080066423982"</f>
        <v>080066423982</v>
      </c>
      <c r="F795" s="3">
        <v>45846</v>
      </c>
      <c r="G795">
        <v>202604</v>
      </c>
      <c r="H795" t="s">
        <v>75</v>
      </c>
      <c r="I795" t="s">
        <v>76</v>
      </c>
      <c r="J795" t="s">
        <v>77</v>
      </c>
      <c r="K795" t="s">
        <v>78</v>
      </c>
      <c r="L795" t="s">
        <v>788</v>
      </c>
      <c r="M795" t="s">
        <v>789</v>
      </c>
      <c r="N795" t="s">
        <v>272</v>
      </c>
      <c r="O795" t="s">
        <v>82</v>
      </c>
      <c r="P795" t="str">
        <f>"4170047277                    "</f>
        <v xml:space="preserve">4170047277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22.6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1.2</v>
      </c>
      <c r="BK795">
        <v>2</v>
      </c>
      <c r="BL795">
        <v>71.2</v>
      </c>
      <c r="BM795">
        <v>10.68</v>
      </c>
      <c r="BN795">
        <v>81.88</v>
      </c>
      <c r="BO795">
        <v>81.88</v>
      </c>
      <c r="BQ795" t="s">
        <v>273</v>
      </c>
      <c r="BR795" t="s">
        <v>84</v>
      </c>
      <c r="BS795" s="3">
        <v>45847</v>
      </c>
      <c r="BT795" s="4">
        <v>0.38611111111111113</v>
      </c>
      <c r="BU795" t="s">
        <v>1555</v>
      </c>
      <c r="BV795" t="s">
        <v>98</v>
      </c>
      <c r="BY795">
        <v>5760</v>
      </c>
      <c r="BZ795" t="s">
        <v>89</v>
      </c>
      <c r="CA795" t="s">
        <v>1556</v>
      </c>
      <c r="CC795" t="s">
        <v>789</v>
      </c>
      <c r="CD795" s="5" t="s">
        <v>791</v>
      </c>
      <c r="CE795" t="s">
        <v>91</v>
      </c>
      <c r="CF795" s="3">
        <v>45847</v>
      </c>
      <c r="CI795">
        <v>1</v>
      </c>
      <c r="CJ795">
        <v>1</v>
      </c>
      <c r="CK795">
        <v>21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"080066423994"</f>
        <v>080066423994</v>
      </c>
      <c r="F796" s="3">
        <v>45846</v>
      </c>
      <c r="G796">
        <v>202604</v>
      </c>
      <c r="H796" t="s">
        <v>75</v>
      </c>
      <c r="I796" t="s">
        <v>76</v>
      </c>
      <c r="J796" t="s">
        <v>77</v>
      </c>
      <c r="K796" t="s">
        <v>78</v>
      </c>
      <c r="L796" t="s">
        <v>79</v>
      </c>
      <c r="M796" t="s">
        <v>80</v>
      </c>
      <c r="N796" t="s">
        <v>1557</v>
      </c>
      <c r="O796" t="s">
        <v>82</v>
      </c>
      <c r="P796" t="str">
        <f>"4170047383                    "</f>
        <v xml:space="preserve">4170047383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22.6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0.3</v>
      </c>
      <c r="BK796">
        <v>1</v>
      </c>
      <c r="BL796">
        <v>71.2</v>
      </c>
      <c r="BM796">
        <v>10.68</v>
      </c>
      <c r="BN796">
        <v>81.88</v>
      </c>
      <c r="BO796">
        <v>81.88</v>
      </c>
      <c r="BQ796" t="s">
        <v>1558</v>
      </c>
      <c r="BR796" t="s">
        <v>84</v>
      </c>
      <c r="BS796" s="3">
        <v>45848</v>
      </c>
      <c r="BT796" s="4">
        <v>0.43055555555555558</v>
      </c>
      <c r="BU796" t="s">
        <v>1559</v>
      </c>
      <c r="BV796" t="s">
        <v>86</v>
      </c>
      <c r="BW796" t="s">
        <v>395</v>
      </c>
      <c r="BX796" t="s">
        <v>1054</v>
      </c>
      <c r="BY796">
        <v>1350</v>
      </c>
      <c r="BZ796" t="s">
        <v>89</v>
      </c>
      <c r="CC796" t="s">
        <v>80</v>
      </c>
      <c r="CD796">
        <v>7535</v>
      </c>
      <c r="CE796" t="s">
        <v>239</v>
      </c>
      <c r="CF796" s="3">
        <v>45849</v>
      </c>
      <c r="CI796">
        <v>1</v>
      </c>
      <c r="CJ796">
        <v>2</v>
      </c>
      <c r="CK796">
        <v>21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"080066424010"</f>
        <v>080066424010</v>
      </c>
      <c r="F797" s="3">
        <v>45846</v>
      </c>
      <c r="G797">
        <v>202604</v>
      </c>
      <c r="H797" t="s">
        <v>75</v>
      </c>
      <c r="I797" t="s">
        <v>76</v>
      </c>
      <c r="J797" t="s">
        <v>77</v>
      </c>
      <c r="K797" t="s">
        <v>78</v>
      </c>
      <c r="L797" t="s">
        <v>240</v>
      </c>
      <c r="M797" t="s">
        <v>241</v>
      </c>
      <c r="N797" t="s">
        <v>798</v>
      </c>
      <c r="O797" t="s">
        <v>82</v>
      </c>
      <c r="P797" t="str">
        <f>"4170047278                    "</f>
        <v xml:space="preserve">4170047278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17.649999999999999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2</v>
      </c>
      <c r="BJ797">
        <v>1.1000000000000001</v>
      </c>
      <c r="BK797">
        <v>2</v>
      </c>
      <c r="BL797">
        <v>55.61</v>
      </c>
      <c r="BM797">
        <v>8.34</v>
      </c>
      <c r="BN797">
        <v>63.95</v>
      </c>
      <c r="BO797">
        <v>63.95</v>
      </c>
      <c r="BQ797" t="s">
        <v>799</v>
      </c>
      <c r="BR797" t="s">
        <v>84</v>
      </c>
      <c r="BS797" s="3">
        <v>45847</v>
      </c>
      <c r="BT797" s="4">
        <v>0.36041666666666666</v>
      </c>
      <c r="BU797" t="s">
        <v>1560</v>
      </c>
      <c r="BV797" t="s">
        <v>98</v>
      </c>
      <c r="BY797">
        <v>5320</v>
      </c>
      <c r="BZ797" t="s">
        <v>89</v>
      </c>
      <c r="CA797" t="s">
        <v>245</v>
      </c>
      <c r="CC797" t="s">
        <v>241</v>
      </c>
      <c r="CD797">
        <v>2013</v>
      </c>
      <c r="CE797" t="s">
        <v>117</v>
      </c>
      <c r="CF797" s="3">
        <v>45848</v>
      </c>
      <c r="CI797">
        <v>1</v>
      </c>
      <c r="CJ797">
        <v>1</v>
      </c>
      <c r="CK797">
        <v>22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"080066424029"</f>
        <v>080066424029</v>
      </c>
      <c r="F798" s="3">
        <v>45846</v>
      </c>
      <c r="G798">
        <v>202604</v>
      </c>
      <c r="H798" t="s">
        <v>75</v>
      </c>
      <c r="I798" t="s">
        <v>76</v>
      </c>
      <c r="J798" t="s">
        <v>77</v>
      </c>
      <c r="K798" t="s">
        <v>78</v>
      </c>
      <c r="L798" t="s">
        <v>79</v>
      </c>
      <c r="M798" t="s">
        <v>80</v>
      </c>
      <c r="N798" t="s">
        <v>1561</v>
      </c>
      <c r="O798" t="s">
        <v>82</v>
      </c>
      <c r="P798" t="str">
        <f>"4170047402                    "</f>
        <v xml:space="preserve">4170047402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22.6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0.3</v>
      </c>
      <c r="BK798">
        <v>1</v>
      </c>
      <c r="BL798">
        <v>71.2</v>
      </c>
      <c r="BM798">
        <v>10.68</v>
      </c>
      <c r="BN798">
        <v>81.88</v>
      </c>
      <c r="BO798">
        <v>81.88</v>
      </c>
      <c r="BQ798" t="s">
        <v>1562</v>
      </c>
      <c r="BR798" t="s">
        <v>84</v>
      </c>
      <c r="BS798" s="3">
        <v>45847</v>
      </c>
      <c r="BT798" s="4">
        <v>0.52777777777777779</v>
      </c>
      <c r="BU798" t="s">
        <v>1563</v>
      </c>
      <c r="BV798" t="s">
        <v>98</v>
      </c>
      <c r="BY798">
        <v>1350</v>
      </c>
      <c r="BZ798" t="s">
        <v>89</v>
      </c>
      <c r="CA798" t="s">
        <v>1564</v>
      </c>
      <c r="CC798" t="s">
        <v>80</v>
      </c>
      <c r="CD798">
        <v>7975</v>
      </c>
      <c r="CE798" t="s">
        <v>239</v>
      </c>
      <c r="CF798" s="3">
        <v>45848</v>
      </c>
      <c r="CI798">
        <v>1</v>
      </c>
      <c r="CJ798">
        <v>1</v>
      </c>
      <c r="CK798">
        <v>21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"080066424052"</f>
        <v>080066424052</v>
      </c>
      <c r="F799" s="3">
        <v>45846</v>
      </c>
      <c r="G799">
        <v>202604</v>
      </c>
      <c r="H799" t="s">
        <v>75</v>
      </c>
      <c r="I799" t="s">
        <v>76</v>
      </c>
      <c r="J799" t="s">
        <v>77</v>
      </c>
      <c r="K799" t="s">
        <v>78</v>
      </c>
      <c r="L799" t="s">
        <v>79</v>
      </c>
      <c r="M799" t="s">
        <v>80</v>
      </c>
      <c r="N799" t="s">
        <v>188</v>
      </c>
      <c r="O799" t="s">
        <v>82</v>
      </c>
      <c r="P799" t="str">
        <f>"4170047299                    "</f>
        <v xml:space="preserve">4170047299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67.760000000000005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5.8</v>
      </c>
      <c r="BK799">
        <v>6</v>
      </c>
      <c r="BL799">
        <v>213.48</v>
      </c>
      <c r="BM799">
        <v>32.020000000000003</v>
      </c>
      <c r="BN799">
        <v>245.5</v>
      </c>
      <c r="BO799">
        <v>245.5</v>
      </c>
      <c r="BQ799" t="s">
        <v>189</v>
      </c>
      <c r="BR799" t="s">
        <v>84</v>
      </c>
      <c r="BS799" s="3">
        <v>45847</v>
      </c>
      <c r="BT799" s="4">
        <v>0.36388888888888887</v>
      </c>
      <c r="BU799" t="s">
        <v>1565</v>
      </c>
      <c r="BV799" t="s">
        <v>98</v>
      </c>
      <c r="BY799">
        <v>28812</v>
      </c>
      <c r="BZ799" t="s">
        <v>89</v>
      </c>
      <c r="CC799" t="s">
        <v>80</v>
      </c>
      <c r="CD799">
        <v>7441</v>
      </c>
      <c r="CE799" t="s">
        <v>91</v>
      </c>
      <c r="CF799" s="3">
        <v>45848</v>
      </c>
      <c r="CI799">
        <v>1</v>
      </c>
      <c r="CJ799">
        <v>1</v>
      </c>
      <c r="CK799">
        <v>21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"080066424078"</f>
        <v>080066424078</v>
      </c>
      <c r="F800" s="3">
        <v>45846</v>
      </c>
      <c r="G800">
        <v>202604</v>
      </c>
      <c r="H800" t="s">
        <v>75</v>
      </c>
      <c r="I800" t="s">
        <v>76</v>
      </c>
      <c r="J800" t="s">
        <v>77</v>
      </c>
      <c r="K800" t="s">
        <v>78</v>
      </c>
      <c r="L800" t="s">
        <v>168</v>
      </c>
      <c r="M800" t="s">
        <v>169</v>
      </c>
      <c r="N800" t="s">
        <v>487</v>
      </c>
      <c r="O800" t="s">
        <v>82</v>
      </c>
      <c r="P800" t="str">
        <f>"4170047363                    "</f>
        <v xml:space="preserve">4170047363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22.6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0.3</v>
      </c>
      <c r="BK800">
        <v>1</v>
      </c>
      <c r="BL800">
        <v>71.2</v>
      </c>
      <c r="BM800">
        <v>10.68</v>
      </c>
      <c r="BN800">
        <v>81.88</v>
      </c>
      <c r="BO800">
        <v>81.88</v>
      </c>
      <c r="BQ800" t="s">
        <v>488</v>
      </c>
      <c r="BR800" t="s">
        <v>84</v>
      </c>
      <c r="BS800" s="3">
        <v>45847</v>
      </c>
      <c r="BT800" s="4">
        <v>0.42708333333333331</v>
      </c>
      <c r="BU800" t="s">
        <v>1554</v>
      </c>
      <c r="BV800" t="s">
        <v>98</v>
      </c>
      <c r="BY800">
        <v>1350</v>
      </c>
      <c r="BZ800" t="s">
        <v>89</v>
      </c>
      <c r="CA800" t="s">
        <v>415</v>
      </c>
      <c r="CC800" t="s">
        <v>169</v>
      </c>
      <c r="CD800">
        <v>6012</v>
      </c>
      <c r="CE800" t="s">
        <v>239</v>
      </c>
      <c r="CF800" s="3">
        <v>45847</v>
      </c>
      <c r="CI800">
        <v>1</v>
      </c>
      <c r="CJ800">
        <v>1</v>
      </c>
      <c r="CK800">
        <v>21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"080066424081"</f>
        <v>080066424081</v>
      </c>
      <c r="F801" s="3">
        <v>45846</v>
      </c>
      <c r="G801">
        <v>202604</v>
      </c>
      <c r="H801" t="s">
        <v>75</v>
      </c>
      <c r="I801" t="s">
        <v>76</v>
      </c>
      <c r="J801" t="s">
        <v>77</v>
      </c>
      <c r="K801" t="s">
        <v>78</v>
      </c>
      <c r="L801" t="s">
        <v>168</v>
      </c>
      <c r="M801" t="s">
        <v>169</v>
      </c>
      <c r="N801" t="s">
        <v>420</v>
      </c>
      <c r="O801" t="s">
        <v>82</v>
      </c>
      <c r="P801" t="str">
        <f>"4170047298                    "</f>
        <v xml:space="preserve">4170047298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22.6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1.7</v>
      </c>
      <c r="BK801">
        <v>2</v>
      </c>
      <c r="BL801">
        <v>71.2</v>
      </c>
      <c r="BM801">
        <v>10.68</v>
      </c>
      <c r="BN801">
        <v>81.88</v>
      </c>
      <c r="BO801">
        <v>81.88</v>
      </c>
      <c r="BQ801" t="s">
        <v>421</v>
      </c>
      <c r="BR801" t="s">
        <v>84</v>
      </c>
      <c r="BS801" s="3">
        <v>45847</v>
      </c>
      <c r="BT801" s="4">
        <v>0.41319444444444442</v>
      </c>
      <c r="BU801" t="s">
        <v>1121</v>
      </c>
      <c r="BV801" t="s">
        <v>98</v>
      </c>
      <c r="BY801">
        <v>8512</v>
      </c>
      <c r="BZ801" t="s">
        <v>89</v>
      </c>
      <c r="CA801" t="s">
        <v>423</v>
      </c>
      <c r="CC801" t="s">
        <v>169</v>
      </c>
      <c r="CD801">
        <v>6001</v>
      </c>
      <c r="CE801" t="s">
        <v>117</v>
      </c>
      <c r="CF801" s="3">
        <v>45847</v>
      </c>
      <c r="CI801">
        <v>1</v>
      </c>
      <c r="CJ801">
        <v>1</v>
      </c>
      <c r="CK801">
        <v>21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"080066424464"</f>
        <v>080066424464</v>
      </c>
      <c r="F802" s="3">
        <v>45846</v>
      </c>
      <c r="G802">
        <v>202604</v>
      </c>
      <c r="H802" t="s">
        <v>75</v>
      </c>
      <c r="I802" t="s">
        <v>76</v>
      </c>
      <c r="J802" t="s">
        <v>77</v>
      </c>
      <c r="K802" t="s">
        <v>78</v>
      </c>
      <c r="L802" t="s">
        <v>79</v>
      </c>
      <c r="M802" t="s">
        <v>80</v>
      </c>
      <c r="N802" t="s">
        <v>1566</v>
      </c>
      <c r="O802" t="s">
        <v>82</v>
      </c>
      <c r="P802" t="str">
        <f>"4170047224                    "</f>
        <v xml:space="preserve">4170047224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39.53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3</v>
      </c>
      <c r="BJ802">
        <v>3.1</v>
      </c>
      <c r="BK802">
        <v>3.5</v>
      </c>
      <c r="BL802">
        <v>124.55</v>
      </c>
      <c r="BM802">
        <v>18.68</v>
      </c>
      <c r="BN802">
        <v>143.22999999999999</v>
      </c>
      <c r="BO802">
        <v>143.22999999999999</v>
      </c>
      <c r="BQ802" t="s">
        <v>1567</v>
      </c>
      <c r="BR802" t="s">
        <v>84</v>
      </c>
      <c r="BS802" s="3">
        <v>45847</v>
      </c>
      <c r="BT802" s="4">
        <v>0.42430555555555555</v>
      </c>
      <c r="BU802" t="s">
        <v>1140</v>
      </c>
      <c r="BV802" t="s">
        <v>98</v>
      </c>
      <c r="BY802">
        <v>15360</v>
      </c>
      <c r="BZ802" t="s">
        <v>89</v>
      </c>
      <c r="CA802" t="s">
        <v>495</v>
      </c>
      <c r="CC802" t="s">
        <v>80</v>
      </c>
      <c r="CD802">
        <v>7800</v>
      </c>
      <c r="CE802" t="s">
        <v>117</v>
      </c>
      <c r="CF802" s="3">
        <v>45848</v>
      </c>
      <c r="CI802">
        <v>1</v>
      </c>
      <c r="CJ802">
        <v>1</v>
      </c>
      <c r="CK802">
        <v>21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"080066424491"</f>
        <v>080066424491</v>
      </c>
      <c r="F803" s="3">
        <v>45846</v>
      </c>
      <c r="G803">
        <v>202604</v>
      </c>
      <c r="H803" t="s">
        <v>75</v>
      </c>
      <c r="I803" t="s">
        <v>76</v>
      </c>
      <c r="J803" t="s">
        <v>77</v>
      </c>
      <c r="K803" t="s">
        <v>78</v>
      </c>
      <c r="L803" t="s">
        <v>503</v>
      </c>
      <c r="M803" t="s">
        <v>504</v>
      </c>
      <c r="N803" t="s">
        <v>505</v>
      </c>
      <c r="O803" t="s">
        <v>82</v>
      </c>
      <c r="P803" t="str">
        <f>"4170047198                    "</f>
        <v xml:space="preserve">4170047198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73.44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2</v>
      </c>
      <c r="BJ803">
        <v>3.1</v>
      </c>
      <c r="BK803">
        <v>3.5</v>
      </c>
      <c r="BL803">
        <v>231.38</v>
      </c>
      <c r="BM803">
        <v>34.71</v>
      </c>
      <c r="BN803">
        <v>266.08999999999997</v>
      </c>
      <c r="BO803">
        <v>266.08999999999997</v>
      </c>
      <c r="BQ803" t="s">
        <v>506</v>
      </c>
      <c r="BR803" t="s">
        <v>84</v>
      </c>
      <c r="BS803" s="3">
        <v>45847</v>
      </c>
      <c r="BT803" s="4">
        <v>0.39027777777777778</v>
      </c>
      <c r="BU803" t="s">
        <v>161</v>
      </c>
      <c r="BV803" t="s">
        <v>98</v>
      </c>
      <c r="BY803">
        <v>15360</v>
      </c>
      <c r="BZ803" t="s">
        <v>89</v>
      </c>
      <c r="CA803" t="s">
        <v>508</v>
      </c>
      <c r="CC803" t="s">
        <v>504</v>
      </c>
      <c r="CD803">
        <v>7130</v>
      </c>
      <c r="CE803" t="s">
        <v>117</v>
      </c>
      <c r="CF803" s="3">
        <v>45848</v>
      </c>
      <c r="CI803">
        <v>1</v>
      </c>
      <c r="CJ803">
        <v>1</v>
      </c>
      <c r="CK803">
        <v>23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"080066424533"</f>
        <v>080066424533</v>
      </c>
      <c r="F804" s="3">
        <v>45846</v>
      </c>
      <c r="G804">
        <v>202604</v>
      </c>
      <c r="H804" t="s">
        <v>75</v>
      </c>
      <c r="I804" t="s">
        <v>76</v>
      </c>
      <c r="J804" t="s">
        <v>77</v>
      </c>
      <c r="K804" t="s">
        <v>78</v>
      </c>
      <c r="L804" t="s">
        <v>151</v>
      </c>
      <c r="M804" t="s">
        <v>152</v>
      </c>
      <c r="N804" t="s">
        <v>1568</v>
      </c>
      <c r="O804" t="s">
        <v>95</v>
      </c>
      <c r="P804" t="str">
        <f>"4170047391                    "</f>
        <v xml:space="preserve">4170047391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43.7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10</v>
      </c>
      <c r="BJ804">
        <v>6.8</v>
      </c>
      <c r="BK804">
        <v>10</v>
      </c>
      <c r="BL804">
        <v>143.55000000000001</v>
      </c>
      <c r="BM804">
        <v>21.53</v>
      </c>
      <c r="BN804">
        <v>165.08</v>
      </c>
      <c r="BO804">
        <v>165.08</v>
      </c>
      <c r="BQ804" t="s">
        <v>1569</v>
      </c>
      <c r="BR804" t="s">
        <v>84</v>
      </c>
      <c r="BS804" s="3">
        <v>45847</v>
      </c>
      <c r="BT804" s="4">
        <v>0.34861111111111109</v>
      </c>
      <c r="BU804" t="s">
        <v>1570</v>
      </c>
      <c r="BV804" t="s">
        <v>98</v>
      </c>
      <c r="BY804">
        <v>34048</v>
      </c>
      <c r="BZ804" t="s">
        <v>99</v>
      </c>
      <c r="CA804" t="s">
        <v>906</v>
      </c>
      <c r="CC804" t="s">
        <v>152</v>
      </c>
      <c r="CD804" s="5" t="s">
        <v>907</v>
      </c>
      <c r="CE804" t="s">
        <v>117</v>
      </c>
      <c r="CF804" s="3">
        <v>45847</v>
      </c>
      <c r="CI804">
        <v>1</v>
      </c>
      <c r="CJ804">
        <v>1</v>
      </c>
      <c r="CK804">
        <v>41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"080066424550"</f>
        <v>080066424550</v>
      </c>
      <c r="F805" s="3">
        <v>45846</v>
      </c>
      <c r="G805">
        <v>202604</v>
      </c>
      <c r="H805" t="s">
        <v>75</v>
      </c>
      <c r="I805" t="s">
        <v>76</v>
      </c>
      <c r="J805" t="s">
        <v>77</v>
      </c>
      <c r="K805" t="s">
        <v>78</v>
      </c>
      <c r="L805" t="s">
        <v>75</v>
      </c>
      <c r="M805" t="s">
        <v>76</v>
      </c>
      <c r="N805" t="s">
        <v>118</v>
      </c>
      <c r="O805" t="s">
        <v>82</v>
      </c>
      <c r="P805" t="str">
        <f>"4170047404                    "</f>
        <v xml:space="preserve">4170047404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17.649999999999999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1.9</v>
      </c>
      <c r="BK805">
        <v>2</v>
      </c>
      <c r="BL805">
        <v>55.61</v>
      </c>
      <c r="BM805">
        <v>8.34</v>
      </c>
      <c r="BN805">
        <v>63.95</v>
      </c>
      <c r="BO805">
        <v>63.95</v>
      </c>
      <c r="BQ805" t="s">
        <v>119</v>
      </c>
      <c r="BR805" t="s">
        <v>84</v>
      </c>
      <c r="BS805" s="3">
        <v>45847</v>
      </c>
      <c r="BT805" s="4">
        <v>0.39791666666666664</v>
      </c>
      <c r="BU805" t="s">
        <v>768</v>
      </c>
      <c r="BV805" t="s">
        <v>98</v>
      </c>
      <c r="BY805">
        <v>9600</v>
      </c>
      <c r="BZ805" t="s">
        <v>89</v>
      </c>
      <c r="CA805" t="s">
        <v>1537</v>
      </c>
      <c r="CC805" t="s">
        <v>76</v>
      </c>
      <c r="CD805">
        <v>1600</v>
      </c>
      <c r="CE805" t="s">
        <v>117</v>
      </c>
      <c r="CF805" s="3">
        <v>45848</v>
      </c>
      <c r="CI805">
        <v>1</v>
      </c>
      <c r="CJ805">
        <v>1</v>
      </c>
      <c r="CK805">
        <v>22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"080066424588"</f>
        <v>080066424588</v>
      </c>
      <c r="F806" s="3">
        <v>45846</v>
      </c>
      <c r="G806">
        <v>202604</v>
      </c>
      <c r="H806" t="s">
        <v>75</v>
      </c>
      <c r="I806" t="s">
        <v>76</v>
      </c>
      <c r="J806" t="s">
        <v>77</v>
      </c>
      <c r="K806" t="s">
        <v>78</v>
      </c>
      <c r="L806" t="s">
        <v>79</v>
      </c>
      <c r="M806" t="s">
        <v>80</v>
      </c>
      <c r="N806" t="s">
        <v>188</v>
      </c>
      <c r="O806" t="s">
        <v>82</v>
      </c>
      <c r="P806" t="str">
        <f>"4170047394                    "</f>
        <v xml:space="preserve">4170047394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22.6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0.3</v>
      </c>
      <c r="BK806">
        <v>1</v>
      </c>
      <c r="BL806">
        <v>71.2</v>
      </c>
      <c r="BM806">
        <v>10.68</v>
      </c>
      <c r="BN806">
        <v>81.88</v>
      </c>
      <c r="BO806">
        <v>81.88</v>
      </c>
      <c r="BQ806" t="s">
        <v>189</v>
      </c>
      <c r="BR806" t="s">
        <v>84</v>
      </c>
      <c r="BS806" s="3">
        <v>45847</v>
      </c>
      <c r="BT806" s="4">
        <v>0.36388888888888887</v>
      </c>
      <c r="BU806" t="s">
        <v>1565</v>
      </c>
      <c r="BV806" t="s">
        <v>98</v>
      </c>
      <c r="BY806">
        <v>1350</v>
      </c>
      <c r="BZ806" t="s">
        <v>89</v>
      </c>
      <c r="CC806" t="s">
        <v>80</v>
      </c>
      <c r="CD806">
        <v>7441</v>
      </c>
      <c r="CE806" t="s">
        <v>239</v>
      </c>
      <c r="CF806" s="3">
        <v>45848</v>
      </c>
      <c r="CI806">
        <v>1</v>
      </c>
      <c r="CJ806">
        <v>1</v>
      </c>
      <c r="CK806">
        <v>21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"080066424602"</f>
        <v>080066424602</v>
      </c>
      <c r="F807" s="3">
        <v>45846</v>
      </c>
      <c r="G807">
        <v>202604</v>
      </c>
      <c r="H807" t="s">
        <v>75</v>
      </c>
      <c r="I807" t="s">
        <v>76</v>
      </c>
      <c r="J807" t="s">
        <v>77</v>
      </c>
      <c r="K807" t="s">
        <v>78</v>
      </c>
      <c r="L807" t="s">
        <v>92</v>
      </c>
      <c r="M807" t="s">
        <v>93</v>
      </c>
      <c r="N807" t="s">
        <v>291</v>
      </c>
      <c r="O807" t="s">
        <v>95</v>
      </c>
      <c r="P807" t="str">
        <f>"4170047305                    "</f>
        <v xml:space="preserve">4170047305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52.72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2</v>
      </c>
      <c r="BI807">
        <v>20</v>
      </c>
      <c r="BJ807">
        <v>10.9</v>
      </c>
      <c r="BK807">
        <v>20</v>
      </c>
      <c r="BL807">
        <v>171.97</v>
      </c>
      <c r="BM807">
        <v>25.8</v>
      </c>
      <c r="BN807">
        <v>197.77</v>
      </c>
      <c r="BO807">
        <v>197.77</v>
      </c>
      <c r="BQ807" t="s">
        <v>292</v>
      </c>
      <c r="BR807" t="s">
        <v>84</v>
      </c>
      <c r="BS807" s="3">
        <v>45847</v>
      </c>
      <c r="BT807" s="4">
        <v>0.31944444444444442</v>
      </c>
      <c r="BU807" t="s">
        <v>1571</v>
      </c>
      <c r="BV807" t="s">
        <v>98</v>
      </c>
      <c r="BY807">
        <v>27144</v>
      </c>
      <c r="BZ807" t="s">
        <v>99</v>
      </c>
      <c r="CA807" t="s">
        <v>294</v>
      </c>
      <c r="CC807" t="s">
        <v>93</v>
      </c>
      <c r="CD807">
        <v>4051</v>
      </c>
      <c r="CE807" t="s">
        <v>928</v>
      </c>
      <c r="CF807" s="3">
        <v>45847</v>
      </c>
      <c r="CI807">
        <v>1</v>
      </c>
      <c r="CJ807">
        <v>1</v>
      </c>
      <c r="CK807">
        <v>41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"080066424619"</f>
        <v>080066424619</v>
      </c>
      <c r="F808" s="3">
        <v>45846</v>
      </c>
      <c r="G808">
        <v>202604</v>
      </c>
      <c r="H808" t="s">
        <v>75</v>
      </c>
      <c r="I808" t="s">
        <v>76</v>
      </c>
      <c r="J808" t="s">
        <v>77</v>
      </c>
      <c r="K808" t="s">
        <v>78</v>
      </c>
      <c r="L808" t="s">
        <v>168</v>
      </c>
      <c r="M808" t="s">
        <v>169</v>
      </c>
      <c r="N808" t="s">
        <v>487</v>
      </c>
      <c r="O808" t="s">
        <v>82</v>
      </c>
      <c r="P808" t="str">
        <f>"4170047364                    "</f>
        <v xml:space="preserve">4170047364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22.6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0.3</v>
      </c>
      <c r="BK808">
        <v>1</v>
      </c>
      <c r="BL808">
        <v>71.2</v>
      </c>
      <c r="BM808">
        <v>10.68</v>
      </c>
      <c r="BN808">
        <v>81.88</v>
      </c>
      <c r="BO808">
        <v>81.88</v>
      </c>
      <c r="BQ808" t="s">
        <v>488</v>
      </c>
      <c r="BR808" t="s">
        <v>84</v>
      </c>
      <c r="BS808" s="3">
        <v>45847</v>
      </c>
      <c r="BT808" s="4">
        <v>0.42499999999999999</v>
      </c>
      <c r="BU808" t="s">
        <v>1554</v>
      </c>
      <c r="BV808" t="s">
        <v>98</v>
      </c>
      <c r="BY808">
        <v>1350</v>
      </c>
      <c r="BZ808" t="s">
        <v>89</v>
      </c>
      <c r="CA808" t="s">
        <v>415</v>
      </c>
      <c r="CC808" t="s">
        <v>169</v>
      </c>
      <c r="CD808">
        <v>6012</v>
      </c>
      <c r="CE808" t="s">
        <v>239</v>
      </c>
      <c r="CF808" s="3">
        <v>45847</v>
      </c>
      <c r="CI808">
        <v>1</v>
      </c>
      <c r="CJ808">
        <v>1</v>
      </c>
      <c r="CK808">
        <v>21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"080066424633"</f>
        <v>080066424633</v>
      </c>
      <c r="F809" s="3">
        <v>45846</v>
      </c>
      <c r="G809">
        <v>202604</v>
      </c>
      <c r="H809" t="s">
        <v>75</v>
      </c>
      <c r="I809" t="s">
        <v>76</v>
      </c>
      <c r="J809" t="s">
        <v>77</v>
      </c>
      <c r="K809" t="s">
        <v>78</v>
      </c>
      <c r="L809" t="s">
        <v>1520</v>
      </c>
      <c r="M809" t="s">
        <v>1521</v>
      </c>
      <c r="N809" t="s">
        <v>1522</v>
      </c>
      <c r="O809" t="s">
        <v>82</v>
      </c>
      <c r="P809" t="str">
        <f>"4170047393                    "</f>
        <v xml:space="preserve">4170047393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63.56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3</v>
      </c>
      <c r="BJ809">
        <v>1.1000000000000001</v>
      </c>
      <c r="BK809">
        <v>3</v>
      </c>
      <c r="BL809">
        <v>200.24</v>
      </c>
      <c r="BM809">
        <v>30.04</v>
      </c>
      <c r="BN809">
        <v>230.28</v>
      </c>
      <c r="BO809">
        <v>230.28</v>
      </c>
      <c r="BQ809" t="s">
        <v>1523</v>
      </c>
      <c r="BR809" t="s">
        <v>84</v>
      </c>
      <c r="BS809" s="3">
        <v>45848</v>
      </c>
      <c r="BT809" s="4">
        <v>0.34930555555555554</v>
      </c>
      <c r="BU809" t="s">
        <v>1572</v>
      </c>
      <c r="BV809" t="s">
        <v>98</v>
      </c>
      <c r="BY809">
        <v>5320</v>
      </c>
      <c r="BZ809" t="s">
        <v>89</v>
      </c>
      <c r="CC809" t="s">
        <v>1521</v>
      </c>
      <c r="CD809">
        <v>4252</v>
      </c>
      <c r="CE809" t="s">
        <v>117</v>
      </c>
      <c r="CF809" s="3">
        <v>45848</v>
      </c>
      <c r="CI809">
        <v>2</v>
      </c>
      <c r="CJ809">
        <v>2</v>
      </c>
      <c r="CK809">
        <v>23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"080066424638"</f>
        <v>080066424638</v>
      </c>
      <c r="F810" s="3">
        <v>45846</v>
      </c>
      <c r="G810">
        <v>202604</v>
      </c>
      <c r="H810" t="s">
        <v>75</v>
      </c>
      <c r="I810" t="s">
        <v>76</v>
      </c>
      <c r="J810" t="s">
        <v>77</v>
      </c>
      <c r="K810" t="s">
        <v>78</v>
      </c>
      <c r="L810" t="s">
        <v>151</v>
      </c>
      <c r="M810" t="s">
        <v>152</v>
      </c>
      <c r="N810" t="s">
        <v>1573</v>
      </c>
      <c r="O810" t="s">
        <v>82</v>
      </c>
      <c r="P810" t="str">
        <f>"4170047351                    "</f>
        <v xml:space="preserve">4170047351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22.6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0.3</v>
      </c>
      <c r="BK810">
        <v>1</v>
      </c>
      <c r="BL810">
        <v>71.2</v>
      </c>
      <c r="BM810">
        <v>10.68</v>
      </c>
      <c r="BN810">
        <v>81.88</v>
      </c>
      <c r="BO810">
        <v>81.88</v>
      </c>
      <c r="BQ810" t="s">
        <v>1574</v>
      </c>
      <c r="BR810" t="s">
        <v>84</v>
      </c>
      <c r="BS810" s="3">
        <v>45847</v>
      </c>
      <c r="BT810" s="4">
        <v>0.33402777777777776</v>
      </c>
      <c r="BU810" t="s">
        <v>1575</v>
      </c>
      <c r="BV810" t="s">
        <v>98</v>
      </c>
      <c r="BY810">
        <v>1350</v>
      </c>
      <c r="BZ810" t="s">
        <v>89</v>
      </c>
      <c r="CA810" t="s">
        <v>1576</v>
      </c>
      <c r="CC810" t="s">
        <v>152</v>
      </c>
      <c r="CD810" s="5" t="s">
        <v>1577</v>
      </c>
      <c r="CE810" t="s">
        <v>239</v>
      </c>
      <c r="CF810" s="3">
        <v>45847</v>
      </c>
      <c r="CI810">
        <v>1</v>
      </c>
      <c r="CJ810">
        <v>1</v>
      </c>
      <c r="CK810">
        <v>21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"080066424663"</f>
        <v>080066424663</v>
      </c>
      <c r="F811" s="3">
        <v>45846</v>
      </c>
      <c r="G811">
        <v>202604</v>
      </c>
      <c r="H811" t="s">
        <v>75</v>
      </c>
      <c r="I811" t="s">
        <v>76</v>
      </c>
      <c r="J811" t="s">
        <v>77</v>
      </c>
      <c r="K811" t="s">
        <v>78</v>
      </c>
      <c r="L811" t="s">
        <v>92</v>
      </c>
      <c r="M811" t="s">
        <v>93</v>
      </c>
      <c r="N811" t="s">
        <v>334</v>
      </c>
      <c r="O811" t="s">
        <v>82</v>
      </c>
      <c r="P811" t="str">
        <f>"4170047361                    "</f>
        <v xml:space="preserve">4170047361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22.6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0.3</v>
      </c>
      <c r="BK811">
        <v>1</v>
      </c>
      <c r="BL811">
        <v>71.2</v>
      </c>
      <c r="BM811">
        <v>10.68</v>
      </c>
      <c r="BN811">
        <v>81.88</v>
      </c>
      <c r="BO811">
        <v>81.88</v>
      </c>
      <c r="BQ811" t="s">
        <v>335</v>
      </c>
      <c r="BR811" t="s">
        <v>84</v>
      </c>
      <c r="BS811" s="3">
        <v>45847</v>
      </c>
      <c r="BT811" s="4">
        <v>0.38194444444444442</v>
      </c>
      <c r="BU811" t="s">
        <v>1427</v>
      </c>
      <c r="BV811" t="s">
        <v>98</v>
      </c>
      <c r="BY811">
        <v>1350</v>
      </c>
      <c r="BZ811" t="s">
        <v>89</v>
      </c>
      <c r="CA811" t="s">
        <v>1428</v>
      </c>
      <c r="CC811" t="s">
        <v>93</v>
      </c>
      <c r="CD811">
        <v>4052</v>
      </c>
      <c r="CE811" t="s">
        <v>239</v>
      </c>
      <c r="CF811" s="3">
        <v>45847</v>
      </c>
      <c r="CI811">
        <v>1</v>
      </c>
      <c r="CJ811">
        <v>1</v>
      </c>
      <c r="CK811">
        <v>21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"080066424682"</f>
        <v>080066424682</v>
      </c>
      <c r="F812" s="3">
        <v>45846</v>
      </c>
      <c r="G812">
        <v>202604</v>
      </c>
      <c r="H812" t="s">
        <v>75</v>
      </c>
      <c r="I812" t="s">
        <v>76</v>
      </c>
      <c r="J812" t="s">
        <v>77</v>
      </c>
      <c r="K812" t="s">
        <v>78</v>
      </c>
      <c r="L812" t="s">
        <v>151</v>
      </c>
      <c r="M812" t="s">
        <v>152</v>
      </c>
      <c r="N812" t="s">
        <v>510</v>
      </c>
      <c r="O812" t="s">
        <v>82</v>
      </c>
      <c r="P812" t="str">
        <f>"4170047388                    "</f>
        <v xml:space="preserve">4170047388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22.6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1.1000000000000001</v>
      </c>
      <c r="BK812">
        <v>1.5</v>
      </c>
      <c r="BL812">
        <v>71.2</v>
      </c>
      <c r="BM812">
        <v>10.68</v>
      </c>
      <c r="BN812">
        <v>81.88</v>
      </c>
      <c r="BO812">
        <v>81.88</v>
      </c>
      <c r="BQ812" t="s">
        <v>511</v>
      </c>
      <c r="BR812" t="s">
        <v>84</v>
      </c>
      <c r="BS812" s="3">
        <v>45847</v>
      </c>
      <c r="BT812" s="4">
        <v>0.39513888888888887</v>
      </c>
      <c r="BU812" t="s">
        <v>1578</v>
      </c>
      <c r="BV812" t="s">
        <v>98</v>
      </c>
      <c r="BY812">
        <v>5320</v>
      </c>
      <c r="BZ812" t="s">
        <v>89</v>
      </c>
      <c r="CA812" t="s">
        <v>513</v>
      </c>
      <c r="CC812" t="s">
        <v>152</v>
      </c>
      <c r="CD812" s="5" t="s">
        <v>389</v>
      </c>
      <c r="CE812" t="s">
        <v>117</v>
      </c>
      <c r="CF812" s="3">
        <v>45847</v>
      </c>
      <c r="CI812">
        <v>1</v>
      </c>
      <c r="CJ812">
        <v>1</v>
      </c>
      <c r="CK812">
        <v>21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"080066424694"</f>
        <v>080066424694</v>
      </c>
      <c r="F813" s="3">
        <v>45846</v>
      </c>
      <c r="G813">
        <v>202604</v>
      </c>
      <c r="H813" t="s">
        <v>75</v>
      </c>
      <c r="I813" t="s">
        <v>76</v>
      </c>
      <c r="J813" t="s">
        <v>77</v>
      </c>
      <c r="K813" t="s">
        <v>78</v>
      </c>
      <c r="L813" t="s">
        <v>168</v>
      </c>
      <c r="M813" t="s">
        <v>169</v>
      </c>
      <c r="N813" t="s">
        <v>202</v>
      </c>
      <c r="O813" t="s">
        <v>82</v>
      </c>
      <c r="P813" t="str">
        <f>"4170047403                    "</f>
        <v xml:space="preserve">4170047403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22.6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0.3</v>
      </c>
      <c r="BK813">
        <v>1</v>
      </c>
      <c r="BL813">
        <v>71.2</v>
      </c>
      <c r="BM813">
        <v>10.68</v>
      </c>
      <c r="BN813">
        <v>81.88</v>
      </c>
      <c r="BO813">
        <v>81.88</v>
      </c>
      <c r="BQ813" t="s">
        <v>1531</v>
      </c>
      <c r="BR813" t="s">
        <v>84</v>
      </c>
      <c r="BS813" s="3">
        <v>45847</v>
      </c>
      <c r="BT813" s="4">
        <v>0.39305555555555555</v>
      </c>
      <c r="BU813" t="s">
        <v>1519</v>
      </c>
      <c r="BV813" t="s">
        <v>98</v>
      </c>
      <c r="BY813">
        <v>1350</v>
      </c>
      <c r="BZ813" t="s">
        <v>89</v>
      </c>
      <c r="CA813" t="s">
        <v>205</v>
      </c>
      <c r="CC813" t="s">
        <v>169</v>
      </c>
      <c r="CD813">
        <v>6001</v>
      </c>
      <c r="CE813" t="s">
        <v>239</v>
      </c>
      <c r="CF813" s="3">
        <v>45847</v>
      </c>
      <c r="CI813">
        <v>1</v>
      </c>
      <c r="CJ813">
        <v>1</v>
      </c>
      <c r="CK813">
        <v>21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"080066424753"</f>
        <v>080066424753</v>
      </c>
      <c r="F814" s="3">
        <v>45846</v>
      </c>
      <c r="G814">
        <v>202604</v>
      </c>
      <c r="H814" t="s">
        <v>75</v>
      </c>
      <c r="I814" t="s">
        <v>76</v>
      </c>
      <c r="J814" t="s">
        <v>77</v>
      </c>
      <c r="K814" t="s">
        <v>78</v>
      </c>
      <c r="L814" t="s">
        <v>75</v>
      </c>
      <c r="M814" t="s">
        <v>76</v>
      </c>
      <c r="N814" t="s">
        <v>1579</v>
      </c>
      <c r="O814" t="s">
        <v>82</v>
      </c>
      <c r="P814" t="str">
        <f>"4170047297                    "</f>
        <v xml:space="preserve">4170047297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17.649999999999999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0.3</v>
      </c>
      <c r="BK814">
        <v>1</v>
      </c>
      <c r="BL814">
        <v>55.61</v>
      </c>
      <c r="BM814">
        <v>8.34</v>
      </c>
      <c r="BN814">
        <v>63.95</v>
      </c>
      <c r="BO814">
        <v>63.95</v>
      </c>
      <c r="BQ814" t="s">
        <v>1580</v>
      </c>
      <c r="BR814" t="s">
        <v>84</v>
      </c>
      <c r="BS814" s="3">
        <v>45847</v>
      </c>
      <c r="BT814" s="4">
        <v>0.2951388888888889</v>
      </c>
      <c r="BU814" t="s">
        <v>1581</v>
      </c>
      <c r="BV814" t="s">
        <v>98</v>
      </c>
      <c r="BY814">
        <v>1350</v>
      </c>
      <c r="BZ814" t="s">
        <v>89</v>
      </c>
      <c r="CA814" t="s">
        <v>1537</v>
      </c>
      <c r="CC814" t="s">
        <v>76</v>
      </c>
      <c r="CD814">
        <v>1600</v>
      </c>
      <c r="CE814" t="s">
        <v>239</v>
      </c>
      <c r="CF814" s="3">
        <v>45848</v>
      </c>
      <c r="CI814">
        <v>1</v>
      </c>
      <c r="CJ814">
        <v>1</v>
      </c>
      <c r="CK814">
        <v>22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"080066424800"</f>
        <v>080066424800</v>
      </c>
      <c r="F815" s="3">
        <v>45846</v>
      </c>
      <c r="G815">
        <v>202604</v>
      </c>
      <c r="H815" t="s">
        <v>75</v>
      </c>
      <c r="I815" t="s">
        <v>76</v>
      </c>
      <c r="J815" t="s">
        <v>77</v>
      </c>
      <c r="K815" t="s">
        <v>78</v>
      </c>
      <c r="L815" t="s">
        <v>174</v>
      </c>
      <c r="M815" t="s">
        <v>175</v>
      </c>
      <c r="N815" t="s">
        <v>659</v>
      </c>
      <c r="O815" t="s">
        <v>82</v>
      </c>
      <c r="P815" t="str">
        <f>"4170047424                    "</f>
        <v xml:space="preserve">4170047424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22.6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0.3</v>
      </c>
      <c r="BK815">
        <v>1</v>
      </c>
      <c r="BL815">
        <v>71.2</v>
      </c>
      <c r="BM815">
        <v>10.68</v>
      </c>
      <c r="BN815">
        <v>81.88</v>
      </c>
      <c r="BO815">
        <v>81.88</v>
      </c>
      <c r="BQ815" t="s">
        <v>660</v>
      </c>
      <c r="BR815" t="s">
        <v>84</v>
      </c>
      <c r="BS815" s="3">
        <v>45847</v>
      </c>
      <c r="BT815" s="4">
        <v>0.43472222222222223</v>
      </c>
      <c r="BU815" t="s">
        <v>661</v>
      </c>
      <c r="BV815" t="s">
        <v>98</v>
      </c>
      <c r="BY815">
        <v>1350</v>
      </c>
      <c r="BZ815" t="s">
        <v>89</v>
      </c>
      <c r="CA815" t="s">
        <v>173</v>
      </c>
      <c r="CC815" t="s">
        <v>175</v>
      </c>
      <c r="CD815">
        <v>6220</v>
      </c>
      <c r="CE815" t="s">
        <v>239</v>
      </c>
      <c r="CF815" s="3">
        <v>45847</v>
      </c>
      <c r="CI815">
        <v>1</v>
      </c>
      <c r="CJ815">
        <v>1</v>
      </c>
      <c r="CK815">
        <v>21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"080066424812"</f>
        <v>080066424812</v>
      </c>
      <c r="F816" s="3">
        <v>45846</v>
      </c>
      <c r="G816">
        <v>202604</v>
      </c>
      <c r="H816" t="s">
        <v>75</v>
      </c>
      <c r="I816" t="s">
        <v>76</v>
      </c>
      <c r="J816" t="s">
        <v>77</v>
      </c>
      <c r="K816" t="s">
        <v>78</v>
      </c>
      <c r="L816" t="s">
        <v>122</v>
      </c>
      <c r="M816" t="s">
        <v>123</v>
      </c>
      <c r="N816" t="s">
        <v>267</v>
      </c>
      <c r="O816" t="s">
        <v>82</v>
      </c>
      <c r="P816" t="str">
        <f>"4170047374                    "</f>
        <v xml:space="preserve">4170047374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22.6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0.3</v>
      </c>
      <c r="BK816">
        <v>1</v>
      </c>
      <c r="BL816">
        <v>71.2</v>
      </c>
      <c r="BM816">
        <v>10.68</v>
      </c>
      <c r="BN816">
        <v>81.88</v>
      </c>
      <c r="BO816">
        <v>81.88</v>
      </c>
      <c r="BQ816" t="s">
        <v>268</v>
      </c>
      <c r="BR816" t="s">
        <v>84</v>
      </c>
      <c r="BS816" s="3">
        <v>45847</v>
      </c>
      <c r="BT816" s="4">
        <v>0.49791666666666667</v>
      </c>
      <c r="BU816" t="s">
        <v>1582</v>
      </c>
      <c r="BV816" t="s">
        <v>98</v>
      </c>
      <c r="BY816">
        <v>1350</v>
      </c>
      <c r="BZ816" t="s">
        <v>89</v>
      </c>
      <c r="CC816" t="s">
        <v>123</v>
      </c>
      <c r="CD816">
        <v>3610</v>
      </c>
      <c r="CE816" t="s">
        <v>239</v>
      </c>
      <c r="CF816" s="3">
        <v>45848</v>
      </c>
      <c r="CI816">
        <v>1</v>
      </c>
      <c r="CJ816">
        <v>1</v>
      </c>
      <c r="CK816">
        <v>21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"080066424831"</f>
        <v>080066424831</v>
      </c>
      <c r="F817" s="3">
        <v>45846</v>
      </c>
      <c r="G817">
        <v>202604</v>
      </c>
      <c r="H817" t="s">
        <v>75</v>
      </c>
      <c r="I817" t="s">
        <v>76</v>
      </c>
      <c r="J817" t="s">
        <v>77</v>
      </c>
      <c r="K817" t="s">
        <v>78</v>
      </c>
      <c r="L817" t="s">
        <v>92</v>
      </c>
      <c r="M817" t="s">
        <v>93</v>
      </c>
      <c r="N817" t="s">
        <v>334</v>
      </c>
      <c r="O817" t="s">
        <v>82</v>
      </c>
      <c r="P817" t="str">
        <f>"4170047360                    "</f>
        <v xml:space="preserve">4170047360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22.6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0.3</v>
      </c>
      <c r="BK817">
        <v>1</v>
      </c>
      <c r="BL817">
        <v>71.2</v>
      </c>
      <c r="BM817">
        <v>10.68</v>
      </c>
      <c r="BN817">
        <v>81.88</v>
      </c>
      <c r="BO817">
        <v>81.88</v>
      </c>
      <c r="BQ817" t="s">
        <v>335</v>
      </c>
      <c r="BR817" t="s">
        <v>84</v>
      </c>
      <c r="BS817" s="3">
        <v>45847</v>
      </c>
      <c r="BT817" s="4">
        <v>0.38194444444444442</v>
      </c>
      <c r="BU817" t="s">
        <v>1427</v>
      </c>
      <c r="BV817" t="s">
        <v>98</v>
      </c>
      <c r="BY817">
        <v>1350</v>
      </c>
      <c r="BZ817" t="s">
        <v>89</v>
      </c>
      <c r="CA817" t="s">
        <v>1428</v>
      </c>
      <c r="CC817" t="s">
        <v>93</v>
      </c>
      <c r="CD817">
        <v>4052</v>
      </c>
      <c r="CE817" t="s">
        <v>239</v>
      </c>
      <c r="CF817" s="3">
        <v>45847</v>
      </c>
      <c r="CI817">
        <v>1</v>
      </c>
      <c r="CJ817">
        <v>1</v>
      </c>
      <c r="CK817">
        <v>21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"080066424853"</f>
        <v>080066424853</v>
      </c>
      <c r="F818" s="3">
        <v>45846</v>
      </c>
      <c r="G818">
        <v>202604</v>
      </c>
      <c r="H818" t="s">
        <v>75</v>
      </c>
      <c r="I818" t="s">
        <v>76</v>
      </c>
      <c r="J818" t="s">
        <v>77</v>
      </c>
      <c r="K818" t="s">
        <v>78</v>
      </c>
      <c r="L818" t="s">
        <v>246</v>
      </c>
      <c r="M818" t="s">
        <v>247</v>
      </c>
      <c r="N818" t="s">
        <v>1583</v>
      </c>
      <c r="O818" t="s">
        <v>311</v>
      </c>
      <c r="P818" t="str">
        <f>"4170047300                    "</f>
        <v xml:space="preserve">4170047300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127.15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5</v>
      </c>
      <c r="BJ818">
        <v>7</v>
      </c>
      <c r="BK818">
        <v>7</v>
      </c>
      <c r="BL818">
        <v>400.6</v>
      </c>
      <c r="BM818">
        <v>60.09</v>
      </c>
      <c r="BN818">
        <v>460.69</v>
      </c>
      <c r="BO818">
        <v>460.69</v>
      </c>
      <c r="BQ818" t="s">
        <v>1584</v>
      </c>
      <c r="BR818" t="s">
        <v>84</v>
      </c>
      <c r="BS818" s="3">
        <v>45847</v>
      </c>
      <c r="BT818" s="4">
        <v>0.52847222222222223</v>
      </c>
      <c r="BU818" t="s">
        <v>712</v>
      </c>
      <c r="BV818" t="s">
        <v>98</v>
      </c>
      <c r="BY818">
        <v>35000</v>
      </c>
      <c r="BZ818" t="s">
        <v>99</v>
      </c>
      <c r="CA818" t="s">
        <v>251</v>
      </c>
      <c r="CC818" t="s">
        <v>247</v>
      </c>
      <c r="CD818">
        <v>1438</v>
      </c>
      <c r="CE818" t="s">
        <v>91</v>
      </c>
      <c r="CF818" s="3">
        <v>45848</v>
      </c>
      <c r="CI818">
        <v>1</v>
      </c>
      <c r="CJ818">
        <v>1</v>
      </c>
      <c r="CK818">
        <v>34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"080066424871"</f>
        <v>080066424871</v>
      </c>
      <c r="F819" s="3">
        <v>45846</v>
      </c>
      <c r="G819">
        <v>202604</v>
      </c>
      <c r="H819" t="s">
        <v>75</v>
      </c>
      <c r="I819" t="s">
        <v>76</v>
      </c>
      <c r="J819" t="s">
        <v>77</v>
      </c>
      <c r="K819" t="s">
        <v>78</v>
      </c>
      <c r="L819" t="s">
        <v>92</v>
      </c>
      <c r="M819" t="s">
        <v>93</v>
      </c>
      <c r="N819" t="s">
        <v>334</v>
      </c>
      <c r="O819" t="s">
        <v>82</v>
      </c>
      <c r="P819" t="str">
        <f>"4170047362                    "</f>
        <v xml:space="preserve">4170047362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22.6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0.3</v>
      </c>
      <c r="BK819">
        <v>1</v>
      </c>
      <c r="BL819">
        <v>71.2</v>
      </c>
      <c r="BM819">
        <v>10.68</v>
      </c>
      <c r="BN819">
        <v>81.88</v>
      </c>
      <c r="BO819">
        <v>81.88</v>
      </c>
      <c r="BQ819" t="s">
        <v>335</v>
      </c>
      <c r="BR819" t="s">
        <v>84</v>
      </c>
      <c r="BS819" s="3">
        <v>45847</v>
      </c>
      <c r="BT819" s="4">
        <v>0.38194444444444442</v>
      </c>
      <c r="BU819" t="s">
        <v>1427</v>
      </c>
      <c r="BV819" t="s">
        <v>98</v>
      </c>
      <c r="BY819">
        <v>1350</v>
      </c>
      <c r="BZ819" t="s">
        <v>89</v>
      </c>
      <c r="CA819" t="s">
        <v>1428</v>
      </c>
      <c r="CC819" t="s">
        <v>93</v>
      </c>
      <c r="CD819">
        <v>4052</v>
      </c>
      <c r="CE819" t="s">
        <v>121</v>
      </c>
      <c r="CF819" s="3">
        <v>45847</v>
      </c>
      <c r="CI819">
        <v>1</v>
      </c>
      <c r="CJ819">
        <v>1</v>
      </c>
      <c r="CK819">
        <v>21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"080066424891"</f>
        <v>080066424891</v>
      </c>
      <c r="F820" s="3">
        <v>45846</v>
      </c>
      <c r="G820">
        <v>202604</v>
      </c>
      <c r="H820" t="s">
        <v>75</v>
      </c>
      <c r="I820" t="s">
        <v>76</v>
      </c>
      <c r="J820" t="s">
        <v>77</v>
      </c>
      <c r="K820" t="s">
        <v>78</v>
      </c>
      <c r="L820" t="s">
        <v>75</v>
      </c>
      <c r="M820" t="s">
        <v>76</v>
      </c>
      <c r="N820" t="s">
        <v>562</v>
      </c>
      <c r="O820" t="s">
        <v>82</v>
      </c>
      <c r="P820" t="str">
        <f>"4170047385                    "</f>
        <v xml:space="preserve">4170047385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17.649999999999999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1.1000000000000001</v>
      </c>
      <c r="BK820">
        <v>2</v>
      </c>
      <c r="BL820">
        <v>55.61</v>
      </c>
      <c r="BM820">
        <v>8.34</v>
      </c>
      <c r="BN820">
        <v>63.95</v>
      </c>
      <c r="BO820">
        <v>63.95</v>
      </c>
      <c r="BQ820" t="s">
        <v>563</v>
      </c>
      <c r="BR820" t="s">
        <v>84</v>
      </c>
      <c r="BS820" s="3">
        <v>45847</v>
      </c>
      <c r="BT820" s="4">
        <v>0.38819444444444445</v>
      </c>
      <c r="BU820" t="s">
        <v>796</v>
      </c>
      <c r="BV820" t="s">
        <v>98</v>
      </c>
      <c r="BY820">
        <v>5320</v>
      </c>
      <c r="BZ820" t="s">
        <v>89</v>
      </c>
      <c r="CA820" t="s">
        <v>797</v>
      </c>
      <c r="CC820" t="s">
        <v>76</v>
      </c>
      <c r="CD820">
        <v>1619</v>
      </c>
      <c r="CE820" t="s">
        <v>145</v>
      </c>
      <c r="CF820" s="3">
        <v>45848</v>
      </c>
      <c r="CI820">
        <v>1</v>
      </c>
      <c r="CJ820">
        <v>1</v>
      </c>
      <c r="CK820">
        <v>22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"080066424898"</f>
        <v>080066424898</v>
      </c>
      <c r="F821" s="3">
        <v>45846</v>
      </c>
      <c r="G821">
        <v>202604</v>
      </c>
      <c r="H821" t="s">
        <v>75</v>
      </c>
      <c r="I821" t="s">
        <v>76</v>
      </c>
      <c r="J821" t="s">
        <v>77</v>
      </c>
      <c r="K821" t="s">
        <v>78</v>
      </c>
      <c r="L821" t="s">
        <v>1370</v>
      </c>
      <c r="M821" t="s">
        <v>1371</v>
      </c>
      <c r="N821" t="s">
        <v>1372</v>
      </c>
      <c r="O821" t="s">
        <v>82</v>
      </c>
      <c r="P821" t="str">
        <f>"4170047433                    "</f>
        <v xml:space="preserve">4170047433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43.78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0.3</v>
      </c>
      <c r="BK821">
        <v>1</v>
      </c>
      <c r="BL821">
        <v>137.94</v>
      </c>
      <c r="BM821">
        <v>20.69</v>
      </c>
      <c r="BN821">
        <v>158.63</v>
      </c>
      <c r="BO821">
        <v>158.63</v>
      </c>
      <c r="BQ821" t="s">
        <v>1373</v>
      </c>
      <c r="BR821" t="s">
        <v>84</v>
      </c>
      <c r="BS821" s="3">
        <v>45849</v>
      </c>
      <c r="BT821" s="4">
        <v>0.42638888888888887</v>
      </c>
      <c r="BU821" t="s">
        <v>1585</v>
      </c>
      <c r="BV821" t="s">
        <v>86</v>
      </c>
      <c r="BW821" t="s">
        <v>395</v>
      </c>
      <c r="BX821" t="s">
        <v>819</v>
      </c>
      <c r="BY821">
        <v>1350</v>
      </c>
      <c r="BZ821" t="s">
        <v>89</v>
      </c>
      <c r="CA821" t="s">
        <v>1375</v>
      </c>
      <c r="CC821" t="s">
        <v>1371</v>
      </c>
      <c r="CD821" s="5" t="s">
        <v>1376</v>
      </c>
      <c r="CE821" t="s">
        <v>1586</v>
      </c>
      <c r="CF821" s="3">
        <v>45852</v>
      </c>
      <c r="CI821">
        <v>1</v>
      </c>
      <c r="CJ821">
        <v>3</v>
      </c>
      <c r="CK821">
        <v>23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"080066424906"</f>
        <v>080066424906</v>
      </c>
      <c r="F822" s="3">
        <v>45846</v>
      </c>
      <c r="G822">
        <v>202604</v>
      </c>
      <c r="H822" t="s">
        <v>75</v>
      </c>
      <c r="I822" t="s">
        <v>76</v>
      </c>
      <c r="J822" t="s">
        <v>77</v>
      </c>
      <c r="K822" t="s">
        <v>78</v>
      </c>
      <c r="L822" t="s">
        <v>168</v>
      </c>
      <c r="M822" t="s">
        <v>169</v>
      </c>
      <c r="N822" t="s">
        <v>191</v>
      </c>
      <c r="O822" t="s">
        <v>82</v>
      </c>
      <c r="P822" t="str">
        <f>"4170047378                    "</f>
        <v xml:space="preserve">4170047378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39.53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3.5</v>
      </c>
      <c r="BK822">
        <v>3.5</v>
      </c>
      <c r="BL822">
        <v>124.55</v>
      </c>
      <c r="BM822">
        <v>18.68</v>
      </c>
      <c r="BN822">
        <v>143.22999999999999</v>
      </c>
      <c r="BO822">
        <v>143.22999999999999</v>
      </c>
      <c r="BQ822" t="s">
        <v>192</v>
      </c>
      <c r="BR822" t="s">
        <v>84</v>
      </c>
      <c r="BS822" s="3">
        <v>45847</v>
      </c>
      <c r="BT822" s="4">
        <v>0.43472222222222223</v>
      </c>
      <c r="BU822" t="s">
        <v>193</v>
      </c>
      <c r="BV822" t="s">
        <v>98</v>
      </c>
      <c r="BY822">
        <v>17556</v>
      </c>
      <c r="BZ822" t="s">
        <v>89</v>
      </c>
      <c r="CA822" t="s">
        <v>196</v>
      </c>
      <c r="CC822" t="s">
        <v>169</v>
      </c>
      <c r="CD822">
        <v>6056</v>
      </c>
      <c r="CE822" t="s">
        <v>91</v>
      </c>
      <c r="CF822" s="3">
        <v>45847</v>
      </c>
      <c r="CI822">
        <v>1</v>
      </c>
      <c r="CJ822">
        <v>1</v>
      </c>
      <c r="CK822">
        <v>21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"080066424912"</f>
        <v>080066424912</v>
      </c>
      <c r="F823" s="3">
        <v>45846</v>
      </c>
      <c r="G823">
        <v>202604</v>
      </c>
      <c r="H823" t="s">
        <v>75</v>
      </c>
      <c r="I823" t="s">
        <v>76</v>
      </c>
      <c r="J823" t="s">
        <v>77</v>
      </c>
      <c r="K823" t="s">
        <v>78</v>
      </c>
      <c r="L823" t="s">
        <v>319</v>
      </c>
      <c r="M823" t="s">
        <v>320</v>
      </c>
      <c r="N823" t="s">
        <v>1587</v>
      </c>
      <c r="O823" t="s">
        <v>82</v>
      </c>
      <c r="P823" t="str">
        <f>"4170047429                    "</f>
        <v xml:space="preserve">4170047429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43.78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0.3</v>
      </c>
      <c r="BK823">
        <v>1</v>
      </c>
      <c r="BL823">
        <v>137.94</v>
      </c>
      <c r="BM823">
        <v>20.69</v>
      </c>
      <c r="BN823">
        <v>158.63</v>
      </c>
      <c r="BO823">
        <v>158.63</v>
      </c>
      <c r="BQ823" t="s">
        <v>1588</v>
      </c>
      <c r="BR823" t="s">
        <v>84</v>
      </c>
      <c r="BS823" s="3">
        <v>45847</v>
      </c>
      <c r="BT823" s="4">
        <v>0.60555555555555551</v>
      </c>
      <c r="BU823" t="s">
        <v>1589</v>
      </c>
      <c r="BV823" t="s">
        <v>98</v>
      </c>
      <c r="BY823">
        <v>1350</v>
      </c>
      <c r="BZ823" t="s">
        <v>89</v>
      </c>
      <c r="CA823" t="s">
        <v>1590</v>
      </c>
      <c r="CC823" t="s">
        <v>320</v>
      </c>
      <c r="CD823">
        <v>1020</v>
      </c>
      <c r="CE823" t="s">
        <v>121</v>
      </c>
      <c r="CF823" s="3">
        <v>45847</v>
      </c>
      <c r="CI823">
        <v>1</v>
      </c>
      <c r="CJ823">
        <v>1</v>
      </c>
      <c r="CK823">
        <v>23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"080066424921"</f>
        <v>080066424921</v>
      </c>
      <c r="F824" s="3">
        <v>45846</v>
      </c>
      <c r="G824">
        <v>202604</v>
      </c>
      <c r="H824" t="s">
        <v>75</v>
      </c>
      <c r="I824" t="s">
        <v>76</v>
      </c>
      <c r="J824" t="s">
        <v>77</v>
      </c>
      <c r="K824" t="s">
        <v>78</v>
      </c>
      <c r="L824" t="s">
        <v>168</v>
      </c>
      <c r="M824" t="s">
        <v>169</v>
      </c>
      <c r="N824" t="s">
        <v>191</v>
      </c>
      <c r="O824" t="s">
        <v>82</v>
      </c>
      <c r="P824" t="str">
        <f>"4170047377                    "</f>
        <v xml:space="preserve">4170047377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39.53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3.5</v>
      </c>
      <c r="BK824">
        <v>3.5</v>
      </c>
      <c r="BL824">
        <v>124.55</v>
      </c>
      <c r="BM824">
        <v>18.68</v>
      </c>
      <c r="BN824">
        <v>143.22999999999999</v>
      </c>
      <c r="BO824">
        <v>143.22999999999999</v>
      </c>
      <c r="BQ824" t="s">
        <v>192</v>
      </c>
      <c r="BR824" t="s">
        <v>84</v>
      </c>
      <c r="BS824" s="3">
        <v>45847</v>
      </c>
      <c r="BT824" s="4">
        <v>0.43472222222222223</v>
      </c>
      <c r="BU824" t="s">
        <v>193</v>
      </c>
      <c r="BV824" t="s">
        <v>98</v>
      </c>
      <c r="BY824">
        <v>17556</v>
      </c>
      <c r="BZ824" t="s">
        <v>89</v>
      </c>
      <c r="CA824" t="s">
        <v>196</v>
      </c>
      <c r="CC824" t="s">
        <v>169</v>
      </c>
      <c r="CD824">
        <v>6056</v>
      </c>
      <c r="CE824" t="s">
        <v>91</v>
      </c>
      <c r="CF824" s="3">
        <v>45847</v>
      </c>
      <c r="CI824">
        <v>1</v>
      </c>
      <c r="CJ824">
        <v>1</v>
      </c>
      <c r="CK824">
        <v>21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"080066424925"</f>
        <v>080066424925</v>
      </c>
      <c r="F825" s="3">
        <v>45846</v>
      </c>
      <c r="G825">
        <v>202604</v>
      </c>
      <c r="H825" t="s">
        <v>75</v>
      </c>
      <c r="I825" t="s">
        <v>76</v>
      </c>
      <c r="J825" t="s">
        <v>77</v>
      </c>
      <c r="K825" t="s">
        <v>78</v>
      </c>
      <c r="L825" t="s">
        <v>79</v>
      </c>
      <c r="M825" t="s">
        <v>80</v>
      </c>
      <c r="N825" t="s">
        <v>286</v>
      </c>
      <c r="O825" t="s">
        <v>82</v>
      </c>
      <c r="P825" t="str">
        <f>"4170047344                    "</f>
        <v xml:space="preserve">4170047344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22.6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0.3</v>
      </c>
      <c r="BK825">
        <v>1</v>
      </c>
      <c r="BL825">
        <v>71.2</v>
      </c>
      <c r="BM825">
        <v>10.68</v>
      </c>
      <c r="BN825">
        <v>81.88</v>
      </c>
      <c r="BO825">
        <v>81.88</v>
      </c>
      <c r="BQ825" t="s">
        <v>287</v>
      </c>
      <c r="BR825" t="s">
        <v>84</v>
      </c>
      <c r="BS825" s="3">
        <v>45847</v>
      </c>
      <c r="BT825" s="4">
        <v>0.32777777777777778</v>
      </c>
      <c r="BU825" t="s">
        <v>1512</v>
      </c>
      <c r="BV825" t="s">
        <v>98</v>
      </c>
      <c r="BY825">
        <v>1350</v>
      </c>
      <c r="BZ825" t="s">
        <v>89</v>
      </c>
      <c r="CA825" t="s">
        <v>1426</v>
      </c>
      <c r="CC825" t="s">
        <v>80</v>
      </c>
      <c r="CD825">
        <v>7530</v>
      </c>
      <c r="CE825" t="s">
        <v>239</v>
      </c>
      <c r="CF825" s="3">
        <v>45848</v>
      </c>
      <c r="CI825">
        <v>1</v>
      </c>
      <c r="CJ825">
        <v>1</v>
      </c>
      <c r="CK825">
        <v>21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"080066424930"</f>
        <v>080066424930</v>
      </c>
      <c r="F826" s="3">
        <v>45846</v>
      </c>
      <c r="G826">
        <v>202604</v>
      </c>
      <c r="H826" t="s">
        <v>75</v>
      </c>
      <c r="I826" t="s">
        <v>76</v>
      </c>
      <c r="J826" t="s">
        <v>77</v>
      </c>
      <c r="K826" t="s">
        <v>78</v>
      </c>
      <c r="L826" t="s">
        <v>92</v>
      </c>
      <c r="M826" t="s">
        <v>93</v>
      </c>
      <c r="N826" t="s">
        <v>1591</v>
      </c>
      <c r="O826" t="s">
        <v>82</v>
      </c>
      <c r="P826" t="str">
        <f>"4170047304                    "</f>
        <v xml:space="preserve">4170047304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33.89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3</v>
      </c>
      <c r="BJ826">
        <v>1.7</v>
      </c>
      <c r="BK826">
        <v>3</v>
      </c>
      <c r="BL826">
        <v>106.77</v>
      </c>
      <c r="BM826">
        <v>16.02</v>
      </c>
      <c r="BN826">
        <v>122.79</v>
      </c>
      <c r="BO826">
        <v>122.79</v>
      </c>
      <c r="BQ826" t="s">
        <v>1592</v>
      </c>
      <c r="BR826" t="s">
        <v>84</v>
      </c>
      <c r="BS826" s="3">
        <v>45847</v>
      </c>
      <c r="BT826" s="4">
        <v>0.43402777777777779</v>
      </c>
      <c r="BU826" t="s">
        <v>1593</v>
      </c>
      <c r="BV826" t="s">
        <v>98</v>
      </c>
      <c r="BY826">
        <v>8512</v>
      </c>
      <c r="BZ826" t="s">
        <v>89</v>
      </c>
      <c r="CA826" t="s">
        <v>1594</v>
      </c>
      <c r="CC826" t="s">
        <v>93</v>
      </c>
      <c r="CD826">
        <v>4000</v>
      </c>
      <c r="CE826" t="s">
        <v>117</v>
      </c>
      <c r="CF826" s="3">
        <v>45847</v>
      </c>
      <c r="CI826">
        <v>1</v>
      </c>
      <c r="CJ826">
        <v>1</v>
      </c>
      <c r="CK826">
        <v>21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"080066424943"</f>
        <v>080066424943</v>
      </c>
      <c r="F827" s="3">
        <v>45846</v>
      </c>
      <c r="G827">
        <v>202604</v>
      </c>
      <c r="H827" t="s">
        <v>75</v>
      </c>
      <c r="I827" t="s">
        <v>76</v>
      </c>
      <c r="J827" t="s">
        <v>77</v>
      </c>
      <c r="K827" t="s">
        <v>78</v>
      </c>
      <c r="L827" t="s">
        <v>79</v>
      </c>
      <c r="M827" t="s">
        <v>80</v>
      </c>
      <c r="N827" t="s">
        <v>1050</v>
      </c>
      <c r="O827" t="s">
        <v>82</v>
      </c>
      <c r="P827" t="str">
        <f>"4170047398                    "</f>
        <v xml:space="preserve">4170047398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22.6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0.9</v>
      </c>
      <c r="BK827">
        <v>1</v>
      </c>
      <c r="BL827">
        <v>71.2</v>
      </c>
      <c r="BM827">
        <v>10.68</v>
      </c>
      <c r="BN827">
        <v>81.88</v>
      </c>
      <c r="BO827">
        <v>81.88</v>
      </c>
      <c r="BQ827" t="s">
        <v>1051</v>
      </c>
      <c r="BR827" t="s">
        <v>84</v>
      </c>
      <c r="BS827" s="3">
        <v>45847</v>
      </c>
      <c r="BT827" s="4">
        <v>0.62847222222222221</v>
      </c>
      <c r="BU827" t="s">
        <v>1595</v>
      </c>
      <c r="BV827" t="s">
        <v>86</v>
      </c>
      <c r="BW827" t="s">
        <v>219</v>
      </c>
      <c r="BX827" t="s">
        <v>1054</v>
      </c>
      <c r="BY827">
        <v>4275</v>
      </c>
      <c r="BZ827" t="s">
        <v>89</v>
      </c>
      <c r="CA827" t="s">
        <v>1596</v>
      </c>
      <c r="CC827" t="s">
        <v>80</v>
      </c>
      <c r="CD827">
        <v>7490</v>
      </c>
      <c r="CE827" t="s">
        <v>266</v>
      </c>
      <c r="CF827" s="3">
        <v>45848</v>
      </c>
      <c r="CI827">
        <v>1</v>
      </c>
      <c r="CJ827">
        <v>1</v>
      </c>
      <c r="CK827">
        <v>21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"080066424945"</f>
        <v>080066424945</v>
      </c>
      <c r="F828" s="3">
        <v>45846</v>
      </c>
      <c r="G828">
        <v>202604</v>
      </c>
      <c r="H828" t="s">
        <v>75</v>
      </c>
      <c r="I828" t="s">
        <v>76</v>
      </c>
      <c r="J828" t="s">
        <v>77</v>
      </c>
      <c r="K828" t="s">
        <v>78</v>
      </c>
      <c r="L828" t="s">
        <v>92</v>
      </c>
      <c r="M828" t="s">
        <v>93</v>
      </c>
      <c r="N828" t="s">
        <v>1591</v>
      </c>
      <c r="O828" t="s">
        <v>82</v>
      </c>
      <c r="P828" t="str">
        <f>"4170047399                    "</f>
        <v xml:space="preserve">4170047399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22.6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0.3</v>
      </c>
      <c r="BK828">
        <v>1</v>
      </c>
      <c r="BL828">
        <v>71.2</v>
      </c>
      <c r="BM828">
        <v>10.68</v>
      </c>
      <c r="BN828">
        <v>81.88</v>
      </c>
      <c r="BO828">
        <v>81.88</v>
      </c>
      <c r="BQ828" t="s">
        <v>1592</v>
      </c>
      <c r="BR828" t="s">
        <v>84</v>
      </c>
      <c r="BS828" s="3">
        <v>45847</v>
      </c>
      <c r="BT828" s="4">
        <v>0.43402777777777779</v>
      </c>
      <c r="BU828" t="s">
        <v>1593</v>
      </c>
      <c r="BV828" t="s">
        <v>98</v>
      </c>
      <c r="BY828">
        <v>1350</v>
      </c>
      <c r="BZ828" t="s">
        <v>89</v>
      </c>
      <c r="CA828" t="s">
        <v>1594</v>
      </c>
      <c r="CC828" t="s">
        <v>93</v>
      </c>
      <c r="CD828">
        <v>4000</v>
      </c>
      <c r="CE828" t="s">
        <v>239</v>
      </c>
      <c r="CF828" s="3">
        <v>45847</v>
      </c>
      <c r="CI828">
        <v>1</v>
      </c>
      <c r="CJ828">
        <v>1</v>
      </c>
      <c r="CK828">
        <v>21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"080066424961"</f>
        <v>080066424961</v>
      </c>
      <c r="F829" s="3">
        <v>45846</v>
      </c>
      <c r="G829">
        <v>202604</v>
      </c>
      <c r="H829" t="s">
        <v>75</v>
      </c>
      <c r="I829" t="s">
        <v>76</v>
      </c>
      <c r="J829" t="s">
        <v>77</v>
      </c>
      <c r="K829" t="s">
        <v>78</v>
      </c>
      <c r="L829" t="s">
        <v>75</v>
      </c>
      <c r="M829" t="s">
        <v>76</v>
      </c>
      <c r="N829" t="s">
        <v>118</v>
      </c>
      <c r="O829" t="s">
        <v>82</v>
      </c>
      <c r="P829" t="str">
        <f>"4170047348                    "</f>
        <v xml:space="preserve">4170047348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17.649999999999999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0.3</v>
      </c>
      <c r="BK829">
        <v>1</v>
      </c>
      <c r="BL829">
        <v>55.61</v>
      </c>
      <c r="BM829">
        <v>8.34</v>
      </c>
      <c r="BN829">
        <v>63.95</v>
      </c>
      <c r="BO829">
        <v>63.95</v>
      </c>
      <c r="BQ829" t="s">
        <v>119</v>
      </c>
      <c r="BR829" t="s">
        <v>84</v>
      </c>
      <c r="BS829" s="3">
        <v>45847</v>
      </c>
      <c r="BT829" s="4">
        <v>0.39791666666666664</v>
      </c>
      <c r="BU829" t="s">
        <v>768</v>
      </c>
      <c r="BV829" t="s">
        <v>98</v>
      </c>
      <c r="BY829">
        <v>1350</v>
      </c>
      <c r="BZ829" t="s">
        <v>89</v>
      </c>
      <c r="CA829" t="s">
        <v>1537</v>
      </c>
      <c r="CC829" t="s">
        <v>76</v>
      </c>
      <c r="CD829">
        <v>1600</v>
      </c>
      <c r="CE829" t="s">
        <v>239</v>
      </c>
      <c r="CF829" s="3">
        <v>45848</v>
      </c>
      <c r="CI829">
        <v>1</v>
      </c>
      <c r="CJ829">
        <v>1</v>
      </c>
      <c r="CK829">
        <v>22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"080066424962"</f>
        <v>080066424962</v>
      </c>
      <c r="F830" s="3">
        <v>45846</v>
      </c>
      <c r="G830">
        <v>202604</v>
      </c>
      <c r="H830" t="s">
        <v>75</v>
      </c>
      <c r="I830" t="s">
        <v>76</v>
      </c>
      <c r="J830" t="s">
        <v>77</v>
      </c>
      <c r="K830" t="s">
        <v>78</v>
      </c>
      <c r="L830" t="s">
        <v>92</v>
      </c>
      <c r="M830" t="s">
        <v>93</v>
      </c>
      <c r="N830" t="s">
        <v>291</v>
      </c>
      <c r="O830" t="s">
        <v>82</v>
      </c>
      <c r="P830" t="str">
        <f>"4170047294                    "</f>
        <v xml:space="preserve">4170047294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45.18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4</v>
      </c>
      <c r="BJ830">
        <v>3.4</v>
      </c>
      <c r="BK830">
        <v>4</v>
      </c>
      <c r="BL830">
        <v>142.34</v>
      </c>
      <c r="BM830">
        <v>21.35</v>
      </c>
      <c r="BN830">
        <v>163.69</v>
      </c>
      <c r="BO830">
        <v>163.69</v>
      </c>
      <c r="BQ830" t="s">
        <v>292</v>
      </c>
      <c r="BR830" t="s">
        <v>84</v>
      </c>
      <c r="BS830" s="3">
        <v>45847</v>
      </c>
      <c r="BT830" s="4">
        <v>0.31944444444444442</v>
      </c>
      <c r="BU830" t="s">
        <v>1571</v>
      </c>
      <c r="BV830" t="s">
        <v>98</v>
      </c>
      <c r="BY830">
        <v>16965</v>
      </c>
      <c r="BZ830" t="s">
        <v>89</v>
      </c>
      <c r="CA830" t="s">
        <v>294</v>
      </c>
      <c r="CC830" t="s">
        <v>93</v>
      </c>
      <c r="CD830">
        <v>4051</v>
      </c>
      <c r="CE830" t="s">
        <v>117</v>
      </c>
      <c r="CF830" s="3">
        <v>45847</v>
      </c>
      <c r="CI830">
        <v>1</v>
      </c>
      <c r="CJ830">
        <v>1</v>
      </c>
      <c r="CK830">
        <v>21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"080066424979"</f>
        <v>080066424979</v>
      </c>
      <c r="F831" s="3">
        <v>45846</v>
      </c>
      <c r="G831">
        <v>202604</v>
      </c>
      <c r="H831" t="s">
        <v>75</v>
      </c>
      <c r="I831" t="s">
        <v>76</v>
      </c>
      <c r="J831" t="s">
        <v>77</v>
      </c>
      <c r="K831" t="s">
        <v>78</v>
      </c>
      <c r="L831" t="s">
        <v>168</v>
      </c>
      <c r="M831" t="s">
        <v>169</v>
      </c>
      <c r="N831" t="s">
        <v>206</v>
      </c>
      <c r="O831" t="s">
        <v>82</v>
      </c>
      <c r="P831" t="str">
        <f>"4170047375                    "</f>
        <v xml:space="preserve">4170047375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22.6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0.3</v>
      </c>
      <c r="BK831">
        <v>1</v>
      </c>
      <c r="BL831">
        <v>71.2</v>
      </c>
      <c r="BM831">
        <v>10.68</v>
      </c>
      <c r="BN831">
        <v>81.88</v>
      </c>
      <c r="BO831">
        <v>81.88</v>
      </c>
      <c r="BQ831" t="s">
        <v>207</v>
      </c>
      <c r="BR831" t="s">
        <v>84</v>
      </c>
      <c r="BS831" s="3">
        <v>45847</v>
      </c>
      <c r="BT831" s="4">
        <v>0.4284722222222222</v>
      </c>
      <c r="BU831" t="s">
        <v>208</v>
      </c>
      <c r="BV831" t="s">
        <v>98</v>
      </c>
      <c r="BY831">
        <v>1350</v>
      </c>
      <c r="BZ831" t="s">
        <v>89</v>
      </c>
      <c r="CA831" t="s">
        <v>196</v>
      </c>
      <c r="CC831" t="s">
        <v>169</v>
      </c>
      <c r="CD831">
        <v>6001</v>
      </c>
      <c r="CE831" t="s">
        <v>239</v>
      </c>
      <c r="CF831" s="3">
        <v>45847</v>
      </c>
      <c r="CI831">
        <v>1</v>
      </c>
      <c r="CJ831">
        <v>1</v>
      </c>
      <c r="CK831">
        <v>21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"080066424993"</f>
        <v>080066424993</v>
      </c>
      <c r="F832" s="3">
        <v>45846</v>
      </c>
      <c r="G832">
        <v>202604</v>
      </c>
      <c r="H832" t="s">
        <v>75</v>
      </c>
      <c r="I832" t="s">
        <v>76</v>
      </c>
      <c r="J832" t="s">
        <v>77</v>
      </c>
      <c r="K832" t="s">
        <v>78</v>
      </c>
      <c r="L832" t="s">
        <v>168</v>
      </c>
      <c r="M832" t="s">
        <v>169</v>
      </c>
      <c r="N832" t="s">
        <v>206</v>
      </c>
      <c r="O832" t="s">
        <v>82</v>
      </c>
      <c r="P832" t="str">
        <f>"4170047371                    "</f>
        <v xml:space="preserve">4170047371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22.6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0.3</v>
      </c>
      <c r="BK832">
        <v>1</v>
      </c>
      <c r="BL832">
        <v>71.2</v>
      </c>
      <c r="BM832">
        <v>10.68</v>
      </c>
      <c r="BN832">
        <v>81.88</v>
      </c>
      <c r="BO832">
        <v>81.88</v>
      </c>
      <c r="BQ832" t="s">
        <v>207</v>
      </c>
      <c r="BR832" t="s">
        <v>84</v>
      </c>
      <c r="BS832" s="3">
        <v>45847</v>
      </c>
      <c r="BT832" s="4">
        <v>0.4284722222222222</v>
      </c>
      <c r="BU832" t="s">
        <v>208</v>
      </c>
      <c r="BV832" t="s">
        <v>98</v>
      </c>
      <c r="BY832">
        <v>1350</v>
      </c>
      <c r="BZ832" t="s">
        <v>89</v>
      </c>
      <c r="CA832" t="s">
        <v>196</v>
      </c>
      <c r="CC832" t="s">
        <v>169</v>
      </c>
      <c r="CD832">
        <v>6001</v>
      </c>
      <c r="CE832" t="s">
        <v>239</v>
      </c>
      <c r="CF832" s="3">
        <v>45847</v>
      </c>
      <c r="CI832">
        <v>1</v>
      </c>
      <c r="CJ832">
        <v>1</v>
      </c>
      <c r="CK832">
        <v>21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"080066425014"</f>
        <v>080066425014</v>
      </c>
      <c r="F833" s="3">
        <v>45846</v>
      </c>
      <c r="G833">
        <v>202604</v>
      </c>
      <c r="H833" t="s">
        <v>75</v>
      </c>
      <c r="I833" t="s">
        <v>76</v>
      </c>
      <c r="J833" t="s">
        <v>77</v>
      </c>
      <c r="K833" t="s">
        <v>78</v>
      </c>
      <c r="L833" t="s">
        <v>92</v>
      </c>
      <c r="M833" t="s">
        <v>93</v>
      </c>
      <c r="N833" t="s">
        <v>737</v>
      </c>
      <c r="O833" t="s">
        <v>82</v>
      </c>
      <c r="P833" t="str">
        <f>"4170047379                    "</f>
        <v xml:space="preserve">4170047379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22.6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0.3</v>
      </c>
      <c r="BK833">
        <v>1</v>
      </c>
      <c r="BL833">
        <v>71.2</v>
      </c>
      <c r="BM833">
        <v>10.68</v>
      </c>
      <c r="BN833">
        <v>81.88</v>
      </c>
      <c r="BO833">
        <v>81.88</v>
      </c>
      <c r="BQ833" t="s">
        <v>738</v>
      </c>
      <c r="BR833" t="s">
        <v>84</v>
      </c>
      <c r="BS833" s="3">
        <v>45847</v>
      </c>
      <c r="BT833" s="4">
        <v>0.48819444444444443</v>
      </c>
      <c r="BU833" t="s">
        <v>1597</v>
      </c>
      <c r="BV833" t="s">
        <v>86</v>
      </c>
      <c r="BW833" t="s">
        <v>194</v>
      </c>
      <c r="BX833" t="s">
        <v>1435</v>
      </c>
      <c r="BY833">
        <v>1350</v>
      </c>
      <c r="BZ833" t="s">
        <v>89</v>
      </c>
      <c r="CA833" t="s">
        <v>166</v>
      </c>
      <c r="CC833" t="s">
        <v>93</v>
      </c>
      <c r="CD833">
        <v>4001</v>
      </c>
      <c r="CE833" t="s">
        <v>239</v>
      </c>
      <c r="CF833" s="3">
        <v>45848</v>
      </c>
      <c r="CI833">
        <v>1</v>
      </c>
      <c r="CJ833">
        <v>1</v>
      </c>
      <c r="CK833">
        <v>21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"080066425056"</f>
        <v>080066425056</v>
      </c>
      <c r="F834" s="3">
        <v>45846</v>
      </c>
      <c r="G834">
        <v>202604</v>
      </c>
      <c r="H834" t="s">
        <v>75</v>
      </c>
      <c r="I834" t="s">
        <v>76</v>
      </c>
      <c r="J834" t="s">
        <v>77</v>
      </c>
      <c r="K834" t="s">
        <v>78</v>
      </c>
      <c r="L834" t="s">
        <v>168</v>
      </c>
      <c r="M834" t="s">
        <v>169</v>
      </c>
      <c r="N834" t="s">
        <v>487</v>
      </c>
      <c r="O834" t="s">
        <v>82</v>
      </c>
      <c r="P834" t="str">
        <f>"4170047352                    "</f>
        <v xml:space="preserve">4170047352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22.6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0.3</v>
      </c>
      <c r="BK834">
        <v>1</v>
      </c>
      <c r="BL834">
        <v>71.2</v>
      </c>
      <c r="BM834">
        <v>10.68</v>
      </c>
      <c r="BN834">
        <v>81.88</v>
      </c>
      <c r="BO834">
        <v>81.88</v>
      </c>
      <c r="BQ834" t="s">
        <v>488</v>
      </c>
      <c r="BR834" t="s">
        <v>84</v>
      </c>
      <c r="BS834" s="3">
        <v>45847</v>
      </c>
      <c r="BT834" s="4">
        <v>0.42569444444444443</v>
      </c>
      <c r="BU834" t="s">
        <v>1554</v>
      </c>
      <c r="BV834" t="s">
        <v>98</v>
      </c>
      <c r="BY834">
        <v>1350</v>
      </c>
      <c r="BZ834" t="s">
        <v>89</v>
      </c>
      <c r="CA834" t="s">
        <v>415</v>
      </c>
      <c r="CC834" t="s">
        <v>169</v>
      </c>
      <c r="CD834">
        <v>6012</v>
      </c>
      <c r="CE834" t="s">
        <v>239</v>
      </c>
      <c r="CF834" s="3">
        <v>45847</v>
      </c>
      <c r="CI834">
        <v>1</v>
      </c>
      <c r="CJ834">
        <v>1</v>
      </c>
      <c r="CK834">
        <v>21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"080066425096"</f>
        <v>080066425096</v>
      </c>
      <c r="F835" s="3">
        <v>45846</v>
      </c>
      <c r="G835">
        <v>202604</v>
      </c>
      <c r="H835" t="s">
        <v>75</v>
      </c>
      <c r="I835" t="s">
        <v>76</v>
      </c>
      <c r="J835" t="s">
        <v>77</v>
      </c>
      <c r="K835" t="s">
        <v>78</v>
      </c>
      <c r="L835" t="s">
        <v>75</v>
      </c>
      <c r="M835" t="s">
        <v>76</v>
      </c>
      <c r="N835" t="s">
        <v>118</v>
      </c>
      <c r="O835" t="s">
        <v>82</v>
      </c>
      <c r="P835" t="str">
        <f>"4170047396                    "</f>
        <v xml:space="preserve">4170047396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17.649999999999999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0.3</v>
      </c>
      <c r="BK835">
        <v>1</v>
      </c>
      <c r="BL835">
        <v>55.61</v>
      </c>
      <c r="BM835">
        <v>8.34</v>
      </c>
      <c r="BN835">
        <v>63.95</v>
      </c>
      <c r="BO835">
        <v>63.95</v>
      </c>
      <c r="BQ835" t="s">
        <v>119</v>
      </c>
      <c r="BR835" t="s">
        <v>84</v>
      </c>
      <c r="BS835" s="3">
        <v>45847</v>
      </c>
      <c r="BT835" s="4">
        <v>0.31597222222222221</v>
      </c>
      <c r="BU835" t="s">
        <v>768</v>
      </c>
      <c r="BV835" t="s">
        <v>98</v>
      </c>
      <c r="BY835">
        <v>1350</v>
      </c>
      <c r="BZ835" t="s">
        <v>89</v>
      </c>
      <c r="CA835" t="s">
        <v>1537</v>
      </c>
      <c r="CC835" t="s">
        <v>76</v>
      </c>
      <c r="CD835">
        <v>1600</v>
      </c>
      <c r="CE835" t="s">
        <v>239</v>
      </c>
      <c r="CF835" s="3">
        <v>45848</v>
      </c>
      <c r="CI835">
        <v>1</v>
      </c>
      <c r="CJ835">
        <v>1</v>
      </c>
      <c r="CK835">
        <v>22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"080066425127"</f>
        <v>080066425127</v>
      </c>
      <c r="F836" s="3">
        <v>45846</v>
      </c>
      <c r="G836">
        <v>202604</v>
      </c>
      <c r="H836" t="s">
        <v>75</v>
      </c>
      <c r="I836" t="s">
        <v>76</v>
      </c>
      <c r="J836" t="s">
        <v>77</v>
      </c>
      <c r="K836" t="s">
        <v>78</v>
      </c>
      <c r="L836" t="s">
        <v>151</v>
      </c>
      <c r="M836" t="s">
        <v>152</v>
      </c>
      <c r="N836" t="s">
        <v>153</v>
      </c>
      <c r="O836" t="s">
        <v>82</v>
      </c>
      <c r="P836" t="str">
        <f>"4170047413                    "</f>
        <v xml:space="preserve">4170047413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22.6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0.3</v>
      </c>
      <c r="BK836">
        <v>1</v>
      </c>
      <c r="BL836">
        <v>71.2</v>
      </c>
      <c r="BM836">
        <v>10.68</v>
      </c>
      <c r="BN836">
        <v>81.88</v>
      </c>
      <c r="BO836">
        <v>81.88</v>
      </c>
      <c r="BQ836" t="s">
        <v>154</v>
      </c>
      <c r="BR836" t="s">
        <v>84</v>
      </c>
      <c r="BS836" s="3">
        <v>45847</v>
      </c>
      <c r="BT836" s="4">
        <v>0.37638888888888888</v>
      </c>
      <c r="BU836" t="s">
        <v>1598</v>
      </c>
      <c r="BV836" t="s">
        <v>98</v>
      </c>
      <c r="BY836">
        <v>1350</v>
      </c>
      <c r="BZ836" t="s">
        <v>89</v>
      </c>
      <c r="CA836" t="s">
        <v>1599</v>
      </c>
      <c r="CC836" t="s">
        <v>152</v>
      </c>
      <c r="CD836" s="5" t="s">
        <v>157</v>
      </c>
      <c r="CE836" t="s">
        <v>239</v>
      </c>
      <c r="CF836" s="3">
        <v>45847</v>
      </c>
      <c r="CI836">
        <v>1</v>
      </c>
      <c r="CJ836">
        <v>1</v>
      </c>
      <c r="CK836">
        <v>21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"080066425194"</f>
        <v>080066425194</v>
      </c>
      <c r="F837" s="3">
        <v>45846</v>
      </c>
      <c r="G837">
        <v>202604</v>
      </c>
      <c r="H837" t="s">
        <v>75</v>
      </c>
      <c r="I837" t="s">
        <v>76</v>
      </c>
      <c r="J837" t="s">
        <v>77</v>
      </c>
      <c r="K837" t="s">
        <v>78</v>
      </c>
      <c r="L837" t="s">
        <v>151</v>
      </c>
      <c r="M837" t="s">
        <v>152</v>
      </c>
      <c r="N837" t="s">
        <v>801</v>
      </c>
      <c r="O837" t="s">
        <v>82</v>
      </c>
      <c r="P837" t="str">
        <f>"4170047353                    "</f>
        <v xml:space="preserve">4170047353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22.6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0.3</v>
      </c>
      <c r="BK837">
        <v>1</v>
      </c>
      <c r="BL837">
        <v>71.2</v>
      </c>
      <c r="BM837">
        <v>10.68</v>
      </c>
      <c r="BN837">
        <v>81.88</v>
      </c>
      <c r="BO837">
        <v>81.88</v>
      </c>
      <c r="BQ837" t="s">
        <v>802</v>
      </c>
      <c r="BR837" t="s">
        <v>84</v>
      </c>
      <c r="BS837" s="3">
        <v>45847</v>
      </c>
      <c r="BT837" s="4">
        <v>0.42430555555555555</v>
      </c>
      <c r="BU837" t="s">
        <v>803</v>
      </c>
      <c r="BV837" t="s">
        <v>98</v>
      </c>
      <c r="BY837">
        <v>1350</v>
      </c>
      <c r="BZ837" t="s">
        <v>89</v>
      </c>
      <c r="CA837" t="s">
        <v>716</v>
      </c>
      <c r="CC837" t="s">
        <v>152</v>
      </c>
      <c r="CD837" s="5" t="s">
        <v>717</v>
      </c>
      <c r="CE837" t="s">
        <v>239</v>
      </c>
      <c r="CF837" s="3">
        <v>45847</v>
      </c>
      <c r="CI837">
        <v>1</v>
      </c>
      <c r="CJ837">
        <v>1</v>
      </c>
      <c r="CK837">
        <v>21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"080066425223"</f>
        <v>080066425223</v>
      </c>
      <c r="F838" s="3">
        <v>45846</v>
      </c>
      <c r="G838">
        <v>202604</v>
      </c>
      <c r="H838" t="s">
        <v>75</v>
      </c>
      <c r="I838" t="s">
        <v>76</v>
      </c>
      <c r="J838" t="s">
        <v>77</v>
      </c>
      <c r="K838" t="s">
        <v>78</v>
      </c>
      <c r="L838" t="s">
        <v>151</v>
      </c>
      <c r="M838" t="s">
        <v>152</v>
      </c>
      <c r="N838" t="s">
        <v>908</v>
      </c>
      <c r="O838" t="s">
        <v>82</v>
      </c>
      <c r="P838" t="str">
        <f>"4170047376                    "</f>
        <v xml:space="preserve">4170047376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22.6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71.2</v>
      </c>
      <c r="BM838">
        <v>10.68</v>
      </c>
      <c r="BN838">
        <v>81.88</v>
      </c>
      <c r="BO838">
        <v>81.88</v>
      </c>
      <c r="BQ838" t="s">
        <v>909</v>
      </c>
      <c r="BR838" t="s">
        <v>84</v>
      </c>
      <c r="BS838" s="3">
        <v>45847</v>
      </c>
      <c r="BT838" s="4">
        <v>0.3923611111111111</v>
      </c>
      <c r="BU838" t="s">
        <v>910</v>
      </c>
      <c r="BV838" t="s">
        <v>98</v>
      </c>
      <c r="BY838">
        <v>1200</v>
      </c>
      <c r="BZ838" t="s">
        <v>89</v>
      </c>
      <c r="CA838" t="s">
        <v>716</v>
      </c>
      <c r="CC838" t="s">
        <v>152</v>
      </c>
      <c r="CD838" s="5" t="s">
        <v>911</v>
      </c>
      <c r="CE838" t="s">
        <v>239</v>
      </c>
      <c r="CF838" s="3">
        <v>45847</v>
      </c>
      <c r="CI838">
        <v>1</v>
      </c>
      <c r="CJ838">
        <v>1</v>
      </c>
      <c r="CK838">
        <v>21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"080066425242"</f>
        <v>080066425242</v>
      </c>
      <c r="F839" s="3">
        <v>45846</v>
      </c>
      <c r="G839">
        <v>202604</v>
      </c>
      <c r="H839" t="s">
        <v>75</v>
      </c>
      <c r="I839" t="s">
        <v>76</v>
      </c>
      <c r="J839" t="s">
        <v>77</v>
      </c>
      <c r="K839" t="s">
        <v>78</v>
      </c>
      <c r="L839" t="s">
        <v>168</v>
      </c>
      <c r="M839" t="s">
        <v>169</v>
      </c>
      <c r="N839" t="s">
        <v>420</v>
      </c>
      <c r="O839" t="s">
        <v>82</v>
      </c>
      <c r="P839" t="str">
        <f>"4170047307                    "</f>
        <v xml:space="preserve">4170047307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22.6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71.2</v>
      </c>
      <c r="BM839">
        <v>10.68</v>
      </c>
      <c r="BN839">
        <v>81.88</v>
      </c>
      <c r="BO839">
        <v>81.88</v>
      </c>
      <c r="BQ839" t="s">
        <v>421</v>
      </c>
      <c r="BR839" t="s">
        <v>84</v>
      </c>
      <c r="BS839" s="3">
        <v>45847</v>
      </c>
      <c r="BT839" s="4">
        <v>0.41180555555555554</v>
      </c>
      <c r="BU839" t="s">
        <v>1600</v>
      </c>
      <c r="BV839" t="s">
        <v>98</v>
      </c>
      <c r="BY839">
        <v>1200</v>
      </c>
      <c r="BZ839" t="s">
        <v>89</v>
      </c>
      <c r="CA839" t="s">
        <v>423</v>
      </c>
      <c r="CC839" t="s">
        <v>169</v>
      </c>
      <c r="CD839">
        <v>6001</v>
      </c>
      <c r="CE839" t="s">
        <v>239</v>
      </c>
      <c r="CF839" s="3">
        <v>45847</v>
      </c>
      <c r="CI839">
        <v>1</v>
      </c>
      <c r="CJ839">
        <v>1</v>
      </c>
      <c r="CK839">
        <v>21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"080066425261"</f>
        <v>080066425261</v>
      </c>
      <c r="F840" s="3">
        <v>45846</v>
      </c>
      <c r="G840">
        <v>202604</v>
      </c>
      <c r="H840" t="s">
        <v>75</v>
      </c>
      <c r="I840" t="s">
        <v>76</v>
      </c>
      <c r="J840" t="s">
        <v>77</v>
      </c>
      <c r="K840" t="s">
        <v>78</v>
      </c>
      <c r="L840" t="s">
        <v>277</v>
      </c>
      <c r="M840" t="s">
        <v>278</v>
      </c>
      <c r="N840" t="s">
        <v>279</v>
      </c>
      <c r="O840" t="s">
        <v>82</v>
      </c>
      <c r="P840" t="str">
        <f>"4170047308                    "</f>
        <v xml:space="preserve">4170047308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22.6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71.2</v>
      </c>
      <c r="BM840">
        <v>10.68</v>
      </c>
      <c r="BN840">
        <v>81.88</v>
      </c>
      <c r="BO840">
        <v>81.88</v>
      </c>
      <c r="BQ840" t="s">
        <v>280</v>
      </c>
      <c r="BR840" t="s">
        <v>84</v>
      </c>
      <c r="BS840" s="3">
        <v>45847</v>
      </c>
      <c r="BT840" s="4">
        <v>0.3923611111111111</v>
      </c>
      <c r="BU840" t="s">
        <v>1124</v>
      </c>
      <c r="BV840" t="s">
        <v>98</v>
      </c>
      <c r="BY840">
        <v>1200</v>
      </c>
      <c r="BZ840" t="s">
        <v>89</v>
      </c>
      <c r="CA840" t="s">
        <v>282</v>
      </c>
      <c r="CC840" t="s">
        <v>278</v>
      </c>
      <c r="CD840">
        <v>6230</v>
      </c>
      <c r="CE840" t="s">
        <v>239</v>
      </c>
      <c r="CF840" s="3">
        <v>45847</v>
      </c>
      <c r="CI840">
        <v>1</v>
      </c>
      <c r="CJ840">
        <v>1</v>
      </c>
      <c r="CK840">
        <v>21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"080066425280"</f>
        <v>080066425280</v>
      </c>
      <c r="F841" s="3">
        <v>45846</v>
      </c>
      <c r="G841">
        <v>202604</v>
      </c>
      <c r="H841" t="s">
        <v>75</v>
      </c>
      <c r="I841" t="s">
        <v>76</v>
      </c>
      <c r="J841" t="s">
        <v>77</v>
      </c>
      <c r="K841" t="s">
        <v>78</v>
      </c>
      <c r="L841" t="s">
        <v>92</v>
      </c>
      <c r="M841" t="s">
        <v>93</v>
      </c>
      <c r="N841" t="s">
        <v>291</v>
      </c>
      <c r="O841" t="s">
        <v>82</v>
      </c>
      <c r="P841" t="str">
        <f>"4170047432                    "</f>
        <v xml:space="preserve">4170047432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67.760000000000005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5.7</v>
      </c>
      <c r="BK841">
        <v>6</v>
      </c>
      <c r="BL841">
        <v>213.48</v>
      </c>
      <c r="BM841">
        <v>32.020000000000003</v>
      </c>
      <c r="BN841">
        <v>245.5</v>
      </c>
      <c r="BO841">
        <v>245.5</v>
      </c>
      <c r="BQ841" t="s">
        <v>292</v>
      </c>
      <c r="BR841" t="s">
        <v>84</v>
      </c>
      <c r="BS841" s="3">
        <v>45847</v>
      </c>
      <c r="BT841" s="4">
        <v>0.31944444444444442</v>
      </c>
      <c r="BU841" t="s">
        <v>1571</v>
      </c>
      <c r="BV841" t="s">
        <v>98</v>
      </c>
      <c r="BY841">
        <v>28275</v>
      </c>
      <c r="BZ841" t="s">
        <v>89</v>
      </c>
      <c r="CA841" t="s">
        <v>294</v>
      </c>
      <c r="CC841" t="s">
        <v>93</v>
      </c>
      <c r="CD841">
        <v>4051</v>
      </c>
      <c r="CE841" t="s">
        <v>117</v>
      </c>
      <c r="CF841" s="3">
        <v>45847</v>
      </c>
      <c r="CI841">
        <v>1</v>
      </c>
      <c r="CJ841">
        <v>1</v>
      </c>
      <c r="CK841">
        <v>21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"080066425297"</f>
        <v>080066425297</v>
      </c>
      <c r="F842" s="3">
        <v>45846</v>
      </c>
      <c r="G842">
        <v>202604</v>
      </c>
      <c r="H842" t="s">
        <v>75</v>
      </c>
      <c r="I842" t="s">
        <v>76</v>
      </c>
      <c r="J842" t="s">
        <v>77</v>
      </c>
      <c r="K842" t="s">
        <v>78</v>
      </c>
      <c r="L842" t="s">
        <v>168</v>
      </c>
      <c r="M842" t="s">
        <v>169</v>
      </c>
      <c r="N842" t="s">
        <v>206</v>
      </c>
      <c r="O842" t="s">
        <v>82</v>
      </c>
      <c r="P842" t="str">
        <f>"4170047290                    "</f>
        <v xml:space="preserve">4170047290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39.53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3</v>
      </c>
      <c r="BJ842">
        <v>3.4</v>
      </c>
      <c r="BK842">
        <v>3.5</v>
      </c>
      <c r="BL842">
        <v>124.55</v>
      </c>
      <c r="BM842">
        <v>18.68</v>
      </c>
      <c r="BN842">
        <v>143.22999999999999</v>
      </c>
      <c r="BO842">
        <v>143.22999999999999</v>
      </c>
      <c r="BQ842" t="s">
        <v>207</v>
      </c>
      <c r="BR842" t="s">
        <v>84</v>
      </c>
      <c r="BS842" s="3">
        <v>45847</v>
      </c>
      <c r="BT842" s="4">
        <v>0.4284722222222222</v>
      </c>
      <c r="BU842" t="s">
        <v>208</v>
      </c>
      <c r="BV842" t="s">
        <v>98</v>
      </c>
      <c r="BY842">
        <v>16965</v>
      </c>
      <c r="BZ842" t="s">
        <v>89</v>
      </c>
      <c r="CA842" t="s">
        <v>196</v>
      </c>
      <c r="CC842" t="s">
        <v>169</v>
      </c>
      <c r="CD842">
        <v>6001</v>
      </c>
      <c r="CE842" t="s">
        <v>117</v>
      </c>
      <c r="CF842" s="3">
        <v>45847</v>
      </c>
      <c r="CI842">
        <v>1</v>
      </c>
      <c r="CJ842">
        <v>1</v>
      </c>
      <c r="CK842">
        <v>21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"080066425312"</f>
        <v>080066425312</v>
      </c>
      <c r="F843" s="3">
        <v>45846</v>
      </c>
      <c r="G843">
        <v>202604</v>
      </c>
      <c r="H843" t="s">
        <v>75</v>
      </c>
      <c r="I843" t="s">
        <v>76</v>
      </c>
      <c r="J843" t="s">
        <v>77</v>
      </c>
      <c r="K843" t="s">
        <v>78</v>
      </c>
      <c r="L843" t="s">
        <v>854</v>
      </c>
      <c r="M843" t="s">
        <v>855</v>
      </c>
      <c r="N843" t="s">
        <v>429</v>
      </c>
      <c r="O843" t="s">
        <v>82</v>
      </c>
      <c r="P843" t="str">
        <f>"4170047410                    "</f>
        <v xml:space="preserve">4170047410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43.78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16.739999999999998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0.6</v>
      </c>
      <c r="BK843">
        <v>1</v>
      </c>
      <c r="BL843">
        <v>154.68</v>
      </c>
      <c r="BM843">
        <v>23.2</v>
      </c>
      <c r="BN843">
        <v>177.88</v>
      </c>
      <c r="BO843">
        <v>177.88</v>
      </c>
      <c r="BQ843" t="s">
        <v>430</v>
      </c>
      <c r="BR843" t="s">
        <v>84</v>
      </c>
      <c r="BS843" s="3">
        <v>45847</v>
      </c>
      <c r="BT843" s="4">
        <v>0.50902777777777775</v>
      </c>
      <c r="BU843" t="s">
        <v>1601</v>
      </c>
      <c r="BV843" t="s">
        <v>98</v>
      </c>
      <c r="BY843">
        <v>3192</v>
      </c>
      <c r="BZ843" t="s">
        <v>460</v>
      </c>
      <c r="CA843" t="s">
        <v>992</v>
      </c>
      <c r="CC843" t="s">
        <v>855</v>
      </c>
      <c r="CD843" s="5" t="s">
        <v>993</v>
      </c>
      <c r="CE843" t="s">
        <v>266</v>
      </c>
      <c r="CF843" s="3">
        <v>45847</v>
      </c>
      <c r="CI843">
        <v>1</v>
      </c>
      <c r="CJ843">
        <v>1</v>
      </c>
      <c r="CK843">
        <v>23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"080066425329"</f>
        <v>080066425329</v>
      </c>
      <c r="F844" s="3">
        <v>45846</v>
      </c>
      <c r="G844">
        <v>202604</v>
      </c>
      <c r="H844" t="s">
        <v>75</v>
      </c>
      <c r="I844" t="s">
        <v>76</v>
      </c>
      <c r="J844" t="s">
        <v>77</v>
      </c>
      <c r="K844" t="s">
        <v>78</v>
      </c>
      <c r="L844" t="s">
        <v>758</v>
      </c>
      <c r="M844" t="s">
        <v>759</v>
      </c>
      <c r="N844" t="s">
        <v>760</v>
      </c>
      <c r="O844" t="s">
        <v>82</v>
      </c>
      <c r="P844" t="str">
        <f>"4170047392                    "</f>
        <v xml:space="preserve">4170047392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43.78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</v>
      </c>
      <c r="BJ844">
        <v>0.9</v>
      </c>
      <c r="BK844">
        <v>2</v>
      </c>
      <c r="BL844">
        <v>137.94</v>
      </c>
      <c r="BM844">
        <v>20.69</v>
      </c>
      <c r="BN844">
        <v>158.63</v>
      </c>
      <c r="BO844">
        <v>158.63</v>
      </c>
      <c r="BQ844" t="s">
        <v>761</v>
      </c>
      <c r="BR844" t="s">
        <v>84</v>
      </c>
      <c r="BS844" s="3">
        <v>45847</v>
      </c>
      <c r="BT844" s="4">
        <v>0.40138888888888891</v>
      </c>
      <c r="BU844" t="s">
        <v>1110</v>
      </c>
      <c r="BV844" t="s">
        <v>98</v>
      </c>
      <c r="BY844">
        <v>4560</v>
      </c>
      <c r="BZ844" t="s">
        <v>89</v>
      </c>
      <c r="CA844" t="s">
        <v>763</v>
      </c>
      <c r="CC844" t="s">
        <v>759</v>
      </c>
      <c r="CD844">
        <v>2531</v>
      </c>
      <c r="CE844" t="s">
        <v>117</v>
      </c>
      <c r="CF844" s="3">
        <v>45848</v>
      </c>
      <c r="CI844">
        <v>1</v>
      </c>
      <c r="CJ844">
        <v>1</v>
      </c>
      <c r="CK844">
        <v>23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"080066425364"</f>
        <v>080066425364</v>
      </c>
      <c r="F845" s="3">
        <v>45846</v>
      </c>
      <c r="G845">
        <v>202604</v>
      </c>
      <c r="H845" t="s">
        <v>75</v>
      </c>
      <c r="I845" t="s">
        <v>76</v>
      </c>
      <c r="J845" t="s">
        <v>77</v>
      </c>
      <c r="K845" t="s">
        <v>78</v>
      </c>
      <c r="L845" t="s">
        <v>135</v>
      </c>
      <c r="M845" t="s">
        <v>136</v>
      </c>
      <c r="N845" t="s">
        <v>1093</v>
      </c>
      <c r="O845" t="s">
        <v>82</v>
      </c>
      <c r="P845" t="str">
        <f>"4170047313                    "</f>
        <v xml:space="preserve">4170047313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22.6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1.1000000000000001</v>
      </c>
      <c r="BK845">
        <v>2</v>
      </c>
      <c r="BL845">
        <v>71.2</v>
      </c>
      <c r="BM845">
        <v>10.68</v>
      </c>
      <c r="BN845">
        <v>81.88</v>
      </c>
      <c r="BO845">
        <v>81.88</v>
      </c>
      <c r="BQ845" t="s">
        <v>1094</v>
      </c>
      <c r="BR845" t="s">
        <v>84</v>
      </c>
      <c r="BS845" s="3">
        <v>45847</v>
      </c>
      <c r="BT845" s="4">
        <v>0.4375</v>
      </c>
      <c r="BU845" t="s">
        <v>1103</v>
      </c>
      <c r="BV845" t="s">
        <v>98</v>
      </c>
      <c r="BY845">
        <v>5320</v>
      </c>
      <c r="BZ845" t="s">
        <v>89</v>
      </c>
      <c r="CA845" t="s">
        <v>1602</v>
      </c>
      <c r="CC845" t="s">
        <v>136</v>
      </c>
      <c r="CD845">
        <v>3201</v>
      </c>
      <c r="CE845" t="s">
        <v>117</v>
      </c>
      <c r="CF845" s="3">
        <v>45847</v>
      </c>
      <c r="CI845">
        <v>1</v>
      </c>
      <c r="CJ845">
        <v>1</v>
      </c>
      <c r="CK845">
        <v>21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"080066425427"</f>
        <v>080066425427</v>
      </c>
      <c r="F846" s="3">
        <v>45846</v>
      </c>
      <c r="G846">
        <v>202604</v>
      </c>
      <c r="H846" t="s">
        <v>75</v>
      </c>
      <c r="I846" t="s">
        <v>76</v>
      </c>
      <c r="J846" t="s">
        <v>77</v>
      </c>
      <c r="K846" t="s">
        <v>78</v>
      </c>
      <c r="L846" t="s">
        <v>92</v>
      </c>
      <c r="M846" t="s">
        <v>93</v>
      </c>
      <c r="N846" t="s">
        <v>291</v>
      </c>
      <c r="O846" t="s">
        <v>82</v>
      </c>
      <c r="P846" t="str">
        <f>"4170047387                    "</f>
        <v xml:space="preserve">4170047387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22.6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1.7</v>
      </c>
      <c r="BK846">
        <v>2</v>
      </c>
      <c r="BL846">
        <v>71.2</v>
      </c>
      <c r="BM846">
        <v>10.68</v>
      </c>
      <c r="BN846">
        <v>81.88</v>
      </c>
      <c r="BO846">
        <v>81.88</v>
      </c>
      <c r="BQ846" t="s">
        <v>292</v>
      </c>
      <c r="BR846" t="s">
        <v>84</v>
      </c>
      <c r="BS846" s="3">
        <v>45847</v>
      </c>
      <c r="BT846" s="4">
        <v>0.31944444444444442</v>
      </c>
      <c r="BU846" t="s">
        <v>1571</v>
      </c>
      <c r="BV846" t="s">
        <v>98</v>
      </c>
      <c r="BY846">
        <v>8512</v>
      </c>
      <c r="BZ846" t="s">
        <v>89</v>
      </c>
      <c r="CA846" t="s">
        <v>294</v>
      </c>
      <c r="CC846" t="s">
        <v>93</v>
      </c>
      <c r="CD846">
        <v>4051</v>
      </c>
      <c r="CE846" t="s">
        <v>117</v>
      </c>
      <c r="CF846" s="3">
        <v>45847</v>
      </c>
      <c r="CI846">
        <v>1</v>
      </c>
      <c r="CJ846">
        <v>1</v>
      </c>
      <c r="CK846">
        <v>21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"080066426196"</f>
        <v>080066426196</v>
      </c>
      <c r="F847" s="3">
        <v>45846</v>
      </c>
      <c r="G847">
        <v>202604</v>
      </c>
      <c r="H847" t="s">
        <v>75</v>
      </c>
      <c r="I847" t="s">
        <v>76</v>
      </c>
      <c r="J847" t="s">
        <v>77</v>
      </c>
      <c r="K847" t="s">
        <v>78</v>
      </c>
      <c r="L847" t="s">
        <v>122</v>
      </c>
      <c r="M847" t="s">
        <v>123</v>
      </c>
      <c r="N847" t="s">
        <v>972</v>
      </c>
      <c r="O847" t="s">
        <v>82</v>
      </c>
      <c r="P847" t="str">
        <f>"4170047395                    "</f>
        <v xml:space="preserve">4170047395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22.6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71.2</v>
      </c>
      <c r="BM847">
        <v>10.68</v>
      </c>
      <c r="BN847">
        <v>81.88</v>
      </c>
      <c r="BO847">
        <v>81.88</v>
      </c>
      <c r="BQ847" t="s">
        <v>973</v>
      </c>
      <c r="BR847" t="s">
        <v>84</v>
      </c>
      <c r="BS847" s="3">
        <v>45847</v>
      </c>
      <c r="BT847" s="4">
        <v>0.50347222222222221</v>
      </c>
      <c r="BU847" t="s">
        <v>974</v>
      </c>
      <c r="BV847" t="s">
        <v>98</v>
      </c>
      <c r="BY847">
        <v>1200</v>
      </c>
      <c r="BZ847" t="s">
        <v>89</v>
      </c>
      <c r="CA847" t="s">
        <v>166</v>
      </c>
      <c r="CC847" t="s">
        <v>123</v>
      </c>
      <c r="CD847">
        <v>3610</v>
      </c>
      <c r="CE847" t="s">
        <v>239</v>
      </c>
      <c r="CF847" s="3">
        <v>45848</v>
      </c>
      <c r="CI847">
        <v>1</v>
      </c>
      <c r="CJ847">
        <v>1</v>
      </c>
      <c r="CK847">
        <v>21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"080066426216"</f>
        <v>080066426216</v>
      </c>
      <c r="F848" s="3">
        <v>45846</v>
      </c>
      <c r="G848">
        <v>202604</v>
      </c>
      <c r="H848" t="s">
        <v>75</v>
      </c>
      <c r="I848" t="s">
        <v>76</v>
      </c>
      <c r="J848" t="s">
        <v>77</v>
      </c>
      <c r="K848" t="s">
        <v>78</v>
      </c>
      <c r="L848" t="s">
        <v>146</v>
      </c>
      <c r="M848" t="s">
        <v>146</v>
      </c>
      <c r="N848" t="s">
        <v>147</v>
      </c>
      <c r="O848" t="s">
        <v>82</v>
      </c>
      <c r="P848" t="str">
        <f>"4170047382                    "</f>
        <v xml:space="preserve">4170047382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43.78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137.94</v>
      </c>
      <c r="BM848">
        <v>20.69</v>
      </c>
      <c r="BN848">
        <v>158.63</v>
      </c>
      <c r="BO848">
        <v>158.63</v>
      </c>
      <c r="BQ848" t="s">
        <v>148</v>
      </c>
      <c r="BR848" t="s">
        <v>84</v>
      </c>
      <c r="BS848" s="3">
        <v>45847</v>
      </c>
      <c r="BT848" s="4">
        <v>0.51180555555555551</v>
      </c>
      <c r="BU848" t="s">
        <v>149</v>
      </c>
      <c r="BV848" t="s">
        <v>98</v>
      </c>
      <c r="BY848">
        <v>1200</v>
      </c>
      <c r="BZ848" t="s">
        <v>89</v>
      </c>
      <c r="CA848" t="s">
        <v>150</v>
      </c>
      <c r="CC848" t="s">
        <v>146</v>
      </c>
      <c r="CD848">
        <v>7646</v>
      </c>
      <c r="CE848" t="s">
        <v>239</v>
      </c>
      <c r="CF848" s="3">
        <v>45848</v>
      </c>
      <c r="CI848">
        <v>1</v>
      </c>
      <c r="CJ848">
        <v>1</v>
      </c>
      <c r="CK848">
        <v>23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"080066426232"</f>
        <v>080066426232</v>
      </c>
      <c r="F849" s="3">
        <v>45846</v>
      </c>
      <c r="G849">
        <v>202604</v>
      </c>
      <c r="H849" t="s">
        <v>75</v>
      </c>
      <c r="I849" t="s">
        <v>76</v>
      </c>
      <c r="J849" t="s">
        <v>77</v>
      </c>
      <c r="K849" t="s">
        <v>78</v>
      </c>
      <c r="L849" t="s">
        <v>79</v>
      </c>
      <c r="M849" t="s">
        <v>80</v>
      </c>
      <c r="N849" t="s">
        <v>159</v>
      </c>
      <c r="O849" t="s">
        <v>82</v>
      </c>
      <c r="P849" t="str">
        <f>"4170047381                    "</f>
        <v xml:space="preserve">4170047381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22.6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71.2</v>
      </c>
      <c r="BM849">
        <v>10.68</v>
      </c>
      <c r="BN849">
        <v>81.88</v>
      </c>
      <c r="BO849">
        <v>81.88</v>
      </c>
      <c r="BQ849" t="s">
        <v>160</v>
      </c>
      <c r="BR849" t="s">
        <v>84</v>
      </c>
      <c r="BS849" s="3">
        <v>45847</v>
      </c>
      <c r="BT849" s="4">
        <v>0.4152777777777778</v>
      </c>
      <c r="BU849" t="s">
        <v>1603</v>
      </c>
      <c r="BV849" t="s">
        <v>98</v>
      </c>
      <c r="BY849">
        <v>1200</v>
      </c>
      <c r="BZ849" t="s">
        <v>89</v>
      </c>
      <c r="CA849" t="s">
        <v>1189</v>
      </c>
      <c r="CC849" t="s">
        <v>80</v>
      </c>
      <c r="CD849">
        <v>7441</v>
      </c>
      <c r="CE849" t="s">
        <v>239</v>
      </c>
      <c r="CF849" s="3">
        <v>45848</v>
      </c>
      <c r="CI849">
        <v>1</v>
      </c>
      <c r="CJ849">
        <v>1</v>
      </c>
      <c r="CK849">
        <v>21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"080066426260"</f>
        <v>080066426260</v>
      </c>
      <c r="F850" s="3">
        <v>45846</v>
      </c>
      <c r="G850">
        <v>202604</v>
      </c>
      <c r="H850" t="s">
        <v>75</v>
      </c>
      <c r="I850" t="s">
        <v>76</v>
      </c>
      <c r="J850" t="s">
        <v>77</v>
      </c>
      <c r="K850" t="s">
        <v>78</v>
      </c>
      <c r="L850" t="s">
        <v>350</v>
      </c>
      <c r="M850" t="s">
        <v>351</v>
      </c>
      <c r="N850" t="s">
        <v>352</v>
      </c>
      <c r="O850" t="s">
        <v>82</v>
      </c>
      <c r="P850" t="str">
        <f>"4170047411                    "</f>
        <v xml:space="preserve">4170047411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71.2</v>
      </c>
      <c r="BM850">
        <v>10.68</v>
      </c>
      <c r="BN850">
        <v>81.88</v>
      </c>
      <c r="BO850">
        <v>81.88</v>
      </c>
      <c r="BQ850" t="s">
        <v>353</v>
      </c>
      <c r="BR850" t="s">
        <v>84</v>
      </c>
      <c r="BS850" s="3">
        <v>45847</v>
      </c>
      <c r="BT850" s="4">
        <v>0.44444444444444442</v>
      </c>
      <c r="BU850" t="s">
        <v>1604</v>
      </c>
      <c r="BV850" t="s">
        <v>86</v>
      </c>
      <c r="BW850" t="s">
        <v>194</v>
      </c>
      <c r="BX850" t="s">
        <v>220</v>
      </c>
      <c r="BY850">
        <v>1200</v>
      </c>
      <c r="BZ850" t="s">
        <v>89</v>
      </c>
      <c r="CA850" t="s">
        <v>1428</v>
      </c>
      <c r="CC850" t="s">
        <v>351</v>
      </c>
      <c r="CD850">
        <v>4133</v>
      </c>
      <c r="CE850" t="s">
        <v>239</v>
      </c>
      <c r="CF850" s="3">
        <v>45847</v>
      </c>
      <c r="CI850">
        <v>1</v>
      </c>
      <c r="CJ850">
        <v>1</v>
      </c>
      <c r="CK850">
        <v>21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"080066426284"</f>
        <v>080066426284</v>
      </c>
      <c r="F851" s="3">
        <v>45846</v>
      </c>
      <c r="G851">
        <v>202604</v>
      </c>
      <c r="H851" t="s">
        <v>75</v>
      </c>
      <c r="I851" t="s">
        <v>76</v>
      </c>
      <c r="J851" t="s">
        <v>77</v>
      </c>
      <c r="K851" t="s">
        <v>78</v>
      </c>
      <c r="L851" t="s">
        <v>580</v>
      </c>
      <c r="M851" t="s">
        <v>581</v>
      </c>
      <c r="N851" t="s">
        <v>582</v>
      </c>
      <c r="O851" t="s">
        <v>82</v>
      </c>
      <c r="P851" t="str">
        <f>"4170047423                    "</f>
        <v xml:space="preserve">4170047423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22.6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71.2</v>
      </c>
      <c r="BM851">
        <v>10.68</v>
      </c>
      <c r="BN851">
        <v>81.88</v>
      </c>
      <c r="BO851">
        <v>81.88</v>
      </c>
      <c r="BQ851" t="s">
        <v>583</v>
      </c>
      <c r="BR851" t="s">
        <v>84</v>
      </c>
      <c r="BS851" s="3">
        <v>45847</v>
      </c>
      <c r="BT851" s="4">
        <v>0.36805555555555558</v>
      </c>
      <c r="BU851" t="s">
        <v>584</v>
      </c>
      <c r="BV851" t="s">
        <v>98</v>
      </c>
      <c r="BY851">
        <v>1200</v>
      </c>
      <c r="BZ851" t="s">
        <v>89</v>
      </c>
      <c r="CA851" t="s">
        <v>585</v>
      </c>
      <c r="CC851" t="s">
        <v>581</v>
      </c>
      <c r="CD851">
        <v>4302</v>
      </c>
      <c r="CE851" t="s">
        <v>239</v>
      </c>
      <c r="CF851" s="3">
        <v>45847</v>
      </c>
      <c r="CI851">
        <v>1</v>
      </c>
      <c r="CJ851">
        <v>1</v>
      </c>
      <c r="CK851">
        <v>21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"080066426307"</f>
        <v>080066426307</v>
      </c>
      <c r="F852" s="3">
        <v>45846</v>
      </c>
      <c r="G852">
        <v>202604</v>
      </c>
      <c r="H852" t="s">
        <v>75</v>
      </c>
      <c r="I852" t="s">
        <v>76</v>
      </c>
      <c r="J852" t="s">
        <v>77</v>
      </c>
      <c r="K852" t="s">
        <v>78</v>
      </c>
      <c r="L852" t="s">
        <v>240</v>
      </c>
      <c r="M852" t="s">
        <v>241</v>
      </c>
      <c r="N852" t="s">
        <v>1605</v>
      </c>
      <c r="O852" t="s">
        <v>82</v>
      </c>
      <c r="P852" t="str">
        <f>"4170047401                    "</f>
        <v xml:space="preserve">4170047401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17.649999999999999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55.61</v>
      </c>
      <c r="BM852">
        <v>8.34</v>
      </c>
      <c r="BN852">
        <v>63.95</v>
      </c>
      <c r="BO852">
        <v>63.95</v>
      </c>
      <c r="BQ852" t="s">
        <v>1606</v>
      </c>
      <c r="BR852" t="s">
        <v>84</v>
      </c>
      <c r="BS852" s="3">
        <v>45847</v>
      </c>
      <c r="BT852" s="4">
        <v>0.43055555555555558</v>
      </c>
      <c r="BU852" t="s">
        <v>1607</v>
      </c>
      <c r="BV852" t="s">
        <v>98</v>
      </c>
      <c r="BY852">
        <v>1200</v>
      </c>
      <c r="BZ852" t="s">
        <v>89</v>
      </c>
      <c r="CA852" t="s">
        <v>245</v>
      </c>
      <c r="CC852" t="s">
        <v>241</v>
      </c>
      <c r="CD852">
        <v>2190</v>
      </c>
      <c r="CE852" t="s">
        <v>239</v>
      </c>
      <c r="CF852" s="3">
        <v>45848</v>
      </c>
      <c r="CI852">
        <v>1</v>
      </c>
      <c r="CJ852">
        <v>1</v>
      </c>
      <c r="CK852">
        <v>22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"080066426328"</f>
        <v>080066426328</v>
      </c>
      <c r="F853" s="3">
        <v>45846</v>
      </c>
      <c r="G853">
        <v>202604</v>
      </c>
      <c r="H853" t="s">
        <v>75</v>
      </c>
      <c r="I853" t="s">
        <v>76</v>
      </c>
      <c r="J853" t="s">
        <v>77</v>
      </c>
      <c r="K853" t="s">
        <v>78</v>
      </c>
      <c r="L853" t="s">
        <v>75</v>
      </c>
      <c r="M853" t="s">
        <v>76</v>
      </c>
      <c r="N853" t="s">
        <v>809</v>
      </c>
      <c r="O853" t="s">
        <v>311</v>
      </c>
      <c r="P853" t="str">
        <f>"4170047426                    "</f>
        <v xml:space="preserve">4170047426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17.66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5</v>
      </c>
      <c r="BJ853">
        <v>2.1</v>
      </c>
      <c r="BK853">
        <v>5</v>
      </c>
      <c r="BL853">
        <v>55.63</v>
      </c>
      <c r="BM853">
        <v>8.34</v>
      </c>
      <c r="BN853">
        <v>63.97</v>
      </c>
      <c r="BO853">
        <v>63.97</v>
      </c>
      <c r="BQ853" t="s">
        <v>810</v>
      </c>
      <c r="BR853" t="s">
        <v>84</v>
      </c>
      <c r="BS853" s="3">
        <v>45848</v>
      </c>
      <c r="BT853" s="4">
        <v>0.41458333333333336</v>
      </c>
      <c r="BU853" t="s">
        <v>383</v>
      </c>
      <c r="BV853" t="s">
        <v>86</v>
      </c>
      <c r="BW853" t="s">
        <v>1608</v>
      </c>
      <c r="BX853" t="s">
        <v>1420</v>
      </c>
      <c r="BY853">
        <v>10584</v>
      </c>
      <c r="BZ853" t="s">
        <v>99</v>
      </c>
      <c r="CA853" t="s">
        <v>384</v>
      </c>
      <c r="CC853" t="s">
        <v>76</v>
      </c>
      <c r="CD853">
        <v>1666</v>
      </c>
      <c r="CE853" t="s">
        <v>91</v>
      </c>
      <c r="CI853">
        <v>1</v>
      </c>
      <c r="CJ853">
        <v>2</v>
      </c>
      <c r="CK853">
        <v>32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"080066426352"</f>
        <v>080066426352</v>
      </c>
      <c r="F854" s="3">
        <v>45846</v>
      </c>
      <c r="G854">
        <v>202604</v>
      </c>
      <c r="H854" t="s">
        <v>75</v>
      </c>
      <c r="I854" t="s">
        <v>76</v>
      </c>
      <c r="J854" t="s">
        <v>77</v>
      </c>
      <c r="K854" t="s">
        <v>78</v>
      </c>
      <c r="L854" t="s">
        <v>92</v>
      </c>
      <c r="M854" t="s">
        <v>93</v>
      </c>
      <c r="N854" t="s">
        <v>291</v>
      </c>
      <c r="O854" t="s">
        <v>82</v>
      </c>
      <c r="P854" t="str">
        <f>"4170047452                    "</f>
        <v xml:space="preserve">4170047452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90.34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8</v>
      </c>
      <c r="BJ854">
        <v>3.4</v>
      </c>
      <c r="BK854">
        <v>8</v>
      </c>
      <c r="BL854">
        <v>284.62</v>
      </c>
      <c r="BM854">
        <v>42.69</v>
      </c>
      <c r="BN854">
        <v>327.31</v>
      </c>
      <c r="BO854">
        <v>327.31</v>
      </c>
      <c r="BQ854" t="s">
        <v>292</v>
      </c>
      <c r="BR854" t="s">
        <v>84</v>
      </c>
      <c r="BS854" s="3">
        <v>45847</v>
      </c>
      <c r="BT854" s="4">
        <v>0.31944444444444442</v>
      </c>
      <c r="BU854" t="s">
        <v>1571</v>
      </c>
      <c r="BV854" t="s">
        <v>98</v>
      </c>
      <c r="BY854">
        <v>16965</v>
      </c>
      <c r="BZ854" t="s">
        <v>89</v>
      </c>
      <c r="CA854" t="s">
        <v>294</v>
      </c>
      <c r="CC854" t="s">
        <v>93</v>
      </c>
      <c r="CD854">
        <v>4051</v>
      </c>
      <c r="CE854" t="s">
        <v>117</v>
      </c>
      <c r="CF854" s="3">
        <v>45847</v>
      </c>
      <c r="CI854">
        <v>1</v>
      </c>
      <c r="CJ854">
        <v>1</v>
      </c>
      <c r="CK854">
        <v>21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"080066426375"</f>
        <v>080066426375</v>
      </c>
      <c r="F855" s="3">
        <v>45846</v>
      </c>
      <c r="G855">
        <v>202604</v>
      </c>
      <c r="H855" t="s">
        <v>75</v>
      </c>
      <c r="I855" t="s">
        <v>76</v>
      </c>
      <c r="J855" t="s">
        <v>77</v>
      </c>
      <c r="K855" t="s">
        <v>78</v>
      </c>
      <c r="L855" t="s">
        <v>670</v>
      </c>
      <c r="M855" t="s">
        <v>671</v>
      </c>
      <c r="N855" t="s">
        <v>1609</v>
      </c>
      <c r="O855" t="s">
        <v>82</v>
      </c>
      <c r="P855" t="str">
        <f>"4170047416                    "</f>
        <v xml:space="preserve">4170047416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17.649999999999999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4</v>
      </c>
      <c r="BJ855">
        <v>2.1</v>
      </c>
      <c r="BK855">
        <v>4</v>
      </c>
      <c r="BL855">
        <v>55.61</v>
      </c>
      <c r="BM855">
        <v>8.34</v>
      </c>
      <c r="BN855">
        <v>63.95</v>
      </c>
      <c r="BO855">
        <v>63.95</v>
      </c>
      <c r="BQ855" t="s">
        <v>1610</v>
      </c>
      <c r="BR855" t="s">
        <v>84</v>
      </c>
      <c r="BS855" s="3">
        <v>45847</v>
      </c>
      <c r="BT855" s="4">
        <v>0.62152777777777779</v>
      </c>
      <c r="BU855" t="s">
        <v>1611</v>
      </c>
      <c r="BV855" t="s">
        <v>86</v>
      </c>
      <c r="BY855">
        <v>10640</v>
      </c>
      <c r="BZ855" t="s">
        <v>89</v>
      </c>
      <c r="CA855" t="s">
        <v>676</v>
      </c>
      <c r="CC855" t="s">
        <v>671</v>
      </c>
      <c r="CD855">
        <v>2163</v>
      </c>
      <c r="CE855" t="s">
        <v>91</v>
      </c>
      <c r="CF855" s="3">
        <v>45848</v>
      </c>
      <c r="CI855">
        <v>1</v>
      </c>
      <c r="CJ855">
        <v>1</v>
      </c>
      <c r="CK855">
        <v>22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"080066426410"</f>
        <v>080066426410</v>
      </c>
      <c r="F856" s="3">
        <v>45846</v>
      </c>
      <c r="G856">
        <v>202604</v>
      </c>
      <c r="H856" t="s">
        <v>75</v>
      </c>
      <c r="I856" t="s">
        <v>76</v>
      </c>
      <c r="J856" t="s">
        <v>77</v>
      </c>
      <c r="K856" t="s">
        <v>78</v>
      </c>
      <c r="L856" t="s">
        <v>79</v>
      </c>
      <c r="M856" t="s">
        <v>80</v>
      </c>
      <c r="N856" t="s">
        <v>931</v>
      </c>
      <c r="O856" t="s">
        <v>82</v>
      </c>
      <c r="P856" t="str">
        <f>"4170047218                    "</f>
        <v xml:space="preserve">4170047218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45.18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3.7</v>
      </c>
      <c r="BK856">
        <v>4</v>
      </c>
      <c r="BL856">
        <v>142.34</v>
      </c>
      <c r="BM856">
        <v>21.35</v>
      </c>
      <c r="BN856">
        <v>163.69</v>
      </c>
      <c r="BO856">
        <v>163.69</v>
      </c>
      <c r="BQ856" t="s">
        <v>932</v>
      </c>
      <c r="BR856" t="s">
        <v>84</v>
      </c>
      <c r="BS856" s="3">
        <v>45847</v>
      </c>
      <c r="BT856" s="4">
        <v>0.4236111111111111</v>
      </c>
      <c r="BU856" t="s">
        <v>933</v>
      </c>
      <c r="BV856" t="s">
        <v>98</v>
      </c>
      <c r="BY856">
        <v>18304</v>
      </c>
      <c r="BZ856" t="s">
        <v>89</v>
      </c>
      <c r="CA856" t="s">
        <v>934</v>
      </c>
      <c r="CC856" t="s">
        <v>80</v>
      </c>
      <c r="CD856">
        <v>7535</v>
      </c>
      <c r="CE856" t="s">
        <v>117</v>
      </c>
      <c r="CF856" s="3">
        <v>45848</v>
      </c>
      <c r="CI856">
        <v>1</v>
      </c>
      <c r="CJ856">
        <v>1</v>
      </c>
      <c r="CK856">
        <v>21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"080066426472"</f>
        <v>080066426472</v>
      </c>
      <c r="F857" s="3">
        <v>45846</v>
      </c>
      <c r="G857">
        <v>202604</v>
      </c>
      <c r="H857" t="s">
        <v>75</v>
      </c>
      <c r="I857" t="s">
        <v>76</v>
      </c>
      <c r="J857" t="s">
        <v>77</v>
      </c>
      <c r="K857" t="s">
        <v>78</v>
      </c>
      <c r="L857" t="s">
        <v>79</v>
      </c>
      <c r="M857" t="s">
        <v>80</v>
      </c>
      <c r="N857" t="s">
        <v>931</v>
      </c>
      <c r="O857" t="s">
        <v>82</v>
      </c>
      <c r="P857" t="str">
        <f>"4170047219                    "</f>
        <v xml:space="preserve">4170047219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45.18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3.7</v>
      </c>
      <c r="BK857">
        <v>4</v>
      </c>
      <c r="BL857">
        <v>142.34</v>
      </c>
      <c r="BM857">
        <v>21.35</v>
      </c>
      <c r="BN857">
        <v>163.69</v>
      </c>
      <c r="BO857">
        <v>163.69</v>
      </c>
      <c r="BQ857" t="s">
        <v>932</v>
      </c>
      <c r="BR857" t="s">
        <v>84</v>
      </c>
      <c r="BS857" s="3">
        <v>45847</v>
      </c>
      <c r="BT857" s="4">
        <v>0.4236111111111111</v>
      </c>
      <c r="BU857" t="s">
        <v>933</v>
      </c>
      <c r="BV857" t="s">
        <v>98</v>
      </c>
      <c r="BY857">
        <v>18304</v>
      </c>
      <c r="BZ857" t="s">
        <v>89</v>
      </c>
      <c r="CA857" t="s">
        <v>934</v>
      </c>
      <c r="CC857" t="s">
        <v>80</v>
      </c>
      <c r="CD857">
        <v>7535</v>
      </c>
      <c r="CE857" t="s">
        <v>117</v>
      </c>
      <c r="CF857" s="3">
        <v>45848</v>
      </c>
      <c r="CI857">
        <v>1</v>
      </c>
      <c r="CJ857">
        <v>1</v>
      </c>
      <c r="CK857">
        <v>21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"080066426559"</f>
        <v>080066426559</v>
      </c>
      <c r="F858" s="3">
        <v>45846</v>
      </c>
      <c r="G858">
        <v>202604</v>
      </c>
      <c r="H858" t="s">
        <v>75</v>
      </c>
      <c r="I858" t="s">
        <v>76</v>
      </c>
      <c r="J858" t="s">
        <v>77</v>
      </c>
      <c r="K858" t="s">
        <v>78</v>
      </c>
      <c r="L858" t="s">
        <v>295</v>
      </c>
      <c r="M858" t="s">
        <v>296</v>
      </c>
      <c r="N858" t="s">
        <v>1090</v>
      </c>
      <c r="O858" t="s">
        <v>82</v>
      </c>
      <c r="P858" t="str">
        <f>"4170047291                    "</f>
        <v xml:space="preserve">4170047291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17.649999999999999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1.1000000000000001</v>
      </c>
      <c r="BK858">
        <v>2</v>
      </c>
      <c r="BL858">
        <v>55.61</v>
      </c>
      <c r="BM858">
        <v>8.34</v>
      </c>
      <c r="BN858">
        <v>63.95</v>
      </c>
      <c r="BO858">
        <v>63.95</v>
      </c>
      <c r="BQ858" t="s">
        <v>1091</v>
      </c>
      <c r="BR858" t="s">
        <v>84</v>
      </c>
      <c r="BS858" s="3">
        <v>45847</v>
      </c>
      <c r="BT858" s="4">
        <v>0.43472222222222223</v>
      </c>
      <c r="BU858" t="s">
        <v>1612</v>
      </c>
      <c r="BV858" t="s">
        <v>98</v>
      </c>
      <c r="BY858">
        <v>5320</v>
      </c>
      <c r="BZ858" t="s">
        <v>89</v>
      </c>
      <c r="CA858" t="s">
        <v>1613</v>
      </c>
      <c r="CC858" t="s">
        <v>296</v>
      </c>
      <c r="CD858">
        <v>1459</v>
      </c>
      <c r="CE858" t="s">
        <v>117</v>
      </c>
      <c r="CF858" s="3">
        <v>45848</v>
      </c>
      <c r="CI858">
        <v>1</v>
      </c>
      <c r="CJ858">
        <v>1</v>
      </c>
      <c r="CK858">
        <v>22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"080066426591"</f>
        <v>080066426591</v>
      </c>
      <c r="F859" s="3">
        <v>45846</v>
      </c>
      <c r="G859">
        <v>202604</v>
      </c>
      <c r="H859" t="s">
        <v>75</v>
      </c>
      <c r="I859" t="s">
        <v>76</v>
      </c>
      <c r="J859" t="s">
        <v>77</v>
      </c>
      <c r="K859" t="s">
        <v>78</v>
      </c>
      <c r="L859" t="s">
        <v>122</v>
      </c>
      <c r="M859" t="s">
        <v>123</v>
      </c>
      <c r="N859" t="s">
        <v>1142</v>
      </c>
      <c r="O859" t="s">
        <v>82</v>
      </c>
      <c r="P859" t="str">
        <f>"4170047417                    "</f>
        <v xml:space="preserve">4170047417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22.6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0.3</v>
      </c>
      <c r="BK859">
        <v>1</v>
      </c>
      <c r="BL859">
        <v>71.2</v>
      </c>
      <c r="BM859">
        <v>10.68</v>
      </c>
      <c r="BN859">
        <v>81.88</v>
      </c>
      <c r="BO859">
        <v>81.88</v>
      </c>
      <c r="BQ859" t="s">
        <v>1108</v>
      </c>
      <c r="BR859" t="s">
        <v>84</v>
      </c>
      <c r="BS859" s="3">
        <v>45847</v>
      </c>
      <c r="BT859" s="4">
        <v>0.5131944444444444</v>
      </c>
      <c r="BU859" t="s">
        <v>1614</v>
      </c>
      <c r="BV859" t="s">
        <v>86</v>
      </c>
      <c r="BW859" t="s">
        <v>194</v>
      </c>
      <c r="BX859" t="s">
        <v>1435</v>
      </c>
      <c r="BY859">
        <v>1350</v>
      </c>
      <c r="BZ859" t="s">
        <v>89</v>
      </c>
      <c r="CA859" t="s">
        <v>166</v>
      </c>
      <c r="CC859" t="s">
        <v>123</v>
      </c>
      <c r="CD859">
        <v>3620</v>
      </c>
      <c r="CE859" t="s">
        <v>1615</v>
      </c>
      <c r="CF859" s="3">
        <v>45848</v>
      </c>
      <c r="CI859">
        <v>1</v>
      </c>
      <c r="CJ859">
        <v>1</v>
      </c>
      <c r="CK859">
        <v>21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"080066426594"</f>
        <v>080066426594</v>
      </c>
      <c r="F860" s="3">
        <v>45846</v>
      </c>
      <c r="G860">
        <v>202604</v>
      </c>
      <c r="H860" t="s">
        <v>75</v>
      </c>
      <c r="I860" t="s">
        <v>76</v>
      </c>
      <c r="J860" t="s">
        <v>77</v>
      </c>
      <c r="K860" t="s">
        <v>78</v>
      </c>
      <c r="L860" t="s">
        <v>75</v>
      </c>
      <c r="M860" t="s">
        <v>76</v>
      </c>
      <c r="N860" t="s">
        <v>1616</v>
      </c>
      <c r="O860" t="s">
        <v>82</v>
      </c>
      <c r="P860" t="str">
        <f>"4170047453                    "</f>
        <v xml:space="preserve">4170047453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17.649999999999999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3</v>
      </c>
      <c r="BJ860">
        <v>1.7</v>
      </c>
      <c r="BK860">
        <v>3</v>
      </c>
      <c r="BL860">
        <v>55.61</v>
      </c>
      <c r="BM860">
        <v>8.34</v>
      </c>
      <c r="BN860">
        <v>63.95</v>
      </c>
      <c r="BO860">
        <v>63.95</v>
      </c>
      <c r="BQ860" t="s">
        <v>1617</v>
      </c>
      <c r="BR860" t="s">
        <v>84</v>
      </c>
      <c r="BS860" s="3">
        <v>45847</v>
      </c>
      <c r="BT860" s="4">
        <v>0.40069444444444446</v>
      </c>
      <c r="BU860" t="s">
        <v>1618</v>
      </c>
      <c r="BV860" t="s">
        <v>98</v>
      </c>
      <c r="BY860">
        <v>8512</v>
      </c>
      <c r="BZ860" t="s">
        <v>89</v>
      </c>
      <c r="CA860" t="s">
        <v>778</v>
      </c>
      <c r="CC860" t="s">
        <v>76</v>
      </c>
      <c r="CD860">
        <v>1610</v>
      </c>
      <c r="CE860" t="s">
        <v>117</v>
      </c>
      <c r="CF860" s="3">
        <v>45847</v>
      </c>
      <c r="CI860">
        <v>1</v>
      </c>
      <c r="CJ860">
        <v>1</v>
      </c>
      <c r="CK860">
        <v>22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"080066426620"</f>
        <v>080066426620</v>
      </c>
      <c r="F861" s="3">
        <v>45846</v>
      </c>
      <c r="G861">
        <v>202604</v>
      </c>
      <c r="H861" t="s">
        <v>75</v>
      </c>
      <c r="I861" t="s">
        <v>76</v>
      </c>
      <c r="J861" t="s">
        <v>77</v>
      </c>
      <c r="K861" t="s">
        <v>78</v>
      </c>
      <c r="L861" t="s">
        <v>174</v>
      </c>
      <c r="M861" t="s">
        <v>175</v>
      </c>
      <c r="N861" t="s">
        <v>659</v>
      </c>
      <c r="O861" t="s">
        <v>82</v>
      </c>
      <c r="P861" t="str">
        <f>"4170047280                    "</f>
        <v xml:space="preserve">4170047280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95.99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8.1</v>
      </c>
      <c r="BK861">
        <v>8.5</v>
      </c>
      <c r="BL861">
        <v>302.41000000000003</v>
      </c>
      <c r="BM861">
        <v>45.36</v>
      </c>
      <c r="BN861">
        <v>347.77</v>
      </c>
      <c r="BO861">
        <v>347.77</v>
      </c>
      <c r="BQ861" t="s">
        <v>660</v>
      </c>
      <c r="BR861" t="s">
        <v>84</v>
      </c>
      <c r="BS861" s="3">
        <v>45847</v>
      </c>
      <c r="BT861" s="4">
        <v>0.43472222222222223</v>
      </c>
      <c r="BU861" t="s">
        <v>661</v>
      </c>
      <c r="BV861" t="s">
        <v>98</v>
      </c>
      <c r="BY861">
        <v>40500</v>
      </c>
      <c r="BZ861" t="s">
        <v>89</v>
      </c>
      <c r="CA861" t="s">
        <v>173</v>
      </c>
      <c r="CC861" t="s">
        <v>175</v>
      </c>
      <c r="CD861">
        <v>6220</v>
      </c>
      <c r="CE861" t="s">
        <v>1615</v>
      </c>
      <c r="CF861" s="3">
        <v>45847</v>
      </c>
      <c r="CI861">
        <v>1</v>
      </c>
      <c r="CJ861">
        <v>1</v>
      </c>
      <c r="CK861">
        <v>21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"080066426711"</f>
        <v>080066426711</v>
      </c>
      <c r="F862" s="3">
        <v>45846</v>
      </c>
      <c r="G862">
        <v>202604</v>
      </c>
      <c r="H862" t="s">
        <v>75</v>
      </c>
      <c r="I862" t="s">
        <v>76</v>
      </c>
      <c r="J862" t="s">
        <v>77</v>
      </c>
      <c r="K862" t="s">
        <v>78</v>
      </c>
      <c r="L862" t="s">
        <v>75</v>
      </c>
      <c r="M862" t="s">
        <v>76</v>
      </c>
      <c r="N862" t="s">
        <v>809</v>
      </c>
      <c r="O862" t="s">
        <v>82</v>
      </c>
      <c r="P862" t="str">
        <f>"4170047450                    "</f>
        <v xml:space="preserve">4170047450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17.649999999999999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55.61</v>
      </c>
      <c r="BM862">
        <v>8.34</v>
      </c>
      <c r="BN862">
        <v>63.95</v>
      </c>
      <c r="BO862">
        <v>63.95</v>
      </c>
      <c r="BQ862" t="s">
        <v>810</v>
      </c>
      <c r="BR862" t="s">
        <v>84</v>
      </c>
      <c r="BS862" s="3">
        <v>45847</v>
      </c>
      <c r="BT862" s="4">
        <v>0.36458333333333331</v>
      </c>
      <c r="BU862" t="s">
        <v>882</v>
      </c>
      <c r="BV862" t="s">
        <v>98</v>
      </c>
      <c r="BY862">
        <v>1200</v>
      </c>
      <c r="BZ862" t="s">
        <v>89</v>
      </c>
      <c r="CA862" t="s">
        <v>883</v>
      </c>
      <c r="CC862" t="s">
        <v>76</v>
      </c>
      <c r="CD862">
        <v>1666</v>
      </c>
      <c r="CE862" t="s">
        <v>239</v>
      </c>
      <c r="CF862" s="3">
        <v>45848</v>
      </c>
      <c r="CI862">
        <v>1</v>
      </c>
      <c r="CJ862">
        <v>1</v>
      </c>
      <c r="CK862">
        <v>22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"080066426716"</f>
        <v>080066426716</v>
      </c>
      <c r="F863" s="3">
        <v>45846</v>
      </c>
      <c r="G863">
        <v>202604</v>
      </c>
      <c r="H863" t="s">
        <v>75</v>
      </c>
      <c r="I863" t="s">
        <v>76</v>
      </c>
      <c r="J863" t="s">
        <v>77</v>
      </c>
      <c r="K863" t="s">
        <v>78</v>
      </c>
      <c r="L863" t="s">
        <v>168</v>
      </c>
      <c r="M863" t="s">
        <v>169</v>
      </c>
      <c r="N863" t="s">
        <v>191</v>
      </c>
      <c r="O863" t="s">
        <v>82</v>
      </c>
      <c r="P863" t="str">
        <f>"4170047358                    "</f>
        <v xml:space="preserve">4170047358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22.6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0.3</v>
      </c>
      <c r="BK863">
        <v>1</v>
      </c>
      <c r="BL863">
        <v>71.2</v>
      </c>
      <c r="BM863">
        <v>10.68</v>
      </c>
      <c r="BN863">
        <v>81.88</v>
      </c>
      <c r="BO863">
        <v>81.88</v>
      </c>
      <c r="BQ863" t="s">
        <v>192</v>
      </c>
      <c r="BR863" t="s">
        <v>84</v>
      </c>
      <c r="BS863" s="3">
        <v>45847</v>
      </c>
      <c r="BT863" s="4">
        <v>0.43472222222222223</v>
      </c>
      <c r="BU863" t="s">
        <v>193</v>
      </c>
      <c r="BV863" t="s">
        <v>98</v>
      </c>
      <c r="BY863">
        <v>1350</v>
      </c>
      <c r="BZ863" t="s">
        <v>89</v>
      </c>
      <c r="CA863" t="s">
        <v>196</v>
      </c>
      <c r="CC863" t="s">
        <v>169</v>
      </c>
      <c r="CD863">
        <v>6056</v>
      </c>
      <c r="CE863" t="s">
        <v>1619</v>
      </c>
      <c r="CF863" s="3">
        <v>45847</v>
      </c>
      <c r="CI863">
        <v>1</v>
      </c>
      <c r="CJ863">
        <v>1</v>
      </c>
      <c r="CK863">
        <v>21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"080066426735"</f>
        <v>080066426735</v>
      </c>
      <c r="F864" s="3">
        <v>45846</v>
      </c>
      <c r="G864">
        <v>202604</v>
      </c>
      <c r="H864" t="s">
        <v>75</v>
      </c>
      <c r="I864" t="s">
        <v>76</v>
      </c>
      <c r="J864" t="s">
        <v>77</v>
      </c>
      <c r="K864" t="s">
        <v>78</v>
      </c>
      <c r="L864" t="s">
        <v>168</v>
      </c>
      <c r="M864" t="s">
        <v>169</v>
      </c>
      <c r="N864" t="s">
        <v>420</v>
      </c>
      <c r="O864" t="s">
        <v>82</v>
      </c>
      <c r="P864" t="str">
        <f>"4170047359                    "</f>
        <v xml:space="preserve">4170047359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22.6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71.2</v>
      </c>
      <c r="BM864">
        <v>10.68</v>
      </c>
      <c r="BN864">
        <v>81.88</v>
      </c>
      <c r="BO864">
        <v>81.88</v>
      </c>
      <c r="BQ864" t="s">
        <v>421</v>
      </c>
      <c r="BR864" t="s">
        <v>84</v>
      </c>
      <c r="BS864" s="3">
        <v>45847</v>
      </c>
      <c r="BT864" s="4">
        <v>0.41319444444444442</v>
      </c>
      <c r="BU864" t="s">
        <v>1121</v>
      </c>
      <c r="BV864" t="s">
        <v>98</v>
      </c>
      <c r="BY864">
        <v>1200</v>
      </c>
      <c r="BZ864" t="s">
        <v>89</v>
      </c>
      <c r="CA864" t="s">
        <v>423</v>
      </c>
      <c r="CC864" t="s">
        <v>169</v>
      </c>
      <c r="CD864">
        <v>6001</v>
      </c>
      <c r="CE864" t="s">
        <v>239</v>
      </c>
      <c r="CF864" s="3">
        <v>45847</v>
      </c>
      <c r="CI864">
        <v>1</v>
      </c>
      <c r="CJ864">
        <v>1</v>
      </c>
      <c r="CK864">
        <v>21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"080066426762"</f>
        <v>080066426762</v>
      </c>
      <c r="F865" s="3">
        <v>45846</v>
      </c>
      <c r="G865">
        <v>202604</v>
      </c>
      <c r="H865" t="s">
        <v>75</v>
      </c>
      <c r="I865" t="s">
        <v>76</v>
      </c>
      <c r="J865" t="s">
        <v>77</v>
      </c>
      <c r="K865" t="s">
        <v>78</v>
      </c>
      <c r="L865" t="s">
        <v>240</v>
      </c>
      <c r="M865" t="s">
        <v>241</v>
      </c>
      <c r="N865" t="s">
        <v>568</v>
      </c>
      <c r="O865" t="s">
        <v>82</v>
      </c>
      <c r="P865" t="str">
        <f>"4170047461                    "</f>
        <v xml:space="preserve">4170047461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17.649999999999999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55.61</v>
      </c>
      <c r="BM865">
        <v>8.34</v>
      </c>
      <c r="BN865">
        <v>63.95</v>
      </c>
      <c r="BO865">
        <v>63.95</v>
      </c>
      <c r="BQ865" t="s">
        <v>569</v>
      </c>
      <c r="BR865" t="s">
        <v>84</v>
      </c>
      <c r="BS865" s="3">
        <v>45848</v>
      </c>
      <c r="BT865" s="4">
        <v>0.58472222222222225</v>
      </c>
      <c r="BU865" t="s">
        <v>534</v>
      </c>
      <c r="BV865" t="s">
        <v>86</v>
      </c>
      <c r="BW865" t="s">
        <v>1620</v>
      </c>
      <c r="BX865" t="s">
        <v>1420</v>
      </c>
      <c r="BY865">
        <v>1200</v>
      </c>
      <c r="BZ865" t="s">
        <v>89</v>
      </c>
      <c r="CA865" t="s">
        <v>535</v>
      </c>
      <c r="CC865" t="s">
        <v>241</v>
      </c>
      <c r="CD865">
        <v>2047</v>
      </c>
      <c r="CE865" t="s">
        <v>239</v>
      </c>
      <c r="CF865" s="3">
        <v>45853</v>
      </c>
      <c r="CI865">
        <v>1</v>
      </c>
      <c r="CJ865">
        <v>2</v>
      </c>
      <c r="CK865">
        <v>22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"080066426775"</f>
        <v>080066426775</v>
      </c>
      <c r="F866" s="3">
        <v>45846</v>
      </c>
      <c r="G866">
        <v>202604</v>
      </c>
      <c r="H866" t="s">
        <v>75</v>
      </c>
      <c r="I866" t="s">
        <v>76</v>
      </c>
      <c r="J866" t="s">
        <v>77</v>
      </c>
      <c r="K866" t="s">
        <v>78</v>
      </c>
      <c r="L866" t="s">
        <v>398</v>
      </c>
      <c r="M866" t="s">
        <v>399</v>
      </c>
      <c r="N866" t="s">
        <v>1621</v>
      </c>
      <c r="O866" t="s">
        <v>82</v>
      </c>
      <c r="P866" t="str">
        <f>"4170047316                    "</f>
        <v xml:space="preserve">4170047316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17.649999999999999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55.61</v>
      </c>
      <c r="BM866">
        <v>8.34</v>
      </c>
      <c r="BN866">
        <v>63.95</v>
      </c>
      <c r="BO866">
        <v>63.95</v>
      </c>
      <c r="BQ866" t="s">
        <v>1622</v>
      </c>
      <c r="BR866" t="s">
        <v>84</v>
      </c>
      <c r="BS866" s="3">
        <v>45847</v>
      </c>
      <c r="BT866" s="4">
        <v>0.43263888888888891</v>
      </c>
      <c r="BU866" t="s">
        <v>1623</v>
      </c>
      <c r="BV866" t="s">
        <v>98</v>
      </c>
      <c r="BY866">
        <v>1200</v>
      </c>
      <c r="BZ866" t="s">
        <v>89</v>
      </c>
      <c r="CA866" t="s">
        <v>1624</v>
      </c>
      <c r="CC866" t="s">
        <v>399</v>
      </c>
      <c r="CD866">
        <v>1501</v>
      </c>
      <c r="CE866" t="s">
        <v>1615</v>
      </c>
      <c r="CF866" s="3">
        <v>45848</v>
      </c>
      <c r="CI866">
        <v>1</v>
      </c>
      <c r="CJ866">
        <v>1</v>
      </c>
      <c r="CK866">
        <v>22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"080066426821"</f>
        <v>080066426821</v>
      </c>
      <c r="F867" s="3">
        <v>45846</v>
      </c>
      <c r="G867">
        <v>202604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1625</v>
      </c>
      <c r="O867" t="s">
        <v>82</v>
      </c>
      <c r="P867" t="str">
        <f>"4170047320                    "</f>
        <v xml:space="preserve">4170047320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17.649999999999999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0.3</v>
      </c>
      <c r="BK867">
        <v>1</v>
      </c>
      <c r="BL867">
        <v>55.61</v>
      </c>
      <c r="BM867">
        <v>8.34</v>
      </c>
      <c r="BN867">
        <v>63.95</v>
      </c>
      <c r="BO867">
        <v>63.95</v>
      </c>
      <c r="BQ867" t="s">
        <v>1626</v>
      </c>
      <c r="BR867" t="s">
        <v>84</v>
      </c>
      <c r="BS867" s="3">
        <v>45847</v>
      </c>
      <c r="BT867" s="4">
        <v>0.39097222222222222</v>
      </c>
      <c r="BU867" t="s">
        <v>1627</v>
      </c>
      <c r="BV867" t="s">
        <v>98</v>
      </c>
      <c r="BY867">
        <v>1350</v>
      </c>
      <c r="BZ867" t="s">
        <v>89</v>
      </c>
      <c r="CA867" t="s">
        <v>304</v>
      </c>
      <c r="CC867" t="s">
        <v>76</v>
      </c>
      <c r="CD867">
        <v>1600</v>
      </c>
      <c r="CE867" t="s">
        <v>1615</v>
      </c>
      <c r="CF867" s="3">
        <v>45848</v>
      </c>
      <c r="CI867">
        <v>1</v>
      </c>
      <c r="CJ867">
        <v>1</v>
      </c>
      <c r="CK867">
        <v>22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"080066426874"</f>
        <v>080066426874</v>
      </c>
      <c r="F868" s="3">
        <v>45846</v>
      </c>
      <c r="G868">
        <v>202604</v>
      </c>
      <c r="H868" t="s">
        <v>75</v>
      </c>
      <c r="I868" t="s">
        <v>76</v>
      </c>
      <c r="J868" t="s">
        <v>77</v>
      </c>
      <c r="K868" t="s">
        <v>78</v>
      </c>
      <c r="L868" t="s">
        <v>168</v>
      </c>
      <c r="M868" t="s">
        <v>169</v>
      </c>
      <c r="N868" t="s">
        <v>487</v>
      </c>
      <c r="O868" t="s">
        <v>82</v>
      </c>
      <c r="P868" t="str">
        <f>"4170047365                    "</f>
        <v xml:space="preserve">4170047365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22.6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0.3</v>
      </c>
      <c r="BK868">
        <v>1</v>
      </c>
      <c r="BL868">
        <v>71.2</v>
      </c>
      <c r="BM868">
        <v>10.68</v>
      </c>
      <c r="BN868">
        <v>81.88</v>
      </c>
      <c r="BO868">
        <v>81.88</v>
      </c>
      <c r="BQ868" t="s">
        <v>488</v>
      </c>
      <c r="BR868" t="s">
        <v>84</v>
      </c>
      <c r="BS868" s="3">
        <v>45847</v>
      </c>
      <c r="BT868" s="4">
        <v>0.42638888888888887</v>
      </c>
      <c r="BU868" t="s">
        <v>1554</v>
      </c>
      <c r="BV868" t="s">
        <v>98</v>
      </c>
      <c r="BY868">
        <v>1350</v>
      </c>
      <c r="BZ868" t="s">
        <v>89</v>
      </c>
      <c r="CA868" t="s">
        <v>415</v>
      </c>
      <c r="CC868" t="s">
        <v>169</v>
      </c>
      <c r="CD868">
        <v>6012</v>
      </c>
      <c r="CE868" t="s">
        <v>1615</v>
      </c>
      <c r="CF868" s="3">
        <v>45847</v>
      </c>
      <c r="CI868">
        <v>1</v>
      </c>
      <c r="CJ868">
        <v>1</v>
      </c>
      <c r="CK868">
        <v>21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"080066426925"</f>
        <v>080066426925</v>
      </c>
      <c r="F869" s="3">
        <v>45846</v>
      </c>
      <c r="G869">
        <v>202604</v>
      </c>
      <c r="H869" t="s">
        <v>75</v>
      </c>
      <c r="I869" t="s">
        <v>76</v>
      </c>
      <c r="J869" t="s">
        <v>77</v>
      </c>
      <c r="K869" t="s">
        <v>78</v>
      </c>
      <c r="L869" t="s">
        <v>168</v>
      </c>
      <c r="M869" t="s">
        <v>169</v>
      </c>
      <c r="N869" t="s">
        <v>487</v>
      </c>
      <c r="O869" t="s">
        <v>82</v>
      </c>
      <c r="P869" t="str">
        <f>"4170047367                    "</f>
        <v xml:space="preserve">4170047367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22.6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0.3</v>
      </c>
      <c r="BK869">
        <v>1</v>
      </c>
      <c r="BL869">
        <v>71.2</v>
      </c>
      <c r="BM869">
        <v>10.68</v>
      </c>
      <c r="BN869">
        <v>81.88</v>
      </c>
      <c r="BO869">
        <v>81.88</v>
      </c>
      <c r="BQ869" t="s">
        <v>488</v>
      </c>
      <c r="BR869" t="s">
        <v>84</v>
      </c>
      <c r="BS869" s="3">
        <v>45847</v>
      </c>
      <c r="BT869" s="4">
        <v>0.42430555555555555</v>
      </c>
      <c r="BU869" t="s">
        <v>1554</v>
      </c>
      <c r="BV869" t="s">
        <v>98</v>
      </c>
      <c r="BY869">
        <v>1350</v>
      </c>
      <c r="BZ869" t="s">
        <v>89</v>
      </c>
      <c r="CA869" t="s">
        <v>415</v>
      </c>
      <c r="CC869" t="s">
        <v>169</v>
      </c>
      <c r="CD869">
        <v>6012</v>
      </c>
      <c r="CE869" t="s">
        <v>1615</v>
      </c>
      <c r="CF869" s="3">
        <v>45847</v>
      </c>
      <c r="CI869">
        <v>1</v>
      </c>
      <c r="CJ869">
        <v>1</v>
      </c>
      <c r="CK869">
        <v>21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"080066426962"</f>
        <v>080066426962</v>
      </c>
      <c r="F870" s="3">
        <v>45846</v>
      </c>
      <c r="G870">
        <v>202604</v>
      </c>
      <c r="H870" t="s">
        <v>75</v>
      </c>
      <c r="I870" t="s">
        <v>76</v>
      </c>
      <c r="J870" t="s">
        <v>77</v>
      </c>
      <c r="K870" t="s">
        <v>78</v>
      </c>
      <c r="L870" t="s">
        <v>473</v>
      </c>
      <c r="M870" t="s">
        <v>474</v>
      </c>
      <c r="N870" t="s">
        <v>1224</v>
      </c>
      <c r="O870" t="s">
        <v>82</v>
      </c>
      <c r="P870" t="str">
        <f>"4170047331                    "</f>
        <v xml:space="preserve">4170047331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22.6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0.3</v>
      </c>
      <c r="BK870">
        <v>1</v>
      </c>
      <c r="BL870">
        <v>71.2</v>
      </c>
      <c r="BM870">
        <v>10.68</v>
      </c>
      <c r="BN870">
        <v>81.88</v>
      </c>
      <c r="BO870">
        <v>81.88</v>
      </c>
      <c r="BQ870" t="s">
        <v>1108</v>
      </c>
      <c r="BR870" t="s">
        <v>84</v>
      </c>
      <c r="BS870" s="3">
        <v>45847</v>
      </c>
      <c r="BT870" s="4">
        <v>0.37083333333333335</v>
      </c>
      <c r="BU870" t="s">
        <v>1226</v>
      </c>
      <c r="BV870" t="s">
        <v>98</v>
      </c>
      <c r="BY870">
        <v>1350</v>
      </c>
      <c r="BZ870" t="s">
        <v>89</v>
      </c>
      <c r="CA870" t="s">
        <v>1428</v>
      </c>
      <c r="CC870" t="s">
        <v>474</v>
      </c>
      <c r="CD870">
        <v>4026</v>
      </c>
      <c r="CE870" t="s">
        <v>1615</v>
      </c>
      <c r="CF870" s="3">
        <v>45847</v>
      </c>
      <c r="CI870">
        <v>1</v>
      </c>
      <c r="CJ870">
        <v>1</v>
      </c>
      <c r="CK870">
        <v>21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"080066427002"</f>
        <v>080066427002</v>
      </c>
      <c r="F871" s="3">
        <v>45846</v>
      </c>
      <c r="G871">
        <v>202604</v>
      </c>
      <c r="H871" t="s">
        <v>75</v>
      </c>
      <c r="I871" t="s">
        <v>76</v>
      </c>
      <c r="J871" t="s">
        <v>77</v>
      </c>
      <c r="K871" t="s">
        <v>78</v>
      </c>
      <c r="L871" t="s">
        <v>75</v>
      </c>
      <c r="M871" t="s">
        <v>76</v>
      </c>
      <c r="N871" t="s">
        <v>118</v>
      </c>
      <c r="O871" t="s">
        <v>311</v>
      </c>
      <c r="P871" t="str">
        <f>"4170047447                    "</f>
        <v xml:space="preserve">4170047447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17.66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5</v>
      </c>
      <c r="BJ871">
        <v>3.2</v>
      </c>
      <c r="BK871">
        <v>5</v>
      </c>
      <c r="BL871">
        <v>55.63</v>
      </c>
      <c r="BM871">
        <v>8.34</v>
      </c>
      <c r="BN871">
        <v>63.97</v>
      </c>
      <c r="BO871">
        <v>63.97</v>
      </c>
      <c r="BQ871" t="s">
        <v>119</v>
      </c>
      <c r="BR871" t="s">
        <v>84</v>
      </c>
      <c r="BS871" s="3">
        <v>45847</v>
      </c>
      <c r="BT871" s="4">
        <v>0.31388888888888888</v>
      </c>
      <c r="BU871" t="s">
        <v>768</v>
      </c>
      <c r="BV871" t="s">
        <v>98</v>
      </c>
      <c r="BY871">
        <v>16072</v>
      </c>
      <c r="BZ871" t="s">
        <v>99</v>
      </c>
      <c r="CA871" t="s">
        <v>1537</v>
      </c>
      <c r="CC871" t="s">
        <v>76</v>
      </c>
      <c r="CD871">
        <v>1600</v>
      </c>
      <c r="CE871" t="s">
        <v>355</v>
      </c>
      <c r="CF871" s="3">
        <v>45848</v>
      </c>
      <c r="CI871">
        <v>1</v>
      </c>
      <c r="CJ871">
        <v>1</v>
      </c>
      <c r="CK871">
        <v>32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"080066427014"</f>
        <v>080066427014</v>
      </c>
      <c r="F872" s="3">
        <v>45846</v>
      </c>
      <c r="G872">
        <v>202604</v>
      </c>
      <c r="H872" t="s">
        <v>75</v>
      </c>
      <c r="I872" t="s">
        <v>76</v>
      </c>
      <c r="J872" t="s">
        <v>77</v>
      </c>
      <c r="K872" t="s">
        <v>78</v>
      </c>
      <c r="L872" t="s">
        <v>168</v>
      </c>
      <c r="M872" t="s">
        <v>169</v>
      </c>
      <c r="N872" t="s">
        <v>813</v>
      </c>
      <c r="O872" t="s">
        <v>82</v>
      </c>
      <c r="P872" t="str">
        <f>"4170047419                    "</f>
        <v xml:space="preserve">4170047419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22.6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0.3</v>
      </c>
      <c r="BK872">
        <v>1</v>
      </c>
      <c r="BL872">
        <v>71.2</v>
      </c>
      <c r="BM872">
        <v>10.68</v>
      </c>
      <c r="BN872">
        <v>81.88</v>
      </c>
      <c r="BO872">
        <v>81.88</v>
      </c>
      <c r="BQ872" t="s">
        <v>814</v>
      </c>
      <c r="BR872" t="s">
        <v>84</v>
      </c>
      <c r="BS872" s="3">
        <v>45847</v>
      </c>
      <c r="BT872" s="4">
        <v>0.40902777777777777</v>
      </c>
      <c r="BU872" t="s">
        <v>1628</v>
      </c>
      <c r="BV872" t="s">
        <v>98</v>
      </c>
      <c r="BY872">
        <v>1350</v>
      </c>
      <c r="BZ872" t="s">
        <v>89</v>
      </c>
      <c r="CA872" t="s">
        <v>196</v>
      </c>
      <c r="CC872" t="s">
        <v>169</v>
      </c>
      <c r="CD872">
        <v>6001</v>
      </c>
      <c r="CE872" t="s">
        <v>1615</v>
      </c>
      <c r="CF872" s="3">
        <v>45847</v>
      </c>
      <c r="CI872">
        <v>1</v>
      </c>
      <c r="CJ872">
        <v>1</v>
      </c>
      <c r="CK872">
        <v>21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"080066427057"</f>
        <v>080066427057</v>
      </c>
      <c r="F873" s="3">
        <v>45846</v>
      </c>
      <c r="G873">
        <v>202604</v>
      </c>
      <c r="H873" t="s">
        <v>75</v>
      </c>
      <c r="I873" t="s">
        <v>76</v>
      </c>
      <c r="J873" t="s">
        <v>77</v>
      </c>
      <c r="K873" t="s">
        <v>78</v>
      </c>
      <c r="L873" t="s">
        <v>240</v>
      </c>
      <c r="M873" t="s">
        <v>241</v>
      </c>
      <c r="N873" t="s">
        <v>610</v>
      </c>
      <c r="O873" t="s">
        <v>82</v>
      </c>
      <c r="P873" t="str">
        <f>"4170047302                    "</f>
        <v xml:space="preserve">4170047302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17.649999999999999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1.9</v>
      </c>
      <c r="BK873">
        <v>2</v>
      </c>
      <c r="BL873">
        <v>55.61</v>
      </c>
      <c r="BM873">
        <v>8.34</v>
      </c>
      <c r="BN873">
        <v>63.95</v>
      </c>
      <c r="BO873">
        <v>63.95</v>
      </c>
      <c r="BQ873" t="s">
        <v>611</v>
      </c>
      <c r="BR873" t="s">
        <v>84</v>
      </c>
      <c r="BS873" s="3">
        <v>45847</v>
      </c>
      <c r="BT873" s="4">
        <v>0.40902777777777777</v>
      </c>
      <c r="BU873" t="s">
        <v>1629</v>
      </c>
      <c r="BV873" t="s">
        <v>98</v>
      </c>
      <c r="BY873">
        <v>9600</v>
      </c>
      <c r="BZ873" t="s">
        <v>89</v>
      </c>
      <c r="CA873" t="s">
        <v>451</v>
      </c>
      <c r="CC873" t="s">
        <v>241</v>
      </c>
      <c r="CD873">
        <v>2197</v>
      </c>
      <c r="CE873" t="s">
        <v>117</v>
      </c>
      <c r="CF873" s="3">
        <v>45847</v>
      </c>
      <c r="CI873">
        <v>1</v>
      </c>
      <c r="CJ873">
        <v>1</v>
      </c>
      <c r="CK873">
        <v>22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"080066427059"</f>
        <v>080066427059</v>
      </c>
      <c r="F874" s="3">
        <v>45846</v>
      </c>
      <c r="G874">
        <v>202604</v>
      </c>
      <c r="H874" t="s">
        <v>75</v>
      </c>
      <c r="I874" t="s">
        <v>76</v>
      </c>
      <c r="J874" t="s">
        <v>77</v>
      </c>
      <c r="K874" t="s">
        <v>78</v>
      </c>
      <c r="L874" t="s">
        <v>168</v>
      </c>
      <c r="M874" t="s">
        <v>169</v>
      </c>
      <c r="N874" t="s">
        <v>191</v>
      </c>
      <c r="O874" t="s">
        <v>82</v>
      </c>
      <c r="P874" t="str">
        <f>"4170047356                    "</f>
        <v xml:space="preserve">4170047356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22.6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0.3</v>
      </c>
      <c r="BK874">
        <v>1</v>
      </c>
      <c r="BL874">
        <v>71.2</v>
      </c>
      <c r="BM874">
        <v>10.68</v>
      </c>
      <c r="BN874">
        <v>81.88</v>
      </c>
      <c r="BO874">
        <v>81.88</v>
      </c>
      <c r="BQ874" t="s">
        <v>192</v>
      </c>
      <c r="BR874" t="s">
        <v>84</v>
      </c>
      <c r="BS874" s="3">
        <v>45847</v>
      </c>
      <c r="BT874" s="4">
        <v>0.43472222222222223</v>
      </c>
      <c r="BU874" t="s">
        <v>193</v>
      </c>
      <c r="BV874" t="s">
        <v>98</v>
      </c>
      <c r="BY874">
        <v>1350</v>
      </c>
      <c r="BZ874" t="s">
        <v>89</v>
      </c>
      <c r="CA874" t="s">
        <v>196</v>
      </c>
      <c r="CC874" t="s">
        <v>169</v>
      </c>
      <c r="CD874">
        <v>6056</v>
      </c>
      <c r="CE874" t="s">
        <v>1615</v>
      </c>
      <c r="CF874" s="3">
        <v>45847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"080066427125"</f>
        <v>080066427125</v>
      </c>
      <c r="F875" s="3">
        <v>45846</v>
      </c>
      <c r="G875">
        <v>202604</v>
      </c>
      <c r="H875" t="s">
        <v>75</v>
      </c>
      <c r="I875" t="s">
        <v>76</v>
      </c>
      <c r="J875" t="s">
        <v>77</v>
      </c>
      <c r="K875" t="s">
        <v>78</v>
      </c>
      <c r="L875" t="s">
        <v>363</v>
      </c>
      <c r="M875" t="s">
        <v>364</v>
      </c>
      <c r="N875" t="s">
        <v>365</v>
      </c>
      <c r="O875" t="s">
        <v>82</v>
      </c>
      <c r="P875" t="str">
        <f>"4170047315                    "</f>
        <v xml:space="preserve">4170047315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43.78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0.3</v>
      </c>
      <c r="BK875">
        <v>1</v>
      </c>
      <c r="BL875">
        <v>137.94</v>
      </c>
      <c r="BM875">
        <v>20.69</v>
      </c>
      <c r="BN875">
        <v>158.63</v>
      </c>
      <c r="BO875">
        <v>158.63</v>
      </c>
      <c r="BQ875" t="s">
        <v>366</v>
      </c>
      <c r="BR875" t="s">
        <v>84</v>
      </c>
      <c r="BS875" s="3">
        <v>45847</v>
      </c>
      <c r="BT875" s="4">
        <v>0.65625</v>
      </c>
      <c r="BU875" t="s">
        <v>274</v>
      </c>
      <c r="BV875" t="s">
        <v>98</v>
      </c>
      <c r="BY875">
        <v>1350</v>
      </c>
      <c r="BZ875" t="s">
        <v>89</v>
      </c>
      <c r="CC875" t="s">
        <v>364</v>
      </c>
      <c r="CD875">
        <v>7300</v>
      </c>
      <c r="CE875" t="s">
        <v>1615</v>
      </c>
      <c r="CF875" s="3">
        <v>45848</v>
      </c>
      <c r="CI875">
        <v>1</v>
      </c>
      <c r="CJ875">
        <v>1</v>
      </c>
      <c r="CK875">
        <v>23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"080066427163"</f>
        <v>080066427163</v>
      </c>
      <c r="F876" s="3">
        <v>45846</v>
      </c>
      <c r="G876">
        <v>202604</v>
      </c>
      <c r="H876" t="s">
        <v>75</v>
      </c>
      <c r="I876" t="s">
        <v>76</v>
      </c>
      <c r="J876" t="s">
        <v>77</v>
      </c>
      <c r="K876" t="s">
        <v>78</v>
      </c>
      <c r="L876" t="s">
        <v>246</v>
      </c>
      <c r="M876" t="s">
        <v>247</v>
      </c>
      <c r="N876" t="s">
        <v>1630</v>
      </c>
      <c r="O876" t="s">
        <v>82</v>
      </c>
      <c r="P876" t="str">
        <f>"4170047354                    "</f>
        <v xml:space="preserve">4170047354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31.78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1.7</v>
      </c>
      <c r="BK876">
        <v>2</v>
      </c>
      <c r="BL876">
        <v>100.13</v>
      </c>
      <c r="BM876">
        <v>15.02</v>
      </c>
      <c r="BN876">
        <v>115.15</v>
      </c>
      <c r="BO876">
        <v>115.15</v>
      </c>
      <c r="BQ876" t="s">
        <v>1631</v>
      </c>
      <c r="BR876" t="s">
        <v>84</v>
      </c>
      <c r="BS876" s="3">
        <v>45847</v>
      </c>
      <c r="BT876" s="4">
        <v>0.42986111111111114</v>
      </c>
      <c r="BU876" t="s">
        <v>1632</v>
      </c>
      <c r="BV876" t="s">
        <v>98</v>
      </c>
      <c r="BY876">
        <v>8512</v>
      </c>
      <c r="BZ876" t="s">
        <v>89</v>
      </c>
      <c r="CA876" t="s">
        <v>251</v>
      </c>
      <c r="CC876" t="s">
        <v>247</v>
      </c>
      <c r="CD876">
        <v>1438</v>
      </c>
      <c r="CE876" t="s">
        <v>117</v>
      </c>
      <c r="CF876" s="3">
        <v>45848</v>
      </c>
      <c r="CI876">
        <v>1</v>
      </c>
      <c r="CJ876">
        <v>1</v>
      </c>
      <c r="CK876">
        <v>24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"080066427184"</f>
        <v>080066427184</v>
      </c>
      <c r="F877" s="3">
        <v>45846</v>
      </c>
      <c r="G877">
        <v>202604</v>
      </c>
      <c r="H877" t="s">
        <v>75</v>
      </c>
      <c r="I877" t="s">
        <v>76</v>
      </c>
      <c r="J877" t="s">
        <v>77</v>
      </c>
      <c r="K877" t="s">
        <v>78</v>
      </c>
      <c r="L877" t="s">
        <v>174</v>
      </c>
      <c r="M877" t="s">
        <v>175</v>
      </c>
      <c r="N877" t="s">
        <v>659</v>
      </c>
      <c r="O877" t="s">
        <v>82</v>
      </c>
      <c r="P877" t="str">
        <f>"4170047380                    "</f>
        <v xml:space="preserve">4170047380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22.6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0.3</v>
      </c>
      <c r="BK877">
        <v>1</v>
      </c>
      <c r="BL877">
        <v>71.2</v>
      </c>
      <c r="BM877">
        <v>10.68</v>
      </c>
      <c r="BN877">
        <v>81.88</v>
      </c>
      <c r="BO877">
        <v>81.88</v>
      </c>
      <c r="BQ877" t="s">
        <v>660</v>
      </c>
      <c r="BR877" t="s">
        <v>84</v>
      </c>
      <c r="BS877" s="3">
        <v>45847</v>
      </c>
      <c r="BT877" s="4">
        <v>0.43472222222222223</v>
      </c>
      <c r="BU877" t="s">
        <v>661</v>
      </c>
      <c r="BV877" t="s">
        <v>98</v>
      </c>
      <c r="BY877">
        <v>1350</v>
      </c>
      <c r="BZ877" t="s">
        <v>89</v>
      </c>
      <c r="CA877" t="s">
        <v>173</v>
      </c>
      <c r="CC877" t="s">
        <v>175</v>
      </c>
      <c r="CD877">
        <v>6220</v>
      </c>
      <c r="CE877" t="s">
        <v>1615</v>
      </c>
      <c r="CF877" s="3">
        <v>45847</v>
      </c>
      <c r="CI877">
        <v>1</v>
      </c>
      <c r="CJ877">
        <v>1</v>
      </c>
      <c r="CK877">
        <v>21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"080066427203"</f>
        <v>080066427203</v>
      </c>
      <c r="F878" s="3">
        <v>45846</v>
      </c>
      <c r="G878">
        <v>202604</v>
      </c>
      <c r="H878" t="s">
        <v>75</v>
      </c>
      <c r="I878" t="s">
        <v>76</v>
      </c>
      <c r="J878" t="s">
        <v>77</v>
      </c>
      <c r="K878" t="s">
        <v>78</v>
      </c>
      <c r="L878" t="s">
        <v>75</v>
      </c>
      <c r="M878" t="s">
        <v>76</v>
      </c>
      <c r="N878" t="s">
        <v>1633</v>
      </c>
      <c r="O878" t="s">
        <v>82</v>
      </c>
      <c r="P878" t="str">
        <f>"4170047386                    "</f>
        <v xml:space="preserve">4170047386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17.649999999999999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1.1000000000000001</v>
      </c>
      <c r="BK878">
        <v>2</v>
      </c>
      <c r="BL878">
        <v>55.61</v>
      </c>
      <c r="BM878">
        <v>8.34</v>
      </c>
      <c r="BN878">
        <v>63.95</v>
      </c>
      <c r="BO878">
        <v>63.95</v>
      </c>
      <c r="BQ878" t="s">
        <v>1634</v>
      </c>
      <c r="BR878" t="s">
        <v>84</v>
      </c>
      <c r="BS878" s="3">
        <v>45847</v>
      </c>
      <c r="BT878" s="4">
        <v>0.43402777777777779</v>
      </c>
      <c r="BU878" t="s">
        <v>1635</v>
      </c>
      <c r="BV878" t="s">
        <v>98</v>
      </c>
      <c r="BY878">
        <v>5320</v>
      </c>
      <c r="BZ878" t="s">
        <v>89</v>
      </c>
      <c r="CA878" t="s">
        <v>1537</v>
      </c>
      <c r="CC878" t="s">
        <v>76</v>
      </c>
      <c r="CD878">
        <v>1624</v>
      </c>
      <c r="CE878" t="s">
        <v>117</v>
      </c>
      <c r="CF878" s="3">
        <v>45848</v>
      </c>
      <c r="CI878">
        <v>1</v>
      </c>
      <c r="CJ878">
        <v>1</v>
      </c>
      <c r="CK878">
        <v>22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"080066427230"</f>
        <v>080066427230</v>
      </c>
      <c r="F879" s="3">
        <v>45846</v>
      </c>
      <c r="G879">
        <v>202604</v>
      </c>
      <c r="H879" t="s">
        <v>75</v>
      </c>
      <c r="I879" t="s">
        <v>76</v>
      </c>
      <c r="J879" t="s">
        <v>77</v>
      </c>
      <c r="K879" t="s">
        <v>78</v>
      </c>
      <c r="L879" t="s">
        <v>92</v>
      </c>
      <c r="M879" t="s">
        <v>93</v>
      </c>
      <c r="N879" t="s">
        <v>1090</v>
      </c>
      <c r="O879" t="s">
        <v>82</v>
      </c>
      <c r="P879" t="str">
        <f>"4170047318                    "</f>
        <v xml:space="preserve">4170047318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22.6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0.3</v>
      </c>
      <c r="BK879">
        <v>1</v>
      </c>
      <c r="BL879">
        <v>71.2</v>
      </c>
      <c r="BM879">
        <v>10.68</v>
      </c>
      <c r="BN879">
        <v>81.88</v>
      </c>
      <c r="BO879">
        <v>81.88</v>
      </c>
      <c r="BQ879" t="s">
        <v>1091</v>
      </c>
      <c r="BR879" t="s">
        <v>84</v>
      </c>
      <c r="BS879" s="3">
        <v>45847</v>
      </c>
      <c r="BT879" s="4">
        <v>0.41388888888888886</v>
      </c>
      <c r="BU879" t="s">
        <v>1329</v>
      </c>
      <c r="BV879" t="s">
        <v>98</v>
      </c>
      <c r="BY879">
        <v>1350</v>
      </c>
      <c r="BZ879" t="s">
        <v>89</v>
      </c>
      <c r="CA879" t="s">
        <v>491</v>
      </c>
      <c r="CC879" t="s">
        <v>93</v>
      </c>
      <c r="CD879">
        <v>4001</v>
      </c>
      <c r="CE879" t="s">
        <v>1615</v>
      </c>
      <c r="CF879" s="3">
        <v>45848</v>
      </c>
      <c r="CI879">
        <v>1</v>
      </c>
      <c r="CJ879">
        <v>1</v>
      </c>
      <c r="CK879">
        <v>21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"080066427244"</f>
        <v>080066427244</v>
      </c>
      <c r="F880" s="3">
        <v>45846</v>
      </c>
      <c r="G880">
        <v>202604</v>
      </c>
      <c r="H880" t="s">
        <v>75</v>
      </c>
      <c r="I880" t="s">
        <v>76</v>
      </c>
      <c r="J880" t="s">
        <v>77</v>
      </c>
      <c r="K880" t="s">
        <v>78</v>
      </c>
      <c r="L880" t="s">
        <v>79</v>
      </c>
      <c r="M880" t="s">
        <v>80</v>
      </c>
      <c r="N880" t="s">
        <v>1636</v>
      </c>
      <c r="O880" t="s">
        <v>82</v>
      </c>
      <c r="P880" t="str">
        <f>"4170047456                    "</f>
        <v xml:space="preserve">4170047456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22.6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71.2</v>
      </c>
      <c r="BM880">
        <v>10.68</v>
      </c>
      <c r="BN880">
        <v>81.88</v>
      </c>
      <c r="BO880">
        <v>81.88</v>
      </c>
      <c r="BQ880" t="s">
        <v>1637</v>
      </c>
      <c r="BR880" t="s">
        <v>84</v>
      </c>
      <c r="BS880" s="3">
        <v>45847</v>
      </c>
      <c r="BT880" s="4">
        <v>0.42291666666666666</v>
      </c>
      <c r="BU880" t="s">
        <v>1638</v>
      </c>
      <c r="BV880" t="s">
        <v>98</v>
      </c>
      <c r="BY880">
        <v>1200</v>
      </c>
      <c r="BZ880" t="s">
        <v>89</v>
      </c>
      <c r="CA880" t="s">
        <v>526</v>
      </c>
      <c r="CC880" t="s">
        <v>80</v>
      </c>
      <c r="CD880">
        <v>7925</v>
      </c>
      <c r="CE880" t="s">
        <v>239</v>
      </c>
      <c r="CF880" s="3">
        <v>45848</v>
      </c>
      <c r="CI880">
        <v>1</v>
      </c>
      <c r="CJ880">
        <v>1</v>
      </c>
      <c r="CK880">
        <v>21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"080066427272"</f>
        <v>080066427272</v>
      </c>
      <c r="F881" s="3">
        <v>45846</v>
      </c>
      <c r="G881">
        <v>202604</v>
      </c>
      <c r="H881" t="s">
        <v>75</v>
      </c>
      <c r="I881" t="s">
        <v>76</v>
      </c>
      <c r="J881" t="s">
        <v>77</v>
      </c>
      <c r="K881" t="s">
        <v>78</v>
      </c>
      <c r="L881" t="s">
        <v>79</v>
      </c>
      <c r="M881" t="s">
        <v>80</v>
      </c>
      <c r="N881" t="s">
        <v>1639</v>
      </c>
      <c r="O881" t="s">
        <v>82</v>
      </c>
      <c r="P881" t="str">
        <f>"4170047321                    "</f>
        <v xml:space="preserve">4170047321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22.6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0.3</v>
      </c>
      <c r="BK881">
        <v>1</v>
      </c>
      <c r="BL881">
        <v>71.2</v>
      </c>
      <c r="BM881">
        <v>10.68</v>
      </c>
      <c r="BN881">
        <v>81.88</v>
      </c>
      <c r="BO881">
        <v>81.88</v>
      </c>
      <c r="BQ881" t="s">
        <v>1640</v>
      </c>
      <c r="BR881" t="s">
        <v>84</v>
      </c>
      <c r="BS881" s="3">
        <v>45847</v>
      </c>
      <c r="BT881" s="4">
        <v>0.42569444444444443</v>
      </c>
      <c r="BU881" t="s">
        <v>1641</v>
      </c>
      <c r="BV881" t="s">
        <v>98</v>
      </c>
      <c r="BY881">
        <v>1350</v>
      </c>
      <c r="BZ881" t="s">
        <v>89</v>
      </c>
      <c r="CA881" t="s">
        <v>1189</v>
      </c>
      <c r="CC881" t="s">
        <v>80</v>
      </c>
      <c r="CD881">
        <v>8001</v>
      </c>
      <c r="CE881" t="s">
        <v>1615</v>
      </c>
      <c r="CF881" s="3">
        <v>45848</v>
      </c>
      <c r="CI881">
        <v>1</v>
      </c>
      <c r="CJ881">
        <v>1</v>
      </c>
      <c r="CK881">
        <v>21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"080066427279"</f>
        <v>080066427279</v>
      </c>
      <c r="F882" s="3">
        <v>45846</v>
      </c>
      <c r="G882">
        <v>202604</v>
      </c>
      <c r="H882" t="s">
        <v>75</v>
      </c>
      <c r="I882" t="s">
        <v>76</v>
      </c>
      <c r="J882" t="s">
        <v>77</v>
      </c>
      <c r="K882" t="s">
        <v>78</v>
      </c>
      <c r="L882" t="s">
        <v>554</v>
      </c>
      <c r="M882" t="s">
        <v>555</v>
      </c>
      <c r="N882" t="s">
        <v>556</v>
      </c>
      <c r="O882" t="s">
        <v>82</v>
      </c>
      <c r="P882" t="str">
        <f>"4170047449                    "</f>
        <v xml:space="preserve">4170047449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22.6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71.2</v>
      </c>
      <c r="BM882">
        <v>10.68</v>
      </c>
      <c r="BN882">
        <v>81.88</v>
      </c>
      <c r="BO882">
        <v>81.88</v>
      </c>
      <c r="BQ882" t="s">
        <v>557</v>
      </c>
      <c r="BR882" t="s">
        <v>84</v>
      </c>
      <c r="BS882" s="3">
        <v>45847</v>
      </c>
      <c r="BT882" s="4">
        <v>0.36319444444444443</v>
      </c>
      <c r="BU882" t="s">
        <v>558</v>
      </c>
      <c r="BV882" t="s">
        <v>98</v>
      </c>
      <c r="BY882">
        <v>1200</v>
      </c>
      <c r="BZ882" t="s">
        <v>89</v>
      </c>
      <c r="CA882" t="s">
        <v>559</v>
      </c>
      <c r="CC882" t="s">
        <v>555</v>
      </c>
      <c r="CD882" s="5" t="s">
        <v>560</v>
      </c>
      <c r="CE882" t="s">
        <v>239</v>
      </c>
      <c r="CF882" s="3">
        <v>45847</v>
      </c>
      <c r="CI882">
        <v>1</v>
      </c>
      <c r="CJ882">
        <v>1</v>
      </c>
      <c r="CK882">
        <v>21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"080066427303"</f>
        <v>080066427303</v>
      </c>
      <c r="F883" s="3">
        <v>45846</v>
      </c>
      <c r="G883">
        <v>202604</v>
      </c>
      <c r="H883" t="s">
        <v>75</v>
      </c>
      <c r="I883" t="s">
        <v>76</v>
      </c>
      <c r="J883" t="s">
        <v>77</v>
      </c>
      <c r="K883" t="s">
        <v>78</v>
      </c>
      <c r="L883" t="s">
        <v>168</v>
      </c>
      <c r="M883" t="s">
        <v>169</v>
      </c>
      <c r="N883" t="s">
        <v>191</v>
      </c>
      <c r="O883" t="s">
        <v>82</v>
      </c>
      <c r="P883" t="str">
        <f>"4170047357                    "</f>
        <v xml:space="preserve">4170047357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22.6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0.3</v>
      </c>
      <c r="BK883">
        <v>1</v>
      </c>
      <c r="BL883">
        <v>71.2</v>
      </c>
      <c r="BM883">
        <v>10.68</v>
      </c>
      <c r="BN883">
        <v>81.88</v>
      </c>
      <c r="BO883">
        <v>81.88</v>
      </c>
      <c r="BQ883" t="s">
        <v>192</v>
      </c>
      <c r="BR883" t="s">
        <v>84</v>
      </c>
      <c r="BS883" s="3">
        <v>45847</v>
      </c>
      <c r="BT883" s="4">
        <v>0.43263888888888891</v>
      </c>
      <c r="BU883" t="s">
        <v>193</v>
      </c>
      <c r="BV883" t="s">
        <v>98</v>
      </c>
      <c r="BY883">
        <v>1350</v>
      </c>
      <c r="BZ883" t="s">
        <v>89</v>
      </c>
      <c r="CA883" t="s">
        <v>196</v>
      </c>
      <c r="CC883" t="s">
        <v>169</v>
      </c>
      <c r="CD883">
        <v>6056</v>
      </c>
      <c r="CE883" t="s">
        <v>1615</v>
      </c>
      <c r="CF883" s="3">
        <v>45847</v>
      </c>
      <c r="CI883">
        <v>1</v>
      </c>
      <c r="CJ883">
        <v>1</v>
      </c>
      <c r="CK883">
        <v>21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"080066427461"</f>
        <v>080066427461</v>
      </c>
      <c r="F884" s="3">
        <v>45846</v>
      </c>
      <c r="G884">
        <v>202604</v>
      </c>
      <c r="H884" t="s">
        <v>75</v>
      </c>
      <c r="I884" t="s">
        <v>76</v>
      </c>
      <c r="J884" t="s">
        <v>77</v>
      </c>
      <c r="K884" t="s">
        <v>78</v>
      </c>
      <c r="L884" t="s">
        <v>168</v>
      </c>
      <c r="M884" t="s">
        <v>169</v>
      </c>
      <c r="N884" t="s">
        <v>924</v>
      </c>
      <c r="O884" t="s">
        <v>82</v>
      </c>
      <c r="P884" t="str">
        <f>"4170047406                    "</f>
        <v xml:space="preserve">4170047406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56.47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5</v>
      </c>
      <c r="BJ884">
        <v>3.4</v>
      </c>
      <c r="BK884">
        <v>5</v>
      </c>
      <c r="BL884">
        <v>177.91</v>
      </c>
      <c r="BM884">
        <v>26.69</v>
      </c>
      <c r="BN884">
        <v>204.6</v>
      </c>
      <c r="BO884">
        <v>204.6</v>
      </c>
      <c r="BQ884" t="s">
        <v>925</v>
      </c>
      <c r="BR884" t="s">
        <v>84</v>
      </c>
      <c r="BS884" s="3">
        <v>45847</v>
      </c>
      <c r="BT884" s="4">
        <v>0.43680555555555556</v>
      </c>
      <c r="BU884" t="s">
        <v>1642</v>
      </c>
      <c r="BV884" t="s">
        <v>98</v>
      </c>
      <c r="BY884">
        <v>16965</v>
      </c>
      <c r="BZ884" t="s">
        <v>89</v>
      </c>
      <c r="CA884" t="s">
        <v>196</v>
      </c>
      <c r="CC884" t="s">
        <v>169</v>
      </c>
      <c r="CD884">
        <v>6056</v>
      </c>
      <c r="CE884" t="s">
        <v>117</v>
      </c>
      <c r="CF884" s="3">
        <v>45847</v>
      </c>
      <c r="CI884">
        <v>1</v>
      </c>
      <c r="CJ884">
        <v>1</v>
      </c>
      <c r="CK884">
        <v>21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"080066427477"</f>
        <v>080066427477</v>
      </c>
      <c r="F885" s="3">
        <v>45846</v>
      </c>
      <c r="G885">
        <v>202604</v>
      </c>
      <c r="H885" t="s">
        <v>75</v>
      </c>
      <c r="I885" t="s">
        <v>76</v>
      </c>
      <c r="J885" t="s">
        <v>77</v>
      </c>
      <c r="K885" t="s">
        <v>78</v>
      </c>
      <c r="L885" t="s">
        <v>102</v>
      </c>
      <c r="M885" t="s">
        <v>103</v>
      </c>
      <c r="N885" t="s">
        <v>1643</v>
      </c>
      <c r="O885" t="s">
        <v>82</v>
      </c>
      <c r="P885" t="str">
        <f>"4170047400                    "</f>
        <v xml:space="preserve">4170047400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31.78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</v>
      </c>
      <c r="BJ885">
        <v>1.9</v>
      </c>
      <c r="BK885">
        <v>2</v>
      </c>
      <c r="BL885">
        <v>100.13</v>
      </c>
      <c r="BM885">
        <v>15.02</v>
      </c>
      <c r="BN885">
        <v>115.15</v>
      </c>
      <c r="BO885">
        <v>115.15</v>
      </c>
      <c r="BQ885" t="s">
        <v>1644</v>
      </c>
      <c r="BR885" t="s">
        <v>84</v>
      </c>
      <c r="BS885" s="3">
        <v>45848</v>
      </c>
      <c r="BT885" s="4">
        <v>0.34722222222222221</v>
      </c>
      <c r="BU885" t="s">
        <v>1645</v>
      </c>
      <c r="BV885" t="s">
        <v>86</v>
      </c>
      <c r="BY885">
        <v>9600</v>
      </c>
      <c r="BZ885" t="s">
        <v>89</v>
      </c>
      <c r="CA885" t="s">
        <v>109</v>
      </c>
      <c r="CC885" t="s">
        <v>103</v>
      </c>
      <c r="CD885">
        <v>1748</v>
      </c>
      <c r="CE885" t="s">
        <v>117</v>
      </c>
      <c r="CF885" s="3">
        <v>45853</v>
      </c>
      <c r="CI885">
        <v>1</v>
      </c>
      <c r="CJ885">
        <v>2</v>
      </c>
      <c r="CK885">
        <v>24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"080066427527"</f>
        <v>080066427527</v>
      </c>
      <c r="F886" s="3">
        <v>45846</v>
      </c>
      <c r="G886">
        <v>202604</v>
      </c>
      <c r="H886" t="s">
        <v>75</v>
      </c>
      <c r="I886" t="s">
        <v>76</v>
      </c>
      <c r="J886" t="s">
        <v>77</v>
      </c>
      <c r="K886" t="s">
        <v>78</v>
      </c>
      <c r="L886" t="s">
        <v>92</v>
      </c>
      <c r="M886" t="s">
        <v>93</v>
      </c>
      <c r="N886" t="s">
        <v>1090</v>
      </c>
      <c r="O886" t="s">
        <v>82</v>
      </c>
      <c r="P886" t="str">
        <f>"4170047445                    "</f>
        <v xml:space="preserve">4170047445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22.6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0.3</v>
      </c>
      <c r="BK886">
        <v>1</v>
      </c>
      <c r="BL886">
        <v>71.2</v>
      </c>
      <c r="BM886">
        <v>10.68</v>
      </c>
      <c r="BN886">
        <v>81.88</v>
      </c>
      <c r="BO886">
        <v>81.88</v>
      </c>
      <c r="BQ886" t="s">
        <v>1091</v>
      </c>
      <c r="BR886" t="s">
        <v>84</v>
      </c>
      <c r="BS886" s="3">
        <v>45847</v>
      </c>
      <c r="BT886" s="4">
        <v>0.41388888888888886</v>
      </c>
      <c r="BU886" t="s">
        <v>1329</v>
      </c>
      <c r="BV886" t="s">
        <v>98</v>
      </c>
      <c r="BY886">
        <v>1350</v>
      </c>
      <c r="BZ886" t="s">
        <v>89</v>
      </c>
      <c r="CA886" t="s">
        <v>491</v>
      </c>
      <c r="CC886" t="s">
        <v>93</v>
      </c>
      <c r="CD886">
        <v>4001</v>
      </c>
      <c r="CE886" t="s">
        <v>1615</v>
      </c>
      <c r="CF886" s="3">
        <v>45848</v>
      </c>
      <c r="CI886">
        <v>1</v>
      </c>
      <c r="CJ886">
        <v>1</v>
      </c>
      <c r="CK886">
        <v>21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"080066427533"</f>
        <v>080066427533</v>
      </c>
      <c r="F887" s="3">
        <v>45846</v>
      </c>
      <c r="G887">
        <v>202604</v>
      </c>
      <c r="H887" t="s">
        <v>75</v>
      </c>
      <c r="I887" t="s">
        <v>76</v>
      </c>
      <c r="J887" t="s">
        <v>77</v>
      </c>
      <c r="K887" t="s">
        <v>78</v>
      </c>
      <c r="L887" t="s">
        <v>473</v>
      </c>
      <c r="M887" t="s">
        <v>474</v>
      </c>
      <c r="N887" t="s">
        <v>1646</v>
      </c>
      <c r="O887" t="s">
        <v>82</v>
      </c>
      <c r="P887" t="str">
        <f>"4170047451                    "</f>
        <v xml:space="preserve">4170047451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22.6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2</v>
      </c>
      <c r="BJ887">
        <v>1.1000000000000001</v>
      </c>
      <c r="BK887">
        <v>2</v>
      </c>
      <c r="BL887">
        <v>71.2</v>
      </c>
      <c r="BM887">
        <v>10.68</v>
      </c>
      <c r="BN887">
        <v>81.88</v>
      </c>
      <c r="BO887">
        <v>81.88</v>
      </c>
      <c r="BQ887" t="s">
        <v>1647</v>
      </c>
      <c r="BR887" t="s">
        <v>84</v>
      </c>
      <c r="BS887" s="3">
        <v>45847</v>
      </c>
      <c r="BT887" s="4">
        <v>0.35555555555555557</v>
      </c>
      <c r="BU887" t="s">
        <v>1648</v>
      </c>
      <c r="BV887" t="s">
        <v>98</v>
      </c>
      <c r="BY887">
        <v>5320</v>
      </c>
      <c r="BZ887" t="s">
        <v>89</v>
      </c>
      <c r="CA887" t="s">
        <v>1428</v>
      </c>
      <c r="CC887" t="s">
        <v>474</v>
      </c>
      <c r="CD887">
        <v>4026</v>
      </c>
      <c r="CE887" t="s">
        <v>117</v>
      </c>
      <c r="CF887" s="3">
        <v>45847</v>
      </c>
      <c r="CI887">
        <v>1</v>
      </c>
      <c r="CJ887">
        <v>1</v>
      </c>
      <c r="CK887">
        <v>21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"080066427560"</f>
        <v>080066427560</v>
      </c>
      <c r="F888" s="3">
        <v>45846</v>
      </c>
      <c r="G888">
        <v>202604</v>
      </c>
      <c r="H888" t="s">
        <v>75</v>
      </c>
      <c r="I888" t="s">
        <v>76</v>
      </c>
      <c r="J888" t="s">
        <v>77</v>
      </c>
      <c r="K888" t="s">
        <v>78</v>
      </c>
      <c r="L888" t="s">
        <v>277</v>
      </c>
      <c r="M888" t="s">
        <v>278</v>
      </c>
      <c r="N888" t="s">
        <v>279</v>
      </c>
      <c r="O888" t="s">
        <v>82</v>
      </c>
      <c r="P888" t="str">
        <f>"4170047448                    "</f>
        <v xml:space="preserve">4170047448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22.6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0.3</v>
      </c>
      <c r="BK888">
        <v>1</v>
      </c>
      <c r="BL888">
        <v>71.2</v>
      </c>
      <c r="BM888">
        <v>10.68</v>
      </c>
      <c r="BN888">
        <v>81.88</v>
      </c>
      <c r="BO888">
        <v>81.88</v>
      </c>
      <c r="BQ888" t="s">
        <v>280</v>
      </c>
      <c r="BR888" t="s">
        <v>84</v>
      </c>
      <c r="BS888" s="3">
        <v>45847</v>
      </c>
      <c r="BT888" s="4">
        <v>0.39166666666666666</v>
      </c>
      <c r="BU888" t="s">
        <v>1124</v>
      </c>
      <c r="BV888" t="s">
        <v>98</v>
      </c>
      <c r="BY888">
        <v>1350</v>
      </c>
      <c r="BZ888" t="s">
        <v>89</v>
      </c>
      <c r="CA888" t="s">
        <v>282</v>
      </c>
      <c r="CC888" t="s">
        <v>278</v>
      </c>
      <c r="CD888">
        <v>6230</v>
      </c>
      <c r="CE888" t="s">
        <v>239</v>
      </c>
      <c r="CF888" s="3">
        <v>45847</v>
      </c>
      <c r="CI888">
        <v>1</v>
      </c>
      <c r="CJ888">
        <v>1</v>
      </c>
      <c r="CK888">
        <v>21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"080066427577"</f>
        <v>080066427577</v>
      </c>
      <c r="F889" s="3">
        <v>45846</v>
      </c>
      <c r="G889">
        <v>202604</v>
      </c>
      <c r="H889" t="s">
        <v>75</v>
      </c>
      <c r="I889" t="s">
        <v>76</v>
      </c>
      <c r="J889" t="s">
        <v>77</v>
      </c>
      <c r="K889" t="s">
        <v>78</v>
      </c>
      <c r="L889" t="s">
        <v>151</v>
      </c>
      <c r="M889" t="s">
        <v>152</v>
      </c>
      <c r="N889" t="s">
        <v>352</v>
      </c>
      <c r="O889" t="s">
        <v>95</v>
      </c>
      <c r="P889" t="str">
        <f>"4170047295                    "</f>
        <v xml:space="preserve">4170047295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43.7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4</v>
      </c>
      <c r="BJ889">
        <v>1.9</v>
      </c>
      <c r="BK889">
        <v>4</v>
      </c>
      <c r="BL889">
        <v>143.55000000000001</v>
      </c>
      <c r="BM889">
        <v>21.53</v>
      </c>
      <c r="BN889">
        <v>165.08</v>
      </c>
      <c r="BO889">
        <v>165.08</v>
      </c>
      <c r="BQ889" t="s">
        <v>353</v>
      </c>
      <c r="BR889" t="s">
        <v>84</v>
      </c>
      <c r="BS889" s="3">
        <v>45847</v>
      </c>
      <c r="BT889" s="4">
        <v>0.43680555555555556</v>
      </c>
      <c r="BU889" t="s">
        <v>1649</v>
      </c>
      <c r="BV889" t="s">
        <v>98</v>
      </c>
      <c r="BY889">
        <v>9600</v>
      </c>
      <c r="BZ889" t="s">
        <v>99</v>
      </c>
      <c r="CA889" t="s">
        <v>716</v>
      </c>
      <c r="CC889" t="s">
        <v>152</v>
      </c>
      <c r="CD889" s="5" t="s">
        <v>717</v>
      </c>
      <c r="CE889" t="s">
        <v>117</v>
      </c>
      <c r="CF889" s="3">
        <v>45847</v>
      </c>
      <c r="CI889">
        <v>1</v>
      </c>
      <c r="CJ889">
        <v>1</v>
      </c>
      <c r="CK889">
        <v>41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"080066427630"</f>
        <v>080066427630</v>
      </c>
      <c r="F890" s="3">
        <v>45846</v>
      </c>
      <c r="G890">
        <v>202604</v>
      </c>
      <c r="H890" t="s">
        <v>75</v>
      </c>
      <c r="I890" t="s">
        <v>76</v>
      </c>
      <c r="J890" t="s">
        <v>77</v>
      </c>
      <c r="K890" t="s">
        <v>78</v>
      </c>
      <c r="L890" t="s">
        <v>146</v>
      </c>
      <c r="M890" t="s">
        <v>146</v>
      </c>
      <c r="N890" t="s">
        <v>633</v>
      </c>
      <c r="O890" t="s">
        <v>82</v>
      </c>
      <c r="P890" t="str">
        <f>"4170047286                    "</f>
        <v xml:space="preserve">4170047286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43.78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0.3</v>
      </c>
      <c r="BK890">
        <v>1</v>
      </c>
      <c r="BL890">
        <v>137.94</v>
      </c>
      <c r="BM890">
        <v>20.69</v>
      </c>
      <c r="BN890">
        <v>158.63</v>
      </c>
      <c r="BO890">
        <v>158.63</v>
      </c>
      <c r="BQ890" t="s">
        <v>634</v>
      </c>
      <c r="BR890" t="s">
        <v>84</v>
      </c>
      <c r="BS890" s="3">
        <v>45847</v>
      </c>
      <c r="BT890" s="4">
        <v>0.51944444444444449</v>
      </c>
      <c r="BU890" t="s">
        <v>1115</v>
      </c>
      <c r="BV890" t="s">
        <v>98</v>
      </c>
      <c r="BY890">
        <v>1350</v>
      </c>
      <c r="BZ890" t="s">
        <v>89</v>
      </c>
      <c r="CA890" t="s">
        <v>150</v>
      </c>
      <c r="CC890" t="s">
        <v>146</v>
      </c>
      <c r="CD890">
        <v>7646</v>
      </c>
      <c r="CE890" t="s">
        <v>239</v>
      </c>
      <c r="CF890" s="3">
        <v>45848</v>
      </c>
      <c r="CI890">
        <v>1</v>
      </c>
      <c r="CJ890">
        <v>1</v>
      </c>
      <c r="CK890">
        <v>23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"080066427671"</f>
        <v>080066427671</v>
      </c>
      <c r="F891" s="3">
        <v>45846</v>
      </c>
      <c r="G891">
        <v>202604</v>
      </c>
      <c r="H891" t="s">
        <v>75</v>
      </c>
      <c r="I891" t="s">
        <v>76</v>
      </c>
      <c r="J891" t="s">
        <v>77</v>
      </c>
      <c r="K891" t="s">
        <v>78</v>
      </c>
      <c r="L891" t="s">
        <v>758</v>
      </c>
      <c r="M891" t="s">
        <v>759</v>
      </c>
      <c r="N891" t="s">
        <v>760</v>
      </c>
      <c r="O891" t="s">
        <v>82</v>
      </c>
      <c r="P891" t="str">
        <f>"4170047454                    "</f>
        <v xml:space="preserve">4170047454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43.78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0.3</v>
      </c>
      <c r="BK891">
        <v>1</v>
      </c>
      <c r="BL891">
        <v>137.94</v>
      </c>
      <c r="BM891">
        <v>20.69</v>
      </c>
      <c r="BN891">
        <v>158.63</v>
      </c>
      <c r="BO891">
        <v>158.63</v>
      </c>
      <c r="BQ891" t="s">
        <v>761</v>
      </c>
      <c r="BR891" t="s">
        <v>84</v>
      </c>
      <c r="BS891" s="3">
        <v>45847</v>
      </c>
      <c r="BT891" s="4">
        <v>0.40208333333333335</v>
      </c>
      <c r="BU891" t="s">
        <v>1650</v>
      </c>
      <c r="BV891" t="s">
        <v>98</v>
      </c>
      <c r="BY891">
        <v>1350</v>
      </c>
      <c r="BZ891" t="s">
        <v>89</v>
      </c>
      <c r="CA891" t="s">
        <v>763</v>
      </c>
      <c r="CC891" t="s">
        <v>759</v>
      </c>
      <c r="CD891">
        <v>2531</v>
      </c>
      <c r="CE891" t="s">
        <v>239</v>
      </c>
      <c r="CF891" s="3">
        <v>45848</v>
      </c>
      <c r="CI891">
        <v>1</v>
      </c>
      <c r="CJ891">
        <v>1</v>
      </c>
      <c r="CK891">
        <v>23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"080066427718"</f>
        <v>080066427718</v>
      </c>
      <c r="F892" s="3">
        <v>45846</v>
      </c>
      <c r="G892">
        <v>202604</v>
      </c>
      <c r="H892" t="s">
        <v>75</v>
      </c>
      <c r="I892" t="s">
        <v>76</v>
      </c>
      <c r="J892" t="s">
        <v>77</v>
      </c>
      <c r="K892" t="s">
        <v>78</v>
      </c>
      <c r="L892" t="s">
        <v>580</v>
      </c>
      <c r="M892" t="s">
        <v>581</v>
      </c>
      <c r="N892" t="s">
        <v>582</v>
      </c>
      <c r="O892" t="s">
        <v>82</v>
      </c>
      <c r="P892" t="str">
        <f>"4170047281                    "</f>
        <v xml:space="preserve">4170047281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22.6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0.3</v>
      </c>
      <c r="BK892">
        <v>1</v>
      </c>
      <c r="BL892">
        <v>71.2</v>
      </c>
      <c r="BM892">
        <v>10.68</v>
      </c>
      <c r="BN892">
        <v>81.88</v>
      </c>
      <c r="BO892">
        <v>81.88</v>
      </c>
      <c r="BQ892" t="s">
        <v>583</v>
      </c>
      <c r="BR892" t="s">
        <v>84</v>
      </c>
      <c r="BS892" s="3">
        <v>45847</v>
      </c>
      <c r="BT892" s="4">
        <v>0.36805555555555558</v>
      </c>
      <c r="BU892" t="s">
        <v>584</v>
      </c>
      <c r="BV892" t="s">
        <v>98</v>
      </c>
      <c r="BY892">
        <v>1350</v>
      </c>
      <c r="BZ892" t="s">
        <v>89</v>
      </c>
      <c r="CA892" t="s">
        <v>585</v>
      </c>
      <c r="CC892" t="s">
        <v>581</v>
      </c>
      <c r="CD892">
        <v>4302</v>
      </c>
      <c r="CE892" t="s">
        <v>239</v>
      </c>
      <c r="CF892" s="3">
        <v>45847</v>
      </c>
      <c r="CI892">
        <v>1</v>
      </c>
      <c r="CJ892">
        <v>1</v>
      </c>
      <c r="CK892">
        <v>21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"080066427748"</f>
        <v>080066427748</v>
      </c>
      <c r="F893" s="3">
        <v>45846</v>
      </c>
      <c r="G893">
        <v>202604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118</v>
      </c>
      <c r="O893" t="s">
        <v>82</v>
      </c>
      <c r="P893" t="str">
        <f>"4170047443                    "</f>
        <v xml:space="preserve">4170047443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17.649999999999999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0.4</v>
      </c>
      <c r="BK893">
        <v>1</v>
      </c>
      <c r="BL893">
        <v>55.61</v>
      </c>
      <c r="BM893">
        <v>8.34</v>
      </c>
      <c r="BN893">
        <v>63.95</v>
      </c>
      <c r="BO893">
        <v>63.95</v>
      </c>
      <c r="BQ893" t="s">
        <v>119</v>
      </c>
      <c r="BR893" t="s">
        <v>84</v>
      </c>
      <c r="BS893" s="3">
        <v>45847</v>
      </c>
      <c r="BT893" s="4">
        <v>0.31527777777777777</v>
      </c>
      <c r="BU893" t="s">
        <v>768</v>
      </c>
      <c r="BV893" t="s">
        <v>98</v>
      </c>
      <c r="BY893">
        <v>2025</v>
      </c>
      <c r="BZ893" t="s">
        <v>89</v>
      </c>
      <c r="CA893" t="s">
        <v>1537</v>
      </c>
      <c r="CC893" t="s">
        <v>76</v>
      </c>
      <c r="CD893">
        <v>1600</v>
      </c>
      <c r="CE893" t="s">
        <v>239</v>
      </c>
      <c r="CF893" s="3">
        <v>45848</v>
      </c>
      <c r="CI893">
        <v>1</v>
      </c>
      <c r="CJ893">
        <v>1</v>
      </c>
      <c r="CK893">
        <v>22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"080066427772"</f>
        <v>080066427772</v>
      </c>
      <c r="F894" s="3">
        <v>45846</v>
      </c>
      <c r="G894">
        <v>202604</v>
      </c>
      <c r="H894" t="s">
        <v>75</v>
      </c>
      <c r="I894" t="s">
        <v>76</v>
      </c>
      <c r="J894" t="s">
        <v>77</v>
      </c>
      <c r="K894" t="s">
        <v>78</v>
      </c>
      <c r="L894" t="s">
        <v>1651</v>
      </c>
      <c r="M894" t="s">
        <v>1652</v>
      </c>
      <c r="N894" t="s">
        <v>1653</v>
      </c>
      <c r="O894" t="s">
        <v>82</v>
      </c>
      <c r="P894" t="str">
        <f>"4170047446                    "</f>
        <v xml:space="preserve">4170047446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43.78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0.3</v>
      </c>
      <c r="BK894">
        <v>1</v>
      </c>
      <c r="BL894">
        <v>137.94</v>
      </c>
      <c r="BM894">
        <v>20.69</v>
      </c>
      <c r="BN894">
        <v>158.63</v>
      </c>
      <c r="BO894">
        <v>158.63</v>
      </c>
      <c r="BQ894" t="s">
        <v>1654</v>
      </c>
      <c r="BR894" t="s">
        <v>84</v>
      </c>
      <c r="BS894" s="3">
        <v>45847</v>
      </c>
      <c r="BT894" s="4">
        <v>0.52638888888888891</v>
      </c>
      <c r="BU894" t="s">
        <v>1655</v>
      </c>
      <c r="BV894" t="s">
        <v>98</v>
      </c>
      <c r="BY894">
        <v>1350</v>
      </c>
      <c r="BZ894" t="s">
        <v>89</v>
      </c>
      <c r="CA894" t="s">
        <v>1656</v>
      </c>
      <c r="CC894" t="s">
        <v>1652</v>
      </c>
      <c r="CD894">
        <v>6715</v>
      </c>
      <c r="CE894" t="s">
        <v>239</v>
      </c>
      <c r="CF894" s="3">
        <v>45848</v>
      </c>
      <c r="CI894">
        <v>2</v>
      </c>
      <c r="CJ894">
        <v>1</v>
      </c>
      <c r="CK894">
        <v>23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"080066427950"</f>
        <v>080066427950</v>
      </c>
      <c r="F895" s="3">
        <v>45846</v>
      </c>
      <c r="G895">
        <v>202604</v>
      </c>
      <c r="H895" t="s">
        <v>75</v>
      </c>
      <c r="I895" t="s">
        <v>76</v>
      </c>
      <c r="J895" t="s">
        <v>77</v>
      </c>
      <c r="K895" t="s">
        <v>78</v>
      </c>
      <c r="L895" t="s">
        <v>197</v>
      </c>
      <c r="M895" t="s">
        <v>198</v>
      </c>
      <c r="N895" t="s">
        <v>315</v>
      </c>
      <c r="O895" t="s">
        <v>311</v>
      </c>
      <c r="P895" t="str">
        <f>"4170047283                    "</f>
        <v xml:space="preserve">4170047283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17.66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6</v>
      </c>
      <c r="BJ895">
        <v>5.2</v>
      </c>
      <c r="BK895">
        <v>6</v>
      </c>
      <c r="BL895">
        <v>55.63</v>
      </c>
      <c r="BM895">
        <v>8.34</v>
      </c>
      <c r="BN895">
        <v>63.97</v>
      </c>
      <c r="BO895">
        <v>63.97</v>
      </c>
      <c r="BQ895" t="s">
        <v>316</v>
      </c>
      <c r="BR895" t="s">
        <v>84</v>
      </c>
      <c r="BS895" s="3">
        <v>45847</v>
      </c>
      <c r="BT895" s="4">
        <v>0.46388888888888891</v>
      </c>
      <c r="BU895" t="s">
        <v>317</v>
      </c>
      <c r="BV895" t="s">
        <v>98</v>
      </c>
      <c r="BY895">
        <v>26208</v>
      </c>
      <c r="BZ895" t="s">
        <v>99</v>
      </c>
      <c r="CA895" t="s">
        <v>318</v>
      </c>
      <c r="CC895" t="s">
        <v>198</v>
      </c>
      <c r="CD895">
        <v>1401</v>
      </c>
      <c r="CE895" t="s">
        <v>91</v>
      </c>
      <c r="CF895" s="3">
        <v>45847</v>
      </c>
      <c r="CI895">
        <v>1</v>
      </c>
      <c r="CJ895">
        <v>1</v>
      </c>
      <c r="CK895">
        <v>32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"080066428149"</f>
        <v>080066428149</v>
      </c>
      <c r="F896" s="3">
        <v>45846</v>
      </c>
      <c r="G896">
        <v>202604</v>
      </c>
      <c r="H896" t="s">
        <v>75</v>
      </c>
      <c r="I896" t="s">
        <v>76</v>
      </c>
      <c r="J896" t="s">
        <v>77</v>
      </c>
      <c r="K896" t="s">
        <v>78</v>
      </c>
      <c r="L896" t="s">
        <v>240</v>
      </c>
      <c r="M896" t="s">
        <v>241</v>
      </c>
      <c r="N896" t="s">
        <v>403</v>
      </c>
      <c r="O896" t="s">
        <v>82</v>
      </c>
      <c r="P896" t="str">
        <f>"4170047355                    "</f>
        <v xml:space="preserve">4170047355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17.649999999999999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</v>
      </c>
      <c r="BJ896">
        <v>4.9000000000000004</v>
      </c>
      <c r="BK896">
        <v>5</v>
      </c>
      <c r="BL896">
        <v>55.61</v>
      </c>
      <c r="BM896">
        <v>8.34</v>
      </c>
      <c r="BN896">
        <v>63.95</v>
      </c>
      <c r="BO896">
        <v>63.95</v>
      </c>
      <c r="BQ896" t="s">
        <v>404</v>
      </c>
      <c r="BR896" t="s">
        <v>84</v>
      </c>
      <c r="BS896" s="3">
        <v>45847</v>
      </c>
      <c r="BT896" s="4">
        <v>0.4201388888888889</v>
      </c>
      <c r="BU896" t="s">
        <v>405</v>
      </c>
      <c r="BV896" t="s">
        <v>98</v>
      </c>
      <c r="BY896">
        <v>24320</v>
      </c>
      <c r="BZ896" t="s">
        <v>89</v>
      </c>
      <c r="CA896" t="s">
        <v>245</v>
      </c>
      <c r="CC896" t="s">
        <v>241</v>
      </c>
      <c r="CD896">
        <v>2013</v>
      </c>
      <c r="CE896" t="s">
        <v>91</v>
      </c>
      <c r="CF896" s="3">
        <v>45848</v>
      </c>
      <c r="CI896">
        <v>1</v>
      </c>
      <c r="CJ896">
        <v>1</v>
      </c>
      <c r="CK896">
        <v>22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"080066428180"</f>
        <v>080066428180</v>
      </c>
      <c r="F897" s="3">
        <v>45846</v>
      </c>
      <c r="G897">
        <v>202604</v>
      </c>
      <c r="H897" t="s">
        <v>75</v>
      </c>
      <c r="I897" t="s">
        <v>76</v>
      </c>
      <c r="J897" t="s">
        <v>77</v>
      </c>
      <c r="K897" t="s">
        <v>78</v>
      </c>
      <c r="L897" t="s">
        <v>168</v>
      </c>
      <c r="M897" t="s">
        <v>169</v>
      </c>
      <c r="N897" t="s">
        <v>420</v>
      </c>
      <c r="O897" t="s">
        <v>82</v>
      </c>
      <c r="P897" t="str">
        <f>"4170047431                    "</f>
        <v xml:space="preserve">4170047431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50.82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4.0999999999999996</v>
      </c>
      <c r="BK897">
        <v>4.5</v>
      </c>
      <c r="BL897">
        <v>160.12</v>
      </c>
      <c r="BM897">
        <v>24.02</v>
      </c>
      <c r="BN897">
        <v>184.14</v>
      </c>
      <c r="BO897">
        <v>184.14</v>
      </c>
      <c r="BQ897" t="s">
        <v>421</v>
      </c>
      <c r="BR897" t="s">
        <v>84</v>
      </c>
      <c r="BS897" s="3">
        <v>45847</v>
      </c>
      <c r="BT897" s="4">
        <v>0.41319444444444442</v>
      </c>
      <c r="BU897" t="s">
        <v>1121</v>
      </c>
      <c r="BV897" t="s">
        <v>98</v>
      </c>
      <c r="BY897">
        <v>20480</v>
      </c>
      <c r="BZ897" t="s">
        <v>89</v>
      </c>
      <c r="CA897" t="s">
        <v>423</v>
      </c>
      <c r="CC897" t="s">
        <v>169</v>
      </c>
      <c r="CD897">
        <v>6001</v>
      </c>
      <c r="CE897" t="s">
        <v>91</v>
      </c>
      <c r="CF897" s="3">
        <v>45847</v>
      </c>
      <c r="CI897">
        <v>1</v>
      </c>
      <c r="CJ897">
        <v>1</v>
      </c>
      <c r="CK897">
        <v>21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"080066428178"</f>
        <v>080066428178</v>
      </c>
      <c r="F898" s="3">
        <v>45846</v>
      </c>
      <c r="G898">
        <v>202604</v>
      </c>
      <c r="H898" t="s">
        <v>75</v>
      </c>
      <c r="I898" t="s">
        <v>76</v>
      </c>
      <c r="J898" t="s">
        <v>77</v>
      </c>
      <c r="K898" t="s">
        <v>78</v>
      </c>
      <c r="L898" t="s">
        <v>350</v>
      </c>
      <c r="M898" t="s">
        <v>351</v>
      </c>
      <c r="N898" t="s">
        <v>1657</v>
      </c>
      <c r="O898" t="s">
        <v>82</v>
      </c>
      <c r="P898" t="str">
        <f>"4170047373                    "</f>
        <v xml:space="preserve">4170047373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22.6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0.3</v>
      </c>
      <c r="BK898">
        <v>1</v>
      </c>
      <c r="BL898">
        <v>71.2</v>
      </c>
      <c r="BM898">
        <v>10.68</v>
      </c>
      <c r="BN898">
        <v>81.88</v>
      </c>
      <c r="BO898">
        <v>81.88</v>
      </c>
      <c r="BQ898" t="s">
        <v>1658</v>
      </c>
      <c r="BR898" t="s">
        <v>84</v>
      </c>
      <c r="BS898" s="3">
        <v>45847</v>
      </c>
      <c r="BT898" s="4">
        <v>0.47222222222222221</v>
      </c>
      <c r="BU898" t="s">
        <v>1659</v>
      </c>
      <c r="BV898" t="s">
        <v>86</v>
      </c>
      <c r="BW898" t="s">
        <v>194</v>
      </c>
      <c r="BX898" t="s">
        <v>220</v>
      </c>
      <c r="BY898">
        <v>1350</v>
      </c>
      <c r="BZ898" t="s">
        <v>89</v>
      </c>
      <c r="CA898" t="s">
        <v>1428</v>
      </c>
      <c r="CC898" t="s">
        <v>351</v>
      </c>
      <c r="CD898">
        <v>4113</v>
      </c>
      <c r="CE898" t="s">
        <v>239</v>
      </c>
      <c r="CF898" s="3">
        <v>45847</v>
      </c>
      <c r="CI898">
        <v>1</v>
      </c>
      <c r="CJ898">
        <v>1</v>
      </c>
      <c r="CK898">
        <v>21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"080066428235"</f>
        <v>080066428235</v>
      </c>
      <c r="F899" s="3">
        <v>45846</v>
      </c>
      <c r="G899">
        <v>202604</v>
      </c>
      <c r="H899" t="s">
        <v>75</v>
      </c>
      <c r="I899" t="s">
        <v>76</v>
      </c>
      <c r="J899" t="s">
        <v>77</v>
      </c>
      <c r="K899" t="s">
        <v>78</v>
      </c>
      <c r="L899" t="s">
        <v>277</v>
      </c>
      <c r="M899" t="s">
        <v>278</v>
      </c>
      <c r="N899" t="s">
        <v>1473</v>
      </c>
      <c r="O899" t="s">
        <v>82</v>
      </c>
      <c r="P899" t="str">
        <f>"4170047407                    "</f>
        <v xml:space="preserve">4170047407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22.6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0.3</v>
      </c>
      <c r="BK899">
        <v>1</v>
      </c>
      <c r="BL899">
        <v>71.2</v>
      </c>
      <c r="BM899">
        <v>10.68</v>
      </c>
      <c r="BN899">
        <v>81.88</v>
      </c>
      <c r="BO899">
        <v>81.88</v>
      </c>
      <c r="BQ899" t="s">
        <v>1474</v>
      </c>
      <c r="BR899" t="s">
        <v>84</v>
      </c>
      <c r="BS899" s="3">
        <v>45847</v>
      </c>
      <c r="BT899" s="4">
        <v>0.39861111111111114</v>
      </c>
      <c r="BU899" t="s">
        <v>1475</v>
      </c>
      <c r="BV899" t="s">
        <v>98</v>
      </c>
      <c r="BY899">
        <v>1350</v>
      </c>
      <c r="BZ899" t="s">
        <v>89</v>
      </c>
      <c r="CA899" t="s">
        <v>282</v>
      </c>
      <c r="CC899" t="s">
        <v>278</v>
      </c>
      <c r="CD899">
        <v>6229</v>
      </c>
      <c r="CE899" t="s">
        <v>239</v>
      </c>
      <c r="CF899" s="3">
        <v>45847</v>
      </c>
      <c r="CI899">
        <v>1</v>
      </c>
      <c r="CJ899">
        <v>1</v>
      </c>
      <c r="CK899">
        <v>21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"080066428271"</f>
        <v>080066428271</v>
      </c>
      <c r="F900" s="3">
        <v>45846</v>
      </c>
      <c r="G900">
        <v>202604</v>
      </c>
      <c r="H900" t="s">
        <v>75</v>
      </c>
      <c r="I900" t="s">
        <v>76</v>
      </c>
      <c r="J900" t="s">
        <v>77</v>
      </c>
      <c r="K900" t="s">
        <v>78</v>
      </c>
      <c r="L900" t="s">
        <v>305</v>
      </c>
      <c r="M900" t="s">
        <v>306</v>
      </c>
      <c r="N900" t="s">
        <v>1346</v>
      </c>
      <c r="O900" t="s">
        <v>82</v>
      </c>
      <c r="P900" t="str">
        <f>"4170047420                    "</f>
        <v xml:space="preserve">4170047420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0.3</v>
      </c>
      <c r="BK900">
        <v>1</v>
      </c>
      <c r="BL900">
        <v>71.2</v>
      </c>
      <c r="BM900">
        <v>10.68</v>
      </c>
      <c r="BN900">
        <v>81.88</v>
      </c>
      <c r="BO900">
        <v>81.88</v>
      </c>
      <c r="BQ900" t="s">
        <v>1347</v>
      </c>
      <c r="BR900" t="s">
        <v>84</v>
      </c>
      <c r="BS900" s="3">
        <v>45847</v>
      </c>
      <c r="BT900" s="4">
        <v>0.5083333333333333</v>
      </c>
      <c r="BU900" t="s">
        <v>1660</v>
      </c>
      <c r="BV900" t="s">
        <v>98</v>
      </c>
      <c r="BY900">
        <v>1350</v>
      </c>
      <c r="BZ900" t="s">
        <v>89</v>
      </c>
      <c r="CA900" t="s">
        <v>575</v>
      </c>
      <c r="CC900" t="s">
        <v>306</v>
      </c>
      <c r="CD900">
        <v>5201</v>
      </c>
      <c r="CE900" t="s">
        <v>239</v>
      </c>
      <c r="CF900" s="3">
        <v>45848</v>
      </c>
      <c r="CI900">
        <v>5</v>
      </c>
      <c r="CJ900">
        <v>1</v>
      </c>
      <c r="CK900">
        <v>21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"080066428350"</f>
        <v>080066428350</v>
      </c>
      <c r="F901" s="3">
        <v>45846</v>
      </c>
      <c r="G901">
        <v>202604</v>
      </c>
      <c r="H901" t="s">
        <v>75</v>
      </c>
      <c r="I901" t="s">
        <v>76</v>
      </c>
      <c r="J901" t="s">
        <v>77</v>
      </c>
      <c r="K901" t="s">
        <v>78</v>
      </c>
      <c r="L901" t="s">
        <v>146</v>
      </c>
      <c r="M901" t="s">
        <v>146</v>
      </c>
      <c r="N901" t="s">
        <v>986</v>
      </c>
      <c r="O901" t="s">
        <v>82</v>
      </c>
      <c r="P901" t="str">
        <f>"4170047418                    "</f>
        <v xml:space="preserve">4170047418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43.78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0.3</v>
      </c>
      <c r="BK901">
        <v>1</v>
      </c>
      <c r="BL901">
        <v>137.94</v>
      </c>
      <c r="BM901">
        <v>20.69</v>
      </c>
      <c r="BN901">
        <v>158.63</v>
      </c>
      <c r="BO901">
        <v>158.63</v>
      </c>
      <c r="BQ901" t="s">
        <v>987</v>
      </c>
      <c r="BR901" t="s">
        <v>84</v>
      </c>
      <c r="BS901" s="3">
        <v>45847</v>
      </c>
      <c r="BT901" s="4">
        <v>0.51944444444444449</v>
      </c>
      <c r="BU901" t="s">
        <v>1115</v>
      </c>
      <c r="BV901" t="s">
        <v>98</v>
      </c>
      <c r="BY901">
        <v>1350</v>
      </c>
      <c r="BZ901" t="s">
        <v>89</v>
      </c>
      <c r="CA901" t="s">
        <v>150</v>
      </c>
      <c r="CC901" t="s">
        <v>146</v>
      </c>
      <c r="CD901">
        <v>7646</v>
      </c>
      <c r="CE901" t="s">
        <v>239</v>
      </c>
      <c r="CF901" s="3">
        <v>45848</v>
      </c>
      <c r="CI901">
        <v>1</v>
      </c>
      <c r="CJ901">
        <v>1</v>
      </c>
      <c r="CK901">
        <v>23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"080066428406"</f>
        <v>080066428406</v>
      </c>
      <c r="F902" s="3">
        <v>45846</v>
      </c>
      <c r="G902">
        <v>202604</v>
      </c>
      <c r="H902" t="s">
        <v>75</v>
      </c>
      <c r="I902" t="s">
        <v>76</v>
      </c>
      <c r="J902" t="s">
        <v>77</v>
      </c>
      <c r="K902" t="s">
        <v>78</v>
      </c>
      <c r="L902" t="s">
        <v>168</v>
      </c>
      <c r="M902" t="s">
        <v>169</v>
      </c>
      <c r="N902" t="s">
        <v>202</v>
      </c>
      <c r="O902" t="s">
        <v>82</v>
      </c>
      <c r="P902" t="str">
        <f>"4170047084                    "</f>
        <v xml:space="preserve">4170047084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22.6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0.3</v>
      </c>
      <c r="BK902">
        <v>1</v>
      </c>
      <c r="BL902">
        <v>71.2</v>
      </c>
      <c r="BM902">
        <v>10.68</v>
      </c>
      <c r="BN902">
        <v>81.88</v>
      </c>
      <c r="BO902">
        <v>81.88</v>
      </c>
      <c r="BQ902" t="s">
        <v>203</v>
      </c>
      <c r="BR902" t="s">
        <v>84</v>
      </c>
      <c r="BS902" s="3">
        <v>45847</v>
      </c>
      <c r="BT902" s="4">
        <v>0.39097222222222222</v>
      </c>
      <c r="BU902" t="s">
        <v>1328</v>
      </c>
      <c r="BV902" t="s">
        <v>98</v>
      </c>
      <c r="BY902">
        <v>1350</v>
      </c>
      <c r="BZ902" t="s">
        <v>89</v>
      </c>
      <c r="CA902" t="s">
        <v>205</v>
      </c>
      <c r="CC902" t="s">
        <v>169</v>
      </c>
      <c r="CD902">
        <v>6001</v>
      </c>
      <c r="CE902" t="s">
        <v>239</v>
      </c>
      <c r="CF902" s="3">
        <v>45847</v>
      </c>
      <c r="CI902">
        <v>1</v>
      </c>
      <c r="CJ902">
        <v>1</v>
      </c>
      <c r="CK902">
        <v>21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"080066428408"</f>
        <v>080066428408</v>
      </c>
      <c r="F903" s="3">
        <v>45846</v>
      </c>
      <c r="G903">
        <v>202604</v>
      </c>
      <c r="H903" t="s">
        <v>75</v>
      </c>
      <c r="I903" t="s">
        <v>76</v>
      </c>
      <c r="J903" t="s">
        <v>77</v>
      </c>
      <c r="K903" t="s">
        <v>78</v>
      </c>
      <c r="L903" t="s">
        <v>168</v>
      </c>
      <c r="M903" t="s">
        <v>169</v>
      </c>
      <c r="N903" t="s">
        <v>1252</v>
      </c>
      <c r="O903" t="s">
        <v>82</v>
      </c>
      <c r="P903" t="str">
        <f>"4170047459                    "</f>
        <v xml:space="preserve">4170047459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22.6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71.2</v>
      </c>
      <c r="BM903">
        <v>10.68</v>
      </c>
      <c r="BN903">
        <v>81.88</v>
      </c>
      <c r="BO903">
        <v>81.88</v>
      </c>
      <c r="BQ903" t="s">
        <v>1545</v>
      </c>
      <c r="BR903" t="s">
        <v>84</v>
      </c>
      <c r="BS903" s="3">
        <v>45847</v>
      </c>
      <c r="BT903" s="4">
        <v>0.33333333333333331</v>
      </c>
      <c r="BU903" t="s">
        <v>1546</v>
      </c>
      <c r="BV903" t="s">
        <v>98</v>
      </c>
      <c r="BY903">
        <v>1200</v>
      </c>
      <c r="BZ903" t="s">
        <v>89</v>
      </c>
      <c r="CA903" t="s">
        <v>423</v>
      </c>
      <c r="CC903" t="s">
        <v>169</v>
      </c>
      <c r="CD903">
        <v>6045</v>
      </c>
      <c r="CE903" t="s">
        <v>239</v>
      </c>
      <c r="CF903" s="3">
        <v>45847</v>
      </c>
      <c r="CI903">
        <v>1</v>
      </c>
      <c r="CJ903">
        <v>1</v>
      </c>
      <c r="CK903">
        <v>21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"080066428483"</f>
        <v>080066428483</v>
      </c>
      <c r="F904" s="3">
        <v>45846</v>
      </c>
      <c r="G904">
        <v>202604</v>
      </c>
      <c r="H904" t="s">
        <v>75</v>
      </c>
      <c r="I904" t="s">
        <v>76</v>
      </c>
      <c r="J904" t="s">
        <v>77</v>
      </c>
      <c r="K904" t="s">
        <v>78</v>
      </c>
      <c r="L904" t="s">
        <v>168</v>
      </c>
      <c r="M904" t="s">
        <v>169</v>
      </c>
      <c r="N904" t="s">
        <v>206</v>
      </c>
      <c r="O904" t="s">
        <v>82</v>
      </c>
      <c r="P904" t="str">
        <f>"4170047430                    "</f>
        <v xml:space="preserve">4170047430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22.6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71.2</v>
      </c>
      <c r="BM904">
        <v>10.68</v>
      </c>
      <c r="BN904">
        <v>81.88</v>
      </c>
      <c r="BO904">
        <v>81.88</v>
      </c>
      <c r="BQ904" t="s">
        <v>207</v>
      </c>
      <c r="BR904" t="s">
        <v>84</v>
      </c>
      <c r="BS904" s="3">
        <v>45847</v>
      </c>
      <c r="BT904" s="4">
        <v>0.4284722222222222</v>
      </c>
      <c r="BU904" t="s">
        <v>208</v>
      </c>
      <c r="BV904" t="s">
        <v>98</v>
      </c>
      <c r="BY904">
        <v>1200</v>
      </c>
      <c r="BZ904" t="s">
        <v>89</v>
      </c>
      <c r="CA904" t="s">
        <v>196</v>
      </c>
      <c r="CC904" t="s">
        <v>169</v>
      </c>
      <c r="CD904">
        <v>6001</v>
      </c>
      <c r="CE904" t="s">
        <v>239</v>
      </c>
      <c r="CF904" s="3">
        <v>45847</v>
      </c>
      <c r="CI904">
        <v>1</v>
      </c>
      <c r="CJ904">
        <v>1</v>
      </c>
      <c r="CK904">
        <v>21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"080066428484"</f>
        <v>080066428484</v>
      </c>
      <c r="F905" s="3">
        <v>45846</v>
      </c>
      <c r="G905">
        <v>202604</v>
      </c>
      <c r="H905" t="s">
        <v>75</v>
      </c>
      <c r="I905" t="s">
        <v>76</v>
      </c>
      <c r="J905" t="s">
        <v>77</v>
      </c>
      <c r="K905" t="s">
        <v>78</v>
      </c>
      <c r="L905" t="s">
        <v>305</v>
      </c>
      <c r="M905" t="s">
        <v>306</v>
      </c>
      <c r="N905" t="s">
        <v>710</v>
      </c>
      <c r="O905" t="s">
        <v>82</v>
      </c>
      <c r="P905" t="str">
        <f>"4170047463                    "</f>
        <v xml:space="preserve">4170047463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22.6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0.3</v>
      </c>
      <c r="BK905">
        <v>1</v>
      </c>
      <c r="BL905">
        <v>71.2</v>
      </c>
      <c r="BM905">
        <v>10.68</v>
      </c>
      <c r="BN905">
        <v>81.88</v>
      </c>
      <c r="BO905">
        <v>81.88</v>
      </c>
      <c r="BQ905" t="s">
        <v>711</v>
      </c>
      <c r="BR905" t="s">
        <v>84</v>
      </c>
      <c r="BS905" s="3">
        <v>45847</v>
      </c>
      <c r="BT905" s="4">
        <v>0.51388888888888884</v>
      </c>
      <c r="BU905" t="s">
        <v>1661</v>
      </c>
      <c r="BV905" t="s">
        <v>86</v>
      </c>
      <c r="BY905">
        <v>1350</v>
      </c>
      <c r="BZ905" t="s">
        <v>89</v>
      </c>
      <c r="CA905" t="s">
        <v>575</v>
      </c>
      <c r="CC905" t="s">
        <v>306</v>
      </c>
      <c r="CD905">
        <v>5200</v>
      </c>
      <c r="CE905" t="s">
        <v>239</v>
      </c>
      <c r="CF905" s="3">
        <v>45848</v>
      </c>
      <c r="CI905">
        <v>1</v>
      </c>
      <c r="CJ905">
        <v>1</v>
      </c>
      <c r="CK905">
        <v>21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"080066428519"</f>
        <v>080066428519</v>
      </c>
      <c r="F906" s="3">
        <v>45846</v>
      </c>
      <c r="G906">
        <v>202604</v>
      </c>
      <c r="H906" t="s">
        <v>75</v>
      </c>
      <c r="I906" t="s">
        <v>76</v>
      </c>
      <c r="J906" t="s">
        <v>77</v>
      </c>
      <c r="K906" t="s">
        <v>78</v>
      </c>
      <c r="L906" t="s">
        <v>168</v>
      </c>
      <c r="M906" t="s">
        <v>169</v>
      </c>
      <c r="N906" t="s">
        <v>202</v>
      </c>
      <c r="O906" t="s">
        <v>82</v>
      </c>
      <c r="P906" t="str">
        <f>"4170047082                    "</f>
        <v xml:space="preserve">4170047082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22.6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0.3</v>
      </c>
      <c r="BK906">
        <v>1</v>
      </c>
      <c r="BL906">
        <v>71.2</v>
      </c>
      <c r="BM906">
        <v>10.68</v>
      </c>
      <c r="BN906">
        <v>81.88</v>
      </c>
      <c r="BO906">
        <v>81.88</v>
      </c>
      <c r="BQ906" t="s">
        <v>1531</v>
      </c>
      <c r="BR906" t="s">
        <v>84</v>
      </c>
      <c r="BS906" s="3">
        <v>45847</v>
      </c>
      <c r="BT906" s="4">
        <v>0.39305555555555555</v>
      </c>
      <c r="BU906" t="s">
        <v>1519</v>
      </c>
      <c r="BV906" t="s">
        <v>98</v>
      </c>
      <c r="BY906">
        <v>1350</v>
      </c>
      <c r="BZ906" t="s">
        <v>89</v>
      </c>
      <c r="CA906" t="s">
        <v>205</v>
      </c>
      <c r="CC906" t="s">
        <v>169</v>
      </c>
      <c r="CD906">
        <v>6001</v>
      </c>
      <c r="CE906" t="s">
        <v>239</v>
      </c>
      <c r="CF906" s="3">
        <v>45847</v>
      </c>
      <c r="CI906">
        <v>1</v>
      </c>
      <c r="CJ906">
        <v>1</v>
      </c>
      <c r="CK906">
        <v>21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"080066428533"</f>
        <v>080066428533</v>
      </c>
      <c r="F907" s="3">
        <v>45846</v>
      </c>
      <c r="G907">
        <v>202604</v>
      </c>
      <c r="H907" t="s">
        <v>75</v>
      </c>
      <c r="I907" t="s">
        <v>76</v>
      </c>
      <c r="J907" t="s">
        <v>77</v>
      </c>
      <c r="K907" t="s">
        <v>78</v>
      </c>
      <c r="L907" t="s">
        <v>554</v>
      </c>
      <c r="M907" t="s">
        <v>555</v>
      </c>
      <c r="N907" t="s">
        <v>792</v>
      </c>
      <c r="O907" t="s">
        <v>95</v>
      </c>
      <c r="P907" t="str">
        <f>"4170047488                    "</f>
        <v xml:space="preserve">4170047488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399.13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2</v>
      </c>
      <c r="BI907">
        <v>126</v>
      </c>
      <c r="BJ907">
        <v>211.8</v>
      </c>
      <c r="BK907">
        <v>212</v>
      </c>
      <c r="BL907">
        <v>1263.3399999999999</v>
      </c>
      <c r="BM907">
        <v>189.5</v>
      </c>
      <c r="BN907">
        <v>1452.84</v>
      </c>
      <c r="BO907">
        <v>1452.84</v>
      </c>
      <c r="BQ907" t="s">
        <v>793</v>
      </c>
      <c r="BR907" t="s">
        <v>84</v>
      </c>
      <c r="BS907" s="3">
        <v>45848</v>
      </c>
      <c r="BT907" s="4">
        <v>0.53402777777777777</v>
      </c>
      <c r="BU907" t="s">
        <v>1662</v>
      </c>
      <c r="BV907" t="s">
        <v>86</v>
      </c>
      <c r="BW907" t="s">
        <v>395</v>
      </c>
      <c r="BX907" t="s">
        <v>905</v>
      </c>
      <c r="BY907">
        <v>529584</v>
      </c>
      <c r="BZ907" t="s">
        <v>99</v>
      </c>
      <c r="CA907" t="s">
        <v>1663</v>
      </c>
      <c r="CC907" t="s">
        <v>555</v>
      </c>
      <c r="CD907" s="5" t="s">
        <v>560</v>
      </c>
      <c r="CE907" t="s">
        <v>226</v>
      </c>
      <c r="CF907" s="3">
        <v>45848</v>
      </c>
      <c r="CI907">
        <v>1</v>
      </c>
      <c r="CJ907">
        <v>2</v>
      </c>
      <c r="CK907">
        <v>41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"080066428570"</f>
        <v>080066428570</v>
      </c>
      <c r="F908" s="3">
        <v>45846</v>
      </c>
      <c r="G908">
        <v>202604</v>
      </c>
      <c r="H908" t="s">
        <v>75</v>
      </c>
      <c r="I908" t="s">
        <v>76</v>
      </c>
      <c r="J908" t="s">
        <v>77</v>
      </c>
      <c r="K908" t="s">
        <v>78</v>
      </c>
      <c r="L908" t="s">
        <v>580</v>
      </c>
      <c r="M908" t="s">
        <v>581</v>
      </c>
      <c r="N908" t="s">
        <v>582</v>
      </c>
      <c r="O908" t="s">
        <v>82</v>
      </c>
      <c r="P908" t="str">
        <f>"4170047422                    "</f>
        <v xml:space="preserve">4170047422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22.6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0.3</v>
      </c>
      <c r="BK908">
        <v>1</v>
      </c>
      <c r="BL908">
        <v>71.2</v>
      </c>
      <c r="BM908">
        <v>10.68</v>
      </c>
      <c r="BN908">
        <v>81.88</v>
      </c>
      <c r="BO908">
        <v>81.88</v>
      </c>
      <c r="BQ908" t="s">
        <v>583</v>
      </c>
      <c r="BR908" t="s">
        <v>84</v>
      </c>
      <c r="BS908" s="3">
        <v>45847</v>
      </c>
      <c r="BT908" s="4">
        <v>0.35416666666666669</v>
      </c>
      <c r="BU908" t="s">
        <v>584</v>
      </c>
      <c r="BV908" t="s">
        <v>98</v>
      </c>
      <c r="BY908">
        <v>1350</v>
      </c>
      <c r="BZ908" t="s">
        <v>89</v>
      </c>
      <c r="CA908" t="s">
        <v>585</v>
      </c>
      <c r="CC908" t="s">
        <v>581</v>
      </c>
      <c r="CD908">
        <v>4302</v>
      </c>
      <c r="CE908" t="s">
        <v>239</v>
      </c>
      <c r="CF908" s="3">
        <v>45847</v>
      </c>
      <c r="CI908">
        <v>1</v>
      </c>
      <c r="CJ908">
        <v>1</v>
      </c>
      <c r="CK908">
        <v>21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"080066428864"</f>
        <v>080066428864</v>
      </c>
      <c r="F909" s="3">
        <v>45846</v>
      </c>
      <c r="G909">
        <v>202604</v>
      </c>
      <c r="H909" t="s">
        <v>75</v>
      </c>
      <c r="I909" t="s">
        <v>76</v>
      </c>
      <c r="J909" t="s">
        <v>77</v>
      </c>
      <c r="K909" t="s">
        <v>78</v>
      </c>
      <c r="L909" t="s">
        <v>329</v>
      </c>
      <c r="M909" t="s">
        <v>330</v>
      </c>
      <c r="N909" t="s">
        <v>331</v>
      </c>
      <c r="O909" t="s">
        <v>82</v>
      </c>
      <c r="P909" t="str">
        <f>"4170047412                    "</f>
        <v xml:space="preserve">4170047412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43.78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0.1</v>
      </c>
      <c r="BK909">
        <v>1</v>
      </c>
      <c r="BL909">
        <v>137.94</v>
      </c>
      <c r="BM909">
        <v>20.69</v>
      </c>
      <c r="BN909">
        <v>158.63</v>
      </c>
      <c r="BO909">
        <v>158.63</v>
      </c>
      <c r="BQ909" t="s">
        <v>332</v>
      </c>
      <c r="BR909" t="s">
        <v>84</v>
      </c>
      <c r="BS909" s="3">
        <v>45847</v>
      </c>
      <c r="BT909" s="4">
        <v>0.60833333333333328</v>
      </c>
      <c r="BU909" t="s">
        <v>333</v>
      </c>
      <c r="BV909" t="s">
        <v>98</v>
      </c>
      <c r="BY909">
        <v>450</v>
      </c>
      <c r="BZ909" t="s">
        <v>89</v>
      </c>
      <c r="CA909" t="s">
        <v>1153</v>
      </c>
      <c r="CC909" t="s">
        <v>330</v>
      </c>
      <c r="CD909">
        <v>6300</v>
      </c>
      <c r="CE909" t="s">
        <v>239</v>
      </c>
      <c r="CF909" s="3">
        <v>45847</v>
      </c>
      <c r="CI909">
        <v>2</v>
      </c>
      <c r="CJ909">
        <v>1</v>
      </c>
      <c r="CK909">
        <v>23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"080066428874"</f>
        <v>080066428874</v>
      </c>
      <c r="F910" s="3">
        <v>45846</v>
      </c>
      <c r="G910">
        <v>202604</v>
      </c>
      <c r="H910" t="s">
        <v>75</v>
      </c>
      <c r="I910" t="s">
        <v>76</v>
      </c>
      <c r="J910" t="s">
        <v>77</v>
      </c>
      <c r="K910" t="s">
        <v>78</v>
      </c>
      <c r="L910" t="s">
        <v>704</v>
      </c>
      <c r="M910" t="s">
        <v>705</v>
      </c>
      <c r="N910" t="s">
        <v>848</v>
      </c>
      <c r="O910" t="s">
        <v>82</v>
      </c>
      <c r="P910" t="str">
        <f>"4170047465                    "</f>
        <v xml:space="preserve">4170047465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83.33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4</v>
      </c>
      <c r="BJ910">
        <v>1.7</v>
      </c>
      <c r="BK910">
        <v>4</v>
      </c>
      <c r="BL910">
        <v>262.52999999999997</v>
      </c>
      <c r="BM910">
        <v>39.380000000000003</v>
      </c>
      <c r="BN910">
        <v>301.91000000000003</v>
      </c>
      <c r="BO910">
        <v>301.91000000000003</v>
      </c>
      <c r="BQ910" t="s">
        <v>849</v>
      </c>
      <c r="BR910" t="s">
        <v>84</v>
      </c>
      <c r="BS910" s="3">
        <v>45847</v>
      </c>
      <c r="BT910" s="4">
        <v>0.57291666666666663</v>
      </c>
      <c r="BU910" t="s">
        <v>1664</v>
      </c>
      <c r="BV910" t="s">
        <v>98</v>
      </c>
      <c r="BY910">
        <v>8512</v>
      </c>
      <c r="BZ910" t="s">
        <v>89</v>
      </c>
      <c r="CA910" t="s">
        <v>1665</v>
      </c>
      <c r="CC910" t="s">
        <v>705</v>
      </c>
      <c r="CD910">
        <v>6850</v>
      </c>
      <c r="CE910" t="s">
        <v>117</v>
      </c>
      <c r="CF910" s="3">
        <v>45848</v>
      </c>
      <c r="CI910">
        <v>2</v>
      </c>
      <c r="CJ910">
        <v>1</v>
      </c>
      <c r="CK910">
        <v>23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"080066428911"</f>
        <v>080066428911</v>
      </c>
      <c r="F911" s="3">
        <v>45846</v>
      </c>
      <c r="G911">
        <v>202604</v>
      </c>
      <c r="H911" t="s">
        <v>75</v>
      </c>
      <c r="I911" t="s">
        <v>76</v>
      </c>
      <c r="J911" t="s">
        <v>77</v>
      </c>
      <c r="K911" t="s">
        <v>78</v>
      </c>
      <c r="L911" t="s">
        <v>122</v>
      </c>
      <c r="M911" t="s">
        <v>123</v>
      </c>
      <c r="N911" t="s">
        <v>283</v>
      </c>
      <c r="O911" t="s">
        <v>82</v>
      </c>
      <c r="P911" t="str">
        <f>"4170047486                    "</f>
        <v xml:space="preserve">4170047486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22.6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0.3</v>
      </c>
      <c r="BK911">
        <v>1</v>
      </c>
      <c r="BL911">
        <v>71.2</v>
      </c>
      <c r="BM911">
        <v>10.68</v>
      </c>
      <c r="BN911">
        <v>81.88</v>
      </c>
      <c r="BO911">
        <v>81.88</v>
      </c>
      <c r="BQ911" t="s">
        <v>284</v>
      </c>
      <c r="BR911" t="s">
        <v>84</v>
      </c>
      <c r="BS911" s="3">
        <v>45847</v>
      </c>
      <c r="BT911" s="4">
        <v>0.43125000000000002</v>
      </c>
      <c r="BU911" t="s">
        <v>285</v>
      </c>
      <c r="BV911" t="s">
        <v>98</v>
      </c>
      <c r="BY911">
        <v>1350</v>
      </c>
      <c r="BZ911" t="s">
        <v>89</v>
      </c>
      <c r="CA911" t="s">
        <v>187</v>
      </c>
      <c r="CC911" t="s">
        <v>123</v>
      </c>
      <c r="CD911">
        <v>3608</v>
      </c>
      <c r="CE911" t="s">
        <v>239</v>
      </c>
      <c r="CF911" s="3">
        <v>45847</v>
      </c>
      <c r="CI911">
        <v>1</v>
      </c>
      <c r="CJ911">
        <v>1</v>
      </c>
      <c r="CK911">
        <v>21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"080066428927"</f>
        <v>080066428927</v>
      </c>
      <c r="F912" s="3">
        <v>45846</v>
      </c>
      <c r="G912">
        <v>202604</v>
      </c>
      <c r="H912" t="s">
        <v>75</v>
      </c>
      <c r="I912" t="s">
        <v>76</v>
      </c>
      <c r="J912" t="s">
        <v>77</v>
      </c>
      <c r="K912" t="s">
        <v>78</v>
      </c>
      <c r="L912" t="s">
        <v>580</v>
      </c>
      <c r="M912" t="s">
        <v>581</v>
      </c>
      <c r="N912" t="s">
        <v>582</v>
      </c>
      <c r="O912" t="s">
        <v>82</v>
      </c>
      <c r="P912" t="str">
        <f>"4170047414                    "</f>
        <v xml:space="preserve">4170047414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56.47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5</v>
      </c>
      <c r="BJ912">
        <v>1.6</v>
      </c>
      <c r="BK912">
        <v>5</v>
      </c>
      <c r="BL912">
        <v>177.91</v>
      </c>
      <c r="BM912">
        <v>26.69</v>
      </c>
      <c r="BN912">
        <v>204.6</v>
      </c>
      <c r="BO912">
        <v>204.6</v>
      </c>
      <c r="BQ912" t="s">
        <v>583</v>
      </c>
      <c r="BR912" t="s">
        <v>84</v>
      </c>
      <c r="BS912" s="3">
        <v>45847</v>
      </c>
      <c r="BT912" s="4">
        <v>0.36805555555555558</v>
      </c>
      <c r="BU912" t="s">
        <v>584</v>
      </c>
      <c r="BV912" t="s">
        <v>98</v>
      </c>
      <c r="BY912">
        <v>7980</v>
      </c>
      <c r="BZ912" t="s">
        <v>89</v>
      </c>
      <c r="CA912" t="s">
        <v>585</v>
      </c>
      <c r="CC912" t="s">
        <v>581</v>
      </c>
      <c r="CD912">
        <v>4302</v>
      </c>
      <c r="CE912" t="s">
        <v>117</v>
      </c>
      <c r="CF912" s="3">
        <v>45847</v>
      </c>
      <c r="CI912">
        <v>1</v>
      </c>
      <c r="CJ912">
        <v>1</v>
      </c>
      <c r="CK912">
        <v>21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"080066428945"</f>
        <v>080066428945</v>
      </c>
      <c r="F913" s="3">
        <v>45846</v>
      </c>
      <c r="G913">
        <v>202604</v>
      </c>
      <c r="H913" t="s">
        <v>75</v>
      </c>
      <c r="I913" t="s">
        <v>76</v>
      </c>
      <c r="J913" t="s">
        <v>77</v>
      </c>
      <c r="K913" t="s">
        <v>78</v>
      </c>
      <c r="L913" t="s">
        <v>92</v>
      </c>
      <c r="M913" t="s">
        <v>93</v>
      </c>
      <c r="N913" t="s">
        <v>291</v>
      </c>
      <c r="O913" t="s">
        <v>82</v>
      </c>
      <c r="P913" t="str">
        <f>"4170047485                    "</f>
        <v xml:space="preserve">4170047485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22.6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0.3</v>
      </c>
      <c r="BK913">
        <v>1</v>
      </c>
      <c r="BL913">
        <v>71.2</v>
      </c>
      <c r="BM913">
        <v>10.68</v>
      </c>
      <c r="BN913">
        <v>81.88</v>
      </c>
      <c r="BO913">
        <v>81.88</v>
      </c>
      <c r="BQ913" t="s">
        <v>292</v>
      </c>
      <c r="BR913" t="s">
        <v>84</v>
      </c>
      <c r="BS913" s="3">
        <v>45847</v>
      </c>
      <c r="BT913" s="4">
        <v>0.31944444444444442</v>
      </c>
      <c r="BU913" t="s">
        <v>1571</v>
      </c>
      <c r="BV913" t="s">
        <v>98</v>
      </c>
      <c r="BY913">
        <v>1350</v>
      </c>
      <c r="BZ913" t="s">
        <v>89</v>
      </c>
      <c r="CA913" t="s">
        <v>294</v>
      </c>
      <c r="CC913" t="s">
        <v>93</v>
      </c>
      <c r="CD913">
        <v>4051</v>
      </c>
      <c r="CE913" t="s">
        <v>239</v>
      </c>
      <c r="CF913" s="3">
        <v>45847</v>
      </c>
      <c r="CI913">
        <v>1</v>
      </c>
      <c r="CJ913">
        <v>1</v>
      </c>
      <c r="CK913">
        <v>21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"080066428972"</f>
        <v>080066428972</v>
      </c>
      <c r="F914" s="3">
        <v>45846</v>
      </c>
      <c r="G914">
        <v>202604</v>
      </c>
      <c r="H914" t="s">
        <v>75</v>
      </c>
      <c r="I914" t="s">
        <v>76</v>
      </c>
      <c r="J914" t="s">
        <v>77</v>
      </c>
      <c r="K914" t="s">
        <v>78</v>
      </c>
      <c r="L914" t="s">
        <v>240</v>
      </c>
      <c r="M914" t="s">
        <v>241</v>
      </c>
      <c r="N914" t="s">
        <v>1070</v>
      </c>
      <c r="O914" t="s">
        <v>82</v>
      </c>
      <c r="P914" t="str">
        <f>"4170047479                    "</f>
        <v xml:space="preserve">4170047479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17.649999999999999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0.1</v>
      </c>
      <c r="BK914">
        <v>1</v>
      </c>
      <c r="BL914">
        <v>55.61</v>
      </c>
      <c r="BM914">
        <v>8.34</v>
      </c>
      <c r="BN914">
        <v>63.95</v>
      </c>
      <c r="BO914">
        <v>63.95</v>
      </c>
      <c r="BQ914" t="s">
        <v>1071</v>
      </c>
      <c r="BR914" t="s">
        <v>84</v>
      </c>
      <c r="BS914" s="3">
        <v>45847</v>
      </c>
      <c r="BT914" s="4">
        <v>0.36527777777777776</v>
      </c>
      <c r="BU914" t="s">
        <v>1666</v>
      </c>
      <c r="BV914" t="s">
        <v>98</v>
      </c>
      <c r="BY914">
        <v>450</v>
      </c>
      <c r="BZ914" t="s">
        <v>89</v>
      </c>
      <c r="CA914" t="s">
        <v>1073</v>
      </c>
      <c r="CC914" t="s">
        <v>241</v>
      </c>
      <c r="CD914">
        <v>2007</v>
      </c>
      <c r="CE914" t="s">
        <v>239</v>
      </c>
      <c r="CF914" s="3">
        <v>45848</v>
      </c>
      <c r="CI914">
        <v>1</v>
      </c>
      <c r="CJ914">
        <v>1</v>
      </c>
      <c r="CK914">
        <v>22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"080066429036"</f>
        <v>080066429036</v>
      </c>
      <c r="F915" s="3">
        <v>45846</v>
      </c>
      <c r="G915">
        <v>202604</v>
      </c>
      <c r="H915" t="s">
        <v>75</v>
      </c>
      <c r="I915" t="s">
        <v>76</v>
      </c>
      <c r="J915" t="s">
        <v>77</v>
      </c>
      <c r="K915" t="s">
        <v>78</v>
      </c>
      <c r="L915" t="s">
        <v>441</v>
      </c>
      <c r="M915" t="s">
        <v>442</v>
      </c>
      <c r="N915" t="s">
        <v>443</v>
      </c>
      <c r="O915" t="s">
        <v>82</v>
      </c>
      <c r="P915" t="str">
        <f>"4170047389                    "</f>
        <v xml:space="preserve">4170047389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43.78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1.1000000000000001</v>
      </c>
      <c r="BK915">
        <v>1.5</v>
      </c>
      <c r="BL915">
        <v>137.94</v>
      </c>
      <c r="BM915">
        <v>20.69</v>
      </c>
      <c r="BN915">
        <v>158.63</v>
      </c>
      <c r="BO915">
        <v>158.63</v>
      </c>
      <c r="BQ915" t="s">
        <v>444</v>
      </c>
      <c r="BR915" t="s">
        <v>84</v>
      </c>
      <c r="BS915" s="3">
        <v>45847</v>
      </c>
      <c r="BT915" s="4">
        <v>0.42708333333333331</v>
      </c>
      <c r="BU915" t="s">
        <v>1667</v>
      </c>
      <c r="BV915" t="s">
        <v>98</v>
      </c>
      <c r="BY915">
        <v>5320</v>
      </c>
      <c r="BZ915" t="s">
        <v>89</v>
      </c>
      <c r="CA915" t="s">
        <v>1668</v>
      </c>
      <c r="CC915" t="s">
        <v>442</v>
      </c>
      <c r="CD915">
        <v>7185</v>
      </c>
      <c r="CE915" t="s">
        <v>117</v>
      </c>
      <c r="CF915" s="3">
        <v>45848</v>
      </c>
      <c r="CI915">
        <v>2</v>
      </c>
      <c r="CJ915">
        <v>1</v>
      </c>
      <c r="CK915">
        <v>23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"080066429053"</f>
        <v>080066429053</v>
      </c>
      <c r="F916" s="3">
        <v>45846</v>
      </c>
      <c r="G916">
        <v>202604</v>
      </c>
      <c r="H916" t="s">
        <v>75</v>
      </c>
      <c r="I916" t="s">
        <v>76</v>
      </c>
      <c r="J916" t="s">
        <v>77</v>
      </c>
      <c r="K916" t="s">
        <v>78</v>
      </c>
      <c r="L916" t="s">
        <v>79</v>
      </c>
      <c r="M916" t="s">
        <v>80</v>
      </c>
      <c r="N916" t="s">
        <v>931</v>
      </c>
      <c r="O916" t="s">
        <v>82</v>
      </c>
      <c r="P916" t="str">
        <f>"4170047372                    "</f>
        <v xml:space="preserve">4170047372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22.6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0.3</v>
      </c>
      <c r="BK916">
        <v>1</v>
      </c>
      <c r="BL916">
        <v>71.2</v>
      </c>
      <c r="BM916">
        <v>10.68</v>
      </c>
      <c r="BN916">
        <v>81.88</v>
      </c>
      <c r="BO916">
        <v>81.88</v>
      </c>
      <c r="BQ916" t="s">
        <v>932</v>
      </c>
      <c r="BR916" t="s">
        <v>84</v>
      </c>
      <c r="BS916" s="3">
        <v>45847</v>
      </c>
      <c r="BT916" s="4">
        <v>0.4236111111111111</v>
      </c>
      <c r="BU916" t="s">
        <v>933</v>
      </c>
      <c r="BV916" t="s">
        <v>98</v>
      </c>
      <c r="BY916">
        <v>1350</v>
      </c>
      <c r="BZ916" t="s">
        <v>89</v>
      </c>
      <c r="CA916" t="s">
        <v>934</v>
      </c>
      <c r="CC916" t="s">
        <v>80</v>
      </c>
      <c r="CD916">
        <v>7535</v>
      </c>
      <c r="CE916" t="s">
        <v>239</v>
      </c>
      <c r="CF916" s="3">
        <v>45848</v>
      </c>
      <c r="CI916">
        <v>1</v>
      </c>
      <c r="CJ916">
        <v>1</v>
      </c>
      <c r="CK916">
        <v>21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"080066429085"</f>
        <v>080066429085</v>
      </c>
      <c r="F917" s="3">
        <v>45846</v>
      </c>
      <c r="G917">
        <v>202604</v>
      </c>
      <c r="H917" t="s">
        <v>75</v>
      </c>
      <c r="I917" t="s">
        <v>76</v>
      </c>
      <c r="J917" t="s">
        <v>77</v>
      </c>
      <c r="K917" t="s">
        <v>78</v>
      </c>
      <c r="L917" t="s">
        <v>79</v>
      </c>
      <c r="M917" t="s">
        <v>80</v>
      </c>
      <c r="N917" t="s">
        <v>1669</v>
      </c>
      <c r="O917" t="s">
        <v>82</v>
      </c>
      <c r="P917" t="str">
        <f>"4170047397                    "</f>
        <v xml:space="preserve">4170047397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39.53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3.4</v>
      </c>
      <c r="BK917">
        <v>3.5</v>
      </c>
      <c r="BL917">
        <v>124.55</v>
      </c>
      <c r="BM917">
        <v>18.68</v>
      </c>
      <c r="BN917">
        <v>143.22999999999999</v>
      </c>
      <c r="BO917">
        <v>143.22999999999999</v>
      </c>
      <c r="BQ917" t="s">
        <v>1670</v>
      </c>
      <c r="BR917" t="s">
        <v>84</v>
      </c>
      <c r="BS917" s="3">
        <v>45847</v>
      </c>
      <c r="BT917" s="4">
        <v>0.3923611111111111</v>
      </c>
      <c r="BU917" t="s">
        <v>1671</v>
      </c>
      <c r="BV917" t="s">
        <v>98</v>
      </c>
      <c r="BY917">
        <v>16965</v>
      </c>
      <c r="BZ917" t="s">
        <v>89</v>
      </c>
      <c r="CA917" t="s">
        <v>1426</v>
      </c>
      <c r="CC917" t="s">
        <v>80</v>
      </c>
      <c r="CD917">
        <v>7561</v>
      </c>
      <c r="CE917" t="s">
        <v>117</v>
      </c>
      <c r="CF917" s="3">
        <v>45848</v>
      </c>
      <c r="CI917">
        <v>1</v>
      </c>
      <c r="CJ917">
        <v>1</v>
      </c>
      <c r="CK917">
        <v>21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"080066429111"</f>
        <v>080066429111</v>
      </c>
      <c r="F918" s="3">
        <v>45846</v>
      </c>
      <c r="G918">
        <v>202604</v>
      </c>
      <c r="H918" t="s">
        <v>75</v>
      </c>
      <c r="I918" t="s">
        <v>76</v>
      </c>
      <c r="J918" t="s">
        <v>77</v>
      </c>
      <c r="K918" t="s">
        <v>78</v>
      </c>
      <c r="L918" t="s">
        <v>128</v>
      </c>
      <c r="M918" t="s">
        <v>129</v>
      </c>
      <c r="N918" t="s">
        <v>636</v>
      </c>
      <c r="O918" t="s">
        <v>82</v>
      </c>
      <c r="P918" t="str">
        <f>"4170047435                    "</f>
        <v xml:space="preserve">4170047435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43.78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0.3</v>
      </c>
      <c r="BK918">
        <v>1</v>
      </c>
      <c r="BL918">
        <v>137.94</v>
      </c>
      <c r="BM918">
        <v>20.69</v>
      </c>
      <c r="BN918">
        <v>158.63</v>
      </c>
      <c r="BO918">
        <v>158.63</v>
      </c>
      <c r="BQ918" t="s">
        <v>637</v>
      </c>
      <c r="BR918" t="s">
        <v>84</v>
      </c>
      <c r="BS918" s="3">
        <v>45847</v>
      </c>
      <c r="BT918" s="4">
        <v>0.41666666666666669</v>
      </c>
      <c r="BU918" t="s">
        <v>781</v>
      </c>
      <c r="BV918" t="s">
        <v>98</v>
      </c>
      <c r="BY918">
        <v>1350</v>
      </c>
      <c r="BZ918" t="s">
        <v>89</v>
      </c>
      <c r="CC918" t="s">
        <v>129</v>
      </c>
      <c r="CD918" s="5" t="s">
        <v>134</v>
      </c>
      <c r="CE918" t="s">
        <v>239</v>
      </c>
      <c r="CF918" s="3">
        <v>45848</v>
      </c>
      <c r="CI918">
        <v>1</v>
      </c>
      <c r="CJ918">
        <v>1</v>
      </c>
      <c r="CK918">
        <v>23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"080066429109"</f>
        <v>080066429109</v>
      </c>
      <c r="F919" s="3">
        <v>45846</v>
      </c>
      <c r="G919">
        <v>202604</v>
      </c>
      <c r="H919" t="s">
        <v>75</v>
      </c>
      <c r="I919" t="s">
        <v>76</v>
      </c>
      <c r="J919" t="s">
        <v>77</v>
      </c>
      <c r="K919" t="s">
        <v>78</v>
      </c>
      <c r="L919" t="s">
        <v>79</v>
      </c>
      <c r="M919" t="s">
        <v>80</v>
      </c>
      <c r="N919" t="s">
        <v>594</v>
      </c>
      <c r="O919" t="s">
        <v>82</v>
      </c>
      <c r="P919" t="str">
        <f>"4170047405                    "</f>
        <v xml:space="preserve">4170047405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22.6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71.2</v>
      </c>
      <c r="BM919">
        <v>10.68</v>
      </c>
      <c r="BN919">
        <v>81.88</v>
      </c>
      <c r="BO919">
        <v>81.88</v>
      </c>
      <c r="BQ919" t="s">
        <v>595</v>
      </c>
      <c r="BR919" t="s">
        <v>84</v>
      </c>
      <c r="BS919" s="3">
        <v>45847</v>
      </c>
      <c r="BT919" s="4">
        <v>0.375</v>
      </c>
      <c r="BU919" t="s">
        <v>1501</v>
      </c>
      <c r="BV919" t="s">
        <v>98</v>
      </c>
      <c r="BY919">
        <v>1200</v>
      </c>
      <c r="BZ919" t="s">
        <v>89</v>
      </c>
      <c r="CA919" t="s">
        <v>579</v>
      </c>
      <c r="CC919" t="s">
        <v>80</v>
      </c>
      <c r="CD919">
        <v>7480</v>
      </c>
      <c r="CE919" t="s">
        <v>239</v>
      </c>
      <c r="CF919" s="3">
        <v>45848</v>
      </c>
      <c r="CI919">
        <v>1</v>
      </c>
      <c r="CJ919">
        <v>1</v>
      </c>
      <c r="CK919">
        <v>21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"080066429132"</f>
        <v>080066429132</v>
      </c>
      <c r="F920" s="3">
        <v>45846</v>
      </c>
      <c r="G920">
        <v>202604</v>
      </c>
      <c r="H920" t="s">
        <v>75</v>
      </c>
      <c r="I920" t="s">
        <v>76</v>
      </c>
      <c r="J920" t="s">
        <v>77</v>
      </c>
      <c r="K920" t="s">
        <v>78</v>
      </c>
      <c r="L920" t="s">
        <v>503</v>
      </c>
      <c r="M920" t="s">
        <v>504</v>
      </c>
      <c r="N920" t="s">
        <v>505</v>
      </c>
      <c r="O920" t="s">
        <v>82</v>
      </c>
      <c r="P920" t="str">
        <f>"4170047390                    "</f>
        <v xml:space="preserve">4170047390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43.78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137.94</v>
      </c>
      <c r="BM920">
        <v>20.69</v>
      </c>
      <c r="BN920">
        <v>158.63</v>
      </c>
      <c r="BO920">
        <v>158.63</v>
      </c>
      <c r="BQ920" t="s">
        <v>506</v>
      </c>
      <c r="BR920" t="s">
        <v>84</v>
      </c>
      <c r="BS920" s="3">
        <v>45847</v>
      </c>
      <c r="BT920" s="4">
        <v>0.38958333333333334</v>
      </c>
      <c r="BU920" t="s">
        <v>161</v>
      </c>
      <c r="BV920" t="s">
        <v>98</v>
      </c>
      <c r="BY920">
        <v>1200</v>
      </c>
      <c r="BZ920" t="s">
        <v>89</v>
      </c>
      <c r="CA920" t="s">
        <v>508</v>
      </c>
      <c r="CC920" t="s">
        <v>504</v>
      </c>
      <c r="CD920">
        <v>7130</v>
      </c>
      <c r="CE920" t="s">
        <v>239</v>
      </c>
      <c r="CF920" s="3">
        <v>45848</v>
      </c>
      <c r="CI920">
        <v>1</v>
      </c>
      <c r="CJ920">
        <v>1</v>
      </c>
      <c r="CK920">
        <v>23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"080066429160"</f>
        <v>080066429160</v>
      </c>
      <c r="F921" s="3">
        <v>45846</v>
      </c>
      <c r="G921">
        <v>202604</v>
      </c>
      <c r="H921" t="s">
        <v>75</v>
      </c>
      <c r="I921" t="s">
        <v>76</v>
      </c>
      <c r="J921" t="s">
        <v>77</v>
      </c>
      <c r="K921" t="s">
        <v>78</v>
      </c>
      <c r="L921" t="s">
        <v>295</v>
      </c>
      <c r="M921" t="s">
        <v>296</v>
      </c>
      <c r="N921" t="s">
        <v>1043</v>
      </c>
      <c r="O921" t="s">
        <v>82</v>
      </c>
      <c r="P921" t="str">
        <f>"4170047369                    "</f>
        <v xml:space="preserve">4170047369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17.649999999999999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0.3</v>
      </c>
      <c r="BK921">
        <v>1</v>
      </c>
      <c r="BL921">
        <v>55.61</v>
      </c>
      <c r="BM921">
        <v>8.34</v>
      </c>
      <c r="BN921">
        <v>63.95</v>
      </c>
      <c r="BO921">
        <v>63.95</v>
      </c>
      <c r="BQ921" t="s">
        <v>1044</v>
      </c>
      <c r="BR921" t="s">
        <v>84</v>
      </c>
      <c r="BS921" s="3">
        <v>45847</v>
      </c>
      <c r="BT921" s="4">
        <v>0.3972222222222222</v>
      </c>
      <c r="BU921" t="s">
        <v>1672</v>
      </c>
      <c r="BV921" t="s">
        <v>98</v>
      </c>
      <c r="BY921">
        <v>1350</v>
      </c>
      <c r="BZ921" t="s">
        <v>89</v>
      </c>
      <c r="CA921" t="s">
        <v>300</v>
      </c>
      <c r="CC921" t="s">
        <v>296</v>
      </c>
      <c r="CD921">
        <v>1459</v>
      </c>
      <c r="CE921" t="s">
        <v>239</v>
      </c>
      <c r="CF921" s="3">
        <v>45848</v>
      </c>
      <c r="CI921">
        <v>1</v>
      </c>
      <c r="CJ921">
        <v>1</v>
      </c>
      <c r="CK921">
        <v>22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"080066429190"</f>
        <v>080066429190</v>
      </c>
      <c r="F922" s="3">
        <v>45846</v>
      </c>
      <c r="G922">
        <v>202604</v>
      </c>
      <c r="H922" t="s">
        <v>75</v>
      </c>
      <c r="I922" t="s">
        <v>76</v>
      </c>
      <c r="J922" t="s">
        <v>77</v>
      </c>
      <c r="K922" t="s">
        <v>78</v>
      </c>
      <c r="L922" t="s">
        <v>305</v>
      </c>
      <c r="M922" t="s">
        <v>306</v>
      </c>
      <c r="N922" t="s">
        <v>1320</v>
      </c>
      <c r="O922" t="s">
        <v>82</v>
      </c>
      <c r="P922" t="str">
        <f>"4170047480                    "</f>
        <v xml:space="preserve">4170047480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22.6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0.3</v>
      </c>
      <c r="BK922">
        <v>1</v>
      </c>
      <c r="BL922">
        <v>71.2</v>
      </c>
      <c r="BM922">
        <v>10.68</v>
      </c>
      <c r="BN922">
        <v>81.88</v>
      </c>
      <c r="BO922">
        <v>81.88</v>
      </c>
      <c r="BQ922" t="s">
        <v>308</v>
      </c>
      <c r="BR922" t="s">
        <v>84</v>
      </c>
      <c r="BS922" s="3">
        <v>45847</v>
      </c>
      <c r="BT922" s="4">
        <v>0.47222222222222221</v>
      </c>
      <c r="BU922" t="s">
        <v>338</v>
      </c>
      <c r="BV922" t="s">
        <v>86</v>
      </c>
      <c r="BY922">
        <v>1350</v>
      </c>
      <c r="BZ922" t="s">
        <v>89</v>
      </c>
      <c r="CA922" t="s">
        <v>310</v>
      </c>
      <c r="CC922" t="s">
        <v>306</v>
      </c>
      <c r="CD922">
        <v>5201</v>
      </c>
      <c r="CE922" t="s">
        <v>239</v>
      </c>
      <c r="CF922" s="3">
        <v>45848</v>
      </c>
      <c r="CI922">
        <v>1</v>
      </c>
      <c r="CJ922">
        <v>1</v>
      </c>
      <c r="CK922">
        <v>21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"080066429334"</f>
        <v>080066429334</v>
      </c>
      <c r="F923" s="3">
        <v>45846</v>
      </c>
      <c r="G923">
        <v>202604</v>
      </c>
      <c r="H923" t="s">
        <v>75</v>
      </c>
      <c r="I923" t="s">
        <v>76</v>
      </c>
      <c r="J923" t="s">
        <v>77</v>
      </c>
      <c r="K923" t="s">
        <v>78</v>
      </c>
      <c r="L923" t="s">
        <v>350</v>
      </c>
      <c r="M923" t="s">
        <v>351</v>
      </c>
      <c r="N923" t="s">
        <v>352</v>
      </c>
      <c r="O923" t="s">
        <v>82</v>
      </c>
      <c r="P923" t="str">
        <f>"4170047415                    "</f>
        <v xml:space="preserve">4170047415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79.05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7</v>
      </c>
      <c r="BJ923">
        <v>3.2</v>
      </c>
      <c r="BK923">
        <v>7</v>
      </c>
      <c r="BL923">
        <v>249.05</v>
      </c>
      <c r="BM923">
        <v>37.36</v>
      </c>
      <c r="BN923">
        <v>286.41000000000003</v>
      </c>
      <c r="BO923">
        <v>286.41000000000003</v>
      </c>
      <c r="BQ923" t="s">
        <v>353</v>
      </c>
      <c r="BR923" t="s">
        <v>84</v>
      </c>
      <c r="BS923" s="3">
        <v>45847</v>
      </c>
      <c r="BT923" s="4">
        <v>0.41944444444444445</v>
      </c>
      <c r="BU923" t="s">
        <v>1604</v>
      </c>
      <c r="BV923" t="s">
        <v>98</v>
      </c>
      <c r="BY923">
        <v>15872</v>
      </c>
      <c r="BZ923" t="s">
        <v>89</v>
      </c>
      <c r="CA923" t="s">
        <v>1428</v>
      </c>
      <c r="CC923" t="s">
        <v>351</v>
      </c>
      <c r="CD923">
        <v>4133</v>
      </c>
      <c r="CE923" t="s">
        <v>91</v>
      </c>
      <c r="CF923" s="3">
        <v>45847</v>
      </c>
      <c r="CI923">
        <v>1</v>
      </c>
      <c r="CJ923">
        <v>1</v>
      </c>
      <c r="CK923">
        <v>21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"080066429384"</f>
        <v>080066429384</v>
      </c>
      <c r="F924" s="3">
        <v>45846</v>
      </c>
      <c r="G924">
        <v>202604</v>
      </c>
      <c r="H924" t="s">
        <v>75</v>
      </c>
      <c r="I924" t="s">
        <v>76</v>
      </c>
      <c r="J924" t="s">
        <v>77</v>
      </c>
      <c r="K924" t="s">
        <v>78</v>
      </c>
      <c r="L924" t="s">
        <v>75</v>
      </c>
      <c r="M924" t="s">
        <v>76</v>
      </c>
      <c r="N924" t="s">
        <v>118</v>
      </c>
      <c r="O924" t="s">
        <v>82</v>
      </c>
      <c r="P924" t="str">
        <f>"4170047487                    "</f>
        <v xml:space="preserve">4170047487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17.649999999999999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55.61</v>
      </c>
      <c r="BM924">
        <v>8.34</v>
      </c>
      <c r="BN924">
        <v>63.95</v>
      </c>
      <c r="BO924">
        <v>63.95</v>
      </c>
      <c r="BQ924" t="s">
        <v>119</v>
      </c>
      <c r="BR924" t="s">
        <v>84</v>
      </c>
      <c r="BS924" s="3">
        <v>45847</v>
      </c>
      <c r="BT924" s="4">
        <v>0.31527777777777777</v>
      </c>
      <c r="BU924" t="s">
        <v>768</v>
      </c>
      <c r="BV924" t="s">
        <v>98</v>
      </c>
      <c r="BY924">
        <v>1200</v>
      </c>
      <c r="BZ924" t="s">
        <v>89</v>
      </c>
      <c r="CA924" t="s">
        <v>1537</v>
      </c>
      <c r="CC924" t="s">
        <v>76</v>
      </c>
      <c r="CD924">
        <v>1600</v>
      </c>
      <c r="CE924" t="s">
        <v>239</v>
      </c>
      <c r="CF924" s="3">
        <v>45848</v>
      </c>
      <c r="CI924">
        <v>1</v>
      </c>
      <c r="CJ924">
        <v>1</v>
      </c>
      <c r="CK924">
        <v>22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"080066429416"</f>
        <v>080066429416</v>
      </c>
      <c r="F925" s="3">
        <v>45846</v>
      </c>
      <c r="G925">
        <v>202604</v>
      </c>
      <c r="H925" t="s">
        <v>75</v>
      </c>
      <c r="I925" t="s">
        <v>76</v>
      </c>
      <c r="J925" t="s">
        <v>77</v>
      </c>
      <c r="K925" t="s">
        <v>78</v>
      </c>
      <c r="L925" t="s">
        <v>135</v>
      </c>
      <c r="M925" t="s">
        <v>136</v>
      </c>
      <c r="N925" t="s">
        <v>416</v>
      </c>
      <c r="O925" t="s">
        <v>82</v>
      </c>
      <c r="P925" t="str">
        <f>"4170047484                    "</f>
        <v xml:space="preserve">4170047484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22.6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71.2</v>
      </c>
      <c r="BM925">
        <v>10.68</v>
      </c>
      <c r="BN925">
        <v>81.88</v>
      </c>
      <c r="BO925">
        <v>81.88</v>
      </c>
      <c r="BQ925" t="s">
        <v>417</v>
      </c>
      <c r="BR925" t="s">
        <v>84</v>
      </c>
      <c r="BS925" s="3">
        <v>45847</v>
      </c>
      <c r="BT925" s="4">
        <v>0.41666666666666669</v>
      </c>
      <c r="BU925" t="s">
        <v>650</v>
      </c>
      <c r="BV925" t="s">
        <v>98</v>
      </c>
      <c r="BY925">
        <v>1200</v>
      </c>
      <c r="BZ925" t="s">
        <v>89</v>
      </c>
      <c r="CC925" t="s">
        <v>136</v>
      </c>
      <c r="CD925">
        <v>3201</v>
      </c>
      <c r="CE925" t="s">
        <v>239</v>
      </c>
      <c r="CF925" s="3">
        <v>45848</v>
      </c>
      <c r="CI925">
        <v>1</v>
      </c>
      <c r="CJ925">
        <v>1</v>
      </c>
      <c r="CK925">
        <v>21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"080066429435"</f>
        <v>080066429435</v>
      </c>
      <c r="F926" s="3">
        <v>45846</v>
      </c>
      <c r="G926">
        <v>202604</v>
      </c>
      <c r="H926" t="s">
        <v>75</v>
      </c>
      <c r="I926" t="s">
        <v>76</v>
      </c>
      <c r="J926" t="s">
        <v>77</v>
      </c>
      <c r="K926" t="s">
        <v>78</v>
      </c>
      <c r="L926" t="s">
        <v>168</v>
      </c>
      <c r="M926" t="s">
        <v>169</v>
      </c>
      <c r="N926" t="s">
        <v>1673</v>
      </c>
      <c r="O926" t="s">
        <v>82</v>
      </c>
      <c r="P926" t="str">
        <f>"4170047458                    "</f>
        <v xml:space="preserve">4170047458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22.6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0.3</v>
      </c>
      <c r="BK926">
        <v>1</v>
      </c>
      <c r="BL926">
        <v>71.2</v>
      </c>
      <c r="BM926">
        <v>10.68</v>
      </c>
      <c r="BN926">
        <v>81.88</v>
      </c>
      <c r="BO926">
        <v>81.88</v>
      </c>
      <c r="BQ926" t="s">
        <v>1674</v>
      </c>
      <c r="BR926" t="s">
        <v>84</v>
      </c>
      <c r="BS926" s="3">
        <v>45847</v>
      </c>
      <c r="BT926" s="4">
        <v>0.3888888888888889</v>
      </c>
      <c r="BU926" t="s">
        <v>1675</v>
      </c>
      <c r="BV926" t="s">
        <v>98</v>
      </c>
      <c r="BY926">
        <v>1350</v>
      </c>
      <c r="BZ926" t="s">
        <v>89</v>
      </c>
      <c r="CA926" t="s">
        <v>423</v>
      </c>
      <c r="CC926" t="s">
        <v>169</v>
      </c>
      <c r="CD926">
        <v>6001</v>
      </c>
      <c r="CE926" t="s">
        <v>239</v>
      </c>
      <c r="CF926" s="3">
        <v>45847</v>
      </c>
      <c r="CI926">
        <v>1</v>
      </c>
      <c r="CJ926">
        <v>1</v>
      </c>
      <c r="CK926">
        <v>21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"080066429444"</f>
        <v>080066429444</v>
      </c>
      <c r="F927" s="3">
        <v>45846</v>
      </c>
      <c r="G927">
        <v>202604</v>
      </c>
      <c r="H927" t="s">
        <v>75</v>
      </c>
      <c r="I927" t="s">
        <v>76</v>
      </c>
      <c r="J927" t="s">
        <v>77</v>
      </c>
      <c r="K927" t="s">
        <v>78</v>
      </c>
      <c r="L927" t="s">
        <v>75</v>
      </c>
      <c r="M927" t="s">
        <v>76</v>
      </c>
      <c r="N927" t="s">
        <v>118</v>
      </c>
      <c r="O927" t="s">
        <v>82</v>
      </c>
      <c r="P927" t="str">
        <f>"4170047477                    "</f>
        <v xml:space="preserve">4170047477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17.649999999999999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55.61</v>
      </c>
      <c r="BM927">
        <v>8.34</v>
      </c>
      <c r="BN927">
        <v>63.95</v>
      </c>
      <c r="BO927">
        <v>63.95</v>
      </c>
      <c r="BQ927" t="s">
        <v>119</v>
      </c>
      <c r="BR927" t="s">
        <v>84</v>
      </c>
      <c r="BS927" s="3">
        <v>45847</v>
      </c>
      <c r="BT927" s="4">
        <v>0.31597222222222221</v>
      </c>
      <c r="BU927" t="s">
        <v>768</v>
      </c>
      <c r="BV927" t="s">
        <v>98</v>
      </c>
      <c r="BY927">
        <v>1200</v>
      </c>
      <c r="BZ927" t="s">
        <v>89</v>
      </c>
      <c r="CA927" t="s">
        <v>1537</v>
      </c>
      <c r="CC927" t="s">
        <v>76</v>
      </c>
      <c r="CD927">
        <v>1600</v>
      </c>
      <c r="CE927" t="s">
        <v>239</v>
      </c>
      <c r="CF927" s="3">
        <v>45848</v>
      </c>
      <c r="CI927">
        <v>1</v>
      </c>
      <c r="CJ927">
        <v>1</v>
      </c>
      <c r="CK927">
        <v>22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"080066430120"</f>
        <v>080066430120</v>
      </c>
      <c r="F928" s="3">
        <v>45846</v>
      </c>
      <c r="G928">
        <v>202604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562</v>
      </c>
      <c r="O928" t="s">
        <v>82</v>
      </c>
      <c r="P928" t="str">
        <f>"4170047438                    "</f>
        <v xml:space="preserve">4170047438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17.649999999999999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1.7</v>
      </c>
      <c r="BK928">
        <v>2</v>
      </c>
      <c r="BL928">
        <v>55.61</v>
      </c>
      <c r="BM928">
        <v>8.34</v>
      </c>
      <c r="BN928">
        <v>63.95</v>
      </c>
      <c r="BO928">
        <v>63.95</v>
      </c>
      <c r="BQ928" t="s">
        <v>563</v>
      </c>
      <c r="BR928" t="s">
        <v>84</v>
      </c>
      <c r="BS928" s="3">
        <v>45847</v>
      </c>
      <c r="BT928" s="4">
        <v>0.38819444444444445</v>
      </c>
      <c r="BU928" t="s">
        <v>796</v>
      </c>
      <c r="BV928" t="s">
        <v>98</v>
      </c>
      <c r="BY928">
        <v>8512</v>
      </c>
      <c r="BZ928" t="s">
        <v>89</v>
      </c>
      <c r="CA928" t="s">
        <v>797</v>
      </c>
      <c r="CC928" t="s">
        <v>76</v>
      </c>
      <c r="CD928">
        <v>1619</v>
      </c>
      <c r="CE928" t="s">
        <v>117</v>
      </c>
      <c r="CF928" s="3">
        <v>45848</v>
      </c>
      <c r="CI928">
        <v>1</v>
      </c>
      <c r="CJ928">
        <v>1</v>
      </c>
      <c r="CK928">
        <v>22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"080066430364"</f>
        <v>080066430364</v>
      </c>
      <c r="F929" s="3">
        <v>45846</v>
      </c>
      <c r="G929">
        <v>202604</v>
      </c>
      <c r="H929" t="s">
        <v>75</v>
      </c>
      <c r="I929" t="s">
        <v>76</v>
      </c>
      <c r="J929" t="s">
        <v>77</v>
      </c>
      <c r="K929" t="s">
        <v>78</v>
      </c>
      <c r="L929" t="s">
        <v>305</v>
      </c>
      <c r="M929" t="s">
        <v>306</v>
      </c>
      <c r="N929" t="s">
        <v>1320</v>
      </c>
      <c r="O929" t="s">
        <v>82</v>
      </c>
      <c r="P929" t="str">
        <f>"4170047489                    "</f>
        <v xml:space="preserve">4170047489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180.66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16</v>
      </c>
      <c r="BJ929">
        <v>11.1</v>
      </c>
      <c r="BK929">
        <v>16</v>
      </c>
      <c r="BL929">
        <v>569.17999999999995</v>
      </c>
      <c r="BM929">
        <v>85.38</v>
      </c>
      <c r="BN929">
        <v>654.55999999999995</v>
      </c>
      <c r="BO929">
        <v>654.55999999999995</v>
      </c>
      <c r="BQ929" t="s">
        <v>308</v>
      </c>
      <c r="BR929" t="s">
        <v>84</v>
      </c>
      <c r="BS929" s="3">
        <v>45847</v>
      </c>
      <c r="BT929" s="4">
        <v>0.47152777777777777</v>
      </c>
      <c r="BU929" t="s">
        <v>1676</v>
      </c>
      <c r="BV929" t="s">
        <v>86</v>
      </c>
      <c r="BY929">
        <v>55440</v>
      </c>
      <c r="BZ929" t="s">
        <v>89</v>
      </c>
      <c r="CA929" t="s">
        <v>310</v>
      </c>
      <c r="CC929" t="s">
        <v>306</v>
      </c>
      <c r="CD929">
        <v>5201</v>
      </c>
      <c r="CE929" t="s">
        <v>91</v>
      </c>
      <c r="CF929" s="3">
        <v>45848</v>
      </c>
      <c r="CI929">
        <v>1</v>
      </c>
      <c r="CJ929">
        <v>1</v>
      </c>
      <c r="CK929">
        <v>21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"080066430388"</f>
        <v>080066430388</v>
      </c>
      <c r="F930" s="3">
        <v>45846</v>
      </c>
      <c r="G930">
        <v>202604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701</v>
      </c>
      <c r="O930" t="s">
        <v>82</v>
      </c>
      <c r="P930" t="str">
        <f>"4170047482                    "</f>
        <v xml:space="preserve">4170047482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17.649999999999999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55.61</v>
      </c>
      <c r="BM930">
        <v>8.34</v>
      </c>
      <c r="BN930">
        <v>63.95</v>
      </c>
      <c r="BO930">
        <v>63.95</v>
      </c>
      <c r="BQ930" t="s">
        <v>702</v>
      </c>
      <c r="BR930" t="s">
        <v>84</v>
      </c>
      <c r="BS930" s="3">
        <v>45847</v>
      </c>
      <c r="BT930" s="4">
        <v>0.40138888888888891</v>
      </c>
      <c r="BU930" t="s">
        <v>940</v>
      </c>
      <c r="BV930" t="s">
        <v>98</v>
      </c>
      <c r="BY930">
        <v>1200</v>
      </c>
      <c r="BZ930" t="s">
        <v>89</v>
      </c>
      <c r="CA930" t="s">
        <v>941</v>
      </c>
      <c r="CC930" t="s">
        <v>76</v>
      </c>
      <c r="CD930">
        <v>1645</v>
      </c>
      <c r="CE930" t="s">
        <v>239</v>
      </c>
      <c r="CF930" s="3">
        <v>45848</v>
      </c>
      <c r="CI930">
        <v>1</v>
      </c>
      <c r="CJ930">
        <v>1</v>
      </c>
      <c r="CK930">
        <v>22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"080066430402"</f>
        <v>080066430402</v>
      </c>
      <c r="F931" s="3">
        <v>45846</v>
      </c>
      <c r="G931">
        <v>202604</v>
      </c>
      <c r="H931" t="s">
        <v>75</v>
      </c>
      <c r="I931" t="s">
        <v>76</v>
      </c>
      <c r="J931" t="s">
        <v>77</v>
      </c>
      <c r="K931" t="s">
        <v>78</v>
      </c>
      <c r="L931" t="s">
        <v>92</v>
      </c>
      <c r="M931" t="s">
        <v>93</v>
      </c>
      <c r="N931" t="s">
        <v>291</v>
      </c>
      <c r="O931" t="s">
        <v>82</v>
      </c>
      <c r="P931" t="str">
        <f>"4170047464                    "</f>
        <v xml:space="preserve">4170047464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22.6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71.2</v>
      </c>
      <c r="BM931">
        <v>10.68</v>
      </c>
      <c r="BN931">
        <v>81.88</v>
      </c>
      <c r="BO931">
        <v>81.88</v>
      </c>
      <c r="BQ931" t="s">
        <v>292</v>
      </c>
      <c r="BR931" t="s">
        <v>84</v>
      </c>
      <c r="BS931" s="3">
        <v>45847</v>
      </c>
      <c r="BT931" s="4">
        <v>0.31944444444444442</v>
      </c>
      <c r="BU931" t="s">
        <v>1571</v>
      </c>
      <c r="BV931" t="s">
        <v>98</v>
      </c>
      <c r="BY931">
        <v>1200</v>
      </c>
      <c r="BZ931" t="s">
        <v>89</v>
      </c>
      <c r="CA931" t="s">
        <v>294</v>
      </c>
      <c r="CC931" t="s">
        <v>93</v>
      </c>
      <c r="CD931">
        <v>4051</v>
      </c>
      <c r="CE931" t="s">
        <v>239</v>
      </c>
      <c r="CF931" s="3">
        <v>45847</v>
      </c>
      <c r="CI931">
        <v>1</v>
      </c>
      <c r="CJ931">
        <v>1</v>
      </c>
      <c r="CK931">
        <v>21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"080066430419"</f>
        <v>080066430419</v>
      </c>
      <c r="F932" s="3">
        <v>45846</v>
      </c>
      <c r="G932">
        <v>202604</v>
      </c>
      <c r="H932" t="s">
        <v>75</v>
      </c>
      <c r="I932" t="s">
        <v>76</v>
      </c>
      <c r="J932" t="s">
        <v>77</v>
      </c>
      <c r="K932" t="s">
        <v>78</v>
      </c>
      <c r="L932" t="s">
        <v>758</v>
      </c>
      <c r="M932" t="s">
        <v>759</v>
      </c>
      <c r="N932" t="s">
        <v>760</v>
      </c>
      <c r="O932" t="s">
        <v>82</v>
      </c>
      <c r="P932" t="str">
        <f>"4170047478                    "</f>
        <v xml:space="preserve">4170047478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43.78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1.1000000000000001</v>
      </c>
      <c r="BK932">
        <v>1.5</v>
      </c>
      <c r="BL932">
        <v>137.94</v>
      </c>
      <c r="BM932">
        <v>20.69</v>
      </c>
      <c r="BN932">
        <v>158.63</v>
      </c>
      <c r="BO932">
        <v>158.63</v>
      </c>
      <c r="BQ932" t="s">
        <v>761</v>
      </c>
      <c r="BR932" t="s">
        <v>84</v>
      </c>
      <c r="BS932" s="3">
        <v>45847</v>
      </c>
      <c r="BT932" s="4">
        <v>0.40138888888888891</v>
      </c>
      <c r="BU932" t="s">
        <v>1110</v>
      </c>
      <c r="BV932" t="s">
        <v>98</v>
      </c>
      <c r="BY932">
        <v>5320</v>
      </c>
      <c r="BZ932" t="s">
        <v>89</v>
      </c>
      <c r="CA932" t="s">
        <v>763</v>
      </c>
      <c r="CC932" t="s">
        <v>759</v>
      </c>
      <c r="CD932">
        <v>2531</v>
      </c>
      <c r="CE932" t="s">
        <v>117</v>
      </c>
      <c r="CF932" s="3">
        <v>45848</v>
      </c>
      <c r="CI932">
        <v>1</v>
      </c>
      <c r="CJ932">
        <v>1</v>
      </c>
      <c r="CK932">
        <v>23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"080066430447"</f>
        <v>080066430447</v>
      </c>
      <c r="F933" s="3">
        <v>45846</v>
      </c>
      <c r="G933">
        <v>202604</v>
      </c>
      <c r="H933" t="s">
        <v>75</v>
      </c>
      <c r="I933" t="s">
        <v>76</v>
      </c>
      <c r="J933" t="s">
        <v>77</v>
      </c>
      <c r="K933" t="s">
        <v>78</v>
      </c>
      <c r="L933" t="s">
        <v>79</v>
      </c>
      <c r="M933" t="s">
        <v>80</v>
      </c>
      <c r="N933" t="s">
        <v>698</v>
      </c>
      <c r="O933" t="s">
        <v>82</v>
      </c>
      <c r="P933" t="str">
        <f>"4170047409                    "</f>
        <v xml:space="preserve">4170047409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124.21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11</v>
      </c>
      <c r="BJ933">
        <v>4.0999999999999996</v>
      </c>
      <c r="BK933">
        <v>11</v>
      </c>
      <c r="BL933">
        <v>391.33</v>
      </c>
      <c r="BM933">
        <v>58.7</v>
      </c>
      <c r="BN933">
        <v>450.03</v>
      </c>
      <c r="BO933">
        <v>450.03</v>
      </c>
      <c r="BQ933" t="s">
        <v>699</v>
      </c>
      <c r="BR933" t="s">
        <v>84</v>
      </c>
      <c r="BS933" s="3">
        <v>45847</v>
      </c>
      <c r="BT933" s="4">
        <v>0.38263888888888886</v>
      </c>
      <c r="BU933" t="s">
        <v>1425</v>
      </c>
      <c r="BV933" t="s">
        <v>98</v>
      </c>
      <c r="BY933">
        <v>20358</v>
      </c>
      <c r="BZ933" t="s">
        <v>89</v>
      </c>
      <c r="CA933" t="s">
        <v>1426</v>
      </c>
      <c r="CC933" t="s">
        <v>80</v>
      </c>
      <c r="CD933">
        <v>7561</v>
      </c>
      <c r="CE933" t="s">
        <v>117</v>
      </c>
      <c r="CF933" s="3">
        <v>45848</v>
      </c>
      <c r="CI933">
        <v>1</v>
      </c>
      <c r="CJ933">
        <v>1</v>
      </c>
      <c r="CK933">
        <v>21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"080066430555"</f>
        <v>080066430555</v>
      </c>
      <c r="F934" s="3">
        <v>45846</v>
      </c>
      <c r="G934">
        <v>202604</v>
      </c>
      <c r="H934" t="s">
        <v>75</v>
      </c>
      <c r="I934" t="s">
        <v>76</v>
      </c>
      <c r="J934" t="s">
        <v>77</v>
      </c>
      <c r="K934" t="s">
        <v>78</v>
      </c>
      <c r="L934" t="s">
        <v>79</v>
      </c>
      <c r="M934" t="s">
        <v>80</v>
      </c>
      <c r="N934" t="s">
        <v>188</v>
      </c>
      <c r="O934" t="s">
        <v>82</v>
      </c>
      <c r="P934" t="str">
        <f>"4170047337                    "</f>
        <v xml:space="preserve">4170047337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67.760000000000005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6</v>
      </c>
      <c r="BJ934">
        <v>3.4</v>
      </c>
      <c r="BK934">
        <v>6</v>
      </c>
      <c r="BL934">
        <v>213.48</v>
      </c>
      <c r="BM934">
        <v>32.020000000000003</v>
      </c>
      <c r="BN934">
        <v>245.5</v>
      </c>
      <c r="BO934">
        <v>245.5</v>
      </c>
      <c r="BQ934" t="s">
        <v>189</v>
      </c>
      <c r="BR934" t="s">
        <v>84</v>
      </c>
      <c r="BS934" s="3">
        <v>45847</v>
      </c>
      <c r="BT934" s="4">
        <v>0.36388888888888887</v>
      </c>
      <c r="BU934" t="s">
        <v>1565</v>
      </c>
      <c r="BV934" t="s">
        <v>98</v>
      </c>
      <c r="BY934">
        <v>16965</v>
      </c>
      <c r="BZ934" t="s">
        <v>89</v>
      </c>
      <c r="CC934" t="s">
        <v>80</v>
      </c>
      <c r="CD934">
        <v>7441</v>
      </c>
      <c r="CE934" t="s">
        <v>966</v>
      </c>
      <c r="CF934" s="3">
        <v>45848</v>
      </c>
      <c r="CI934">
        <v>1</v>
      </c>
      <c r="CJ934">
        <v>1</v>
      </c>
      <c r="CK934">
        <v>21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"080066430557"</f>
        <v>080066430557</v>
      </c>
      <c r="F935" s="3">
        <v>45846</v>
      </c>
      <c r="G935">
        <v>202604</v>
      </c>
      <c r="H935" t="s">
        <v>75</v>
      </c>
      <c r="I935" t="s">
        <v>76</v>
      </c>
      <c r="J935" t="s">
        <v>77</v>
      </c>
      <c r="K935" t="s">
        <v>78</v>
      </c>
      <c r="L935" t="s">
        <v>240</v>
      </c>
      <c r="M935" t="s">
        <v>241</v>
      </c>
      <c r="N935" t="s">
        <v>1341</v>
      </c>
      <c r="O935" t="s">
        <v>82</v>
      </c>
      <c r="P935" t="str">
        <f>"4170047002                    "</f>
        <v xml:space="preserve">4170047002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17.649999999999999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0.4</v>
      </c>
      <c r="BK935">
        <v>1</v>
      </c>
      <c r="BL935">
        <v>55.61</v>
      </c>
      <c r="BM935">
        <v>8.34</v>
      </c>
      <c r="BN935">
        <v>63.95</v>
      </c>
      <c r="BO935">
        <v>63.95</v>
      </c>
      <c r="BQ935" t="s">
        <v>1342</v>
      </c>
      <c r="BR935" t="s">
        <v>84</v>
      </c>
      <c r="BS935" s="3">
        <v>45847</v>
      </c>
      <c r="BT935" s="4">
        <v>0.4861111111111111</v>
      </c>
      <c r="BU935" t="s">
        <v>1445</v>
      </c>
      <c r="BV935" t="s">
        <v>86</v>
      </c>
      <c r="BW935" t="s">
        <v>219</v>
      </c>
      <c r="BX935" t="s">
        <v>1446</v>
      </c>
      <c r="BY935">
        <v>2025</v>
      </c>
      <c r="BZ935" t="s">
        <v>89</v>
      </c>
      <c r="CA935" t="s">
        <v>1344</v>
      </c>
      <c r="CC935" t="s">
        <v>241</v>
      </c>
      <c r="CD935">
        <v>2169</v>
      </c>
      <c r="CE935" t="s">
        <v>239</v>
      </c>
      <c r="CF935" s="3">
        <v>45848</v>
      </c>
      <c r="CI935">
        <v>1</v>
      </c>
      <c r="CJ935">
        <v>1</v>
      </c>
      <c r="CK935">
        <v>22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"080066430570"</f>
        <v>080066430570</v>
      </c>
      <c r="F936" s="3">
        <v>45846</v>
      </c>
      <c r="G936">
        <v>202604</v>
      </c>
      <c r="H936" t="s">
        <v>75</v>
      </c>
      <c r="I936" t="s">
        <v>76</v>
      </c>
      <c r="J936" t="s">
        <v>77</v>
      </c>
      <c r="K936" t="s">
        <v>78</v>
      </c>
      <c r="L936" t="s">
        <v>1462</v>
      </c>
      <c r="M936" t="s">
        <v>1463</v>
      </c>
      <c r="N936" t="s">
        <v>1464</v>
      </c>
      <c r="O936" t="s">
        <v>82</v>
      </c>
      <c r="P936" t="str">
        <f>"4170047490                    "</f>
        <v xml:space="preserve">4170047490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43.78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1.9</v>
      </c>
      <c r="BK936">
        <v>2</v>
      </c>
      <c r="BL936">
        <v>137.94</v>
      </c>
      <c r="BM936">
        <v>20.69</v>
      </c>
      <c r="BN936">
        <v>158.63</v>
      </c>
      <c r="BO936">
        <v>158.63</v>
      </c>
      <c r="BQ936" t="s">
        <v>1465</v>
      </c>
      <c r="BR936" t="s">
        <v>84</v>
      </c>
      <c r="BS936" s="3">
        <v>45847</v>
      </c>
      <c r="BT936" s="4">
        <v>0.41666666666666669</v>
      </c>
      <c r="BU936" t="s">
        <v>1466</v>
      </c>
      <c r="BV936" t="s">
        <v>98</v>
      </c>
      <c r="BY936">
        <v>9600</v>
      </c>
      <c r="BZ936" t="s">
        <v>89</v>
      </c>
      <c r="CA936" t="s">
        <v>1467</v>
      </c>
      <c r="CC936" t="s">
        <v>1463</v>
      </c>
      <c r="CD936">
        <v>3290</v>
      </c>
      <c r="CE936" t="s">
        <v>966</v>
      </c>
      <c r="CF936" s="3">
        <v>45848</v>
      </c>
      <c r="CI936">
        <v>1</v>
      </c>
      <c r="CJ936">
        <v>1</v>
      </c>
      <c r="CK936">
        <v>23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"080066430581"</f>
        <v>080066430581</v>
      </c>
      <c r="F937" s="3">
        <v>45846</v>
      </c>
      <c r="G937">
        <v>202604</v>
      </c>
      <c r="H937" t="s">
        <v>75</v>
      </c>
      <c r="I937" t="s">
        <v>76</v>
      </c>
      <c r="J937" t="s">
        <v>77</v>
      </c>
      <c r="K937" t="s">
        <v>78</v>
      </c>
      <c r="L937" t="s">
        <v>1677</v>
      </c>
      <c r="M937" t="s">
        <v>1678</v>
      </c>
      <c r="N937" t="s">
        <v>1679</v>
      </c>
      <c r="O937" t="s">
        <v>82</v>
      </c>
      <c r="P937" t="str">
        <f>"4170047476                    "</f>
        <v xml:space="preserve">4170047476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43.78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0.3</v>
      </c>
      <c r="BK937">
        <v>1</v>
      </c>
      <c r="BL937">
        <v>137.94</v>
      </c>
      <c r="BM937">
        <v>20.69</v>
      </c>
      <c r="BN937">
        <v>158.63</v>
      </c>
      <c r="BO937">
        <v>158.63</v>
      </c>
      <c r="BQ937" t="s">
        <v>1680</v>
      </c>
      <c r="BR937" t="s">
        <v>84</v>
      </c>
      <c r="BS937" s="3">
        <v>45847</v>
      </c>
      <c r="BT937" s="4">
        <v>0.42499999999999999</v>
      </c>
      <c r="BU937" t="s">
        <v>1681</v>
      </c>
      <c r="BV937" t="s">
        <v>98</v>
      </c>
      <c r="BY937">
        <v>1350</v>
      </c>
      <c r="BZ937" t="s">
        <v>89</v>
      </c>
      <c r="CA937" t="s">
        <v>1682</v>
      </c>
      <c r="CC937" t="s">
        <v>1678</v>
      </c>
      <c r="CD937">
        <v>1034</v>
      </c>
      <c r="CE937" t="s">
        <v>239</v>
      </c>
      <c r="CF937" s="3">
        <v>45847</v>
      </c>
      <c r="CI937">
        <v>1</v>
      </c>
      <c r="CJ937">
        <v>1</v>
      </c>
      <c r="CK937">
        <v>23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"080066430628"</f>
        <v>080066430628</v>
      </c>
      <c r="F938" s="3">
        <v>45846</v>
      </c>
      <c r="G938">
        <v>202604</v>
      </c>
      <c r="H938" t="s">
        <v>75</v>
      </c>
      <c r="I938" t="s">
        <v>76</v>
      </c>
      <c r="J938" t="s">
        <v>77</v>
      </c>
      <c r="K938" t="s">
        <v>78</v>
      </c>
      <c r="L938" t="s">
        <v>151</v>
      </c>
      <c r="M938" t="s">
        <v>152</v>
      </c>
      <c r="N938" t="s">
        <v>1683</v>
      </c>
      <c r="O938" t="s">
        <v>82</v>
      </c>
      <c r="P938" t="str">
        <f>"4170047472                    "</f>
        <v xml:space="preserve">4170047472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22.6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0.3</v>
      </c>
      <c r="BK938">
        <v>1</v>
      </c>
      <c r="BL938">
        <v>71.2</v>
      </c>
      <c r="BM938">
        <v>10.68</v>
      </c>
      <c r="BN938">
        <v>81.88</v>
      </c>
      <c r="BO938">
        <v>81.88</v>
      </c>
      <c r="BQ938" t="s">
        <v>1684</v>
      </c>
      <c r="BR938" t="s">
        <v>84</v>
      </c>
      <c r="BS938" s="3">
        <v>45847</v>
      </c>
      <c r="BT938" s="4">
        <v>0.42291666666666666</v>
      </c>
      <c r="BU938" t="s">
        <v>1685</v>
      </c>
      <c r="BV938" t="s">
        <v>98</v>
      </c>
      <c r="BY938">
        <v>1350</v>
      </c>
      <c r="BZ938" t="s">
        <v>89</v>
      </c>
      <c r="CA938" t="s">
        <v>1686</v>
      </c>
      <c r="CC938" t="s">
        <v>152</v>
      </c>
      <c r="CD938" s="5" t="s">
        <v>1687</v>
      </c>
      <c r="CE938" t="s">
        <v>239</v>
      </c>
      <c r="CF938" s="3">
        <v>45847</v>
      </c>
      <c r="CI938">
        <v>1</v>
      </c>
      <c r="CJ938">
        <v>1</v>
      </c>
      <c r="CK938">
        <v>21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"080066430639"</f>
        <v>080066430639</v>
      </c>
      <c r="F939" s="3">
        <v>45846</v>
      </c>
      <c r="G939">
        <v>202604</v>
      </c>
      <c r="H939" t="s">
        <v>75</v>
      </c>
      <c r="I939" t="s">
        <v>76</v>
      </c>
      <c r="J939" t="s">
        <v>77</v>
      </c>
      <c r="K939" t="s">
        <v>78</v>
      </c>
      <c r="L939" t="s">
        <v>122</v>
      </c>
      <c r="M939" t="s">
        <v>123</v>
      </c>
      <c r="N939" t="s">
        <v>357</v>
      </c>
      <c r="O939" t="s">
        <v>82</v>
      </c>
      <c r="P939" t="str">
        <f>"4170047483                    "</f>
        <v xml:space="preserve">4170047483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79.05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7</v>
      </c>
      <c r="BJ939">
        <v>6.7</v>
      </c>
      <c r="BK939">
        <v>7</v>
      </c>
      <c r="BL939">
        <v>249.05</v>
      </c>
      <c r="BM939">
        <v>37.36</v>
      </c>
      <c r="BN939">
        <v>286.41000000000003</v>
      </c>
      <c r="BO939">
        <v>286.41000000000003</v>
      </c>
      <c r="BQ939" t="s">
        <v>358</v>
      </c>
      <c r="BR939" t="s">
        <v>84</v>
      </c>
      <c r="BS939" s="3">
        <v>45847</v>
      </c>
      <c r="BT939" s="4">
        <v>0.50694444444444442</v>
      </c>
      <c r="BU939" t="s">
        <v>359</v>
      </c>
      <c r="BV939" t="s">
        <v>98</v>
      </c>
      <c r="BY939">
        <v>33280</v>
      </c>
      <c r="BZ939" t="s">
        <v>89</v>
      </c>
      <c r="CA939" t="s">
        <v>166</v>
      </c>
      <c r="CC939" t="s">
        <v>123</v>
      </c>
      <c r="CD939">
        <v>3610</v>
      </c>
      <c r="CE939" t="s">
        <v>91</v>
      </c>
      <c r="CF939" s="3">
        <v>45848</v>
      </c>
      <c r="CI939">
        <v>1</v>
      </c>
      <c r="CJ939">
        <v>1</v>
      </c>
      <c r="CK939">
        <v>21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"080066430666"</f>
        <v>080066430666</v>
      </c>
      <c r="F940" s="3">
        <v>45846</v>
      </c>
      <c r="G940">
        <v>202604</v>
      </c>
      <c r="H940" t="s">
        <v>75</v>
      </c>
      <c r="I940" t="s">
        <v>76</v>
      </c>
      <c r="J940" t="s">
        <v>77</v>
      </c>
      <c r="K940" t="s">
        <v>78</v>
      </c>
      <c r="L940" t="s">
        <v>79</v>
      </c>
      <c r="M940" t="s">
        <v>80</v>
      </c>
      <c r="N940" t="s">
        <v>698</v>
      </c>
      <c r="O940" t="s">
        <v>82</v>
      </c>
      <c r="P940" t="str">
        <f>"4170047040                    "</f>
        <v xml:space="preserve">4170047040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22.6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71.2</v>
      </c>
      <c r="BM940">
        <v>10.68</v>
      </c>
      <c r="BN940">
        <v>81.88</v>
      </c>
      <c r="BO940">
        <v>81.88</v>
      </c>
      <c r="BQ940" t="s">
        <v>699</v>
      </c>
      <c r="BR940" t="s">
        <v>84</v>
      </c>
      <c r="BS940" s="3">
        <v>45847</v>
      </c>
      <c r="BT940" s="4">
        <v>0.38263888888888886</v>
      </c>
      <c r="BU940" t="s">
        <v>1688</v>
      </c>
      <c r="BV940" t="s">
        <v>98</v>
      </c>
      <c r="BY940">
        <v>1200</v>
      </c>
      <c r="BZ940" t="s">
        <v>89</v>
      </c>
      <c r="CA940" t="s">
        <v>1426</v>
      </c>
      <c r="CC940" t="s">
        <v>80</v>
      </c>
      <c r="CD940">
        <v>7561</v>
      </c>
      <c r="CE940" t="s">
        <v>239</v>
      </c>
      <c r="CF940" s="3">
        <v>45848</v>
      </c>
      <c r="CI940">
        <v>1</v>
      </c>
      <c r="CJ940">
        <v>1</v>
      </c>
      <c r="CK940">
        <v>21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"080066430741"</f>
        <v>080066430741</v>
      </c>
      <c r="F941" s="3">
        <v>45846</v>
      </c>
      <c r="G941">
        <v>202604</v>
      </c>
      <c r="H941" t="s">
        <v>75</v>
      </c>
      <c r="I941" t="s">
        <v>76</v>
      </c>
      <c r="J941" t="s">
        <v>77</v>
      </c>
      <c r="K941" t="s">
        <v>78</v>
      </c>
      <c r="L941" t="s">
        <v>92</v>
      </c>
      <c r="M941" t="s">
        <v>93</v>
      </c>
      <c r="N941" t="s">
        <v>339</v>
      </c>
      <c r="O941" t="s">
        <v>82</v>
      </c>
      <c r="P941" t="str">
        <f>"4170047194                    "</f>
        <v xml:space="preserve">4170047194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39.53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3.2</v>
      </c>
      <c r="BK941">
        <v>3.5</v>
      </c>
      <c r="BL941">
        <v>124.55</v>
      </c>
      <c r="BM941">
        <v>18.68</v>
      </c>
      <c r="BN941">
        <v>143.22999999999999</v>
      </c>
      <c r="BO941">
        <v>143.22999999999999</v>
      </c>
      <c r="BQ941" t="s">
        <v>340</v>
      </c>
      <c r="BR941" t="s">
        <v>84</v>
      </c>
      <c r="BS941" s="3">
        <v>45847</v>
      </c>
      <c r="BT941" s="4">
        <v>0.43055555555555558</v>
      </c>
      <c r="BU941" t="s">
        <v>1472</v>
      </c>
      <c r="BV941" t="s">
        <v>98</v>
      </c>
      <c r="BY941">
        <v>16128</v>
      </c>
      <c r="BZ941" t="s">
        <v>89</v>
      </c>
      <c r="CA941" t="s">
        <v>1428</v>
      </c>
      <c r="CC941" t="s">
        <v>93</v>
      </c>
      <c r="CD941">
        <v>4052</v>
      </c>
      <c r="CE941" t="s">
        <v>117</v>
      </c>
      <c r="CF941" s="3">
        <v>45847</v>
      </c>
      <c r="CI941">
        <v>1</v>
      </c>
      <c r="CJ941">
        <v>1</v>
      </c>
      <c r="CK941">
        <v>21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"080066430850"</f>
        <v>080066430850</v>
      </c>
      <c r="F942" s="3">
        <v>45846</v>
      </c>
      <c r="G942">
        <v>202604</v>
      </c>
      <c r="H942" t="s">
        <v>75</v>
      </c>
      <c r="I942" t="s">
        <v>76</v>
      </c>
      <c r="J942" t="s">
        <v>77</v>
      </c>
      <c r="K942" t="s">
        <v>78</v>
      </c>
      <c r="L942" t="s">
        <v>542</v>
      </c>
      <c r="M942" t="s">
        <v>543</v>
      </c>
      <c r="N942" t="s">
        <v>352</v>
      </c>
      <c r="O942" t="s">
        <v>82</v>
      </c>
      <c r="P942" t="str">
        <f>"4170047473                    "</f>
        <v xml:space="preserve">4170047473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17.649999999999999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55.61</v>
      </c>
      <c r="BM942">
        <v>8.34</v>
      </c>
      <c r="BN942">
        <v>63.95</v>
      </c>
      <c r="BO942">
        <v>63.95</v>
      </c>
      <c r="BQ942" t="s">
        <v>353</v>
      </c>
      <c r="BR942" t="s">
        <v>84</v>
      </c>
      <c r="BS942" s="3">
        <v>45847</v>
      </c>
      <c r="BT942" s="4">
        <v>0.37916666666666665</v>
      </c>
      <c r="BU942" t="s">
        <v>1407</v>
      </c>
      <c r="BV942" t="s">
        <v>98</v>
      </c>
      <c r="BY942">
        <v>1200</v>
      </c>
      <c r="BZ942" t="s">
        <v>89</v>
      </c>
      <c r="CA942" t="s">
        <v>748</v>
      </c>
      <c r="CC942" t="s">
        <v>543</v>
      </c>
      <c r="CD942">
        <v>1451</v>
      </c>
      <c r="CE942" t="s">
        <v>214</v>
      </c>
      <c r="CF942" s="3">
        <v>45847</v>
      </c>
      <c r="CI942">
        <v>1</v>
      </c>
      <c r="CJ942">
        <v>1</v>
      </c>
      <c r="CK942">
        <v>22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"080066430898"</f>
        <v>080066430898</v>
      </c>
      <c r="F943" s="3">
        <v>45846</v>
      </c>
      <c r="G943">
        <v>202604</v>
      </c>
      <c r="H943" t="s">
        <v>75</v>
      </c>
      <c r="I943" t="s">
        <v>76</v>
      </c>
      <c r="J943" t="s">
        <v>77</v>
      </c>
      <c r="K943" t="s">
        <v>78</v>
      </c>
      <c r="L943" t="s">
        <v>197</v>
      </c>
      <c r="M943" t="s">
        <v>198</v>
      </c>
      <c r="N943" t="s">
        <v>1548</v>
      </c>
      <c r="O943" t="s">
        <v>82</v>
      </c>
      <c r="P943" t="str">
        <f>"4170047052                    "</f>
        <v xml:space="preserve">4170047052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17.649999999999999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55.61</v>
      </c>
      <c r="BM943">
        <v>8.34</v>
      </c>
      <c r="BN943">
        <v>63.95</v>
      </c>
      <c r="BO943">
        <v>63.95</v>
      </c>
      <c r="BQ943" t="s">
        <v>1549</v>
      </c>
      <c r="BR943" t="s">
        <v>84</v>
      </c>
      <c r="BS943" s="3">
        <v>45847</v>
      </c>
      <c r="BT943" s="4">
        <v>0.4375</v>
      </c>
      <c r="BU943" t="s">
        <v>668</v>
      </c>
      <c r="BV943" t="s">
        <v>98</v>
      </c>
      <c r="BY943">
        <v>1200</v>
      </c>
      <c r="BZ943" t="s">
        <v>89</v>
      </c>
      <c r="CC943" t="s">
        <v>198</v>
      </c>
      <c r="CD943">
        <v>1401</v>
      </c>
      <c r="CE943" t="s">
        <v>214</v>
      </c>
      <c r="CF943" s="3">
        <v>45848</v>
      </c>
      <c r="CI943">
        <v>1</v>
      </c>
      <c r="CJ943">
        <v>1</v>
      </c>
      <c r="CK943">
        <v>22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"080066430916"</f>
        <v>080066430916</v>
      </c>
      <c r="F944" s="3">
        <v>45846</v>
      </c>
      <c r="G944">
        <v>202604</v>
      </c>
      <c r="H944" t="s">
        <v>75</v>
      </c>
      <c r="I944" t="s">
        <v>76</v>
      </c>
      <c r="J944" t="s">
        <v>77</v>
      </c>
      <c r="K944" t="s">
        <v>78</v>
      </c>
      <c r="L944" t="s">
        <v>92</v>
      </c>
      <c r="M944" t="s">
        <v>93</v>
      </c>
      <c r="N944" t="s">
        <v>291</v>
      </c>
      <c r="O944" t="s">
        <v>82</v>
      </c>
      <c r="P944" t="str">
        <f>"4170047462                    "</f>
        <v xml:space="preserve">4170047462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22.6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1.7</v>
      </c>
      <c r="BK944">
        <v>2</v>
      </c>
      <c r="BL944">
        <v>71.2</v>
      </c>
      <c r="BM944">
        <v>10.68</v>
      </c>
      <c r="BN944">
        <v>81.88</v>
      </c>
      <c r="BO944">
        <v>81.88</v>
      </c>
      <c r="BQ944" t="s">
        <v>292</v>
      </c>
      <c r="BR944" t="s">
        <v>84</v>
      </c>
      <c r="BS944" s="3">
        <v>45847</v>
      </c>
      <c r="BT944" s="4">
        <v>0.31944444444444442</v>
      </c>
      <c r="BU944" t="s">
        <v>1571</v>
      </c>
      <c r="BV944" t="s">
        <v>98</v>
      </c>
      <c r="BY944">
        <v>8512</v>
      </c>
      <c r="BZ944" t="s">
        <v>89</v>
      </c>
      <c r="CA944" t="s">
        <v>294</v>
      </c>
      <c r="CC944" t="s">
        <v>93</v>
      </c>
      <c r="CD944">
        <v>4051</v>
      </c>
      <c r="CE944" t="s">
        <v>117</v>
      </c>
      <c r="CF944" s="3">
        <v>45847</v>
      </c>
      <c r="CI944">
        <v>1</v>
      </c>
      <c r="CJ944">
        <v>1</v>
      </c>
      <c r="CK944">
        <v>21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"080066430692"</f>
        <v>080066430692</v>
      </c>
      <c r="F945" s="3">
        <v>45846</v>
      </c>
      <c r="G945">
        <v>202604</v>
      </c>
      <c r="H945" t="s">
        <v>75</v>
      </c>
      <c r="I945" t="s">
        <v>76</v>
      </c>
      <c r="J945" t="s">
        <v>101</v>
      </c>
      <c r="K945" t="s">
        <v>78</v>
      </c>
      <c r="L945" t="s">
        <v>92</v>
      </c>
      <c r="M945" t="s">
        <v>93</v>
      </c>
      <c r="N945" t="s">
        <v>339</v>
      </c>
      <c r="O945" t="s">
        <v>82</v>
      </c>
      <c r="P945" t="str">
        <f>"4170047194                    "</f>
        <v xml:space="preserve">4170047194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3.2</v>
      </c>
      <c r="BK945">
        <v>3.5</v>
      </c>
      <c r="BL945">
        <v>0</v>
      </c>
      <c r="BM945">
        <v>0</v>
      </c>
      <c r="BN945">
        <v>0</v>
      </c>
      <c r="BO945">
        <v>0</v>
      </c>
      <c r="BQ945" t="s">
        <v>1689</v>
      </c>
      <c r="BR945" t="s">
        <v>106</v>
      </c>
      <c r="BS945" s="3">
        <v>45846</v>
      </c>
      <c r="BT945" s="4">
        <v>0.68611111111111112</v>
      </c>
      <c r="BU945" t="s">
        <v>435</v>
      </c>
      <c r="BV945" t="s">
        <v>98</v>
      </c>
      <c r="BY945">
        <v>16128</v>
      </c>
      <c r="BZ945" t="s">
        <v>425</v>
      </c>
      <c r="CA945" t="s">
        <v>1690</v>
      </c>
      <c r="CC945" t="s">
        <v>93</v>
      </c>
      <c r="CD945">
        <v>4052</v>
      </c>
      <c r="CE945" t="s">
        <v>117</v>
      </c>
      <c r="CF945" s="3">
        <v>45847</v>
      </c>
      <c r="CI945">
        <v>1</v>
      </c>
      <c r="CJ945">
        <v>0</v>
      </c>
      <c r="CK945">
        <v>-1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"080066448145"</f>
        <v>080066448145</v>
      </c>
      <c r="F946" s="3">
        <v>45847</v>
      </c>
      <c r="G946">
        <v>202604</v>
      </c>
      <c r="H946" t="s">
        <v>75</v>
      </c>
      <c r="I946" t="s">
        <v>76</v>
      </c>
      <c r="J946" t="s">
        <v>77</v>
      </c>
      <c r="K946" t="s">
        <v>78</v>
      </c>
      <c r="L946" t="s">
        <v>135</v>
      </c>
      <c r="M946" t="s">
        <v>136</v>
      </c>
      <c r="N946" t="s">
        <v>1228</v>
      </c>
      <c r="O946" t="s">
        <v>82</v>
      </c>
      <c r="P946" t="str">
        <f>"4170047584                    "</f>
        <v xml:space="preserve">4170047584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33.89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1.9</v>
      </c>
      <c r="BK946">
        <v>3</v>
      </c>
      <c r="BL946">
        <v>106.77</v>
      </c>
      <c r="BM946">
        <v>16.02</v>
      </c>
      <c r="BN946">
        <v>122.79</v>
      </c>
      <c r="BO946">
        <v>122.79</v>
      </c>
      <c r="BQ946" t="s">
        <v>1229</v>
      </c>
      <c r="BR946" t="s">
        <v>84</v>
      </c>
      <c r="BS946" s="3">
        <v>45848</v>
      </c>
      <c r="BT946" s="4">
        <v>0.41666666666666669</v>
      </c>
      <c r="BU946" t="s">
        <v>1691</v>
      </c>
      <c r="BV946" t="s">
        <v>98</v>
      </c>
      <c r="BY946">
        <v>9600</v>
      </c>
      <c r="BZ946" t="s">
        <v>89</v>
      </c>
      <c r="CA946" t="s">
        <v>382</v>
      </c>
      <c r="CC946" t="s">
        <v>136</v>
      </c>
      <c r="CD946">
        <v>3212</v>
      </c>
      <c r="CE946" t="s">
        <v>145</v>
      </c>
      <c r="CF946" s="3">
        <v>45849</v>
      </c>
      <c r="CI946">
        <v>2</v>
      </c>
      <c r="CJ946">
        <v>1</v>
      </c>
      <c r="CK946">
        <v>21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"080066448168"</f>
        <v>080066448168</v>
      </c>
      <c r="F947" s="3">
        <v>45847</v>
      </c>
      <c r="G947">
        <v>202604</v>
      </c>
      <c r="H947" t="s">
        <v>75</v>
      </c>
      <c r="I947" t="s">
        <v>76</v>
      </c>
      <c r="J947" t="s">
        <v>77</v>
      </c>
      <c r="K947" t="s">
        <v>78</v>
      </c>
      <c r="L947" t="s">
        <v>452</v>
      </c>
      <c r="M947" t="s">
        <v>453</v>
      </c>
      <c r="N947" t="s">
        <v>968</v>
      </c>
      <c r="O947" t="s">
        <v>82</v>
      </c>
      <c r="P947" t="str">
        <f>"4170047511                    "</f>
        <v xml:space="preserve">4170047511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17.649999999999999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0.6</v>
      </c>
      <c r="BK947">
        <v>1</v>
      </c>
      <c r="BL947">
        <v>55.61</v>
      </c>
      <c r="BM947">
        <v>8.34</v>
      </c>
      <c r="BN947">
        <v>63.95</v>
      </c>
      <c r="BO947">
        <v>63.95</v>
      </c>
      <c r="BQ947" t="s">
        <v>1098</v>
      </c>
      <c r="BR947" t="s">
        <v>84</v>
      </c>
      <c r="BS947" s="3">
        <v>45848</v>
      </c>
      <c r="BT947" s="4">
        <v>0.41388888888888886</v>
      </c>
      <c r="BU947" t="s">
        <v>1692</v>
      </c>
      <c r="BV947" t="s">
        <v>98</v>
      </c>
      <c r="BY947">
        <v>2760</v>
      </c>
      <c r="BZ947" t="s">
        <v>89</v>
      </c>
      <c r="CA947" t="s">
        <v>1541</v>
      </c>
      <c r="CC947" t="s">
        <v>453</v>
      </c>
      <c r="CD947">
        <v>1559</v>
      </c>
      <c r="CE947" t="s">
        <v>91</v>
      </c>
      <c r="CF947" s="3">
        <v>45849</v>
      </c>
      <c r="CI947">
        <v>1</v>
      </c>
      <c r="CJ947">
        <v>1</v>
      </c>
      <c r="CK947">
        <v>22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"080066448225"</f>
        <v>080066448225</v>
      </c>
      <c r="F948" s="3">
        <v>45847</v>
      </c>
      <c r="G948">
        <v>202604</v>
      </c>
      <c r="H948" t="s">
        <v>75</v>
      </c>
      <c r="I948" t="s">
        <v>76</v>
      </c>
      <c r="J948" t="s">
        <v>77</v>
      </c>
      <c r="K948" t="s">
        <v>78</v>
      </c>
      <c r="L948" t="s">
        <v>168</v>
      </c>
      <c r="M948" t="s">
        <v>169</v>
      </c>
      <c r="N948" t="s">
        <v>191</v>
      </c>
      <c r="O948" t="s">
        <v>82</v>
      </c>
      <c r="P948" t="str">
        <f>"4170047579                    "</f>
        <v xml:space="preserve">4170047579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22.6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71.2</v>
      </c>
      <c r="BM948">
        <v>10.68</v>
      </c>
      <c r="BN948">
        <v>81.88</v>
      </c>
      <c r="BO948">
        <v>81.88</v>
      </c>
      <c r="BQ948" t="s">
        <v>192</v>
      </c>
      <c r="BR948" t="s">
        <v>84</v>
      </c>
      <c r="BS948" s="3">
        <v>45848</v>
      </c>
      <c r="BT948" s="4">
        <v>0.42777777777777776</v>
      </c>
      <c r="BU948" t="s">
        <v>193</v>
      </c>
      <c r="BV948" t="s">
        <v>98</v>
      </c>
      <c r="BY948">
        <v>1200</v>
      </c>
      <c r="BZ948" t="s">
        <v>89</v>
      </c>
      <c r="CA948" t="s">
        <v>196</v>
      </c>
      <c r="CC948" t="s">
        <v>169</v>
      </c>
      <c r="CD948">
        <v>6056</v>
      </c>
      <c r="CE948" t="s">
        <v>239</v>
      </c>
      <c r="CF948" s="3">
        <v>45848</v>
      </c>
      <c r="CI948">
        <v>1</v>
      </c>
      <c r="CJ948">
        <v>1</v>
      </c>
      <c r="CK948">
        <v>21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"080066448226"</f>
        <v>080066448226</v>
      </c>
      <c r="F949" s="3">
        <v>45847</v>
      </c>
      <c r="G949">
        <v>202604</v>
      </c>
      <c r="H949" t="s">
        <v>75</v>
      </c>
      <c r="I949" t="s">
        <v>76</v>
      </c>
      <c r="J949" t="s">
        <v>77</v>
      </c>
      <c r="K949" t="s">
        <v>78</v>
      </c>
      <c r="L949" t="s">
        <v>92</v>
      </c>
      <c r="M949" t="s">
        <v>93</v>
      </c>
      <c r="N949" t="s">
        <v>291</v>
      </c>
      <c r="O949" t="s">
        <v>95</v>
      </c>
      <c r="P949" t="str">
        <f>"4170047495                    "</f>
        <v xml:space="preserve">4170047495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52.72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20</v>
      </c>
      <c r="BJ949">
        <v>15.4</v>
      </c>
      <c r="BK949">
        <v>20</v>
      </c>
      <c r="BL949">
        <v>171.97</v>
      </c>
      <c r="BM949">
        <v>25.8</v>
      </c>
      <c r="BN949">
        <v>197.77</v>
      </c>
      <c r="BO949">
        <v>197.77</v>
      </c>
      <c r="BQ949" t="s">
        <v>292</v>
      </c>
      <c r="BR949" t="s">
        <v>84</v>
      </c>
      <c r="BS949" s="3">
        <v>45848</v>
      </c>
      <c r="BT949" s="4">
        <v>0.44722222222222224</v>
      </c>
      <c r="BU949" t="s">
        <v>847</v>
      </c>
      <c r="BV949" t="s">
        <v>98</v>
      </c>
      <c r="BY949">
        <v>76752</v>
      </c>
      <c r="BZ949" t="s">
        <v>99</v>
      </c>
      <c r="CA949" t="s">
        <v>1104</v>
      </c>
      <c r="CC949" t="s">
        <v>93</v>
      </c>
      <c r="CD949">
        <v>4051</v>
      </c>
      <c r="CE949" t="s">
        <v>355</v>
      </c>
      <c r="CF949" s="3">
        <v>45848</v>
      </c>
      <c r="CI949">
        <v>1</v>
      </c>
      <c r="CJ949">
        <v>1</v>
      </c>
      <c r="CK949">
        <v>41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"080066448258"</f>
        <v>080066448258</v>
      </c>
      <c r="F950" s="3">
        <v>45847</v>
      </c>
      <c r="G950">
        <v>202604</v>
      </c>
      <c r="H950" t="s">
        <v>75</v>
      </c>
      <c r="I950" t="s">
        <v>76</v>
      </c>
      <c r="J950" t="s">
        <v>77</v>
      </c>
      <c r="K950" t="s">
        <v>78</v>
      </c>
      <c r="L950" t="s">
        <v>168</v>
      </c>
      <c r="M950" t="s">
        <v>169</v>
      </c>
      <c r="N950" t="s">
        <v>191</v>
      </c>
      <c r="O950" t="s">
        <v>82</v>
      </c>
      <c r="P950" t="str">
        <f>"4170047578                    "</f>
        <v xml:space="preserve">4170047578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22.6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71.2</v>
      </c>
      <c r="BM950">
        <v>10.68</v>
      </c>
      <c r="BN950">
        <v>81.88</v>
      </c>
      <c r="BO950">
        <v>81.88</v>
      </c>
      <c r="BQ950" t="s">
        <v>192</v>
      </c>
      <c r="BR950" t="s">
        <v>84</v>
      </c>
      <c r="BS950" s="3">
        <v>45848</v>
      </c>
      <c r="BT950" s="4">
        <v>0.42777777777777776</v>
      </c>
      <c r="BU950" t="s">
        <v>193</v>
      </c>
      <c r="BV950" t="s">
        <v>98</v>
      </c>
      <c r="BY950">
        <v>1200</v>
      </c>
      <c r="BZ950" t="s">
        <v>89</v>
      </c>
      <c r="CA950" t="s">
        <v>196</v>
      </c>
      <c r="CC950" t="s">
        <v>169</v>
      </c>
      <c r="CD950">
        <v>6056</v>
      </c>
      <c r="CE950" t="s">
        <v>239</v>
      </c>
      <c r="CF950" s="3">
        <v>45848</v>
      </c>
      <c r="CI950">
        <v>1</v>
      </c>
      <c r="CJ950">
        <v>1</v>
      </c>
      <c r="CK950">
        <v>21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"080066448279"</f>
        <v>080066448279</v>
      </c>
      <c r="F951" s="3">
        <v>45847</v>
      </c>
      <c r="G951">
        <v>202604</v>
      </c>
      <c r="H951" t="s">
        <v>75</v>
      </c>
      <c r="I951" t="s">
        <v>76</v>
      </c>
      <c r="J951" t="s">
        <v>77</v>
      </c>
      <c r="K951" t="s">
        <v>78</v>
      </c>
      <c r="L951" t="s">
        <v>79</v>
      </c>
      <c r="M951" t="s">
        <v>80</v>
      </c>
      <c r="N951" t="s">
        <v>286</v>
      </c>
      <c r="O951" t="s">
        <v>82</v>
      </c>
      <c r="P951" t="str">
        <f>"4170047526                    "</f>
        <v xml:space="preserve">4170047526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22.6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71.2</v>
      </c>
      <c r="BM951">
        <v>10.68</v>
      </c>
      <c r="BN951">
        <v>81.88</v>
      </c>
      <c r="BO951">
        <v>81.88</v>
      </c>
      <c r="BQ951" t="s">
        <v>287</v>
      </c>
      <c r="BR951" t="s">
        <v>84</v>
      </c>
      <c r="BS951" s="3">
        <v>45848</v>
      </c>
      <c r="BT951" s="4">
        <v>0.36180555555555555</v>
      </c>
      <c r="BU951" t="s">
        <v>1693</v>
      </c>
      <c r="BV951" t="s">
        <v>98</v>
      </c>
      <c r="BY951">
        <v>1200</v>
      </c>
      <c r="BZ951" t="s">
        <v>89</v>
      </c>
      <c r="CA951" t="s">
        <v>289</v>
      </c>
      <c r="CC951" t="s">
        <v>80</v>
      </c>
      <c r="CD951">
        <v>7530</v>
      </c>
      <c r="CE951" t="s">
        <v>239</v>
      </c>
      <c r="CF951" s="3">
        <v>45849</v>
      </c>
      <c r="CI951">
        <v>1</v>
      </c>
      <c r="CJ951">
        <v>1</v>
      </c>
      <c r="CK951">
        <v>21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"080066448309"</f>
        <v>080066448309</v>
      </c>
      <c r="F952" s="3">
        <v>45847</v>
      </c>
      <c r="G952">
        <v>202604</v>
      </c>
      <c r="H952" t="s">
        <v>75</v>
      </c>
      <c r="I952" t="s">
        <v>76</v>
      </c>
      <c r="J952" t="s">
        <v>77</v>
      </c>
      <c r="K952" t="s">
        <v>78</v>
      </c>
      <c r="L952" t="s">
        <v>305</v>
      </c>
      <c r="M952" t="s">
        <v>306</v>
      </c>
      <c r="N952" t="s">
        <v>572</v>
      </c>
      <c r="O952" t="s">
        <v>82</v>
      </c>
      <c r="P952" t="str">
        <f>"4170047513                    "</f>
        <v xml:space="preserve">4170047513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22.6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71.2</v>
      </c>
      <c r="BM952">
        <v>10.68</v>
      </c>
      <c r="BN952">
        <v>81.88</v>
      </c>
      <c r="BO952">
        <v>81.88</v>
      </c>
      <c r="BQ952" t="s">
        <v>573</v>
      </c>
      <c r="BR952" t="s">
        <v>84</v>
      </c>
      <c r="BS952" s="3">
        <v>45848</v>
      </c>
      <c r="BT952" s="4">
        <v>0.47152777777777777</v>
      </c>
      <c r="BU952" t="s">
        <v>574</v>
      </c>
      <c r="BV952" t="s">
        <v>98</v>
      </c>
      <c r="BY952">
        <v>1200</v>
      </c>
      <c r="BZ952" t="s">
        <v>89</v>
      </c>
      <c r="CA952" t="s">
        <v>575</v>
      </c>
      <c r="CC952" t="s">
        <v>306</v>
      </c>
      <c r="CD952">
        <v>5201</v>
      </c>
      <c r="CE952" t="s">
        <v>239</v>
      </c>
      <c r="CF952" s="3">
        <v>45848</v>
      </c>
      <c r="CI952">
        <v>5</v>
      </c>
      <c r="CJ952">
        <v>1</v>
      </c>
      <c r="CK952">
        <v>21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"080066448333"</f>
        <v>080066448333</v>
      </c>
      <c r="F953" s="3">
        <v>45847</v>
      </c>
      <c r="G953">
        <v>202604</v>
      </c>
      <c r="H953" t="s">
        <v>75</v>
      </c>
      <c r="I953" t="s">
        <v>76</v>
      </c>
      <c r="J953" t="s">
        <v>77</v>
      </c>
      <c r="K953" t="s">
        <v>78</v>
      </c>
      <c r="L953" t="s">
        <v>406</v>
      </c>
      <c r="M953" t="s">
        <v>407</v>
      </c>
      <c r="N953" t="s">
        <v>1308</v>
      </c>
      <c r="O953" t="s">
        <v>82</v>
      </c>
      <c r="P953" t="str">
        <f>"4170047496                    "</f>
        <v xml:space="preserve">4170047496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43.78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137.94</v>
      </c>
      <c r="BM953">
        <v>20.69</v>
      </c>
      <c r="BN953">
        <v>158.63</v>
      </c>
      <c r="BO953">
        <v>158.63</v>
      </c>
      <c r="BQ953" t="s">
        <v>1309</v>
      </c>
      <c r="BR953" t="s">
        <v>84</v>
      </c>
      <c r="BS953" s="3">
        <v>45848</v>
      </c>
      <c r="BT953" s="4">
        <v>0.74513888888888891</v>
      </c>
      <c r="BU953" t="s">
        <v>1694</v>
      </c>
      <c r="BV953" t="s">
        <v>86</v>
      </c>
      <c r="BW953" t="s">
        <v>194</v>
      </c>
      <c r="BX953" t="s">
        <v>1060</v>
      </c>
      <c r="BY953">
        <v>1200</v>
      </c>
      <c r="BZ953" t="s">
        <v>89</v>
      </c>
      <c r="CA953" t="s">
        <v>1695</v>
      </c>
      <c r="CC953" t="s">
        <v>407</v>
      </c>
      <c r="CD953">
        <v>4399</v>
      </c>
      <c r="CE953" t="s">
        <v>239</v>
      </c>
      <c r="CF953" s="3">
        <v>45849</v>
      </c>
      <c r="CI953">
        <v>1</v>
      </c>
      <c r="CJ953">
        <v>1</v>
      </c>
      <c r="CK953">
        <v>23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"080066448350"</f>
        <v>080066448350</v>
      </c>
      <c r="F954" s="3">
        <v>45847</v>
      </c>
      <c r="G954">
        <v>202604</v>
      </c>
      <c r="H954" t="s">
        <v>75</v>
      </c>
      <c r="I954" t="s">
        <v>76</v>
      </c>
      <c r="J954" t="s">
        <v>77</v>
      </c>
      <c r="K954" t="s">
        <v>78</v>
      </c>
      <c r="L954" t="s">
        <v>79</v>
      </c>
      <c r="M954" t="s">
        <v>80</v>
      </c>
      <c r="N954" t="s">
        <v>698</v>
      </c>
      <c r="O954" t="s">
        <v>82</v>
      </c>
      <c r="P954" t="str">
        <f>"4170047548                    "</f>
        <v xml:space="preserve">4170047548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22.6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71.2</v>
      </c>
      <c r="BM954">
        <v>10.68</v>
      </c>
      <c r="BN954">
        <v>81.88</v>
      </c>
      <c r="BO954">
        <v>81.88</v>
      </c>
      <c r="BQ954" t="s">
        <v>699</v>
      </c>
      <c r="BR954" t="s">
        <v>84</v>
      </c>
      <c r="BS954" s="3">
        <v>45848</v>
      </c>
      <c r="BT954" s="4">
        <v>0.39930555555555558</v>
      </c>
      <c r="BU954" t="s">
        <v>558</v>
      </c>
      <c r="BV954" t="s">
        <v>98</v>
      </c>
      <c r="BY954">
        <v>1200</v>
      </c>
      <c r="BZ954" t="s">
        <v>89</v>
      </c>
      <c r="CA954" t="s">
        <v>289</v>
      </c>
      <c r="CC954" t="s">
        <v>80</v>
      </c>
      <c r="CD954">
        <v>7561</v>
      </c>
      <c r="CE954" t="s">
        <v>239</v>
      </c>
      <c r="CF954" s="3">
        <v>45849</v>
      </c>
      <c r="CI954">
        <v>1</v>
      </c>
      <c r="CJ954">
        <v>1</v>
      </c>
      <c r="CK954">
        <v>21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"080066448373"</f>
        <v>080066448373</v>
      </c>
      <c r="F955" s="3">
        <v>45847</v>
      </c>
      <c r="G955">
        <v>202604</v>
      </c>
      <c r="H955" t="s">
        <v>75</v>
      </c>
      <c r="I955" t="s">
        <v>76</v>
      </c>
      <c r="J955" t="s">
        <v>77</v>
      </c>
      <c r="K955" t="s">
        <v>78</v>
      </c>
      <c r="L955" t="s">
        <v>135</v>
      </c>
      <c r="M955" t="s">
        <v>136</v>
      </c>
      <c r="N955" t="s">
        <v>416</v>
      </c>
      <c r="O955" t="s">
        <v>82</v>
      </c>
      <c r="P955" t="str">
        <f>"4170047541                    "</f>
        <v xml:space="preserve">4170047541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22.6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71.2</v>
      </c>
      <c r="BM955">
        <v>10.68</v>
      </c>
      <c r="BN955">
        <v>81.88</v>
      </c>
      <c r="BO955">
        <v>81.88</v>
      </c>
      <c r="BQ955" t="s">
        <v>417</v>
      </c>
      <c r="BR955" t="s">
        <v>84</v>
      </c>
      <c r="BS955" s="3">
        <v>45849</v>
      </c>
      <c r="BT955" s="4">
        <v>0.41666666666666669</v>
      </c>
      <c r="BU955" t="s">
        <v>650</v>
      </c>
      <c r="BV955" t="s">
        <v>86</v>
      </c>
      <c r="BY955">
        <v>1200</v>
      </c>
      <c r="BZ955" t="s">
        <v>89</v>
      </c>
      <c r="CC955" t="s">
        <v>136</v>
      </c>
      <c r="CD955">
        <v>3201</v>
      </c>
      <c r="CE955" t="s">
        <v>239</v>
      </c>
      <c r="CF955" s="3">
        <v>45850</v>
      </c>
      <c r="CI955">
        <v>1</v>
      </c>
      <c r="CJ955">
        <v>2</v>
      </c>
      <c r="CK955">
        <v>21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"080066448406"</f>
        <v>080066448406</v>
      </c>
      <c r="F956" s="3">
        <v>45847</v>
      </c>
      <c r="G956">
        <v>202604</v>
      </c>
      <c r="H956" t="s">
        <v>75</v>
      </c>
      <c r="I956" t="s">
        <v>76</v>
      </c>
      <c r="J956" t="s">
        <v>77</v>
      </c>
      <c r="K956" t="s">
        <v>78</v>
      </c>
      <c r="L956" t="s">
        <v>363</v>
      </c>
      <c r="M956" t="s">
        <v>364</v>
      </c>
      <c r="N956" t="s">
        <v>365</v>
      </c>
      <c r="O956" t="s">
        <v>82</v>
      </c>
      <c r="P956" t="str">
        <f>"4170047557                    "</f>
        <v xml:space="preserve">4170047557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43.78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137.94</v>
      </c>
      <c r="BM956">
        <v>20.69</v>
      </c>
      <c r="BN956">
        <v>158.63</v>
      </c>
      <c r="BO956">
        <v>158.63</v>
      </c>
      <c r="BQ956" t="s">
        <v>366</v>
      </c>
      <c r="BR956" t="s">
        <v>84</v>
      </c>
      <c r="BS956" s="3">
        <v>45848</v>
      </c>
      <c r="BT956" s="4">
        <v>0.68402777777777779</v>
      </c>
      <c r="BU956" t="s">
        <v>1696</v>
      </c>
      <c r="BV956" t="s">
        <v>98</v>
      </c>
      <c r="BY956">
        <v>1200</v>
      </c>
      <c r="BZ956" t="s">
        <v>89</v>
      </c>
      <c r="CC956" t="s">
        <v>364</v>
      </c>
      <c r="CD956">
        <v>7300</v>
      </c>
      <c r="CE956" t="s">
        <v>121</v>
      </c>
      <c r="CF956" s="3">
        <v>45849</v>
      </c>
      <c r="CI956">
        <v>1</v>
      </c>
      <c r="CJ956">
        <v>1</v>
      </c>
      <c r="CK956">
        <v>23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"080066448484"</f>
        <v>080066448484</v>
      </c>
      <c r="F957" s="3">
        <v>45847</v>
      </c>
      <c r="G957">
        <v>202604</v>
      </c>
      <c r="H957" t="s">
        <v>75</v>
      </c>
      <c r="I957" t="s">
        <v>76</v>
      </c>
      <c r="J957" t="s">
        <v>77</v>
      </c>
      <c r="K957" t="s">
        <v>78</v>
      </c>
      <c r="L957" t="s">
        <v>704</v>
      </c>
      <c r="M957" t="s">
        <v>705</v>
      </c>
      <c r="N957" t="s">
        <v>848</v>
      </c>
      <c r="O957" t="s">
        <v>82</v>
      </c>
      <c r="P957" t="str">
        <f>"4170047562                    "</f>
        <v xml:space="preserve">4170047562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43.78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0.3</v>
      </c>
      <c r="BK957">
        <v>1</v>
      </c>
      <c r="BL957">
        <v>137.94</v>
      </c>
      <c r="BM957">
        <v>20.69</v>
      </c>
      <c r="BN957">
        <v>158.63</v>
      </c>
      <c r="BO957">
        <v>158.63</v>
      </c>
      <c r="BQ957" t="s">
        <v>849</v>
      </c>
      <c r="BR957" t="s">
        <v>84</v>
      </c>
      <c r="BS957" s="3">
        <v>45848</v>
      </c>
      <c r="BT957" s="4">
        <v>0.49027777777777776</v>
      </c>
      <c r="BU957" t="s">
        <v>1697</v>
      </c>
      <c r="BV957" t="s">
        <v>98</v>
      </c>
      <c r="BY957">
        <v>1350</v>
      </c>
      <c r="BZ957" t="s">
        <v>89</v>
      </c>
      <c r="CA957" t="s">
        <v>1152</v>
      </c>
      <c r="CC957" t="s">
        <v>705</v>
      </c>
      <c r="CD957">
        <v>6850</v>
      </c>
      <c r="CE957" t="s">
        <v>239</v>
      </c>
      <c r="CF957" s="3">
        <v>45849</v>
      </c>
      <c r="CI957">
        <v>2</v>
      </c>
      <c r="CJ957">
        <v>1</v>
      </c>
      <c r="CK957">
        <v>23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"080066448507"</f>
        <v>080066448507</v>
      </c>
      <c r="F958" s="3">
        <v>45847</v>
      </c>
      <c r="G958">
        <v>202604</v>
      </c>
      <c r="H958" t="s">
        <v>75</v>
      </c>
      <c r="I958" t="s">
        <v>76</v>
      </c>
      <c r="J958" t="s">
        <v>77</v>
      </c>
      <c r="K958" t="s">
        <v>78</v>
      </c>
      <c r="L958" t="s">
        <v>1000</v>
      </c>
      <c r="M958" t="s">
        <v>1001</v>
      </c>
      <c r="N958" t="s">
        <v>1002</v>
      </c>
      <c r="O958" t="s">
        <v>82</v>
      </c>
      <c r="P958" t="str">
        <f>"4170047563                    "</f>
        <v xml:space="preserve">4170047563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31.78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0.3</v>
      </c>
      <c r="BK958">
        <v>1</v>
      </c>
      <c r="BL958">
        <v>100.13</v>
      </c>
      <c r="BM958">
        <v>15.02</v>
      </c>
      <c r="BN958">
        <v>115.15</v>
      </c>
      <c r="BO958">
        <v>115.15</v>
      </c>
      <c r="BQ958" t="s">
        <v>1003</v>
      </c>
      <c r="BR958" t="s">
        <v>84</v>
      </c>
      <c r="BS958" s="3">
        <v>45848</v>
      </c>
      <c r="BT958" s="4">
        <v>0.37777777777777777</v>
      </c>
      <c r="BU958" t="s">
        <v>1004</v>
      </c>
      <c r="BV958" t="s">
        <v>98</v>
      </c>
      <c r="BY958">
        <v>1350</v>
      </c>
      <c r="BZ958" t="s">
        <v>89</v>
      </c>
      <c r="CA958" t="s">
        <v>1005</v>
      </c>
      <c r="CC958" t="s">
        <v>1001</v>
      </c>
      <c r="CD958">
        <v>2410</v>
      </c>
      <c r="CE958" t="s">
        <v>239</v>
      </c>
      <c r="CF958" s="3">
        <v>45849</v>
      </c>
      <c r="CI958">
        <v>1</v>
      </c>
      <c r="CJ958">
        <v>1</v>
      </c>
      <c r="CK958">
        <v>24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"080066448504"</f>
        <v>080066448504</v>
      </c>
      <c r="F959" s="3">
        <v>45847</v>
      </c>
      <c r="G959">
        <v>202604</v>
      </c>
      <c r="H959" t="s">
        <v>75</v>
      </c>
      <c r="I959" t="s">
        <v>76</v>
      </c>
      <c r="J959" t="s">
        <v>77</v>
      </c>
      <c r="K959" t="s">
        <v>78</v>
      </c>
      <c r="L959" t="s">
        <v>75</v>
      </c>
      <c r="M959" t="s">
        <v>76</v>
      </c>
      <c r="N959" t="s">
        <v>1324</v>
      </c>
      <c r="O959" t="s">
        <v>82</v>
      </c>
      <c r="P959" t="str">
        <f>"4170047512                    "</f>
        <v xml:space="preserve">4170047512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17.649999999999999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55.61</v>
      </c>
      <c r="BM959">
        <v>8.34</v>
      </c>
      <c r="BN959">
        <v>63.95</v>
      </c>
      <c r="BO959">
        <v>63.95</v>
      </c>
      <c r="BQ959" t="s">
        <v>1325</v>
      </c>
      <c r="BR959" t="s">
        <v>84</v>
      </c>
      <c r="BS959" s="3">
        <v>45848</v>
      </c>
      <c r="BT959" s="4">
        <v>0.30555555555555558</v>
      </c>
      <c r="BU959" t="s">
        <v>1698</v>
      </c>
      <c r="BV959" t="s">
        <v>98</v>
      </c>
      <c r="BY959">
        <v>1200</v>
      </c>
      <c r="BZ959" t="s">
        <v>89</v>
      </c>
      <c r="CA959" t="s">
        <v>213</v>
      </c>
      <c r="CC959" t="s">
        <v>76</v>
      </c>
      <c r="CD959">
        <v>1600</v>
      </c>
      <c r="CE959" t="s">
        <v>239</v>
      </c>
      <c r="CF959" s="3">
        <v>45849</v>
      </c>
      <c r="CI959">
        <v>1</v>
      </c>
      <c r="CJ959">
        <v>1</v>
      </c>
      <c r="CK959">
        <v>22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"080066448602"</f>
        <v>080066448602</v>
      </c>
      <c r="F960" s="3">
        <v>45847</v>
      </c>
      <c r="G960">
        <v>202604</v>
      </c>
      <c r="H960" t="s">
        <v>75</v>
      </c>
      <c r="I960" t="s">
        <v>76</v>
      </c>
      <c r="J960" t="s">
        <v>77</v>
      </c>
      <c r="K960" t="s">
        <v>78</v>
      </c>
      <c r="L960" t="s">
        <v>79</v>
      </c>
      <c r="M960" t="s">
        <v>80</v>
      </c>
      <c r="N960" t="s">
        <v>698</v>
      </c>
      <c r="O960" t="s">
        <v>82</v>
      </c>
      <c r="P960" t="str">
        <f>"4170047549                    "</f>
        <v xml:space="preserve">4170047549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22.6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0.3</v>
      </c>
      <c r="BK960">
        <v>1</v>
      </c>
      <c r="BL960">
        <v>71.2</v>
      </c>
      <c r="BM960">
        <v>10.68</v>
      </c>
      <c r="BN960">
        <v>81.88</v>
      </c>
      <c r="BO960">
        <v>81.88</v>
      </c>
      <c r="BQ960" t="s">
        <v>699</v>
      </c>
      <c r="BR960" t="s">
        <v>84</v>
      </c>
      <c r="BS960" s="3">
        <v>45848</v>
      </c>
      <c r="BT960" s="4">
        <v>0.39930555555555558</v>
      </c>
      <c r="BU960" t="s">
        <v>558</v>
      </c>
      <c r="BV960" t="s">
        <v>98</v>
      </c>
      <c r="BY960">
        <v>1350</v>
      </c>
      <c r="BZ960" t="s">
        <v>89</v>
      </c>
      <c r="CA960" t="s">
        <v>289</v>
      </c>
      <c r="CC960" t="s">
        <v>80</v>
      </c>
      <c r="CD960">
        <v>7561</v>
      </c>
      <c r="CE960" t="s">
        <v>239</v>
      </c>
      <c r="CF960" s="3">
        <v>45849</v>
      </c>
      <c r="CI960">
        <v>1</v>
      </c>
      <c r="CJ960">
        <v>1</v>
      </c>
      <c r="CK960">
        <v>21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"080066448735"</f>
        <v>080066448735</v>
      </c>
      <c r="F961" s="3">
        <v>45847</v>
      </c>
      <c r="G961">
        <v>202604</v>
      </c>
      <c r="H961" t="s">
        <v>75</v>
      </c>
      <c r="I961" t="s">
        <v>76</v>
      </c>
      <c r="J961" t="s">
        <v>77</v>
      </c>
      <c r="K961" t="s">
        <v>78</v>
      </c>
      <c r="L961" t="s">
        <v>168</v>
      </c>
      <c r="M961" t="s">
        <v>169</v>
      </c>
      <c r="N961" t="s">
        <v>206</v>
      </c>
      <c r="O961" t="s">
        <v>82</v>
      </c>
      <c r="P961" t="str">
        <f>"4170047505                    "</f>
        <v xml:space="preserve">4170047505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22.6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71.2</v>
      </c>
      <c r="BM961">
        <v>10.68</v>
      </c>
      <c r="BN961">
        <v>81.88</v>
      </c>
      <c r="BO961">
        <v>81.88</v>
      </c>
      <c r="BQ961" t="s">
        <v>207</v>
      </c>
      <c r="BR961" t="s">
        <v>84</v>
      </c>
      <c r="BS961" s="3">
        <v>45848</v>
      </c>
      <c r="BT961" s="4">
        <v>0.43194444444444446</v>
      </c>
      <c r="BU961" t="s">
        <v>1483</v>
      </c>
      <c r="BV961" t="s">
        <v>98</v>
      </c>
      <c r="BY961">
        <v>1200</v>
      </c>
      <c r="BZ961" t="s">
        <v>89</v>
      </c>
      <c r="CA961" t="s">
        <v>196</v>
      </c>
      <c r="CC961" t="s">
        <v>169</v>
      </c>
      <c r="CD961">
        <v>6001</v>
      </c>
      <c r="CE961" t="s">
        <v>239</v>
      </c>
      <c r="CF961" s="3">
        <v>45848</v>
      </c>
      <c r="CI961">
        <v>1</v>
      </c>
      <c r="CJ961">
        <v>1</v>
      </c>
      <c r="CK961">
        <v>21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"080066448775"</f>
        <v>080066448775</v>
      </c>
      <c r="F962" s="3">
        <v>45847</v>
      </c>
      <c r="G962">
        <v>202604</v>
      </c>
      <c r="H962" t="s">
        <v>75</v>
      </c>
      <c r="I962" t="s">
        <v>76</v>
      </c>
      <c r="J962" t="s">
        <v>77</v>
      </c>
      <c r="K962" t="s">
        <v>78</v>
      </c>
      <c r="L962" t="s">
        <v>79</v>
      </c>
      <c r="M962" t="s">
        <v>80</v>
      </c>
      <c r="N962" t="s">
        <v>81</v>
      </c>
      <c r="O962" t="s">
        <v>82</v>
      </c>
      <c r="P962" t="str">
        <f>"4170047583                    "</f>
        <v xml:space="preserve">4170047583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22.6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0.3</v>
      </c>
      <c r="BK962">
        <v>1</v>
      </c>
      <c r="BL962">
        <v>71.2</v>
      </c>
      <c r="BM962">
        <v>10.68</v>
      </c>
      <c r="BN962">
        <v>81.88</v>
      </c>
      <c r="BO962">
        <v>81.88</v>
      </c>
      <c r="BQ962" t="s">
        <v>83</v>
      </c>
      <c r="BR962" t="s">
        <v>84</v>
      </c>
      <c r="BS962" s="3">
        <v>45848</v>
      </c>
      <c r="BT962" s="4">
        <v>0.65069444444444446</v>
      </c>
      <c r="BU962" t="s">
        <v>1699</v>
      </c>
      <c r="BV962" t="s">
        <v>86</v>
      </c>
      <c r="BW962" t="s">
        <v>87</v>
      </c>
      <c r="BX962" t="s">
        <v>88</v>
      </c>
      <c r="BY962">
        <v>1350</v>
      </c>
      <c r="BZ962" t="s">
        <v>89</v>
      </c>
      <c r="CA962" t="s">
        <v>1700</v>
      </c>
      <c r="CC962" t="s">
        <v>80</v>
      </c>
      <c r="CD962">
        <v>7550</v>
      </c>
      <c r="CE962" t="s">
        <v>239</v>
      </c>
      <c r="CF962" s="3">
        <v>45849</v>
      </c>
      <c r="CI962">
        <v>1</v>
      </c>
      <c r="CJ962">
        <v>1</v>
      </c>
      <c r="CK962">
        <v>21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"080066448797"</f>
        <v>080066448797</v>
      </c>
      <c r="F963" s="3">
        <v>45847</v>
      </c>
      <c r="G963">
        <v>202604</v>
      </c>
      <c r="H963" t="s">
        <v>75</v>
      </c>
      <c r="I963" t="s">
        <v>76</v>
      </c>
      <c r="J963" t="s">
        <v>77</v>
      </c>
      <c r="K963" t="s">
        <v>78</v>
      </c>
      <c r="L963" t="s">
        <v>135</v>
      </c>
      <c r="M963" t="s">
        <v>136</v>
      </c>
      <c r="N963" t="s">
        <v>379</v>
      </c>
      <c r="O963" t="s">
        <v>82</v>
      </c>
      <c r="P963" t="str">
        <f>"4170047574                    "</f>
        <v xml:space="preserve">4170047574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22.6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0.3</v>
      </c>
      <c r="BK963">
        <v>1</v>
      </c>
      <c r="BL963">
        <v>71.2</v>
      </c>
      <c r="BM963">
        <v>10.68</v>
      </c>
      <c r="BN963">
        <v>81.88</v>
      </c>
      <c r="BO963">
        <v>81.88</v>
      </c>
      <c r="BQ963" t="s">
        <v>380</v>
      </c>
      <c r="BR963" t="s">
        <v>84</v>
      </c>
      <c r="BS963" s="3">
        <v>45848</v>
      </c>
      <c r="BT963" s="4">
        <v>0.41666666666666669</v>
      </c>
      <c r="BU963" t="s">
        <v>1701</v>
      </c>
      <c r="BV963" t="s">
        <v>98</v>
      </c>
      <c r="BY963">
        <v>1350</v>
      </c>
      <c r="BZ963" t="s">
        <v>89</v>
      </c>
      <c r="CA963" t="s">
        <v>382</v>
      </c>
      <c r="CC963" t="s">
        <v>136</v>
      </c>
      <c r="CD963">
        <v>3212</v>
      </c>
      <c r="CE963" t="s">
        <v>239</v>
      </c>
      <c r="CF963" s="3">
        <v>45849</v>
      </c>
      <c r="CI963">
        <v>2</v>
      </c>
      <c r="CJ963">
        <v>1</v>
      </c>
      <c r="CK963">
        <v>21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"080066448849"</f>
        <v>080066448849</v>
      </c>
      <c r="F964" s="3">
        <v>45847</v>
      </c>
      <c r="G964">
        <v>202604</v>
      </c>
      <c r="H964" t="s">
        <v>75</v>
      </c>
      <c r="I964" t="s">
        <v>76</v>
      </c>
      <c r="J964" t="s">
        <v>77</v>
      </c>
      <c r="K964" t="s">
        <v>78</v>
      </c>
      <c r="L964" t="s">
        <v>79</v>
      </c>
      <c r="M964" t="s">
        <v>80</v>
      </c>
      <c r="N964" t="s">
        <v>81</v>
      </c>
      <c r="O964" t="s">
        <v>82</v>
      </c>
      <c r="P964" t="str">
        <f>"4170047598                    "</f>
        <v xml:space="preserve">4170047598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22.6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0.3</v>
      </c>
      <c r="BK964">
        <v>1</v>
      </c>
      <c r="BL964">
        <v>71.2</v>
      </c>
      <c r="BM964">
        <v>10.68</v>
      </c>
      <c r="BN964">
        <v>81.88</v>
      </c>
      <c r="BO964">
        <v>81.88</v>
      </c>
      <c r="BQ964" t="s">
        <v>83</v>
      </c>
      <c r="BR964" t="s">
        <v>84</v>
      </c>
      <c r="BS964" s="3">
        <v>45848</v>
      </c>
      <c r="BT964" s="4">
        <v>0.65138888888888891</v>
      </c>
      <c r="BU964" t="s">
        <v>1699</v>
      </c>
      <c r="BV964" t="s">
        <v>86</v>
      </c>
      <c r="BW964" t="s">
        <v>87</v>
      </c>
      <c r="BX964" t="s">
        <v>88</v>
      </c>
      <c r="BY964">
        <v>1350</v>
      </c>
      <c r="BZ964" t="s">
        <v>89</v>
      </c>
      <c r="CA964" t="s">
        <v>1700</v>
      </c>
      <c r="CC964" t="s">
        <v>80</v>
      </c>
      <c r="CD964">
        <v>7550</v>
      </c>
      <c r="CE964" t="s">
        <v>239</v>
      </c>
      <c r="CF964" s="3">
        <v>45849</v>
      </c>
      <c r="CI964">
        <v>1</v>
      </c>
      <c r="CJ964">
        <v>1</v>
      </c>
      <c r="CK964">
        <v>21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"080066448900"</f>
        <v>080066448900</v>
      </c>
      <c r="F965" s="3">
        <v>45847</v>
      </c>
      <c r="G965">
        <v>202604</v>
      </c>
      <c r="H965" t="s">
        <v>75</v>
      </c>
      <c r="I965" t="s">
        <v>76</v>
      </c>
      <c r="J965" t="s">
        <v>77</v>
      </c>
      <c r="K965" t="s">
        <v>78</v>
      </c>
      <c r="L965" t="s">
        <v>92</v>
      </c>
      <c r="M965" t="s">
        <v>93</v>
      </c>
      <c r="N965" t="s">
        <v>291</v>
      </c>
      <c r="O965" t="s">
        <v>82</v>
      </c>
      <c r="P965" t="str">
        <f>"4170047566                    "</f>
        <v xml:space="preserve">4170047566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22.6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0.3</v>
      </c>
      <c r="BK965">
        <v>1</v>
      </c>
      <c r="BL965">
        <v>71.2</v>
      </c>
      <c r="BM965">
        <v>10.68</v>
      </c>
      <c r="BN965">
        <v>81.88</v>
      </c>
      <c r="BO965">
        <v>81.88</v>
      </c>
      <c r="BQ965" t="s">
        <v>292</v>
      </c>
      <c r="BR965" t="s">
        <v>84</v>
      </c>
      <c r="BS965" s="3">
        <v>45848</v>
      </c>
      <c r="BT965" s="4">
        <v>0.32361111111111113</v>
      </c>
      <c r="BU965" t="s">
        <v>971</v>
      </c>
      <c r="BV965" t="s">
        <v>98</v>
      </c>
      <c r="BY965">
        <v>1350</v>
      </c>
      <c r="BZ965" t="s">
        <v>89</v>
      </c>
      <c r="CA965" t="s">
        <v>294</v>
      </c>
      <c r="CC965" t="s">
        <v>93</v>
      </c>
      <c r="CD965">
        <v>4051</v>
      </c>
      <c r="CE965" t="s">
        <v>239</v>
      </c>
      <c r="CF965" s="3">
        <v>45848</v>
      </c>
      <c r="CI965">
        <v>1</v>
      </c>
      <c r="CJ965">
        <v>1</v>
      </c>
      <c r="CK965">
        <v>21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"080066448930"</f>
        <v>080066448930</v>
      </c>
      <c r="F966" s="3">
        <v>45847</v>
      </c>
      <c r="G966">
        <v>202604</v>
      </c>
      <c r="H966" t="s">
        <v>75</v>
      </c>
      <c r="I966" t="s">
        <v>76</v>
      </c>
      <c r="J966" t="s">
        <v>77</v>
      </c>
      <c r="K966" t="s">
        <v>78</v>
      </c>
      <c r="L966" t="s">
        <v>151</v>
      </c>
      <c r="M966" t="s">
        <v>152</v>
      </c>
      <c r="N966" t="s">
        <v>510</v>
      </c>
      <c r="O966" t="s">
        <v>82</v>
      </c>
      <c r="P966" t="str">
        <f>"4170047612                    "</f>
        <v xml:space="preserve">4170047612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22.6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0.3</v>
      </c>
      <c r="BK966">
        <v>1</v>
      </c>
      <c r="BL966">
        <v>71.2</v>
      </c>
      <c r="BM966">
        <v>10.68</v>
      </c>
      <c r="BN966">
        <v>81.88</v>
      </c>
      <c r="BO966">
        <v>81.88</v>
      </c>
      <c r="BQ966" t="s">
        <v>511</v>
      </c>
      <c r="BR966" t="s">
        <v>84</v>
      </c>
      <c r="BS966" s="3">
        <v>45848</v>
      </c>
      <c r="BT966" s="4">
        <v>0.35902777777777778</v>
      </c>
      <c r="BU966" t="s">
        <v>1702</v>
      </c>
      <c r="BV966" t="s">
        <v>98</v>
      </c>
      <c r="BY966">
        <v>1350</v>
      </c>
      <c r="BZ966" t="s">
        <v>89</v>
      </c>
      <c r="CA966" t="s">
        <v>513</v>
      </c>
      <c r="CC966" t="s">
        <v>152</v>
      </c>
      <c r="CD966" s="5" t="s">
        <v>389</v>
      </c>
      <c r="CE966" t="s">
        <v>239</v>
      </c>
      <c r="CF966" s="3">
        <v>45848</v>
      </c>
      <c r="CI966">
        <v>1</v>
      </c>
      <c r="CJ966">
        <v>1</v>
      </c>
      <c r="CK966">
        <v>21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"080066448968"</f>
        <v>080066448968</v>
      </c>
      <c r="F967" s="3">
        <v>45847</v>
      </c>
      <c r="G967">
        <v>202604</v>
      </c>
      <c r="H967" t="s">
        <v>75</v>
      </c>
      <c r="I967" t="s">
        <v>76</v>
      </c>
      <c r="J967" t="s">
        <v>77</v>
      </c>
      <c r="K967" t="s">
        <v>78</v>
      </c>
      <c r="L967" t="s">
        <v>503</v>
      </c>
      <c r="M967" t="s">
        <v>504</v>
      </c>
      <c r="N967" t="s">
        <v>505</v>
      </c>
      <c r="O967" t="s">
        <v>82</v>
      </c>
      <c r="P967" t="str">
        <f>"4170047565                    "</f>
        <v xml:space="preserve">4170047565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43.78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137.94</v>
      </c>
      <c r="BM967">
        <v>20.69</v>
      </c>
      <c r="BN967">
        <v>158.63</v>
      </c>
      <c r="BO967">
        <v>158.63</v>
      </c>
      <c r="BQ967" t="s">
        <v>506</v>
      </c>
      <c r="BR967" t="s">
        <v>84</v>
      </c>
      <c r="BS967" s="3">
        <v>45848</v>
      </c>
      <c r="BT967" s="4">
        <v>0.41597222222222224</v>
      </c>
      <c r="BU967" t="s">
        <v>1235</v>
      </c>
      <c r="BV967" t="s">
        <v>98</v>
      </c>
      <c r="BY967">
        <v>1200</v>
      </c>
      <c r="BZ967" t="s">
        <v>89</v>
      </c>
      <c r="CA967" t="s">
        <v>508</v>
      </c>
      <c r="CC967" t="s">
        <v>504</v>
      </c>
      <c r="CD967">
        <v>7130</v>
      </c>
      <c r="CE967" t="s">
        <v>239</v>
      </c>
      <c r="CF967" s="3">
        <v>45849</v>
      </c>
      <c r="CI967">
        <v>1</v>
      </c>
      <c r="CJ967">
        <v>1</v>
      </c>
      <c r="CK967">
        <v>23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"080066448977"</f>
        <v>080066448977</v>
      </c>
      <c r="F968" s="3">
        <v>45847</v>
      </c>
      <c r="G968">
        <v>202604</v>
      </c>
      <c r="H968" t="s">
        <v>75</v>
      </c>
      <c r="I968" t="s">
        <v>76</v>
      </c>
      <c r="J968" t="s">
        <v>77</v>
      </c>
      <c r="K968" t="s">
        <v>78</v>
      </c>
      <c r="L968" t="s">
        <v>168</v>
      </c>
      <c r="M968" t="s">
        <v>169</v>
      </c>
      <c r="N968" t="s">
        <v>412</v>
      </c>
      <c r="O968" t="s">
        <v>82</v>
      </c>
      <c r="P968" t="str">
        <f>"4170047547                    "</f>
        <v xml:space="preserve">4170047547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22.6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0.3</v>
      </c>
      <c r="BK968">
        <v>1</v>
      </c>
      <c r="BL968">
        <v>71.2</v>
      </c>
      <c r="BM968">
        <v>10.68</v>
      </c>
      <c r="BN968">
        <v>81.88</v>
      </c>
      <c r="BO968">
        <v>81.88</v>
      </c>
      <c r="BQ968" t="s">
        <v>413</v>
      </c>
      <c r="BR968" t="s">
        <v>84</v>
      </c>
      <c r="BS968" s="3">
        <v>45848</v>
      </c>
      <c r="BT968" s="4">
        <v>0.38263888888888886</v>
      </c>
      <c r="BU968" t="s">
        <v>470</v>
      </c>
      <c r="BV968" t="s">
        <v>98</v>
      </c>
      <c r="BY968">
        <v>1350</v>
      </c>
      <c r="BZ968" t="s">
        <v>89</v>
      </c>
      <c r="CA968" t="s">
        <v>415</v>
      </c>
      <c r="CC968" t="s">
        <v>169</v>
      </c>
      <c r="CD968">
        <v>6001</v>
      </c>
      <c r="CE968" t="s">
        <v>239</v>
      </c>
      <c r="CF968" s="3">
        <v>45848</v>
      </c>
      <c r="CI968">
        <v>1</v>
      </c>
      <c r="CJ968">
        <v>1</v>
      </c>
      <c r="CK968">
        <v>21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"080066449017"</f>
        <v>080066449017</v>
      </c>
      <c r="F969" s="3">
        <v>45847</v>
      </c>
      <c r="G969">
        <v>202604</v>
      </c>
      <c r="H969" t="s">
        <v>75</v>
      </c>
      <c r="I969" t="s">
        <v>76</v>
      </c>
      <c r="J969" t="s">
        <v>77</v>
      </c>
      <c r="K969" t="s">
        <v>78</v>
      </c>
      <c r="L969" t="s">
        <v>240</v>
      </c>
      <c r="M969" t="s">
        <v>241</v>
      </c>
      <c r="N969" t="s">
        <v>1703</v>
      </c>
      <c r="O969" t="s">
        <v>82</v>
      </c>
      <c r="P969" t="str">
        <f>"4170047572                    "</f>
        <v xml:space="preserve">4170047572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22.6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16.739999999999998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87.94</v>
      </c>
      <c r="BM969">
        <v>13.19</v>
      </c>
      <c r="BN969">
        <v>101.13</v>
      </c>
      <c r="BO969">
        <v>101.13</v>
      </c>
      <c r="BQ969" t="s">
        <v>1704</v>
      </c>
      <c r="BR969" t="s">
        <v>84</v>
      </c>
      <c r="BS969" s="3">
        <v>45848</v>
      </c>
      <c r="BT969" s="4">
        <v>0.49375000000000002</v>
      </c>
      <c r="BU969" t="s">
        <v>1705</v>
      </c>
      <c r="BV969" t="s">
        <v>98</v>
      </c>
      <c r="BY969">
        <v>1200</v>
      </c>
      <c r="BZ969" t="s">
        <v>460</v>
      </c>
      <c r="CA969" t="s">
        <v>1706</v>
      </c>
      <c r="CC969" t="s">
        <v>241</v>
      </c>
      <c r="CD969">
        <v>1821</v>
      </c>
      <c r="CE969" t="s">
        <v>239</v>
      </c>
      <c r="CF969" s="3">
        <v>45849</v>
      </c>
      <c r="CI969">
        <v>0</v>
      </c>
      <c r="CJ969">
        <v>0</v>
      </c>
      <c r="CK969">
        <v>21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"080066449026"</f>
        <v>080066449026</v>
      </c>
      <c r="F970" s="3">
        <v>45847</v>
      </c>
      <c r="G970">
        <v>202604</v>
      </c>
      <c r="H970" t="s">
        <v>75</v>
      </c>
      <c r="I970" t="s">
        <v>76</v>
      </c>
      <c r="J970" t="s">
        <v>77</v>
      </c>
      <c r="K970" t="s">
        <v>78</v>
      </c>
      <c r="L970" t="s">
        <v>79</v>
      </c>
      <c r="M970" t="s">
        <v>80</v>
      </c>
      <c r="N970" t="s">
        <v>492</v>
      </c>
      <c r="O970" t="s">
        <v>82</v>
      </c>
      <c r="P970" t="str">
        <f>"4170047594                    "</f>
        <v xml:space="preserve">4170047594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22.6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0.3</v>
      </c>
      <c r="BK970">
        <v>1</v>
      </c>
      <c r="BL970">
        <v>71.2</v>
      </c>
      <c r="BM970">
        <v>10.68</v>
      </c>
      <c r="BN970">
        <v>81.88</v>
      </c>
      <c r="BO970">
        <v>81.88</v>
      </c>
      <c r="BQ970" t="s">
        <v>493</v>
      </c>
      <c r="BR970" t="s">
        <v>84</v>
      </c>
      <c r="BS970" s="3">
        <v>45848</v>
      </c>
      <c r="BT970" s="4">
        <v>0.42708333333333331</v>
      </c>
      <c r="BU970" t="s">
        <v>494</v>
      </c>
      <c r="BV970" t="s">
        <v>98</v>
      </c>
      <c r="BY970">
        <v>1350</v>
      </c>
      <c r="BZ970" t="s">
        <v>89</v>
      </c>
      <c r="CA970" t="s">
        <v>495</v>
      </c>
      <c r="CC970" t="s">
        <v>80</v>
      </c>
      <c r="CD970">
        <v>7800</v>
      </c>
      <c r="CE970" t="s">
        <v>239</v>
      </c>
      <c r="CF970" s="3">
        <v>45849</v>
      </c>
      <c r="CI970">
        <v>1</v>
      </c>
      <c r="CJ970">
        <v>1</v>
      </c>
      <c r="CK970">
        <v>21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"080066449035"</f>
        <v>080066449035</v>
      </c>
      <c r="F971" s="3">
        <v>45847</v>
      </c>
      <c r="G971">
        <v>202604</v>
      </c>
      <c r="H971" t="s">
        <v>75</v>
      </c>
      <c r="I971" t="s">
        <v>76</v>
      </c>
      <c r="J971" t="s">
        <v>77</v>
      </c>
      <c r="K971" t="s">
        <v>78</v>
      </c>
      <c r="L971" t="s">
        <v>221</v>
      </c>
      <c r="M971" t="s">
        <v>222</v>
      </c>
      <c r="N971" t="s">
        <v>223</v>
      </c>
      <c r="O971" t="s">
        <v>82</v>
      </c>
      <c r="P971" t="str">
        <f>"4170047582                    "</f>
        <v xml:space="preserve">4170047582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43.78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16.739999999999998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154.68</v>
      </c>
      <c r="BM971">
        <v>23.2</v>
      </c>
      <c r="BN971">
        <v>177.88</v>
      </c>
      <c r="BO971">
        <v>177.88</v>
      </c>
      <c r="BQ971" t="s">
        <v>224</v>
      </c>
      <c r="BR971" t="s">
        <v>84</v>
      </c>
      <c r="BS971" s="3">
        <v>45848</v>
      </c>
      <c r="BT971" s="4">
        <v>0.35416666666666669</v>
      </c>
      <c r="BU971" t="s">
        <v>1707</v>
      </c>
      <c r="BV971" t="s">
        <v>98</v>
      </c>
      <c r="BY971">
        <v>1200</v>
      </c>
      <c r="BZ971" t="s">
        <v>460</v>
      </c>
      <c r="CC971" t="s">
        <v>222</v>
      </c>
      <c r="CD971">
        <v>2716</v>
      </c>
      <c r="CE971" t="s">
        <v>239</v>
      </c>
      <c r="CF971" s="3">
        <v>45849</v>
      </c>
      <c r="CI971">
        <v>5</v>
      </c>
      <c r="CJ971">
        <v>1</v>
      </c>
      <c r="CK971">
        <v>23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"080066449040"</f>
        <v>080066449040</v>
      </c>
      <c r="F972" s="3">
        <v>45847</v>
      </c>
      <c r="G972">
        <v>202604</v>
      </c>
      <c r="H972" t="s">
        <v>75</v>
      </c>
      <c r="I972" t="s">
        <v>76</v>
      </c>
      <c r="J972" t="s">
        <v>77</v>
      </c>
      <c r="K972" t="s">
        <v>78</v>
      </c>
      <c r="L972" t="s">
        <v>79</v>
      </c>
      <c r="M972" t="s">
        <v>80</v>
      </c>
      <c r="N972" t="s">
        <v>376</v>
      </c>
      <c r="O972" t="s">
        <v>82</v>
      </c>
      <c r="P972" t="str">
        <f>"4170047602                    "</f>
        <v xml:space="preserve">4170047602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22.6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0.3</v>
      </c>
      <c r="BK972">
        <v>1</v>
      </c>
      <c r="BL972">
        <v>71.2</v>
      </c>
      <c r="BM972">
        <v>10.68</v>
      </c>
      <c r="BN972">
        <v>81.88</v>
      </c>
      <c r="BO972">
        <v>81.88</v>
      </c>
      <c r="BQ972" t="s">
        <v>377</v>
      </c>
      <c r="BR972" t="s">
        <v>84</v>
      </c>
      <c r="BS972" s="3">
        <v>45848</v>
      </c>
      <c r="BT972" s="4">
        <v>0.40555555555555556</v>
      </c>
      <c r="BU972" t="s">
        <v>1708</v>
      </c>
      <c r="BV972" t="s">
        <v>98</v>
      </c>
      <c r="BY972">
        <v>1350</v>
      </c>
      <c r="BZ972" t="s">
        <v>89</v>
      </c>
      <c r="CC972" t="s">
        <v>80</v>
      </c>
      <c r="CD972">
        <v>8001</v>
      </c>
      <c r="CE972" t="s">
        <v>239</v>
      </c>
      <c r="CF972" s="3">
        <v>45849</v>
      </c>
      <c r="CI972">
        <v>1</v>
      </c>
      <c r="CJ972">
        <v>1</v>
      </c>
      <c r="CK972">
        <v>21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"080066449076"</f>
        <v>080066449076</v>
      </c>
      <c r="F973" s="3">
        <v>45847</v>
      </c>
      <c r="G973">
        <v>202604</v>
      </c>
      <c r="H973" t="s">
        <v>75</v>
      </c>
      <c r="I973" t="s">
        <v>76</v>
      </c>
      <c r="J973" t="s">
        <v>77</v>
      </c>
      <c r="K973" t="s">
        <v>78</v>
      </c>
      <c r="L973" t="s">
        <v>102</v>
      </c>
      <c r="M973" t="s">
        <v>103</v>
      </c>
      <c r="N973" t="s">
        <v>1643</v>
      </c>
      <c r="O973" t="s">
        <v>82</v>
      </c>
      <c r="P973" t="str">
        <f>"4170047614                    "</f>
        <v xml:space="preserve">4170047614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31.78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100.13</v>
      </c>
      <c r="BM973">
        <v>15.02</v>
      </c>
      <c r="BN973">
        <v>115.15</v>
      </c>
      <c r="BO973">
        <v>115.15</v>
      </c>
      <c r="BQ973" t="s">
        <v>1644</v>
      </c>
      <c r="BR973" t="s">
        <v>84</v>
      </c>
      <c r="BS973" s="3">
        <v>45848</v>
      </c>
      <c r="BT973" s="4">
        <v>0.34722222222222221</v>
      </c>
      <c r="BU973" t="s">
        <v>1709</v>
      </c>
      <c r="BV973" t="s">
        <v>98</v>
      </c>
      <c r="BY973">
        <v>1240</v>
      </c>
      <c r="BZ973" t="s">
        <v>89</v>
      </c>
      <c r="CA973" t="s">
        <v>109</v>
      </c>
      <c r="CC973" t="s">
        <v>103</v>
      </c>
      <c r="CD973">
        <v>1748</v>
      </c>
      <c r="CE973" t="s">
        <v>239</v>
      </c>
      <c r="CF973" s="3">
        <v>45853</v>
      </c>
      <c r="CI973">
        <v>1</v>
      </c>
      <c r="CJ973">
        <v>1</v>
      </c>
      <c r="CK973">
        <v>24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"080066449079"</f>
        <v>080066449079</v>
      </c>
      <c r="F974" s="3">
        <v>45847</v>
      </c>
      <c r="G974">
        <v>202604</v>
      </c>
      <c r="H974" t="s">
        <v>75</v>
      </c>
      <c r="I974" t="s">
        <v>76</v>
      </c>
      <c r="J974" t="s">
        <v>77</v>
      </c>
      <c r="K974" t="s">
        <v>78</v>
      </c>
      <c r="L974" t="s">
        <v>79</v>
      </c>
      <c r="M974" t="s">
        <v>80</v>
      </c>
      <c r="N974" t="s">
        <v>141</v>
      </c>
      <c r="O974" t="s">
        <v>82</v>
      </c>
      <c r="P974" t="str">
        <f>"4170047501                    "</f>
        <v xml:space="preserve">4170047501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22.6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0.3</v>
      </c>
      <c r="BK974">
        <v>1</v>
      </c>
      <c r="BL974">
        <v>71.2</v>
      </c>
      <c r="BM974">
        <v>10.68</v>
      </c>
      <c r="BN974">
        <v>81.88</v>
      </c>
      <c r="BO974">
        <v>81.88</v>
      </c>
      <c r="BQ974" t="s">
        <v>142</v>
      </c>
      <c r="BR974" t="s">
        <v>84</v>
      </c>
      <c r="BS974" s="3">
        <v>45848</v>
      </c>
      <c r="BT974" s="4">
        <v>0.39930555555555558</v>
      </c>
      <c r="BU974" t="s">
        <v>143</v>
      </c>
      <c r="BV974" t="s">
        <v>98</v>
      </c>
      <c r="BY974">
        <v>1350</v>
      </c>
      <c r="BZ974" t="s">
        <v>89</v>
      </c>
      <c r="CA974" t="s">
        <v>144</v>
      </c>
      <c r="CC974" t="s">
        <v>80</v>
      </c>
      <c r="CD974">
        <v>7441</v>
      </c>
      <c r="CE974" t="s">
        <v>239</v>
      </c>
      <c r="CF974" s="3">
        <v>45849</v>
      </c>
      <c r="CI974">
        <v>1</v>
      </c>
      <c r="CJ974">
        <v>1</v>
      </c>
      <c r="CK974">
        <v>21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"080066449113"</f>
        <v>080066449113</v>
      </c>
      <c r="F975" s="3">
        <v>45847</v>
      </c>
      <c r="G975">
        <v>202604</v>
      </c>
      <c r="H975" t="s">
        <v>75</v>
      </c>
      <c r="I975" t="s">
        <v>76</v>
      </c>
      <c r="J975" t="s">
        <v>77</v>
      </c>
      <c r="K975" t="s">
        <v>78</v>
      </c>
      <c r="L975" t="s">
        <v>305</v>
      </c>
      <c r="M975" t="s">
        <v>306</v>
      </c>
      <c r="N975" t="s">
        <v>572</v>
      </c>
      <c r="O975" t="s">
        <v>82</v>
      </c>
      <c r="P975" t="str">
        <f>"4170047564                    "</f>
        <v xml:space="preserve">4170047564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22.6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71.2</v>
      </c>
      <c r="BM975">
        <v>10.68</v>
      </c>
      <c r="BN975">
        <v>81.88</v>
      </c>
      <c r="BO975">
        <v>81.88</v>
      </c>
      <c r="BQ975" t="s">
        <v>573</v>
      </c>
      <c r="BR975" t="s">
        <v>84</v>
      </c>
      <c r="BS975" s="3">
        <v>45848</v>
      </c>
      <c r="BT975" s="4">
        <v>0.47499999999999998</v>
      </c>
      <c r="BU975" t="s">
        <v>574</v>
      </c>
      <c r="BV975" t="s">
        <v>98</v>
      </c>
      <c r="BY975">
        <v>1200</v>
      </c>
      <c r="BZ975" t="s">
        <v>89</v>
      </c>
      <c r="CA975" t="s">
        <v>575</v>
      </c>
      <c r="CC975" t="s">
        <v>306</v>
      </c>
      <c r="CD975">
        <v>5201</v>
      </c>
      <c r="CE975" t="s">
        <v>239</v>
      </c>
      <c r="CF975" s="3">
        <v>45848</v>
      </c>
      <c r="CI975">
        <v>5</v>
      </c>
      <c r="CJ975">
        <v>1</v>
      </c>
      <c r="CK975">
        <v>21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"080066449114"</f>
        <v>080066449114</v>
      </c>
      <c r="F976" s="3">
        <v>45847</v>
      </c>
      <c r="G976">
        <v>202604</v>
      </c>
      <c r="H976" t="s">
        <v>75</v>
      </c>
      <c r="I976" t="s">
        <v>76</v>
      </c>
      <c r="J976" t="s">
        <v>77</v>
      </c>
      <c r="K976" t="s">
        <v>78</v>
      </c>
      <c r="L976" t="s">
        <v>452</v>
      </c>
      <c r="M976" t="s">
        <v>453</v>
      </c>
      <c r="N976" t="s">
        <v>1192</v>
      </c>
      <c r="O976" t="s">
        <v>82</v>
      </c>
      <c r="P976" t="str">
        <f>"4170047628                    "</f>
        <v xml:space="preserve">4170047628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17.649999999999999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0.3</v>
      </c>
      <c r="BK976">
        <v>1</v>
      </c>
      <c r="BL976">
        <v>55.61</v>
      </c>
      <c r="BM976">
        <v>8.34</v>
      </c>
      <c r="BN976">
        <v>63.95</v>
      </c>
      <c r="BO976">
        <v>63.95</v>
      </c>
      <c r="BQ976" t="s">
        <v>1193</v>
      </c>
      <c r="BR976" t="s">
        <v>84</v>
      </c>
      <c r="BS976" s="3">
        <v>45848</v>
      </c>
      <c r="BT976" s="4">
        <v>0.42708333333333331</v>
      </c>
      <c r="BU976" t="s">
        <v>1710</v>
      </c>
      <c r="BV976" t="s">
        <v>98</v>
      </c>
      <c r="BY976">
        <v>1350</v>
      </c>
      <c r="BZ976" t="s">
        <v>89</v>
      </c>
      <c r="CA976" t="s">
        <v>1541</v>
      </c>
      <c r="CC976" t="s">
        <v>453</v>
      </c>
      <c r="CD976">
        <v>1559</v>
      </c>
      <c r="CE976" t="s">
        <v>239</v>
      </c>
      <c r="CF976" s="3">
        <v>45849</v>
      </c>
      <c r="CI976">
        <v>1</v>
      </c>
      <c r="CJ976">
        <v>1</v>
      </c>
      <c r="CK976">
        <v>22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"080066449127"</f>
        <v>080066449127</v>
      </c>
      <c r="F977" s="3">
        <v>45847</v>
      </c>
      <c r="G977">
        <v>202604</v>
      </c>
      <c r="H977" t="s">
        <v>75</v>
      </c>
      <c r="I977" t="s">
        <v>76</v>
      </c>
      <c r="J977" t="s">
        <v>77</v>
      </c>
      <c r="K977" t="s">
        <v>78</v>
      </c>
      <c r="L977" t="s">
        <v>135</v>
      </c>
      <c r="M977" t="s">
        <v>136</v>
      </c>
      <c r="N977" t="s">
        <v>416</v>
      </c>
      <c r="O977" t="s">
        <v>82</v>
      </c>
      <c r="P977" t="str">
        <f>"4170047500                    "</f>
        <v xml:space="preserve">4170047500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22.6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71.2</v>
      </c>
      <c r="BM977">
        <v>10.68</v>
      </c>
      <c r="BN977">
        <v>81.88</v>
      </c>
      <c r="BO977">
        <v>81.88</v>
      </c>
      <c r="BQ977" t="s">
        <v>417</v>
      </c>
      <c r="BR977" t="s">
        <v>84</v>
      </c>
      <c r="BS977" s="3">
        <v>45848</v>
      </c>
      <c r="BT977" s="4">
        <v>0.41666666666666669</v>
      </c>
      <c r="BU977" t="s">
        <v>1711</v>
      </c>
      <c r="BV977" t="s">
        <v>98</v>
      </c>
      <c r="BY977">
        <v>1200</v>
      </c>
      <c r="BZ977" t="s">
        <v>89</v>
      </c>
      <c r="CC977" t="s">
        <v>136</v>
      </c>
      <c r="CD977">
        <v>3201</v>
      </c>
      <c r="CE977" t="s">
        <v>239</v>
      </c>
      <c r="CF977" s="3">
        <v>45849</v>
      </c>
      <c r="CI977">
        <v>1</v>
      </c>
      <c r="CJ977">
        <v>1</v>
      </c>
      <c r="CK977">
        <v>21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"080066449191"</f>
        <v>080066449191</v>
      </c>
      <c r="F978" s="3">
        <v>45847</v>
      </c>
      <c r="G978">
        <v>202604</v>
      </c>
      <c r="H978" t="s">
        <v>75</v>
      </c>
      <c r="I978" t="s">
        <v>76</v>
      </c>
      <c r="J978" t="s">
        <v>77</v>
      </c>
      <c r="K978" t="s">
        <v>78</v>
      </c>
      <c r="L978" t="s">
        <v>92</v>
      </c>
      <c r="M978" t="s">
        <v>93</v>
      </c>
      <c r="N978" t="s">
        <v>291</v>
      </c>
      <c r="O978" t="s">
        <v>82</v>
      </c>
      <c r="P978" t="str">
        <f>"4170047538                    "</f>
        <v xml:space="preserve">4170047538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22.6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71.2</v>
      </c>
      <c r="BM978">
        <v>10.68</v>
      </c>
      <c r="BN978">
        <v>81.88</v>
      </c>
      <c r="BO978">
        <v>81.88</v>
      </c>
      <c r="BQ978" t="s">
        <v>292</v>
      </c>
      <c r="BR978" t="s">
        <v>84</v>
      </c>
      <c r="BS978" s="3">
        <v>45848</v>
      </c>
      <c r="BT978" s="4">
        <v>0.32361111111111113</v>
      </c>
      <c r="BU978" t="s">
        <v>971</v>
      </c>
      <c r="BV978" t="s">
        <v>98</v>
      </c>
      <c r="BY978">
        <v>1200</v>
      </c>
      <c r="BZ978" t="s">
        <v>89</v>
      </c>
      <c r="CA978" t="s">
        <v>294</v>
      </c>
      <c r="CC978" t="s">
        <v>93</v>
      </c>
      <c r="CD978">
        <v>4051</v>
      </c>
      <c r="CE978" t="s">
        <v>239</v>
      </c>
      <c r="CF978" s="3">
        <v>45848</v>
      </c>
      <c r="CI978">
        <v>1</v>
      </c>
      <c r="CJ978">
        <v>1</v>
      </c>
      <c r="CK978">
        <v>21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"080066449207"</f>
        <v>080066449207</v>
      </c>
      <c r="F979" s="3">
        <v>45847</v>
      </c>
      <c r="G979">
        <v>202604</v>
      </c>
      <c r="H979" t="s">
        <v>75</v>
      </c>
      <c r="I979" t="s">
        <v>76</v>
      </c>
      <c r="J979" t="s">
        <v>77</v>
      </c>
      <c r="K979" t="s">
        <v>78</v>
      </c>
      <c r="L979" t="s">
        <v>295</v>
      </c>
      <c r="M979" t="s">
        <v>296</v>
      </c>
      <c r="N979" t="s">
        <v>1262</v>
      </c>
      <c r="O979" t="s">
        <v>82</v>
      </c>
      <c r="P979" t="str">
        <f>"4170047551                    "</f>
        <v xml:space="preserve">4170047551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17.649999999999999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0.3</v>
      </c>
      <c r="BK979">
        <v>1</v>
      </c>
      <c r="BL979">
        <v>55.61</v>
      </c>
      <c r="BM979">
        <v>8.34</v>
      </c>
      <c r="BN979">
        <v>63.95</v>
      </c>
      <c r="BO979">
        <v>63.95</v>
      </c>
      <c r="BQ979" t="s">
        <v>1263</v>
      </c>
      <c r="BR979" t="s">
        <v>84</v>
      </c>
      <c r="BS979" s="3">
        <v>45848</v>
      </c>
      <c r="BT979" s="4">
        <v>0.40625</v>
      </c>
      <c r="BU979" t="s">
        <v>1712</v>
      </c>
      <c r="BV979" t="s">
        <v>98</v>
      </c>
      <c r="BY979">
        <v>1350</v>
      </c>
      <c r="BZ979" t="s">
        <v>89</v>
      </c>
      <c r="CA979" t="s">
        <v>1613</v>
      </c>
      <c r="CC979" t="s">
        <v>296</v>
      </c>
      <c r="CD979">
        <v>1459</v>
      </c>
      <c r="CE979" t="s">
        <v>239</v>
      </c>
      <c r="CF979" s="3">
        <v>45849</v>
      </c>
      <c r="CI979">
        <v>1</v>
      </c>
      <c r="CJ979">
        <v>1</v>
      </c>
      <c r="CK979">
        <v>22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"080066449241"</f>
        <v>080066449241</v>
      </c>
      <c r="F980" s="3">
        <v>45847</v>
      </c>
      <c r="G980">
        <v>202604</v>
      </c>
      <c r="H980" t="s">
        <v>75</v>
      </c>
      <c r="I980" t="s">
        <v>76</v>
      </c>
      <c r="J980" t="s">
        <v>77</v>
      </c>
      <c r="K980" t="s">
        <v>78</v>
      </c>
      <c r="L980" t="s">
        <v>168</v>
      </c>
      <c r="M980" t="s">
        <v>169</v>
      </c>
      <c r="N980" t="s">
        <v>202</v>
      </c>
      <c r="O980" t="s">
        <v>82</v>
      </c>
      <c r="P980" t="str">
        <f>"4170047542                    "</f>
        <v xml:space="preserve">4170047542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22.6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0.9</v>
      </c>
      <c r="BK980">
        <v>2</v>
      </c>
      <c r="BL980">
        <v>71.2</v>
      </c>
      <c r="BM980">
        <v>10.68</v>
      </c>
      <c r="BN980">
        <v>81.88</v>
      </c>
      <c r="BO980">
        <v>81.88</v>
      </c>
      <c r="BQ980" t="s">
        <v>203</v>
      </c>
      <c r="BR980" t="s">
        <v>84</v>
      </c>
      <c r="BS980" s="3">
        <v>45848</v>
      </c>
      <c r="BT980" s="4">
        <v>0.37708333333333333</v>
      </c>
      <c r="BU980" t="s">
        <v>1713</v>
      </c>
      <c r="BV980" t="s">
        <v>98</v>
      </c>
      <c r="BY980">
        <v>4275</v>
      </c>
      <c r="BZ980" t="s">
        <v>89</v>
      </c>
      <c r="CA980" t="s">
        <v>205</v>
      </c>
      <c r="CC980" t="s">
        <v>169</v>
      </c>
      <c r="CD980">
        <v>6001</v>
      </c>
      <c r="CE980" t="s">
        <v>266</v>
      </c>
      <c r="CF980" s="3">
        <v>45848</v>
      </c>
      <c r="CI980">
        <v>1</v>
      </c>
      <c r="CJ980">
        <v>1</v>
      </c>
      <c r="CK980">
        <v>21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"080066449254"</f>
        <v>080066449254</v>
      </c>
      <c r="F981" s="3">
        <v>45847</v>
      </c>
      <c r="G981">
        <v>202604</v>
      </c>
      <c r="H981" t="s">
        <v>75</v>
      </c>
      <c r="I981" t="s">
        <v>76</v>
      </c>
      <c r="J981" t="s">
        <v>77</v>
      </c>
      <c r="K981" t="s">
        <v>78</v>
      </c>
      <c r="L981" t="s">
        <v>92</v>
      </c>
      <c r="M981" t="s">
        <v>93</v>
      </c>
      <c r="N981" t="s">
        <v>1266</v>
      </c>
      <c r="O981" t="s">
        <v>82</v>
      </c>
      <c r="P981" t="str">
        <f>"4170047497                    "</f>
        <v xml:space="preserve">4170047497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141.15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9</v>
      </c>
      <c r="BJ981">
        <v>12.2</v>
      </c>
      <c r="BK981">
        <v>12.5</v>
      </c>
      <c r="BL981">
        <v>444.69</v>
      </c>
      <c r="BM981">
        <v>66.7</v>
      </c>
      <c r="BN981">
        <v>511.39</v>
      </c>
      <c r="BO981">
        <v>511.39</v>
      </c>
      <c r="BQ981" t="s">
        <v>1267</v>
      </c>
      <c r="BR981" t="s">
        <v>84</v>
      </c>
      <c r="BS981" s="3">
        <v>45848</v>
      </c>
      <c r="BT981" s="4">
        <v>0.4152777777777778</v>
      </c>
      <c r="BU981" t="s">
        <v>1714</v>
      </c>
      <c r="BV981" t="s">
        <v>98</v>
      </c>
      <c r="BY981">
        <v>60800</v>
      </c>
      <c r="BZ981" t="s">
        <v>89</v>
      </c>
      <c r="CA981" t="s">
        <v>100</v>
      </c>
      <c r="CC981" t="s">
        <v>93</v>
      </c>
      <c r="CD981">
        <v>4072</v>
      </c>
      <c r="CE981" t="s">
        <v>91</v>
      </c>
      <c r="CF981" s="3">
        <v>45848</v>
      </c>
      <c r="CI981">
        <v>1</v>
      </c>
      <c r="CJ981">
        <v>1</v>
      </c>
      <c r="CK981">
        <v>21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"080066449398"</f>
        <v>080066449398</v>
      </c>
      <c r="F982" s="3">
        <v>45847</v>
      </c>
      <c r="G982">
        <v>202604</v>
      </c>
      <c r="H982" t="s">
        <v>75</v>
      </c>
      <c r="I982" t="s">
        <v>76</v>
      </c>
      <c r="J982" t="s">
        <v>77</v>
      </c>
      <c r="K982" t="s">
        <v>78</v>
      </c>
      <c r="L982" t="s">
        <v>122</v>
      </c>
      <c r="M982" t="s">
        <v>123</v>
      </c>
      <c r="N982" t="s">
        <v>1715</v>
      </c>
      <c r="O982" t="s">
        <v>82</v>
      </c>
      <c r="P982" t="str">
        <f>"4170047534                    "</f>
        <v xml:space="preserve">4170047534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22.6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0.3</v>
      </c>
      <c r="BK982">
        <v>1</v>
      </c>
      <c r="BL982">
        <v>71.2</v>
      </c>
      <c r="BM982">
        <v>10.68</v>
      </c>
      <c r="BN982">
        <v>81.88</v>
      </c>
      <c r="BO982">
        <v>81.88</v>
      </c>
      <c r="BQ982" t="s">
        <v>1716</v>
      </c>
      <c r="BR982" t="s">
        <v>84</v>
      </c>
      <c r="BS982" s="3">
        <v>45848</v>
      </c>
      <c r="BT982" s="4">
        <v>0.57708333333333328</v>
      </c>
      <c r="BU982" t="s">
        <v>1717</v>
      </c>
      <c r="BV982" t="s">
        <v>86</v>
      </c>
      <c r="BW982" t="s">
        <v>194</v>
      </c>
      <c r="BX982" t="s">
        <v>739</v>
      </c>
      <c r="BY982">
        <v>1350</v>
      </c>
      <c r="BZ982" t="s">
        <v>89</v>
      </c>
      <c r="CA982" t="s">
        <v>922</v>
      </c>
      <c r="CC982" t="s">
        <v>123</v>
      </c>
      <c r="CD982">
        <v>3600</v>
      </c>
      <c r="CE982" t="s">
        <v>239</v>
      </c>
      <c r="CF982" s="3">
        <v>45848</v>
      </c>
      <c r="CI982">
        <v>1</v>
      </c>
      <c r="CJ982">
        <v>1</v>
      </c>
      <c r="CK982">
        <v>21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"080066449411"</f>
        <v>080066449411</v>
      </c>
      <c r="F983" s="3">
        <v>45847</v>
      </c>
      <c r="G983">
        <v>202604</v>
      </c>
      <c r="H983" t="s">
        <v>75</v>
      </c>
      <c r="I983" t="s">
        <v>76</v>
      </c>
      <c r="J983" t="s">
        <v>77</v>
      </c>
      <c r="K983" t="s">
        <v>78</v>
      </c>
      <c r="L983" t="s">
        <v>168</v>
      </c>
      <c r="M983" t="s">
        <v>169</v>
      </c>
      <c r="N983" t="s">
        <v>191</v>
      </c>
      <c r="O983" t="s">
        <v>82</v>
      </c>
      <c r="P983" t="str">
        <f>"4170047536                    "</f>
        <v xml:space="preserve">4170047536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22.6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0.3</v>
      </c>
      <c r="BK983">
        <v>1</v>
      </c>
      <c r="BL983">
        <v>71.2</v>
      </c>
      <c r="BM983">
        <v>10.68</v>
      </c>
      <c r="BN983">
        <v>81.88</v>
      </c>
      <c r="BO983">
        <v>81.88</v>
      </c>
      <c r="BQ983" t="s">
        <v>192</v>
      </c>
      <c r="BR983" t="s">
        <v>84</v>
      </c>
      <c r="BS983" s="3">
        <v>45848</v>
      </c>
      <c r="BT983" s="4">
        <v>0.42777777777777776</v>
      </c>
      <c r="BU983" t="s">
        <v>193</v>
      </c>
      <c r="BV983" t="s">
        <v>98</v>
      </c>
      <c r="BY983">
        <v>1350</v>
      </c>
      <c r="BZ983" t="s">
        <v>89</v>
      </c>
      <c r="CA983" t="s">
        <v>196</v>
      </c>
      <c r="CC983" t="s">
        <v>169</v>
      </c>
      <c r="CD983">
        <v>6056</v>
      </c>
      <c r="CE983" t="s">
        <v>239</v>
      </c>
      <c r="CF983" s="3">
        <v>45848</v>
      </c>
      <c r="CI983">
        <v>1</v>
      </c>
      <c r="CJ983">
        <v>1</v>
      </c>
      <c r="CK983">
        <v>21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"080066449444"</f>
        <v>080066449444</v>
      </c>
      <c r="F984" s="3">
        <v>45847</v>
      </c>
      <c r="G984">
        <v>202604</v>
      </c>
      <c r="H984" t="s">
        <v>75</v>
      </c>
      <c r="I984" t="s">
        <v>76</v>
      </c>
      <c r="J984" t="s">
        <v>77</v>
      </c>
      <c r="K984" t="s">
        <v>78</v>
      </c>
      <c r="L984" t="s">
        <v>168</v>
      </c>
      <c r="M984" t="s">
        <v>169</v>
      </c>
      <c r="N984" t="s">
        <v>206</v>
      </c>
      <c r="O984" t="s">
        <v>82</v>
      </c>
      <c r="P984" t="str">
        <f>"4170047509                    "</f>
        <v xml:space="preserve">4170047509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22.6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1.1000000000000001</v>
      </c>
      <c r="BK984">
        <v>1.5</v>
      </c>
      <c r="BL984">
        <v>71.2</v>
      </c>
      <c r="BM984">
        <v>10.68</v>
      </c>
      <c r="BN984">
        <v>81.88</v>
      </c>
      <c r="BO984">
        <v>81.88</v>
      </c>
      <c r="BQ984" t="s">
        <v>207</v>
      </c>
      <c r="BR984" t="s">
        <v>84</v>
      </c>
      <c r="BS984" s="3">
        <v>45848</v>
      </c>
      <c r="BT984" s="4">
        <v>0.40555555555555556</v>
      </c>
      <c r="BU984" t="s">
        <v>1483</v>
      </c>
      <c r="BV984" t="s">
        <v>98</v>
      </c>
      <c r="BY984">
        <v>5320</v>
      </c>
      <c r="BZ984" t="s">
        <v>89</v>
      </c>
      <c r="CA984" t="s">
        <v>196</v>
      </c>
      <c r="CC984" t="s">
        <v>169</v>
      </c>
      <c r="CD984">
        <v>6001</v>
      </c>
      <c r="CE984" t="s">
        <v>117</v>
      </c>
      <c r="CF984" s="3">
        <v>45848</v>
      </c>
      <c r="CI984">
        <v>1</v>
      </c>
      <c r="CJ984">
        <v>1</v>
      </c>
      <c r="CK984">
        <v>21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"080066449432"</f>
        <v>080066449432</v>
      </c>
      <c r="F985" s="3">
        <v>45847</v>
      </c>
      <c r="G985">
        <v>202604</v>
      </c>
      <c r="H985" t="s">
        <v>75</v>
      </c>
      <c r="I985" t="s">
        <v>76</v>
      </c>
      <c r="J985" t="s">
        <v>77</v>
      </c>
      <c r="K985" t="s">
        <v>78</v>
      </c>
      <c r="L985" t="s">
        <v>151</v>
      </c>
      <c r="M985" t="s">
        <v>152</v>
      </c>
      <c r="N985" t="s">
        <v>510</v>
      </c>
      <c r="O985" t="s">
        <v>82</v>
      </c>
      <c r="P985" t="str">
        <f>"4170047608                    "</f>
        <v xml:space="preserve">4170047608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22.6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0.3</v>
      </c>
      <c r="BK985">
        <v>1</v>
      </c>
      <c r="BL985">
        <v>71.2</v>
      </c>
      <c r="BM985">
        <v>10.68</v>
      </c>
      <c r="BN985">
        <v>81.88</v>
      </c>
      <c r="BO985">
        <v>81.88</v>
      </c>
      <c r="BQ985" t="s">
        <v>511</v>
      </c>
      <c r="BR985" t="s">
        <v>84</v>
      </c>
      <c r="BS985" s="3">
        <v>45848</v>
      </c>
      <c r="BT985" s="4">
        <v>0.35972222222222222</v>
      </c>
      <c r="BU985" t="s">
        <v>1702</v>
      </c>
      <c r="BV985" t="s">
        <v>98</v>
      </c>
      <c r="BY985">
        <v>1350</v>
      </c>
      <c r="BZ985" t="s">
        <v>89</v>
      </c>
      <c r="CA985" t="s">
        <v>513</v>
      </c>
      <c r="CC985" t="s">
        <v>152</v>
      </c>
      <c r="CD985" s="5" t="s">
        <v>389</v>
      </c>
      <c r="CE985" t="s">
        <v>239</v>
      </c>
      <c r="CF985" s="3">
        <v>45848</v>
      </c>
      <c r="CI985">
        <v>1</v>
      </c>
      <c r="CJ985">
        <v>1</v>
      </c>
      <c r="CK985">
        <v>21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"080066449453"</f>
        <v>080066449453</v>
      </c>
      <c r="F986" s="3">
        <v>45847</v>
      </c>
      <c r="G986">
        <v>202604</v>
      </c>
      <c r="H986" t="s">
        <v>75</v>
      </c>
      <c r="I986" t="s">
        <v>76</v>
      </c>
      <c r="J986" t="s">
        <v>77</v>
      </c>
      <c r="K986" t="s">
        <v>78</v>
      </c>
      <c r="L986" t="s">
        <v>151</v>
      </c>
      <c r="M986" t="s">
        <v>152</v>
      </c>
      <c r="N986" t="s">
        <v>510</v>
      </c>
      <c r="O986" t="s">
        <v>82</v>
      </c>
      <c r="P986" t="str">
        <f>"4170047610                    "</f>
        <v xml:space="preserve">4170047610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22.6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0.3</v>
      </c>
      <c r="BK986">
        <v>1</v>
      </c>
      <c r="BL986">
        <v>71.2</v>
      </c>
      <c r="BM986">
        <v>10.68</v>
      </c>
      <c r="BN986">
        <v>81.88</v>
      </c>
      <c r="BO986">
        <v>81.88</v>
      </c>
      <c r="BQ986" t="s">
        <v>511</v>
      </c>
      <c r="BR986" t="s">
        <v>84</v>
      </c>
      <c r="BS986" s="3">
        <v>45848</v>
      </c>
      <c r="BT986" s="4">
        <v>0.36319444444444443</v>
      </c>
      <c r="BU986" t="s">
        <v>1702</v>
      </c>
      <c r="BV986" t="s">
        <v>98</v>
      </c>
      <c r="BY986">
        <v>1350</v>
      </c>
      <c r="BZ986" t="s">
        <v>89</v>
      </c>
      <c r="CA986" t="s">
        <v>513</v>
      </c>
      <c r="CC986" t="s">
        <v>152</v>
      </c>
      <c r="CD986" s="5" t="s">
        <v>389</v>
      </c>
      <c r="CE986" t="s">
        <v>239</v>
      </c>
      <c r="CF986" s="3">
        <v>45848</v>
      </c>
      <c r="CI986">
        <v>1</v>
      </c>
      <c r="CJ986">
        <v>1</v>
      </c>
      <c r="CK986">
        <v>21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"080066449465"</f>
        <v>080066449465</v>
      </c>
      <c r="F987" s="3">
        <v>45847</v>
      </c>
      <c r="G987">
        <v>202604</v>
      </c>
      <c r="H987" t="s">
        <v>75</v>
      </c>
      <c r="I987" t="s">
        <v>76</v>
      </c>
      <c r="J987" t="s">
        <v>77</v>
      </c>
      <c r="K987" t="s">
        <v>78</v>
      </c>
      <c r="L987" t="s">
        <v>75</v>
      </c>
      <c r="M987" t="s">
        <v>76</v>
      </c>
      <c r="N987" t="s">
        <v>1158</v>
      </c>
      <c r="O987" t="s">
        <v>82</v>
      </c>
      <c r="P987" t="str">
        <f>"4170047532                    "</f>
        <v xml:space="preserve">4170047532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17.649999999999999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0.3</v>
      </c>
      <c r="BK987">
        <v>1</v>
      </c>
      <c r="BL987">
        <v>55.61</v>
      </c>
      <c r="BM987">
        <v>8.34</v>
      </c>
      <c r="BN987">
        <v>63.95</v>
      </c>
      <c r="BO987">
        <v>63.95</v>
      </c>
      <c r="BQ987" t="s">
        <v>1159</v>
      </c>
      <c r="BR987" t="s">
        <v>84</v>
      </c>
      <c r="BS987" s="3">
        <v>45848</v>
      </c>
      <c r="BT987" s="4">
        <v>0.42916666666666664</v>
      </c>
      <c r="BU987" t="s">
        <v>1718</v>
      </c>
      <c r="BV987" t="s">
        <v>98</v>
      </c>
      <c r="BY987">
        <v>1350</v>
      </c>
      <c r="BZ987" t="s">
        <v>89</v>
      </c>
      <c r="CA987" t="s">
        <v>304</v>
      </c>
      <c r="CC987" t="s">
        <v>76</v>
      </c>
      <c r="CD987">
        <v>1619</v>
      </c>
      <c r="CE987" t="s">
        <v>239</v>
      </c>
      <c r="CF987" s="3">
        <v>45848</v>
      </c>
      <c r="CI987">
        <v>1</v>
      </c>
      <c r="CJ987">
        <v>1</v>
      </c>
      <c r="CK987">
        <v>22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"080066449464"</f>
        <v>080066449464</v>
      </c>
      <c r="F988" s="3">
        <v>45847</v>
      </c>
      <c r="G988">
        <v>202604</v>
      </c>
      <c r="H988" t="s">
        <v>75</v>
      </c>
      <c r="I988" t="s">
        <v>76</v>
      </c>
      <c r="J988" t="s">
        <v>77</v>
      </c>
      <c r="K988" t="s">
        <v>78</v>
      </c>
      <c r="L988" t="s">
        <v>122</v>
      </c>
      <c r="M988" t="s">
        <v>123</v>
      </c>
      <c r="N988" t="s">
        <v>1176</v>
      </c>
      <c r="O988" t="s">
        <v>82</v>
      </c>
      <c r="P988" t="str">
        <f>"4170047616                    "</f>
        <v xml:space="preserve">4170047616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22.6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1.1000000000000001</v>
      </c>
      <c r="BK988">
        <v>2</v>
      </c>
      <c r="BL988">
        <v>71.2</v>
      </c>
      <c r="BM988">
        <v>10.68</v>
      </c>
      <c r="BN988">
        <v>81.88</v>
      </c>
      <c r="BO988">
        <v>81.88</v>
      </c>
      <c r="BQ988" t="s">
        <v>1177</v>
      </c>
      <c r="BR988" t="s">
        <v>84</v>
      </c>
      <c r="BS988" s="3">
        <v>45848</v>
      </c>
      <c r="BT988" s="4">
        <v>0.40694444444444444</v>
      </c>
      <c r="BU988" t="s">
        <v>1178</v>
      </c>
      <c r="BV988" t="s">
        <v>98</v>
      </c>
      <c r="BY988">
        <v>5320</v>
      </c>
      <c r="BZ988" t="s">
        <v>89</v>
      </c>
      <c r="CA988" t="s">
        <v>187</v>
      </c>
      <c r="CC988" t="s">
        <v>123</v>
      </c>
      <c r="CD988">
        <v>3610</v>
      </c>
      <c r="CE988" t="s">
        <v>117</v>
      </c>
      <c r="CF988" s="3">
        <v>45848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"080066449491"</f>
        <v>080066449491</v>
      </c>
      <c r="F989" s="3">
        <v>45847</v>
      </c>
      <c r="G989">
        <v>202604</v>
      </c>
      <c r="H989" t="s">
        <v>75</v>
      </c>
      <c r="I989" t="s">
        <v>76</v>
      </c>
      <c r="J989" t="s">
        <v>77</v>
      </c>
      <c r="K989" t="s">
        <v>78</v>
      </c>
      <c r="L989" t="s">
        <v>197</v>
      </c>
      <c r="M989" t="s">
        <v>198</v>
      </c>
      <c r="N989" t="s">
        <v>1719</v>
      </c>
      <c r="O989" t="s">
        <v>82</v>
      </c>
      <c r="P989" t="str">
        <f>"4170047510                    "</f>
        <v xml:space="preserve">4170047510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17.649999999999999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0.3</v>
      </c>
      <c r="BK989">
        <v>1</v>
      </c>
      <c r="BL989">
        <v>55.61</v>
      </c>
      <c r="BM989">
        <v>8.34</v>
      </c>
      <c r="BN989">
        <v>63.95</v>
      </c>
      <c r="BO989">
        <v>63.95</v>
      </c>
      <c r="BQ989" t="s">
        <v>1720</v>
      </c>
      <c r="BR989" t="s">
        <v>84</v>
      </c>
      <c r="BS989" s="3">
        <v>45848</v>
      </c>
      <c r="BT989" s="4">
        <v>0.33055555555555555</v>
      </c>
      <c r="BU989" t="s">
        <v>1721</v>
      </c>
      <c r="BV989" t="s">
        <v>98</v>
      </c>
      <c r="BY989">
        <v>1350</v>
      </c>
      <c r="BZ989" t="s">
        <v>89</v>
      </c>
      <c r="CA989" t="s">
        <v>451</v>
      </c>
      <c r="CC989" t="s">
        <v>198</v>
      </c>
      <c r="CD989">
        <v>1401</v>
      </c>
      <c r="CE989" t="s">
        <v>239</v>
      </c>
      <c r="CF989" s="3">
        <v>45848</v>
      </c>
      <c r="CI989">
        <v>1</v>
      </c>
      <c r="CJ989">
        <v>1</v>
      </c>
      <c r="CK989">
        <v>22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"080066449501"</f>
        <v>080066449501</v>
      </c>
      <c r="F990" s="3">
        <v>45847</v>
      </c>
      <c r="G990">
        <v>202604</v>
      </c>
      <c r="H990" t="s">
        <v>75</v>
      </c>
      <c r="I990" t="s">
        <v>76</v>
      </c>
      <c r="J990" t="s">
        <v>77</v>
      </c>
      <c r="K990" t="s">
        <v>78</v>
      </c>
      <c r="L990" t="s">
        <v>151</v>
      </c>
      <c r="M990" t="s">
        <v>152</v>
      </c>
      <c r="N990" t="s">
        <v>500</v>
      </c>
      <c r="O990" t="s">
        <v>82</v>
      </c>
      <c r="P990" t="str">
        <f>"4170047504                    "</f>
        <v xml:space="preserve">4170047504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39.53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3.4</v>
      </c>
      <c r="BK990">
        <v>3.5</v>
      </c>
      <c r="BL990">
        <v>124.55</v>
      </c>
      <c r="BM990">
        <v>18.68</v>
      </c>
      <c r="BN990">
        <v>143.22999999999999</v>
      </c>
      <c r="BO990">
        <v>143.22999999999999</v>
      </c>
      <c r="BQ990" t="s">
        <v>501</v>
      </c>
      <c r="BR990" t="s">
        <v>84</v>
      </c>
      <c r="BS990" s="3">
        <v>45848</v>
      </c>
      <c r="BT990" s="4">
        <v>0.43402777777777779</v>
      </c>
      <c r="BU990" t="s">
        <v>1722</v>
      </c>
      <c r="BV990" t="s">
        <v>98</v>
      </c>
      <c r="BY990">
        <v>16965</v>
      </c>
      <c r="BZ990" t="s">
        <v>89</v>
      </c>
      <c r="CA990" t="s">
        <v>388</v>
      </c>
      <c r="CC990" t="s">
        <v>152</v>
      </c>
      <c r="CD990" s="5" t="s">
        <v>157</v>
      </c>
      <c r="CE990" t="s">
        <v>117</v>
      </c>
      <c r="CF990" s="3">
        <v>45848</v>
      </c>
      <c r="CI990">
        <v>1</v>
      </c>
      <c r="CJ990">
        <v>1</v>
      </c>
      <c r="CK990">
        <v>21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"080066449517"</f>
        <v>080066449517</v>
      </c>
      <c r="F991" s="3">
        <v>45847</v>
      </c>
      <c r="G991">
        <v>202604</v>
      </c>
      <c r="H991" t="s">
        <v>75</v>
      </c>
      <c r="I991" t="s">
        <v>76</v>
      </c>
      <c r="J991" t="s">
        <v>77</v>
      </c>
      <c r="K991" t="s">
        <v>78</v>
      </c>
      <c r="L991" t="s">
        <v>75</v>
      </c>
      <c r="M991" t="s">
        <v>76</v>
      </c>
      <c r="N991" t="s">
        <v>562</v>
      </c>
      <c r="O991" t="s">
        <v>82</v>
      </c>
      <c r="P991" t="str">
        <f>"4170047516                    "</f>
        <v xml:space="preserve">4170047516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17.649999999999999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0.3</v>
      </c>
      <c r="BK991">
        <v>1</v>
      </c>
      <c r="BL991">
        <v>55.61</v>
      </c>
      <c r="BM991">
        <v>8.34</v>
      </c>
      <c r="BN991">
        <v>63.95</v>
      </c>
      <c r="BO991">
        <v>63.95</v>
      </c>
      <c r="BQ991" t="s">
        <v>563</v>
      </c>
      <c r="BR991" t="s">
        <v>84</v>
      </c>
      <c r="BS991" s="3">
        <v>45848</v>
      </c>
      <c r="BT991" s="4">
        <v>0.41388888888888886</v>
      </c>
      <c r="BU991" t="s">
        <v>564</v>
      </c>
      <c r="BV991" t="s">
        <v>98</v>
      </c>
      <c r="BY991">
        <v>1350</v>
      </c>
      <c r="BZ991" t="s">
        <v>89</v>
      </c>
      <c r="CA991" t="s">
        <v>565</v>
      </c>
      <c r="CC991" t="s">
        <v>76</v>
      </c>
      <c r="CD991">
        <v>1619</v>
      </c>
      <c r="CE991" t="s">
        <v>239</v>
      </c>
      <c r="CF991" s="3">
        <v>45849</v>
      </c>
      <c r="CI991">
        <v>1</v>
      </c>
      <c r="CJ991">
        <v>1</v>
      </c>
      <c r="CK991">
        <v>22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"080066449526"</f>
        <v>080066449526</v>
      </c>
      <c r="F992" s="3">
        <v>45847</v>
      </c>
      <c r="G992">
        <v>202604</v>
      </c>
      <c r="H992" t="s">
        <v>75</v>
      </c>
      <c r="I992" t="s">
        <v>76</v>
      </c>
      <c r="J992" t="s">
        <v>77</v>
      </c>
      <c r="K992" t="s">
        <v>78</v>
      </c>
      <c r="L992" t="s">
        <v>135</v>
      </c>
      <c r="M992" t="s">
        <v>136</v>
      </c>
      <c r="N992" t="s">
        <v>1723</v>
      </c>
      <c r="O992" t="s">
        <v>82</v>
      </c>
      <c r="P992" t="str">
        <f>"4170047528                    "</f>
        <v xml:space="preserve">4170047528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101.63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</v>
      </c>
      <c r="BJ992">
        <v>8.9</v>
      </c>
      <c r="BK992">
        <v>9</v>
      </c>
      <c r="BL992">
        <v>320.19</v>
      </c>
      <c r="BM992">
        <v>48.03</v>
      </c>
      <c r="BN992">
        <v>368.22</v>
      </c>
      <c r="BO992">
        <v>368.22</v>
      </c>
      <c r="BQ992" t="s">
        <v>1724</v>
      </c>
      <c r="BR992" t="s">
        <v>84</v>
      </c>
      <c r="BS992" s="3">
        <v>45848</v>
      </c>
      <c r="BT992" s="4">
        <v>0.41666666666666669</v>
      </c>
      <c r="BU992" t="s">
        <v>1725</v>
      </c>
      <c r="BV992" t="s">
        <v>98</v>
      </c>
      <c r="BY992">
        <v>44640</v>
      </c>
      <c r="BZ992" t="s">
        <v>89</v>
      </c>
      <c r="CA992" t="s">
        <v>1602</v>
      </c>
      <c r="CC992" t="s">
        <v>136</v>
      </c>
      <c r="CD992">
        <v>3201</v>
      </c>
      <c r="CE992" t="s">
        <v>117</v>
      </c>
      <c r="CF992" s="3">
        <v>45849</v>
      </c>
      <c r="CI992">
        <v>1</v>
      </c>
      <c r="CJ992">
        <v>1</v>
      </c>
      <c r="CK992">
        <v>21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"080066449557"</f>
        <v>080066449557</v>
      </c>
      <c r="F993" s="3">
        <v>45847</v>
      </c>
      <c r="G993">
        <v>202604</v>
      </c>
      <c r="H993" t="s">
        <v>75</v>
      </c>
      <c r="I993" t="s">
        <v>76</v>
      </c>
      <c r="J993" t="s">
        <v>77</v>
      </c>
      <c r="K993" t="s">
        <v>78</v>
      </c>
      <c r="L993" t="s">
        <v>295</v>
      </c>
      <c r="M993" t="s">
        <v>296</v>
      </c>
      <c r="N993" t="s">
        <v>297</v>
      </c>
      <c r="O993" t="s">
        <v>82</v>
      </c>
      <c r="P993" t="str">
        <f>"4170047529                    "</f>
        <v xml:space="preserve">4170047529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17.649999999999999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0.3</v>
      </c>
      <c r="BK993">
        <v>1</v>
      </c>
      <c r="BL993">
        <v>55.61</v>
      </c>
      <c r="BM993">
        <v>8.34</v>
      </c>
      <c r="BN993">
        <v>63.95</v>
      </c>
      <c r="BO993">
        <v>63.95</v>
      </c>
      <c r="BQ993" t="s">
        <v>298</v>
      </c>
      <c r="BR993" t="s">
        <v>84</v>
      </c>
      <c r="BS993" s="3">
        <v>45848</v>
      </c>
      <c r="BT993" s="4">
        <v>0.33680555555555558</v>
      </c>
      <c r="BU993" t="s">
        <v>1726</v>
      </c>
      <c r="BV993" t="s">
        <v>98</v>
      </c>
      <c r="BY993">
        <v>1350</v>
      </c>
      <c r="BZ993" t="s">
        <v>89</v>
      </c>
      <c r="CA993" t="s">
        <v>300</v>
      </c>
      <c r="CC993" t="s">
        <v>296</v>
      </c>
      <c r="CD993">
        <v>1459</v>
      </c>
      <c r="CE993" t="s">
        <v>239</v>
      </c>
      <c r="CF993" s="3">
        <v>45849</v>
      </c>
      <c r="CI993">
        <v>1</v>
      </c>
      <c r="CJ993">
        <v>1</v>
      </c>
      <c r="CK993">
        <v>22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"080066449578"</f>
        <v>080066449578</v>
      </c>
      <c r="F994" s="3">
        <v>45847</v>
      </c>
      <c r="G994">
        <v>202604</v>
      </c>
      <c r="H994" t="s">
        <v>75</v>
      </c>
      <c r="I994" t="s">
        <v>76</v>
      </c>
      <c r="J994" t="s">
        <v>77</v>
      </c>
      <c r="K994" t="s">
        <v>78</v>
      </c>
      <c r="L994" t="s">
        <v>406</v>
      </c>
      <c r="M994" t="s">
        <v>407</v>
      </c>
      <c r="N994" t="s">
        <v>1283</v>
      </c>
      <c r="O994" t="s">
        <v>82</v>
      </c>
      <c r="P994" t="str">
        <f>"4170047508                    "</f>
        <v xml:space="preserve">4170047508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231.62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7</v>
      </c>
      <c r="BJ994">
        <v>11.1</v>
      </c>
      <c r="BK994">
        <v>11.5</v>
      </c>
      <c r="BL994">
        <v>729.72</v>
      </c>
      <c r="BM994">
        <v>109.46</v>
      </c>
      <c r="BN994">
        <v>839.18</v>
      </c>
      <c r="BO994">
        <v>839.18</v>
      </c>
      <c r="BQ994" t="s">
        <v>1284</v>
      </c>
      <c r="BR994" t="s">
        <v>84</v>
      </c>
      <c r="BS994" s="3">
        <v>45848</v>
      </c>
      <c r="BT994" s="4">
        <v>0.74583333333333335</v>
      </c>
      <c r="BU994" t="s">
        <v>1727</v>
      </c>
      <c r="BV994" t="s">
        <v>86</v>
      </c>
      <c r="BW994" t="s">
        <v>194</v>
      </c>
      <c r="BX994" t="s">
        <v>1060</v>
      </c>
      <c r="BY994">
        <v>55488</v>
      </c>
      <c r="BZ994" t="s">
        <v>89</v>
      </c>
      <c r="CA994" t="s">
        <v>1695</v>
      </c>
      <c r="CC994" t="s">
        <v>407</v>
      </c>
      <c r="CD994">
        <v>4400</v>
      </c>
      <c r="CE994" t="s">
        <v>91</v>
      </c>
      <c r="CF994" s="3">
        <v>45849</v>
      </c>
      <c r="CI994">
        <v>1</v>
      </c>
      <c r="CJ994">
        <v>1</v>
      </c>
      <c r="CK994">
        <v>23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"080066449583"</f>
        <v>080066449583</v>
      </c>
      <c r="F995" s="3">
        <v>45847</v>
      </c>
      <c r="G995">
        <v>202604</v>
      </c>
      <c r="H995" t="s">
        <v>75</v>
      </c>
      <c r="I995" t="s">
        <v>76</v>
      </c>
      <c r="J995" t="s">
        <v>77</v>
      </c>
      <c r="K995" t="s">
        <v>78</v>
      </c>
      <c r="L995" t="s">
        <v>168</v>
      </c>
      <c r="M995" t="s">
        <v>169</v>
      </c>
      <c r="N995" t="s">
        <v>1728</v>
      </c>
      <c r="O995" t="s">
        <v>82</v>
      </c>
      <c r="P995" t="str">
        <f>"4170047615                    "</f>
        <v xml:space="preserve">4170047615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22.6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0.3</v>
      </c>
      <c r="BK995">
        <v>1</v>
      </c>
      <c r="BL995">
        <v>71.2</v>
      </c>
      <c r="BM995">
        <v>10.68</v>
      </c>
      <c r="BN995">
        <v>81.88</v>
      </c>
      <c r="BO995">
        <v>81.88</v>
      </c>
      <c r="BQ995" t="s">
        <v>1729</v>
      </c>
      <c r="BR995" t="s">
        <v>84</v>
      </c>
      <c r="BS995" s="3">
        <v>45848</v>
      </c>
      <c r="BT995" s="4">
        <v>0.4201388888888889</v>
      </c>
      <c r="BU995" t="s">
        <v>1730</v>
      </c>
      <c r="BV995" t="s">
        <v>98</v>
      </c>
      <c r="BY995">
        <v>1350</v>
      </c>
      <c r="BZ995" t="s">
        <v>89</v>
      </c>
      <c r="CA995" t="s">
        <v>1731</v>
      </c>
      <c r="CC995" t="s">
        <v>169</v>
      </c>
      <c r="CD995">
        <v>6100</v>
      </c>
      <c r="CE995" t="s">
        <v>239</v>
      </c>
      <c r="CF995" s="3">
        <v>45848</v>
      </c>
      <c r="CI995">
        <v>1</v>
      </c>
      <c r="CJ995">
        <v>1</v>
      </c>
      <c r="CK995">
        <v>21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"080066449622"</f>
        <v>080066449622</v>
      </c>
      <c r="F996" s="3">
        <v>45847</v>
      </c>
      <c r="G996">
        <v>202604</v>
      </c>
      <c r="H996" t="s">
        <v>75</v>
      </c>
      <c r="I996" t="s">
        <v>76</v>
      </c>
      <c r="J996" t="s">
        <v>77</v>
      </c>
      <c r="K996" t="s">
        <v>78</v>
      </c>
      <c r="L996" t="s">
        <v>122</v>
      </c>
      <c r="M996" t="s">
        <v>123</v>
      </c>
      <c r="N996" t="s">
        <v>357</v>
      </c>
      <c r="O996" t="s">
        <v>82</v>
      </c>
      <c r="P996" t="str">
        <f>"4170047586                    "</f>
        <v xml:space="preserve">4170047586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0.3</v>
      </c>
      <c r="BK996">
        <v>1</v>
      </c>
      <c r="BL996">
        <v>71.2</v>
      </c>
      <c r="BM996">
        <v>10.68</v>
      </c>
      <c r="BN996">
        <v>81.88</v>
      </c>
      <c r="BO996">
        <v>81.88</v>
      </c>
      <c r="BQ996" t="s">
        <v>358</v>
      </c>
      <c r="BR996" t="s">
        <v>84</v>
      </c>
      <c r="BS996" s="3">
        <v>45848</v>
      </c>
      <c r="BT996" s="4">
        <v>0.38750000000000001</v>
      </c>
      <c r="BU996" t="s">
        <v>1732</v>
      </c>
      <c r="BV996" t="s">
        <v>98</v>
      </c>
      <c r="BY996">
        <v>1350</v>
      </c>
      <c r="BZ996" t="s">
        <v>89</v>
      </c>
      <c r="CC996" t="s">
        <v>123</v>
      </c>
      <c r="CD996">
        <v>3610</v>
      </c>
      <c r="CE996" t="s">
        <v>239</v>
      </c>
      <c r="CF996" s="3">
        <v>45849</v>
      </c>
      <c r="CI996">
        <v>1</v>
      </c>
      <c r="CJ996">
        <v>1</v>
      </c>
      <c r="CK996">
        <v>21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"080066449621"</f>
        <v>080066449621</v>
      </c>
      <c r="F997" s="3">
        <v>45847</v>
      </c>
      <c r="G997">
        <v>202604</v>
      </c>
      <c r="H997" t="s">
        <v>75</v>
      </c>
      <c r="I997" t="s">
        <v>76</v>
      </c>
      <c r="J997" t="s">
        <v>77</v>
      </c>
      <c r="K997" t="s">
        <v>78</v>
      </c>
      <c r="L997" t="s">
        <v>151</v>
      </c>
      <c r="M997" t="s">
        <v>152</v>
      </c>
      <c r="N997" t="s">
        <v>1484</v>
      </c>
      <c r="O997" t="s">
        <v>95</v>
      </c>
      <c r="P997" t="str">
        <f>"4170047627                    "</f>
        <v xml:space="preserve">4170047627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43.7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5</v>
      </c>
      <c r="BJ997">
        <v>2.8</v>
      </c>
      <c r="BK997">
        <v>5</v>
      </c>
      <c r="BL997">
        <v>143.55000000000001</v>
      </c>
      <c r="BM997">
        <v>21.53</v>
      </c>
      <c r="BN997">
        <v>165.08</v>
      </c>
      <c r="BO997">
        <v>165.08</v>
      </c>
      <c r="BQ997" t="s">
        <v>1485</v>
      </c>
      <c r="BR997" t="s">
        <v>84</v>
      </c>
      <c r="BS997" s="3">
        <v>45848</v>
      </c>
      <c r="BT997" s="4">
        <v>0.47569444444444442</v>
      </c>
      <c r="BU997" t="s">
        <v>1733</v>
      </c>
      <c r="BV997" t="s">
        <v>98</v>
      </c>
      <c r="BY997">
        <v>14112</v>
      </c>
      <c r="BZ997" t="s">
        <v>99</v>
      </c>
      <c r="CA997" t="s">
        <v>513</v>
      </c>
      <c r="CC997" t="s">
        <v>152</v>
      </c>
      <c r="CD997" s="5" t="s">
        <v>1487</v>
      </c>
      <c r="CE997" t="s">
        <v>91</v>
      </c>
      <c r="CF997" s="3">
        <v>45848</v>
      </c>
      <c r="CI997">
        <v>1</v>
      </c>
      <c r="CJ997">
        <v>1</v>
      </c>
      <c r="CK997">
        <v>41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"080066449642"</f>
        <v>080066449642</v>
      </c>
      <c r="F998" s="3">
        <v>45847</v>
      </c>
      <c r="G998">
        <v>202604</v>
      </c>
      <c r="H998" t="s">
        <v>75</v>
      </c>
      <c r="I998" t="s">
        <v>76</v>
      </c>
      <c r="J998" t="s">
        <v>77</v>
      </c>
      <c r="K998" t="s">
        <v>78</v>
      </c>
      <c r="L998" t="s">
        <v>79</v>
      </c>
      <c r="M998" t="s">
        <v>80</v>
      </c>
      <c r="N998" t="s">
        <v>286</v>
      </c>
      <c r="O998" t="s">
        <v>82</v>
      </c>
      <c r="P998" t="str">
        <f>"4170047537                    "</f>
        <v xml:space="preserve">4170047537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22.6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0.9</v>
      </c>
      <c r="BK998">
        <v>1</v>
      </c>
      <c r="BL998">
        <v>71.2</v>
      </c>
      <c r="BM998">
        <v>10.68</v>
      </c>
      <c r="BN998">
        <v>81.88</v>
      </c>
      <c r="BO998">
        <v>81.88</v>
      </c>
      <c r="BQ998" t="s">
        <v>287</v>
      </c>
      <c r="BR998" t="s">
        <v>84</v>
      </c>
      <c r="BS998" s="3">
        <v>45848</v>
      </c>
      <c r="BT998" s="4">
        <v>0.36180555555555555</v>
      </c>
      <c r="BU998" t="s">
        <v>1693</v>
      </c>
      <c r="BV998" t="s">
        <v>98</v>
      </c>
      <c r="BY998">
        <v>4275</v>
      </c>
      <c r="BZ998" t="s">
        <v>89</v>
      </c>
      <c r="CA998" t="s">
        <v>289</v>
      </c>
      <c r="CC998" t="s">
        <v>80</v>
      </c>
      <c r="CD998">
        <v>7530</v>
      </c>
      <c r="CE998" t="s">
        <v>117</v>
      </c>
      <c r="CF998" s="3">
        <v>45849</v>
      </c>
      <c r="CI998">
        <v>1</v>
      </c>
      <c r="CJ998">
        <v>1</v>
      </c>
      <c r="CK998">
        <v>21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"080066449660"</f>
        <v>080066449660</v>
      </c>
      <c r="F999" s="3">
        <v>45847</v>
      </c>
      <c r="G999">
        <v>202604</v>
      </c>
      <c r="H999" t="s">
        <v>75</v>
      </c>
      <c r="I999" t="s">
        <v>76</v>
      </c>
      <c r="J999" t="s">
        <v>77</v>
      </c>
      <c r="K999" t="s">
        <v>78</v>
      </c>
      <c r="L999" t="s">
        <v>92</v>
      </c>
      <c r="M999" t="s">
        <v>93</v>
      </c>
      <c r="N999" t="s">
        <v>1383</v>
      </c>
      <c r="O999" t="s">
        <v>82</v>
      </c>
      <c r="P999" t="str">
        <f>"4170047520                    "</f>
        <v xml:space="preserve">4170047520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33.89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3</v>
      </c>
      <c r="BJ999">
        <v>1.1000000000000001</v>
      </c>
      <c r="BK999">
        <v>3</v>
      </c>
      <c r="BL999">
        <v>106.77</v>
      </c>
      <c r="BM999">
        <v>16.02</v>
      </c>
      <c r="BN999">
        <v>122.79</v>
      </c>
      <c r="BO999">
        <v>122.79</v>
      </c>
      <c r="BQ999" t="s">
        <v>1384</v>
      </c>
      <c r="BR999" t="s">
        <v>84</v>
      </c>
      <c r="BS999" s="3">
        <v>45848</v>
      </c>
      <c r="BT999" s="4">
        <v>0.41875000000000001</v>
      </c>
      <c r="BU999" t="s">
        <v>285</v>
      </c>
      <c r="BV999" t="s">
        <v>98</v>
      </c>
      <c r="BY999">
        <v>5320</v>
      </c>
      <c r="BZ999" t="s">
        <v>89</v>
      </c>
      <c r="CA999" t="s">
        <v>1385</v>
      </c>
      <c r="CC999" t="s">
        <v>93</v>
      </c>
      <c r="CD999">
        <v>3629</v>
      </c>
      <c r="CE999" t="s">
        <v>117</v>
      </c>
      <c r="CF999" s="3">
        <v>45849</v>
      </c>
      <c r="CI999">
        <v>1</v>
      </c>
      <c r="CJ999">
        <v>1</v>
      </c>
      <c r="CK999">
        <v>21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"080066449678"</f>
        <v>080066449678</v>
      </c>
      <c r="F1000" s="3">
        <v>45847</v>
      </c>
      <c r="G1000">
        <v>202604</v>
      </c>
      <c r="H1000" t="s">
        <v>75</v>
      </c>
      <c r="I1000" t="s">
        <v>76</v>
      </c>
      <c r="J1000" t="s">
        <v>77</v>
      </c>
      <c r="K1000" t="s">
        <v>78</v>
      </c>
      <c r="L1000" t="s">
        <v>168</v>
      </c>
      <c r="M1000" t="s">
        <v>169</v>
      </c>
      <c r="N1000" t="s">
        <v>438</v>
      </c>
      <c r="O1000" t="s">
        <v>82</v>
      </c>
      <c r="P1000" t="str">
        <f>"4170047592                    "</f>
        <v xml:space="preserve">4170047592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33.89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3</v>
      </c>
      <c r="BJ1000">
        <v>1.7</v>
      </c>
      <c r="BK1000">
        <v>3</v>
      </c>
      <c r="BL1000">
        <v>106.77</v>
      </c>
      <c r="BM1000">
        <v>16.02</v>
      </c>
      <c r="BN1000">
        <v>122.79</v>
      </c>
      <c r="BO1000">
        <v>122.79</v>
      </c>
      <c r="BQ1000" t="s">
        <v>439</v>
      </c>
      <c r="BR1000" t="s">
        <v>84</v>
      </c>
      <c r="BS1000" s="3">
        <v>45848</v>
      </c>
      <c r="BT1000" s="4">
        <v>0.42708333333333331</v>
      </c>
      <c r="BU1000" t="s">
        <v>1734</v>
      </c>
      <c r="BV1000" t="s">
        <v>98</v>
      </c>
      <c r="BY1000">
        <v>8512</v>
      </c>
      <c r="BZ1000" t="s">
        <v>89</v>
      </c>
      <c r="CA1000" t="s">
        <v>423</v>
      </c>
      <c r="CC1000" t="s">
        <v>169</v>
      </c>
      <c r="CD1000">
        <v>6001</v>
      </c>
      <c r="CE1000" t="s">
        <v>117</v>
      </c>
      <c r="CF1000" s="3">
        <v>45848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"080066449880"</f>
        <v>080066449880</v>
      </c>
      <c r="F1001" s="3">
        <v>45847</v>
      </c>
      <c r="G1001">
        <v>202604</v>
      </c>
      <c r="H1001" t="s">
        <v>75</v>
      </c>
      <c r="I1001" t="s">
        <v>76</v>
      </c>
      <c r="J1001" t="s">
        <v>77</v>
      </c>
      <c r="K1001" t="s">
        <v>78</v>
      </c>
      <c r="L1001" t="s">
        <v>240</v>
      </c>
      <c r="M1001" t="s">
        <v>241</v>
      </c>
      <c r="N1001" t="s">
        <v>1735</v>
      </c>
      <c r="O1001" t="s">
        <v>95</v>
      </c>
      <c r="P1001" t="str">
        <f>"4170047603                    "</f>
        <v xml:space="preserve">4170047603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33.72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1.4</v>
      </c>
      <c r="BK1001">
        <v>2</v>
      </c>
      <c r="BL1001">
        <v>112.11</v>
      </c>
      <c r="BM1001">
        <v>16.82</v>
      </c>
      <c r="BN1001">
        <v>128.93</v>
      </c>
      <c r="BO1001">
        <v>128.93</v>
      </c>
      <c r="BQ1001" t="s">
        <v>1736</v>
      </c>
      <c r="BR1001" t="s">
        <v>84</v>
      </c>
      <c r="BS1001" s="3">
        <v>45848</v>
      </c>
      <c r="BT1001" s="4">
        <v>0.375</v>
      </c>
      <c r="BU1001" t="s">
        <v>1737</v>
      </c>
      <c r="BV1001" t="s">
        <v>98</v>
      </c>
      <c r="BY1001">
        <v>6992</v>
      </c>
      <c r="BZ1001" t="s">
        <v>99</v>
      </c>
      <c r="CA1001" t="s">
        <v>1738</v>
      </c>
      <c r="CC1001" t="s">
        <v>241</v>
      </c>
      <c r="CD1001">
        <v>2001</v>
      </c>
      <c r="CE1001" t="s">
        <v>167</v>
      </c>
      <c r="CF1001" s="3">
        <v>45849</v>
      </c>
      <c r="CI1001">
        <v>1</v>
      </c>
      <c r="CJ1001">
        <v>1</v>
      </c>
      <c r="CK1001">
        <v>42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"080066449893"</f>
        <v>080066449893</v>
      </c>
      <c r="F1002" s="3">
        <v>45847</v>
      </c>
      <c r="G1002">
        <v>202604</v>
      </c>
      <c r="H1002" t="s">
        <v>75</v>
      </c>
      <c r="I1002" t="s">
        <v>76</v>
      </c>
      <c r="J1002" t="s">
        <v>77</v>
      </c>
      <c r="K1002" t="s">
        <v>78</v>
      </c>
      <c r="L1002" t="s">
        <v>350</v>
      </c>
      <c r="M1002" t="s">
        <v>351</v>
      </c>
      <c r="N1002" t="s">
        <v>1739</v>
      </c>
      <c r="O1002" t="s">
        <v>82</v>
      </c>
      <c r="P1002" t="str">
        <f>"4170047605                    "</f>
        <v xml:space="preserve">4170047605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22.6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16.739999999999998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0.3</v>
      </c>
      <c r="BK1002">
        <v>1</v>
      </c>
      <c r="BL1002">
        <v>87.94</v>
      </c>
      <c r="BM1002">
        <v>13.19</v>
      </c>
      <c r="BN1002">
        <v>101.13</v>
      </c>
      <c r="BO1002">
        <v>101.13</v>
      </c>
      <c r="BQ1002" t="s">
        <v>1740</v>
      </c>
      <c r="BR1002" t="s">
        <v>84</v>
      </c>
      <c r="BS1002" s="3">
        <v>45848</v>
      </c>
      <c r="BT1002" s="4">
        <v>0.74513888888888891</v>
      </c>
      <c r="BU1002" t="s">
        <v>1741</v>
      </c>
      <c r="BV1002" t="s">
        <v>86</v>
      </c>
      <c r="BW1002" t="s">
        <v>194</v>
      </c>
      <c r="BX1002" t="s">
        <v>1174</v>
      </c>
      <c r="BY1002">
        <v>1350</v>
      </c>
      <c r="BZ1002" t="s">
        <v>460</v>
      </c>
      <c r="CA1002" t="s">
        <v>337</v>
      </c>
      <c r="CC1002" t="s">
        <v>351</v>
      </c>
      <c r="CD1002">
        <v>4110</v>
      </c>
      <c r="CE1002" t="s">
        <v>121</v>
      </c>
      <c r="CF1002" s="3">
        <v>45848</v>
      </c>
      <c r="CI1002">
        <v>1</v>
      </c>
      <c r="CJ1002">
        <v>1</v>
      </c>
      <c r="CK1002">
        <v>21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"080066449898"</f>
        <v>080066449898</v>
      </c>
      <c r="F1003" s="3">
        <v>45847</v>
      </c>
      <c r="G1003">
        <v>202604</v>
      </c>
      <c r="H1003" t="s">
        <v>75</v>
      </c>
      <c r="I1003" t="s">
        <v>76</v>
      </c>
      <c r="J1003" t="s">
        <v>77</v>
      </c>
      <c r="K1003" t="s">
        <v>78</v>
      </c>
      <c r="L1003" t="s">
        <v>75</v>
      </c>
      <c r="M1003" t="s">
        <v>76</v>
      </c>
      <c r="N1003" t="s">
        <v>1742</v>
      </c>
      <c r="O1003" t="s">
        <v>82</v>
      </c>
      <c r="P1003" t="str">
        <f>"4170047517                    "</f>
        <v xml:space="preserve">4170047517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17.649999999999999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2.2999999999999998</v>
      </c>
      <c r="BK1003">
        <v>4</v>
      </c>
      <c r="BL1003">
        <v>55.61</v>
      </c>
      <c r="BM1003">
        <v>8.34</v>
      </c>
      <c r="BN1003">
        <v>63.95</v>
      </c>
      <c r="BO1003">
        <v>63.95</v>
      </c>
      <c r="BQ1003" t="s">
        <v>1743</v>
      </c>
      <c r="BR1003" t="s">
        <v>84</v>
      </c>
      <c r="BS1003" s="3">
        <v>45848</v>
      </c>
      <c r="BT1003" s="4">
        <v>0.40972222222222221</v>
      </c>
      <c r="BU1003" t="s">
        <v>1744</v>
      </c>
      <c r="BV1003" t="s">
        <v>98</v>
      </c>
      <c r="BY1003">
        <v>11340</v>
      </c>
      <c r="BZ1003" t="s">
        <v>89</v>
      </c>
      <c r="CA1003" t="s">
        <v>304</v>
      </c>
      <c r="CC1003" t="s">
        <v>76</v>
      </c>
      <c r="CD1003">
        <v>1601</v>
      </c>
      <c r="CE1003" t="s">
        <v>91</v>
      </c>
      <c r="CF1003" s="3">
        <v>45848</v>
      </c>
      <c r="CI1003">
        <v>1</v>
      </c>
      <c r="CJ1003">
        <v>1</v>
      </c>
      <c r="CK1003">
        <v>22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"080066449909"</f>
        <v>080066449909</v>
      </c>
      <c r="F1004" s="3">
        <v>45847</v>
      </c>
      <c r="G1004">
        <v>202604</v>
      </c>
      <c r="H1004" t="s">
        <v>75</v>
      </c>
      <c r="I1004" t="s">
        <v>76</v>
      </c>
      <c r="J1004" t="s">
        <v>77</v>
      </c>
      <c r="K1004" t="s">
        <v>78</v>
      </c>
      <c r="L1004" t="s">
        <v>1462</v>
      </c>
      <c r="M1004" t="s">
        <v>1463</v>
      </c>
      <c r="N1004" t="s">
        <v>1464</v>
      </c>
      <c r="O1004" t="s">
        <v>82</v>
      </c>
      <c r="P1004" t="str">
        <f>"4170047636                    "</f>
        <v xml:space="preserve">4170047636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43.78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0.3</v>
      </c>
      <c r="BK1004">
        <v>1</v>
      </c>
      <c r="BL1004">
        <v>137.94</v>
      </c>
      <c r="BM1004">
        <v>20.69</v>
      </c>
      <c r="BN1004">
        <v>158.63</v>
      </c>
      <c r="BO1004">
        <v>158.63</v>
      </c>
      <c r="BQ1004" t="s">
        <v>1465</v>
      </c>
      <c r="BR1004" t="s">
        <v>84</v>
      </c>
      <c r="BS1004" s="3">
        <v>45848</v>
      </c>
      <c r="BT1004" s="4">
        <v>0.41666666666666669</v>
      </c>
      <c r="BU1004" t="s">
        <v>1745</v>
      </c>
      <c r="BV1004" t="s">
        <v>98</v>
      </c>
      <c r="BY1004">
        <v>1350</v>
      </c>
      <c r="BZ1004" t="s">
        <v>89</v>
      </c>
      <c r="CA1004" t="s">
        <v>1467</v>
      </c>
      <c r="CC1004" t="s">
        <v>1463</v>
      </c>
      <c r="CD1004">
        <v>3290</v>
      </c>
      <c r="CE1004" t="s">
        <v>121</v>
      </c>
      <c r="CF1004" s="3">
        <v>45848</v>
      </c>
      <c r="CI1004">
        <v>1</v>
      </c>
      <c r="CJ1004">
        <v>1</v>
      </c>
      <c r="CK1004">
        <v>23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"080066449912"</f>
        <v>080066449912</v>
      </c>
      <c r="F1005" s="3">
        <v>45847</v>
      </c>
      <c r="G1005">
        <v>202604</v>
      </c>
      <c r="H1005" t="s">
        <v>75</v>
      </c>
      <c r="I1005" t="s">
        <v>76</v>
      </c>
      <c r="J1005" t="s">
        <v>77</v>
      </c>
      <c r="K1005" t="s">
        <v>78</v>
      </c>
      <c r="L1005" t="s">
        <v>75</v>
      </c>
      <c r="M1005" t="s">
        <v>76</v>
      </c>
      <c r="N1005" t="s">
        <v>562</v>
      </c>
      <c r="O1005" t="s">
        <v>82</v>
      </c>
      <c r="P1005" t="str">
        <f>"4170047523                    "</f>
        <v xml:space="preserve">4170047523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17.649999999999999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1</v>
      </c>
      <c r="BK1005">
        <v>1</v>
      </c>
      <c r="BL1005">
        <v>55.61</v>
      </c>
      <c r="BM1005">
        <v>8.34</v>
      </c>
      <c r="BN1005">
        <v>63.95</v>
      </c>
      <c r="BO1005">
        <v>63.95</v>
      </c>
      <c r="BQ1005" t="s">
        <v>563</v>
      </c>
      <c r="BR1005" t="s">
        <v>84</v>
      </c>
      <c r="BS1005" s="3">
        <v>45848</v>
      </c>
      <c r="BT1005" s="4">
        <v>0.41388888888888886</v>
      </c>
      <c r="BU1005" t="s">
        <v>564</v>
      </c>
      <c r="BV1005" t="s">
        <v>98</v>
      </c>
      <c r="BY1005">
        <v>5096</v>
      </c>
      <c r="BZ1005" t="s">
        <v>89</v>
      </c>
      <c r="CA1005" t="s">
        <v>565</v>
      </c>
      <c r="CC1005" t="s">
        <v>76</v>
      </c>
      <c r="CD1005">
        <v>1619</v>
      </c>
      <c r="CE1005" t="s">
        <v>91</v>
      </c>
      <c r="CF1005" s="3">
        <v>45849</v>
      </c>
      <c r="CI1005">
        <v>1</v>
      </c>
      <c r="CJ1005">
        <v>1</v>
      </c>
      <c r="CK1005">
        <v>22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"080066449932"</f>
        <v>080066449932</v>
      </c>
      <c r="F1006" s="3">
        <v>45847</v>
      </c>
      <c r="G1006">
        <v>202604</v>
      </c>
      <c r="H1006" t="s">
        <v>75</v>
      </c>
      <c r="I1006" t="s">
        <v>76</v>
      </c>
      <c r="J1006" t="s">
        <v>77</v>
      </c>
      <c r="K1006" t="s">
        <v>78</v>
      </c>
      <c r="L1006" t="s">
        <v>79</v>
      </c>
      <c r="M1006" t="s">
        <v>80</v>
      </c>
      <c r="N1006" t="s">
        <v>286</v>
      </c>
      <c r="O1006" t="s">
        <v>82</v>
      </c>
      <c r="P1006" t="str">
        <f>"4170047573                    "</f>
        <v xml:space="preserve">4170047573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22.6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0.3</v>
      </c>
      <c r="BK1006">
        <v>1</v>
      </c>
      <c r="BL1006">
        <v>71.2</v>
      </c>
      <c r="BM1006">
        <v>10.68</v>
      </c>
      <c r="BN1006">
        <v>81.88</v>
      </c>
      <c r="BO1006">
        <v>81.88</v>
      </c>
      <c r="BQ1006" t="s">
        <v>287</v>
      </c>
      <c r="BR1006" t="s">
        <v>84</v>
      </c>
      <c r="BS1006" s="3">
        <v>45848</v>
      </c>
      <c r="BT1006" s="4">
        <v>0.36180555555555555</v>
      </c>
      <c r="BU1006" t="s">
        <v>1693</v>
      </c>
      <c r="BV1006" t="s">
        <v>98</v>
      </c>
      <c r="BY1006">
        <v>1350</v>
      </c>
      <c r="BZ1006" t="s">
        <v>89</v>
      </c>
      <c r="CA1006" t="s">
        <v>289</v>
      </c>
      <c r="CC1006" t="s">
        <v>80</v>
      </c>
      <c r="CD1006">
        <v>7530</v>
      </c>
      <c r="CE1006" t="s">
        <v>121</v>
      </c>
      <c r="CF1006" s="3">
        <v>45849</v>
      </c>
      <c r="CI1006">
        <v>1</v>
      </c>
      <c r="CJ1006">
        <v>1</v>
      </c>
      <c r="CK1006">
        <v>21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"080066449934"</f>
        <v>080066449934</v>
      </c>
      <c r="F1007" s="3">
        <v>45847</v>
      </c>
      <c r="G1007">
        <v>202604</v>
      </c>
      <c r="H1007" t="s">
        <v>75</v>
      </c>
      <c r="I1007" t="s">
        <v>76</v>
      </c>
      <c r="J1007" t="s">
        <v>77</v>
      </c>
      <c r="K1007" t="s">
        <v>78</v>
      </c>
      <c r="L1007" t="s">
        <v>128</v>
      </c>
      <c r="M1007" t="s">
        <v>129</v>
      </c>
      <c r="N1007" t="s">
        <v>130</v>
      </c>
      <c r="O1007" t="s">
        <v>82</v>
      </c>
      <c r="P1007" t="str">
        <f>"4170047518                    "</f>
        <v xml:space="preserve">4170047518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43.78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0.9</v>
      </c>
      <c r="BK1007">
        <v>1</v>
      </c>
      <c r="BL1007">
        <v>137.94</v>
      </c>
      <c r="BM1007">
        <v>20.69</v>
      </c>
      <c r="BN1007">
        <v>158.63</v>
      </c>
      <c r="BO1007">
        <v>158.63</v>
      </c>
      <c r="BQ1007" t="s">
        <v>131</v>
      </c>
      <c r="BR1007" t="s">
        <v>84</v>
      </c>
      <c r="BS1007" s="3">
        <v>45848</v>
      </c>
      <c r="BT1007" s="4">
        <v>0.43680555555555556</v>
      </c>
      <c r="BU1007" t="s">
        <v>1274</v>
      </c>
      <c r="BV1007" t="s">
        <v>98</v>
      </c>
      <c r="BY1007">
        <v>4560</v>
      </c>
      <c r="BZ1007" t="s">
        <v>89</v>
      </c>
      <c r="CA1007" t="s">
        <v>820</v>
      </c>
      <c r="CC1007" t="s">
        <v>129</v>
      </c>
      <c r="CD1007" s="5" t="s">
        <v>134</v>
      </c>
      <c r="CE1007" t="s">
        <v>259</v>
      </c>
      <c r="CF1007" s="3">
        <v>45849</v>
      </c>
      <c r="CI1007">
        <v>1</v>
      </c>
      <c r="CJ1007">
        <v>1</v>
      </c>
      <c r="CK1007">
        <v>23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"080066449965"</f>
        <v>080066449965</v>
      </c>
      <c r="F1008" s="3">
        <v>45847</v>
      </c>
      <c r="G1008">
        <v>202604</v>
      </c>
      <c r="H1008" t="s">
        <v>75</v>
      </c>
      <c r="I1008" t="s">
        <v>76</v>
      </c>
      <c r="J1008" t="s">
        <v>77</v>
      </c>
      <c r="K1008" t="s">
        <v>78</v>
      </c>
      <c r="L1008" t="s">
        <v>135</v>
      </c>
      <c r="M1008" t="s">
        <v>136</v>
      </c>
      <c r="N1008" t="s">
        <v>482</v>
      </c>
      <c r="O1008" t="s">
        <v>82</v>
      </c>
      <c r="P1008" t="str">
        <f>"4170047591                    "</f>
        <v xml:space="preserve">4170047591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95.99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6</v>
      </c>
      <c r="BJ1008">
        <v>8.1999999999999993</v>
      </c>
      <c r="BK1008">
        <v>8.5</v>
      </c>
      <c r="BL1008">
        <v>302.41000000000003</v>
      </c>
      <c r="BM1008">
        <v>45.36</v>
      </c>
      <c r="BN1008">
        <v>347.77</v>
      </c>
      <c r="BO1008">
        <v>347.77</v>
      </c>
      <c r="BQ1008" t="s">
        <v>483</v>
      </c>
      <c r="BR1008" t="s">
        <v>84</v>
      </c>
      <c r="BS1008" s="3">
        <v>45848</v>
      </c>
      <c r="BT1008" s="4">
        <v>0.41666666666666669</v>
      </c>
      <c r="BU1008" t="s">
        <v>1746</v>
      </c>
      <c r="BV1008" t="s">
        <v>98</v>
      </c>
      <c r="BY1008">
        <v>41040</v>
      </c>
      <c r="BZ1008" t="s">
        <v>89</v>
      </c>
      <c r="CC1008" t="s">
        <v>136</v>
      </c>
      <c r="CD1008">
        <v>3201</v>
      </c>
      <c r="CE1008" t="s">
        <v>91</v>
      </c>
      <c r="CF1008" s="3">
        <v>45849</v>
      </c>
      <c r="CI1008">
        <v>1</v>
      </c>
      <c r="CJ1008">
        <v>1</v>
      </c>
      <c r="CK1008">
        <v>21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"080066449981"</f>
        <v>080066449981</v>
      </c>
      <c r="F1009" s="3">
        <v>45847</v>
      </c>
      <c r="G1009">
        <v>202604</v>
      </c>
      <c r="H1009" t="s">
        <v>75</v>
      </c>
      <c r="I1009" t="s">
        <v>76</v>
      </c>
      <c r="J1009" t="s">
        <v>77</v>
      </c>
      <c r="K1009" t="s">
        <v>78</v>
      </c>
      <c r="L1009" t="s">
        <v>79</v>
      </c>
      <c r="M1009" t="s">
        <v>80</v>
      </c>
      <c r="N1009" t="s">
        <v>931</v>
      </c>
      <c r="O1009" t="s">
        <v>82</v>
      </c>
      <c r="P1009" t="str">
        <f>"4170047575                    "</f>
        <v xml:space="preserve">4170047575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22.6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0.3</v>
      </c>
      <c r="BK1009">
        <v>1</v>
      </c>
      <c r="BL1009">
        <v>71.2</v>
      </c>
      <c r="BM1009">
        <v>10.68</v>
      </c>
      <c r="BN1009">
        <v>81.88</v>
      </c>
      <c r="BO1009">
        <v>81.88</v>
      </c>
      <c r="BQ1009" t="s">
        <v>932</v>
      </c>
      <c r="BR1009" t="s">
        <v>84</v>
      </c>
      <c r="BS1009" s="3">
        <v>45848</v>
      </c>
      <c r="BT1009" s="4">
        <v>0.42222222222222222</v>
      </c>
      <c r="BU1009" t="s">
        <v>933</v>
      </c>
      <c r="BV1009" t="s">
        <v>98</v>
      </c>
      <c r="BY1009">
        <v>1350</v>
      </c>
      <c r="BZ1009" t="s">
        <v>89</v>
      </c>
      <c r="CA1009" t="s">
        <v>934</v>
      </c>
      <c r="CC1009" t="s">
        <v>80</v>
      </c>
      <c r="CD1009">
        <v>7535</v>
      </c>
      <c r="CE1009" t="s">
        <v>121</v>
      </c>
      <c r="CF1009" s="3">
        <v>45849</v>
      </c>
      <c r="CI1009">
        <v>1</v>
      </c>
      <c r="CJ1009">
        <v>1</v>
      </c>
      <c r="CK1009">
        <v>21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"080066449999"</f>
        <v>080066449999</v>
      </c>
      <c r="F1010" s="3">
        <v>45847</v>
      </c>
      <c r="G1010">
        <v>202604</v>
      </c>
      <c r="H1010" t="s">
        <v>75</v>
      </c>
      <c r="I1010" t="s">
        <v>76</v>
      </c>
      <c r="J1010" t="s">
        <v>77</v>
      </c>
      <c r="K1010" t="s">
        <v>78</v>
      </c>
      <c r="L1010" t="s">
        <v>168</v>
      </c>
      <c r="M1010" t="s">
        <v>169</v>
      </c>
      <c r="N1010" t="s">
        <v>206</v>
      </c>
      <c r="O1010" t="s">
        <v>82</v>
      </c>
      <c r="P1010" t="str">
        <f>"4170047587                    "</f>
        <v xml:space="preserve">4170047587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22.6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0.3</v>
      </c>
      <c r="BK1010">
        <v>1</v>
      </c>
      <c r="BL1010">
        <v>71.2</v>
      </c>
      <c r="BM1010">
        <v>10.68</v>
      </c>
      <c r="BN1010">
        <v>81.88</v>
      </c>
      <c r="BO1010">
        <v>81.88</v>
      </c>
      <c r="BQ1010" t="s">
        <v>207</v>
      </c>
      <c r="BR1010" t="s">
        <v>84</v>
      </c>
      <c r="BS1010" s="3">
        <v>45848</v>
      </c>
      <c r="BT1010" s="4">
        <v>0.40555555555555556</v>
      </c>
      <c r="BU1010" t="s">
        <v>1483</v>
      </c>
      <c r="BV1010" t="s">
        <v>98</v>
      </c>
      <c r="BY1010">
        <v>1350</v>
      </c>
      <c r="BZ1010" t="s">
        <v>89</v>
      </c>
      <c r="CA1010" t="s">
        <v>196</v>
      </c>
      <c r="CC1010" t="s">
        <v>169</v>
      </c>
      <c r="CD1010">
        <v>6001</v>
      </c>
      <c r="CE1010" t="s">
        <v>121</v>
      </c>
      <c r="CF1010" s="3">
        <v>45848</v>
      </c>
      <c r="CI1010">
        <v>1</v>
      </c>
      <c r="CJ1010">
        <v>1</v>
      </c>
      <c r="CK1010">
        <v>21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"080066450019"</f>
        <v>080066450019</v>
      </c>
      <c r="F1011" s="3">
        <v>45847</v>
      </c>
      <c r="G1011">
        <v>202604</v>
      </c>
      <c r="H1011" t="s">
        <v>75</v>
      </c>
      <c r="I1011" t="s">
        <v>76</v>
      </c>
      <c r="J1011" t="s">
        <v>77</v>
      </c>
      <c r="K1011" t="s">
        <v>78</v>
      </c>
      <c r="L1011" t="s">
        <v>168</v>
      </c>
      <c r="M1011" t="s">
        <v>169</v>
      </c>
      <c r="N1011" t="s">
        <v>894</v>
      </c>
      <c r="O1011" t="s">
        <v>82</v>
      </c>
      <c r="P1011" t="str">
        <f>"4170047629                    "</f>
        <v xml:space="preserve">4170047629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22.6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0.3</v>
      </c>
      <c r="BK1011">
        <v>1</v>
      </c>
      <c r="BL1011">
        <v>71.2</v>
      </c>
      <c r="BM1011">
        <v>10.68</v>
      </c>
      <c r="BN1011">
        <v>81.88</v>
      </c>
      <c r="BO1011">
        <v>81.88</v>
      </c>
      <c r="BQ1011" t="s">
        <v>895</v>
      </c>
      <c r="BR1011" t="s">
        <v>84</v>
      </c>
      <c r="BS1011" s="3">
        <v>45848</v>
      </c>
      <c r="BT1011" s="4">
        <v>0.41736111111111113</v>
      </c>
      <c r="BU1011" t="s">
        <v>1747</v>
      </c>
      <c r="BV1011" t="s">
        <v>98</v>
      </c>
      <c r="BY1011">
        <v>1350</v>
      </c>
      <c r="BZ1011" t="s">
        <v>89</v>
      </c>
      <c r="CA1011" t="s">
        <v>282</v>
      </c>
      <c r="CC1011" t="s">
        <v>169</v>
      </c>
      <c r="CD1011">
        <v>6001</v>
      </c>
      <c r="CE1011" t="s">
        <v>121</v>
      </c>
      <c r="CF1011" s="3">
        <v>45848</v>
      </c>
      <c r="CI1011">
        <v>1</v>
      </c>
      <c r="CJ1011">
        <v>1</v>
      </c>
      <c r="CK1011">
        <v>21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"080066450054"</f>
        <v>080066450054</v>
      </c>
      <c r="F1012" s="3">
        <v>45847</v>
      </c>
      <c r="G1012">
        <v>202604</v>
      </c>
      <c r="H1012" t="s">
        <v>75</v>
      </c>
      <c r="I1012" t="s">
        <v>76</v>
      </c>
      <c r="J1012" t="s">
        <v>77</v>
      </c>
      <c r="K1012" t="s">
        <v>78</v>
      </c>
      <c r="L1012" t="s">
        <v>75</v>
      </c>
      <c r="M1012" t="s">
        <v>76</v>
      </c>
      <c r="N1012" t="s">
        <v>622</v>
      </c>
      <c r="O1012" t="s">
        <v>82</v>
      </c>
      <c r="P1012" t="str">
        <f>"4170047639                    "</f>
        <v xml:space="preserve">4170047639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17.649999999999999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0.3</v>
      </c>
      <c r="BK1012">
        <v>1</v>
      </c>
      <c r="BL1012">
        <v>55.61</v>
      </c>
      <c r="BM1012">
        <v>8.34</v>
      </c>
      <c r="BN1012">
        <v>63.95</v>
      </c>
      <c r="BO1012">
        <v>63.95</v>
      </c>
      <c r="BQ1012" t="s">
        <v>623</v>
      </c>
      <c r="BR1012" t="s">
        <v>84</v>
      </c>
      <c r="BS1012" s="3">
        <v>45848</v>
      </c>
      <c r="BT1012" s="4">
        <v>0.3888888888888889</v>
      </c>
      <c r="BU1012" t="s">
        <v>624</v>
      </c>
      <c r="BV1012" t="s">
        <v>98</v>
      </c>
      <c r="BY1012">
        <v>1350</v>
      </c>
      <c r="BZ1012" t="s">
        <v>89</v>
      </c>
      <c r="CA1012" t="s">
        <v>304</v>
      </c>
      <c r="CC1012" t="s">
        <v>76</v>
      </c>
      <c r="CD1012">
        <v>1601</v>
      </c>
      <c r="CE1012" t="s">
        <v>121</v>
      </c>
      <c r="CF1012" s="3">
        <v>45848</v>
      </c>
      <c r="CI1012">
        <v>1</v>
      </c>
      <c r="CJ1012">
        <v>1</v>
      </c>
      <c r="CK1012">
        <v>22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"080066450068"</f>
        <v>080066450068</v>
      </c>
      <c r="F1013" s="3">
        <v>45847</v>
      </c>
      <c r="G1013">
        <v>202604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1158</v>
      </c>
      <c r="O1013" t="s">
        <v>82</v>
      </c>
      <c r="P1013" t="str">
        <f>"4170047519                    "</f>
        <v xml:space="preserve">4170047519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17.649999999999999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0.3</v>
      </c>
      <c r="BK1013">
        <v>1</v>
      </c>
      <c r="BL1013">
        <v>55.61</v>
      </c>
      <c r="BM1013">
        <v>8.34</v>
      </c>
      <c r="BN1013">
        <v>63.95</v>
      </c>
      <c r="BO1013">
        <v>63.95</v>
      </c>
      <c r="BQ1013" t="s">
        <v>1159</v>
      </c>
      <c r="BR1013" t="s">
        <v>84</v>
      </c>
      <c r="BS1013" s="3">
        <v>45848</v>
      </c>
      <c r="BT1013" s="4">
        <v>0.42916666666666664</v>
      </c>
      <c r="BU1013" t="s">
        <v>1718</v>
      </c>
      <c r="BV1013" t="s">
        <v>98</v>
      </c>
      <c r="BY1013">
        <v>1350</v>
      </c>
      <c r="BZ1013" t="s">
        <v>89</v>
      </c>
      <c r="CA1013" t="s">
        <v>304</v>
      </c>
      <c r="CC1013" t="s">
        <v>76</v>
      </c>
      <c r="CD1013">
        <v>1619</v>
      </c>
      <c r="CE1013" t="s">
        <v>121</v>
      </c>
      <c r="CF1013" s="3">
        <v>45848</v>
      </c>
      <c r="CI1013">
        <v>1</v>
      </c>
      <c r="CJ1013">
        <v>1</v>
      </c>
      <c r="CK1013">
        <v>22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"080066450095"</f>
        <v>080066450095</v>
      </c>
      <c r="F1014" s="3">
        <v>45847</v>
      </c>
      <c r="G1014">
        <v>202604</v>
      </c>
      <c r="H1014" t="s">
        <v>75</v>
      </c>
      <c r="I1014" t="s">
        <v>76</v>
      </c>
      <c r="J1014" t="s">
        <v>77</v>
      </c>
      <c r="K1014" t="s">
        <v>78</v>
      </c>
      <c r="L1014" t="s">
        <v>240</v>
      </c>
      <c r="M1014" t="s">
        <v>241</v>
      </c>
      <c r="N1014" t="s">
        <v>447</v>
      </c>
      <c r="O1014" t="s">
        <v>82</v>
      </c>
      <c r="P1014" t="str">
        <f>"4170047522                    "</f>
        <v xml:space="preserve">4170047522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17.649999999999999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0.3</v>
      </c>
      <c r="BK1014">
        <v>1</v>
      </c>
      <c r="BL1014">
        <v>55.61</v>
      </c>
      <c r="BM1014">
        <v>8.34</v>
      </c>
      <c r="BN1014">
        <v>63.95</v>
      </c>
      <c r="BO1014">
        <v>63.95</v>
      </c>
      <c r="BQ1014" t="s">
        <v>448</v>
      </c>
      <c r="BR1014" t="s">
        <v>84</v>
      </c>
      <c r="BS1014" s="3">
        <v>45848</v>
      </c>
      <c r="BT1014" s="4">
        <v>0.375</v>
      </c>
      <c r="BU1014" t="s">
        <v>564</v>
      </c>
      <c r="BV1014" t="s">
        <v>98</v>
      </c>
      <c r="BY1014">
        <v>1350</v>
      </c>
      <c r="BZ1014" t="s">
        <v>89</v>
      </c>
      <c r="CA1014" t="s">
        <v>451</v>
      </c>
      <c r="CC1014" t="s">
        <v>241</v>
      </c>
      <c r="CD1014">
        <v>2094</v>
      </c>
      <c r="CE1014" t="s">
        <v>239</v>
      </c>
      <c r="CF1014" s="3">
        <v>45848</v>
      </c>
      <c r="CI1014">
        <v>1</v>
      </c>
      <c r="CJ1014">
        <v>1</v>
      </c>
      <c r="CK1014">
        <v>22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"080066450114"</f>
        <v>080066450114</v>
      </c>
      <c r="F1015" s="3">
        <v>45847</v>
      </c>
      <c r="G1015">
        <v>202604</v>
      </c>
      <c r="H1015" t="s">
        <v>75</v>
      </c>
      <c r="I1015" t="s">
        <v>76</v>
      </c>
      <c r="J1015" t="s">
        <v>77</v>
      </c>
      <c r="K1015" t="s">
        <v>78</v>
      </c>
      <c r="L1015" t="s">
        <v>295</v>
      </c>
      <c r="M1015" t="s">
        <v>296</v>
      </c>
      <c r="N1015" t="s">
        <v>1063</v>
      </c>
      <c r="O1015" t="s">
        <v>82</v>
      </c>
      <c r="P1015" t="str">
        <f>"4170047502                    "</f>
        <v xml:space="preserve">4170047502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17.649999999999999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0.3</v>
      </c>
      <c r="BK1015">
        <v>1</v>
      </c>
      <c r="BL1015">
        <v>55.61</v>
      </c>
      <c r="BM1015">
        <v>8.34</v>
      </c>
      <c r="BN1015">
        <v>63.95</v>
      </c>
      <c r="BO1015">
        <v>63.95</v>
      </c>
      <c r="BQ1015" t="s">
        <v>1064</v>
      </c>
      <c r="BR1015" t="s">
        <v>84</v>
      </c>
      <c r="BS1015" s="3">
        <v>45848</v>
      </c>
      <c r="BT1015" s="4">
        <v>0.38750000000000001</v>
      </c>
      <c r="BU1015" t="s">
        <v>1065</v>
      </c>
      <c r="BV1015" t="s">
        <v>98</v>
      </c>
      <c r="BY1015">
        <v>1350</v>
      </c>
      <c r="BZ1015" t="s">
        <v>89</v>
      </c>
      <c r="CA1015" t="s">
        <v>300</v>
      </c>
      <c r="CC1015" t="s">
        <v>296</v>
      </c>
      <c r="CD1015">
        <v>1459</v>
      </c>
      <c r="CE1015" t="s">
        <v>239</v>
      </c>
      <c r="CF1015" s="3">
        <v>45849</v>
      </c>
      <c r="CI1015">
        <v>1</v>
      </c>
      <c r="CJ1015">
        <v>1</v>
      </c>
      <c r="CK1015">
        <v>22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"080066450144"</f>
        <v>080066450144</v>
      </c>
      <c r="F1016" s="3">
        <v>45847</v>
      </c>
      <c r="G1016">
        <v>202604</v>
      </c>
      <c r="H1016" t="s">
        <v>75</v>
      </c>
      <c r="I1016" t="s">
        <v>76</v>
      </c>
      <c r="J1016" t="s">
        <v>77</v>
      </c>
      <c r="K1016" t="s">
        <v>78</v>
      </c>
      <c r="L1016" t="s">
        <v>146</v>
      </c>
      <c r="M1016" t="s">
        <v>146</v>
      </c>
      <c r="N1016" t="s">
        <v>633</v>
      </c>
      <c r="O1016" t="s">
        <v>82</v>
      </c>
      <c r="P1016" t="str">
        <f>"4170047625                    "</f>
        <v xml:space="preserve">4170047625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43.78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0.3</v>
      </c>
      <c r="BK1016">
        <v>1</v>
      </c>
      <c r="BL1016">
        <v>137.94</v>
      </c>
      <c r="BM1016">
        <v>20.69</v>
      </c>
      <c r="BN1016">
        <v>158.63</v>
      </c>
      <c r="BO1016">
        <v>158.63</v>
      </c>
      <c r="BQ1016" t="s">
        <v>634</v>
      </c>
      <c r="BR1016" t="s">
        <v>84</v>
      </c>
      <c r="BS1016" s="3">
        <v>45848</v>
      </c>
      <c r="BT1016" s="4">
        <v>0.49861111111111112</v>
      </c>
      <c r="BU1016" t="s">
        <v>1748</v>
      </c>
      <c r="BV1016" t="s">
        <v>98</v>
      </c>
      <c r="BY1016">
        <v>1350</v>
      </c>
      <c r="BZ1016" t="s">
        <v>89</v>
      </c>
      <c r="CA1016" t="s">
        <v>989</v>
      </c>
      <c r="CC1016" t="s">
        <v>146</v>
      </c>
      <c r="CD1016">
        <v>7646</v>
      </c>
      <c r="CE1016" t="s">
        <v>239</v>
      </c>
      <c r="CF1016" s="3">
        <v>45849</v>
      </c>
      <c r="CI1016">
        <v>1</v>
      </c>
      <c r="CJ1016">
        <v>1</v>
      </c>
      <c r="CK1016">
        <v>23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"080066450162"</f>
        <v>080066450162</v>
      </c>
      <c r="F1017" s="3">
        <v>45847</v>
      </c>
      <c r="G1017">
        <v>202604</v>
      </c>
      <c r="H1017" t="s">
        <v>75</v>
      </c>
      <c r="I1017" t="s">
        <v>76</v>
      </c>
      <c r="J1017" t="s">
        <v>77</v>
      </c>
      <c r="K1017" t="s">
        <v>78</v>
      </c>
      <c r="L1017" t="s">
        <v>135</v>
      </c>
      <c r="M1017" t="s">
        <v>136</v>
      </c>
      <c r="N1017" t="s">
        <v>1093</v>
      </c>
      <c r="O1017" t="s">
        <v>82</v>
      </c>
      <c r="P1017" t="str">
        <f>"4170047609                    "</f>
        <v xml:space="preserve">4170047609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22.6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71.2</v>
      </c>
      <c r="BM1017">
        <v>10.68</v>
      </c>
      <c r="BN1017">
        <v>81.88</v>
      </c>
      <c r="BO1017">
        <v>81.88</v>
      </c>
      <c r="BQ1017" t="s">
        <v>1094</v>
      </c>
      <c r="BR1017" t="s">
        <v>84</v>
      </c>
      <c r="BS1017" s="3">
        <v>45848</v>
      </c>
      <c r="BT1017" s="4">
        <v>0.41666666666666669</v>
      </c>
      <c r="BU1017" t="s">
        <v>1749</v>
      </c>
      <c r="BV1017" t="s">
        <v>98</v>
      </c>
      <c r="BY1017">
        <v>1200</v>
      </c>
      <c r="BZ1017" t="s">
        <v>89</v>
      </c>
      <c r="CA1017" t="s">
        <v>1602</v>
      </c>
      <c r="CC1017" t="s">
        <v>136</v>
      </c>
      <c r="CD1017">
        <v>3201</v>
      </c>
      <c r="CE1017" t="s">
        <v>239</v>
      </c>
      <c r="CF1017" s="3">
        <v>45849</v>
      </c>
      <c r="CI1017">
        <v>1</v>
      </c>
      <c r="CJ1017">
        <v>1</v>
      </c>
      <c r="CK1017">
        <v>21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"080066450161"</f>
        <v>080066450161</v>
      </c>
      <c r="F1018" s="3">
        <v>45847</v>
      </c>
      <c r="G1018">
        <v>202604</v>
      </c>
      <c r="H1018" t="s">
        <v>75</v>
      </c>
      <c r="I1018" t="s">
        <v>76</v>
      </c>
      <c r="J1018" t="s">
        <v>77</v>
      </c>
      <c r="K1018" t="s">
        <v>78</v>
      </c>
      <c r="L1018" t="s">
        <v>240</v>
      </c>
      <c r="M1018" t="s">
        <v>241</v>
      </c>
      <c r="N1018" t="s">
        <v>1287</v>
      </c>
      <c r="O1018" t="s">
        <v>82</v>
      </c>
      <c r="P1018" t="str">
        <f>"4170047506                    "</f>
        <v xml:space="preserve">4170047506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17.649999999999999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0.3</v>
      </c>
      <c r="BK1018">
        <v>1</v>
      </c>
      <c r="BL1018">
        <v>55.61</v>
      </c>
      <c r="BM1018">
        <v>8.34</v>
      </c>
      <c r="BN1018">
        <v>63.95</v>
      </c>
      <c r="BO1018">
        <v>63.95</v>
      </c>
      <c r="BQ1018" t="s">
        <v>1288</v>
      </c>
      <c r="BR1018" t="s">
        <v>84</v>
      </c>
      <c r="BS1018" s="3">
        <v>45848</v>
      </c>
      <c r="BT1018" s="4">
        <v>0.40625</v>
      </c>
      <c r="BU1018" t="s">
        <v>1750</v>
      </c>
      <c r="BV1018" t="s">
        <v>98</v>
      </c>
      <c r="BY1018">
        <v>1350</v>
      </c>
      <c r="BZ1018" t="s">
        <v>89</v>
      </c>
      <c r="CA1018" t="s">
        <v>1738</v>
      </c>
      <c r="CC1018" t="s">
        <v>241</v>
      </c>
      <c r="CD1018">
        <v>2091</v>
      </c>
      <c r="CE1018" t="s">
        <v>239</v>
      </c>
      <c r="CF1018" s="3">
        <v>45849</v>
      </c>
      <c r="CI1018">
        <v>1</v>
      </c>
      <c r="CJ1018">
        <v>1</v>
      </c>
      <c r="CK1018">
        <v>22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"080066450181"</f>
        <v>080066450181</v>
      </c>
      <c r="F1019" s="3">
        <v>45847</v>
      </c>
      <c r="G1019">
        <v>202604</v>
      </c>
      <c r="H1019" t="s">
        <v>75</v>
      </c>
      <c r="I1019" t="s">
        <v>76</v>
      </c>
      <c r="J1019" t="s">
        <v>77</v>
      </c>
      <c r="K1019" t="s">
        <v>78</v>
      </c>
      <c r="L1019" t="s">
        <v>102</v>
      </c>
      <c r="M1019" t="s">
        <v>103</v>
      </c>
      <c r="N1019" t="s">
        <v>1643</v>
      </c>
      <c r="O1019" t="s">
        <v>82</v>
      </c>
      <c r="P1019" t="str">
        <f>"4170047533                    "</f>
        <v xml:space="preserve">4170047533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31.78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0.3</v>
      </c>
      <c r="BK1019">
        <v>1</v>
      </c>
      <c r="BL1019">
        <v>100.13</v>
      </c>
      <c r="BM1019">
        <v>15.02</v>
      </c>
      <c r="BN1019">
        <v>115.15</v>
      </c>
      <c r="BO1019">
        <v>115.15</v>
      </c>
      <c r="BQ1019" t="s">
        <v>1644</v>
      </c>
      <c r="BR1019" t="s">
        <v>84</v>
      </c>
      <c r="BS1019" s="3">
        <v>45848</v>
      </c>
      <c r="BT1019" s="4">
        <v>0.35138888888888886</v>
      </c>
      <c r="BU1019" t="s">
        <v>1709</v>
      </c>
      <c r="BV1019" t="s">
        <v>98</v>
      </c>
      <c r="BY1019">
        <v>1350</v>
      </c>
      <c r="BZ1019" t="s">
        <v>89</v>
      </c>
      <c r="CA1019" t="s">
        <v>109</v>
      </c>
      <c r="CC1019" t="s">
        <v>103</v>
      </c>
      <c r="CD1019">
        <v>1748</v>
      </c>
      <c r="CE1019" t="s">
        <v>239</v>
      </c>
      <c r="CF1019" s="3">
        <v>45849</v>
      </c>
      <c r="CI1019">
        <v>1</v>
      </c>
      <c r="CJ1019">
        <v>1</v>
      </c>
      <c r="CK1019">
        <v>24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"080066450193"</f>
        <v>080066450193</v>
      </c>
      <c r="F1020" s="3">
        <v>45847</v>
      </c>
      <c r="G1020">
        <v>202604</v>
      </c>
      <c r="H1020" t="s">
        <v>75</v>
      </c>
      <c r="I1020" t="s">
        <v>76</v>
      </c>
      <c r="J1020" t="s">
        <v>77</v>
      </c>
      <c r="K1020" t="s">
        <v>78</v>
      </c>
      <c r="L1020" t="s">
        <v>151</v>
      </c>
      <c r="M1020" t="s">
        <v>152</v>
      </c>
      <c r="N1020" t="s">
        <v>1568</v>
      </c>
      <c r="O1020" t="s">
        <v>82</v>
      </c>
      <c r="P1020" t="str">
        <f>"4170047524                    "</f>
        <v xml:space="preserve">4170047524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22.6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71.2</v>
      </c>
      <c r="BM1020">
        <v>10.68</v>
      </c>
      <c r="BN1020">
        <v>81.88</v>
      </c>
      <c r="BO1020">
        <v>81.88</v>
      </c>
      <c r="BQ1020" t="s">
        <v>1569</v>
      </c>
      <c r="BR1020" t="s">
        <v>84</v>
      </c>
      <c r="BS1020" s="3">
        <v>45848</v>
      </c>
      <c r="BT1020" s="4">
        <v>0.33194444444444443</v>
      </c>
      <c r="BU1020" t="s">
        <v>1570</v>
      </c>
      <c r="BV1020" t="s">
        <v>98</v>
      </c>
      <c r="BY1020">
        <v>1200</v>
      </c>
      <c r="BZ1020" t="s">
        <v>89</v>
      </c>
      <c r="CA1020" t="s">
        <v>906</v>
      </c>
      <c r="CC1020" t="s">
        <v>152</v>
      </c>
      <c r="CD1020" s="5" t="s">
        <v>907</v>
      </c>
      <c r="CE1020" t="s">
        <v>239</v>
      </c>
      <c r="CF1020" s="3">
        <v>45848</v>
      </c>
      <c r="CI1020">
        <v>1</v>
      </c>
      <c r="CJ1020">
        <v>1</v>
      </c>
      <c r="CK1020">
        <v>21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"080066450209"</f>
        <v>080066450209</v>
      </c>
      <c r="F1021" s="3">
        <v>45847</v>
      </c>
      <c r="G1021">
        <v>202604</v>
      </c>
      <c r="H1021" t="s">
        <v>75</v>
      </c>
      <c r="I1021" t="s">
        <v>76</v>
      </c>
      <c r="J1021" t="s">
        <v>77</v>
      </c>
      <c r="K1021" t="s">
        <v>78</v>
      </c>
      <c r="L1021" t="s">
        <v>79</v>
      </c>
      <c r="M1021" t="s">
        <v>80</v>
      </c>
      <c r="N1021" t="s">
        <v>1751</v>
      </c>
      <c r="O1021" t="s">
        <v>82</v>
      </c>
      <c r="P1021" t="str">
        <f>"4170047600                    "</f>
        <v xml:space="preserve">4170047600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22.6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71.2</v>
      </c>
      <c r="BM1021">
        <v>10.68</v>
      </c>
      <c r="BN1021">
        <v>81.88</v>
      </c>
      <c r="BO1021">
        <v>81.88</v>
      </c>
      <c r="BQ1021" t="s">
        <v>1752</v>
      </c>
      <c r="BR1021" t="s">
        <v>84</v>
      </c>
      <c r="BS1021" s="3">
        <v>45848</v>
      </c>
      <c r="BT1021" s="4">
        <v>0.43055555555555558</v>
      </c>
      <c r="BU1021" t="s">
        <v>1753</v>
      </c>
      <c r="BV1021" t="s">
        <v>98</v>
      </c>
      <c r="BY1021">
        <v>1200</v>
      </c>
      <c r="BZ1021" t="s">
        <v>89</v>
      </c>
      <c r="CA1021" t="s">
        <v>162</v>
      </c>
      <c r="CC1021" t="s">
        <v>80</v>
      </c>
      <c r="CD1021">
        <v>7441</v>
      </c>
      <c r="CE1021" t="s">
        <v>239</v>
      </c>
      <c r="CF1021" s="3">
        <v>45849</v>
      </c>
      <c r="CI1021">
        <v>1</v>
      </c>
      <c r="CJ1021">
        <v>1</v>
      </c>
      <c r="CK1021">
        <v>21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"080066450227"</f>
        <v>080066450227</v>
      </c>
      <c r="F1022" s="3">
        <v>45847</v>
      </c>
      <c r="G1022">
        <v>202604</v>
      </c>
      <c r="H1022" t="s">
        <v>75</v>
      </c>
      <c r="I1022" t="s">
        <v>76</v>
      </c>
      <c r="J1022" t="s">
        <v>77</v>
      </c>
      <c r="K1022" t="s">
        <v>78</v>
      </c>
      <c r="L1022" t="s">
        <v>240</v>
      </c>
      <c r="M1022" t="s">
        <v>241</v>
      </c>
      <c r="N1022" t="s">
        <v>272</v>
      </c>
      <c r="O1022" t="s">
        <v>82</v>
      </c>
      <c r="P1022" t="str">
        <f>"4170047620                    "</f>
        <v xml:space="preserve">4170047620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22.6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16.739999999999998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87.94</v>
      </c>
      <c r="BM1022">
        <v>13.19</v>
      </c>
      <c r="BN1022">
        <v>101.13</v>
      </c>
      <c r="BO1022">
        <v>101.13</v>
      </c>
      <c r="BQ1022" t="s">
        <v>273</v>
      </c>
      <c r="BR1022" t="s">
        <v>84</v>
      </c>
      <c r="BS1022" s="3">
        <v>45853</v>
      </c>
      <c r="BT1022" s="4">
        <v>0.52638888888888891</v>
      </c>
      <c r="BU1022" t="s">
        <v>383</v>
      </c>
      <c r="BV1022" t="s">
        <v>86</v>
      </c>
      <c r="BY1022">
        <v>1200</v>
      </c>
      <c r="BZ1022" t="s">
        <v>460</v>
      </c>
      <c r="CA1022" t="s">
        <v>384</v>
      </c>
      <c r="CC1022" t="s">
        <v>241</v>
      </c>
      <c r="CD1022">
        <v>1832</v>
      </c>
      <c r="CE1022" t="s">
        <v>239</v>
      </c>
      <c r="CI1022">
        <v>0</v>
      </c>
      <c r="CJ1022">
        <v>0</v>
      </c>
      <c r="CK1022">
        <v>21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"080066450246"</f>
        <v>080066450246</v>
      </c>
      <c r="F1023" s="3">
        <v>45847</v>
      </c>
      <c r="G1023">
        <v>202604</v>
      </c>
      <c r="H1023" t="s">
        <v>75</v>
      </c>
      <c r="I1023" t="s">
        <v>76</v>
      </c>
      <c r="J1023" t="s">
        <v>77</v>
      </c>
      <c r="K1023" t="s">
        <v>78</v>
      </c>
      <c r="L1023" t="s">
        <v>168</v>
      </c>
      <c r="M1023" t="s">
        <v>169</v>
      </c>
      <c r="N1023" t="s">
        <v>959</v>
      </c>
      <c r="O1023" t="s">
        <v>82</v>
      </c>
      <c r="P1023" t="str">
        <f>"4170047571                    "</f>
        <v xml:space="preserve">4170047571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22.6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71.2</v>
      </c>
      <c r="BM1023">
        <v>10.68</v>
      </c>
      <c r="BN1023">
        <v>81.88</v>
      </c>
      <c r="BO1023">
        <v>81.88</v>
      </c>
      <c r="BQ1023" t="s">
        <v>960</v>
      </c>
      <c r="BR1023" t="s">
        <v>84</v>
      </c>
      <c r="BS1023" s="3">
        <v>45848</v>
      </c>
      <c r="BT1023" s="4">
        <v>0.39791666666666664</v>
      </c>
      <c r="BU1023" t="s">
        <v>961</v>
      </c>
      <c r="BV1023" t="s">
        <v>98</v>
      </c>
      <c r="BY1023">
        <v>1200</v>
      </c>
      <c r="BZ1023" t="s">
        <v>89</v>
      </c>
      <c r="CA1023" t="s">
        <v>345</v>
      </c>
      <c r="CC1023" t="s">
        <v>169</v>
      </c>
      <c r="CD1023">
        <v>6001</v>
      </c>
      <c r="CE1023" t="s">
        <v>239</v>
      </c>
      <c r="CF1023" s="3">
        <v>45848</v>
      </c>
      <c r="CI1023">
        <v>1</v>
      </c>
      <c r="CJ1023">
        <v>1</v>
      </c>
      <c r="CK1023">
        <v>21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"080066450265"</f>
        <v>080066450265</v>
      </c>
      <c r="F1024" s="3">
        <v>45847</v>
      </c>
      <c r="G1024">
        <v>202604</v>
      </c>
      <c r="H1024" t="s">
        <v>75</v>
      </c>
      <c r="I1024" t="s">
        <v>76</v>
      </c>
      <c r="J1024" t="s">
        <v>77</v>
      </c>
      <c r="K1024" t="s">
        <v>78</v>
      </c>
      <c r="L1024" t="s">
        <v>168</v>
      </c>
      <c r="M1024" t="s">
        <v>169</v>
      </c>
      <c r="N1024" t="s">
        <v>206</v>
      </c>
      <c r="O1024" t="s">
        <v>82</v>
      </c>
      <c r="P1024" t="str">
        <f>"4170047588                    "</f>
        <v xml:space="preserve">4170047588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22.6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71.2</v>
      </c>
      <c r="BM1024">
        <v>10.68</v>
      </c>
      <c r="BN1024">
        <v>81.88</v>
      </c>
      <c r="BO1024">
        <v>81.88</v>
      </c>
      <c r="BQ1024" t="s">
        <v>207</v>
      </c>
      <c r="BR1024" t="s">
        <v>84</v>
      </c>
      <c r="BS1024" s="3">
        <v>45848</v>
      </c>
      <c r="BT1024" s="4">
        <v>0.40555555555555556</v>
      </c>
      <c r="BU1024" t="s">
        <v>1483</v>
      </c>
      <c r="BV1024" t="s">
        <v>98</v>
      </c>
      <c r="BY1024">
        <v>1200</v>
      </c>
      <c r="BZ1024" t="s">
        <v>89</v>
      </c>
      <c r="CA1024" t="s">
        <v>196</v>
      </c>
      <c r="CC1024" t="s">
        <v>169</v>
      </c>
      <c r="CD1024">
        <v>6001</v>
      </c>
      <c r="CE1024" t="s">
        <v>239</v>
      </c>
      <c r="CF1024" s="3">
        <v>45848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"080066450288"</f>
        <v>080066450288</v>
      </c>
      <c r="F1025" s="3">
        <v>45847</v>
      </c>
      <c r="G1025">
        <v>202604</v>
      </c>
      <c r="H1025" t="s">
        <v>75</v>
      </c>
      <c r="I1025" t="s">
        <v>76</v>
      </c>
      <c r="J1025" t="s">
        <v>77</v>
      </c>
      <c r="K1025" t="s">
        <v>78</v>
      </c>
      <c r="L1025" t="s">
        <v>102</v>
      </c>
      <c r="M1025" t="s">
        <v>103</v>
      </c>
      <c r="N1025" t="s">
        <v>352</v>
      </c>
      <c r="O1025" t="s">
        <v>82</v>
      </c>
      <c r="P1025" t="str">
        <f>"4170047521                    "</f>
        <v xml:space="preserve">4170047521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31.78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100.13</v>
      </c>
      <c r="BM1025">
        <v>15.02</v>
      </c>
      <c r="BN1025">
        <v>115.15</v>
      </c>
      <c r="BO1025">
        <v>115.15</v>
      </c>
      <c r="BQ1025" t="s">
        <v>353</v>
      </c>
      <c r="BR1025" t="s">
        <v>84</v>
      </c>
      <c r="BS1025" s="3">
        <v>45848</v>
      </c>
      <c r="BT1025" s="4">
        <v>0.67152777777777772</v>
      </c>
      <c r="BU1025" t="s">
        <v>1754</v>
      </c>
      <c r="BV1025" t="s">
        <v>98</v>
      </c>
      <c r="BY1025">
        <v>1200</v>
      </c>
      <c r="BZ1025" t="s">
        <v>89</v>
      </c>
      <c r="CA1025" t="s">
        <v>522</v>
      </c>
      <c r="CC1025" t="s">
        <v>103</v>
      </c>
      <c r="CD1025">
        <v>1754</v>
      </c>
      <c r="CE1025" t="s">
        <v>239</v>
      </c>
      <c r="CF1025" s="3">
        <v>45849</v>
      </c>
      <c r="CI1025">
        <v>1</v>
      </c>
      <c r="CJ1025">
        <v>1</v>
      </c>
      <c r="CK1025">
        <v>24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"080066450477"</f>
        <v>080066450477</v>
      </c>
      <c r="F1026" s="3">
        <v>45847</v>
      </c>
      <c r="G1026">
        <v>202604</v>
      </c>
      <c r="H1026" t="s">
        <v>75</v>
      </c>
      <c r="I1026" t="s">
        <v>76</v>
      </c>
      <c r="J1026" t="s">
        <v>77</v>
      </c>
      <c r="K1026" t="s">
        <v>78</v>
      </c>
      <c r="L1026" t="s">
        <v>122</v>
      </c>
      <c r="M1026" t="s">
        <v>123</v>
      </c>
      <c r="N1026" t="s">
        <v>1142</v>
      </c>
      <c r="O1026" t="s">
        <v>82</v>
      </c>
      <c r="P1026" t="str">
        <f>"4170047499                    "</f>
        <v xml:space="preserve">4170047499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50.82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4.5</v>
      </c>
      <c r="BK1026">
        <v>4.5</v>
      </c>
      <c r="BL1026">
        <v>160.12</v>
      </c>
      <c r="BM1026">
        <v>24.02</v>
      </c>
      <c r="BN1026">
        <v>184.14</v>
      </c>
      <c r="BO1026">
        <v>184.14</v>
      </c>
      <c r="BQ1026" t="s">
        <v>1143</v>
      </c>
      <c r="BR1026" t="s">
        <v>84</v>
      </c>
      <c r="BS1026" s="3">
        <v>45848</v>
      </c>
      <c r="BT1026" s="4">
        <v>0.50555555555555554</v>
      </c>
      <c r="BU1026" t="s">
        <v>1755</v>
      </c>
      <c r="BV1026" t="s">
        <v>86</v>
      </c>
      <c r="BW1026" t="s">
        <v>219</v>
      </c>
      <c r="BX1026" t="s">
        <v>1435</v>
      </c>
      <c r="BY1026">
        <v>22620</v>
      </c>
      <c r="BZ1026" t="s">
        <v>89</v>
      </c>
      <c r="CC1026" t="s">
        <v>123</v>
      </c>
      <c r="CD1026">
        <v>3620</v>
      </c>
      <c r="CE1026" t="s">
        <v>117</v>
      </c>
      <c r="CF1026" s="3">
        <v>45849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"080066450498"</f>
        <v>080066450498</v>
      </c>
      <c r="F1027" s="3">
        <v>45847</v>
      </c>
      <c r="G1027">
        <v>202604</v>
      </c>
      <c r="H1027" t="s">
        <v>75</v>
      </c>
      <c r="I1027" t="s">
        <v>76</v>
      </c>
      <c r="J1027" t="s">
        <v>77</v>
      </c>
      <c r="K1027" t="s">
        <v>78</v>
      </c>
      <c r="L1027" t="s">
        <v>252</v>
      </c>
      <c r="M1027" t="s">
        <v>253</v>
      </c>
      <c r="N1027" t="s">
        <v>1107</v>
      </c>
      <c r="O1027" t="s">
        <v>82</v>
      </c>
      <c r="P1027" t="str">
        <f>"4170047606                    "</f>
        <v xml:space="preserve">4170047606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43.78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137.94</v>
      </c>
      <c r="BM1027">
        <v>20.69</v>
      </c>
      <c r="BN1027">
        <v>158.63</v>
      </c>
      <c r="BO1027">
        <v>158.63</v>
      </c>
      <c r="BQ1027" t="s">
        <v>1164</v>
      </c>
      <c r="BR1027" t="s">
        <v>84</v>
      </c>
      <c r="BS1027" s="3">
        <v>45848</v>
      </c>
      <c r="BT1027" s="4">
        <v>0.43194444444444446</v>
      </c>
      <c r="BU1027" t="s">
        <v>1756</v>
      </c>
      <c r="BV1027" t="s">
        <v>98</v>
      </c>
      <c r="BY1027">
        <v>1200</v>
      </c>
      <c r="BZ1027" t="s">
        <v>89</v>
      </c>
      <c r="CA1027" t="s">
        <v>328</v>
      </c>
      <c r="CC1027" t="s">
        <v>253</v>
      </c>
      <c r="CD1027">
        <v>1947</v>
      </c>
      <c r="CE1027" t="s">
        <v>239</v>
      </c>
      <c r="CF1027" s="3">
        <v>45848</v>
      </c>
      <c r="CI1027">
        <v>1</v>
      </c>
      <c r="CJ1027">
        <v>1</v>
      </c>
      <c r="CK1027">
        <v>23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"080066450539"</f>
        <v>080066450539</v>
      </c>
      <c r="F1028" s="3">
        <v>45847</v>
      </c>
      <c r="G1028">
        <v>202604</v>
      </c>
      <c r="H1028" t="s">
        <v>75</v>
      </c>
      <c r="I1028" t="s">
        <v>76</v>
      </c>
      <c r="J1028" t="s">
        <v>77</v>
      </c>
      <c r="K1028" t="s">
        <v>78</v>
      </c>
      <c r="L1028" t="s">
        <v>92</v>
      </c>
      <c r="M1028" t="s">
        <v>93</v>
      </c>
      <c r="N1028" t="s">
        <v>334</v>
      </c>
      <c r="O1028" t="s">
        <v>82</v>
      </c>
      <c r="P1028" t="str">
        <f>"4170047595                    "</f>
        <v xml:space="preserve">4170047595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22.6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71.2</v>
      </c>
      <c r="BM1028">
        <v>10.68</v>
      </c>
      <c r="BN1028">
        <v>81.88</v>
      </c>
      <c r="BO1028">
        <v>81.88</v>
      </c>
      <c r="BQ1028" t="s">
        <v>335</v>
      </c>
      <c r="BR1028" t="s">
        <v>84</v>
      </c>
      <c r="BS1028" s="3">
        <v>45848</v>
      </c>
      <c r="BT1028" s="4">
        <v>0.42708333333333331</v>
      </c>
      <c r="BU1028" t="s">
        <v>1365</v>
      </c>
      <c r="BV1028" t="s">
        <v>98</v>
      </c>
      <c r="BY1028">
        <v>1200</v>
      </c>
      <c r="BZ1028" t="s">
        <v>89</v>
      </c>
      <c r="CA1028" t="s">
        <v>337</v>
      </c>
      <c r="CC1028" t="s">
        <v>93</v>
      </c>
      <c r="CD1028">
        <v>4052</v>
      </c>
      <c r="CE1028" t="s">
        <v>239</v>
      </c>
      <c r="CF1028" s="3">
        <v>45848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"080066450548"</f>
        <v>080066450548</v>
      </c>
      <c r="F1029" s="3">
        <v>45847</v>
      </c>
      <c r="G1029">
        <v>202604</v>
      </c>
      <c r="H1029" t="s">
        <v>75</v>
      </c>
      <c r="I1029" t="s">
        <v>76</v>
      </c>
      <c r="J1029" t="s">
        <v>77</v>
      </c>
      <c r="K1029" t="s">
        <v>78</v>
      </c>
      <c r="L1029" t="s">
        <v>1462</v>
      </c>
      <c r="M1029" t="s">
        <v>1463</v>
      </c>
      <c r="N1029" t="s">
        <v>1464</v>
      </c>
      <c r="O1029" t="s">
        <v>82</v>
      </c>
      <c r="P1029" t="str">
        <f>"4170047635                    "</f>
        <v xml:space="preserve">4170047635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43.78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137.94</v>
      </c>
      <c r="BM1029">
        <v>20.69</v>
      </c>
      <c r="BN1029">
        <v>158.63</v>
      </c>
      <c r="BO1029">
        <v>158.63</v>
      </c>
      <c r="BQ1029" t="s">
        <v>1465</v>
      </c>
      <c r="BR1029" t="s">
        <v>84</v>
      </c>
      <c r="BS1029" s="3">
        <v>45848</v>
      </c>
      <c r="BT1029" s="4">
        <v>0.41666666666666669</v>
      </c>
      <c r="BU1029" t="s">
        <v>1745</v>
      </c>
      <c r="BV1029" t="s">
        <v>98</v>
      </c>
      <c r="BY1029">
        <v>1200</v>
      </c>
      <c r="BZ1029" t="s">
        <v>89</v>
      </c>
      <c r="CA1029" t="s">
        <v>1467</v>
      </c>
      <c r="CC1029" t="s">
        <v>1463</v>
      </c>
      <c r="CD1029">
        <v>3290</v>
      </c>
      <c r="CE1029" t="s">
        <v>239</v>
      </c>
      <c r="CF1029" s="3">
        <v>45848</v>
      </c>
      <c r="CI1029">
        <v>1</v>
      </c>
      <c r="CJ1029">
        <v>1</v>
      </c>
      <c r="CK1029">
        <v>23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"080066451162"</f>
        <v>080066451162</v>
      </c>
      <c r="F1030" s="3">
        <v>45847</v>
      </c>
      <c r="G1030">
        <v>202604</v>
      </c>
      <c r="H1030" t="s">
        <v>75</v>
      </c>
      <c r="I1030" t="s">
        <v>76</v>
      </c>
      <c r="J1030" t="s">
        <v>77</v>
      </c>
      <c r="K1030" t="s">
        <v>78</v>
      </c>
      <c r="L1030" t="s">
        <v>168</v>
      </c>
      <c r="M1030" t="s">
        <v>169</v>
      </c>
      <c r="N1030" t="s">
        <v>412</v>
      </c>
      <c r="O1030" t="s">
        <v>82</v>
      </c>
      <c r="P1030" t="str">
        <f>"4170047554                    "</f>
        <v xml:space="preserve">4170047554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22.6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0.3</v>
      </c>
      <c r="BK1030">
        <v>1</v>
      </c>
      <c r="BL1030">
        <v>71.2</v>
      </c>
      <c r="BM1030">
        <v>10.68</v>
      </c>
      <c r="BN1030">
        <v>81.88</v>
      </c>
      <c r="BO1030">
        <v>81.88</v>
      </c>
      <c r="BQ1030" t="s">
        <v>413</v>
      </c>
      <c r="BR1030" t="s">
        <v>84</v>
      </c>
      <c r="BS1030" s="3">
        <v>45848</v>
      </c>
      <c r="BT1030" s="4">
        <v>0.38333333333333336</v>
      </c>
      <c r="BU1030" t="s">
        <v>470</v>
      </c>
      <c r="BV1030" t="s">
        <v>98</v>
      </c>
      <c r="BY1030">
        <v>1350</v>
      </c>
      <c r="BZ1030" t="s">
        <v>89</v>
      </c>
      <c r="CA1030" t="s">
        <v>415</v>
      </c>
      <c r="CC1030" t="s">
        <v>169</v>
      </c>
      <c r="CD1030">
        <v>6001</v>
      </c>
      <c r="CE1030" t="s">
        <v>239</v>
      </c>
      <c r="CF1030" s="3">
        <v>45848</v>
      </c>
      <c r="CI1030">
        <v>1</v>
      </c>
      <c r="CJ1030">
        <v>1</v>
      </c>
      <c r="CK1030">
        <v>21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"080066451165"</f>
        <v>080066451165</v>
      </c>
      <c r="F1031" s="3">
        <v>45847</v>
      </c>
      <c r="G1031">
        <v>202604</v>
      </c>
      <c r="H1031" t="s">
        <v>75</v>
      </c>
      <c r="I1031" t="s">
        <v>76</v>
      </c>
      <c r="J1031" t="s">
        <v>77</v>
      </c>
      <c r="K1031" t="s">
        <v>78</v>
      </c>
      <c r="L1031" t="s">
        <v>305</v>
      </c>
      <c r="M1031" t="s">
        <v>306</v>
      </c>
      <c r="N1031" t="s">
        <v>572</v>
      </c>
      <c r="O1031" t="s">
        <v>82</v>
      </c>
      <c r="P1031" t="str">
        <f>"4170047535                    "</f>
        <v xml:space="preserve">4170047535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22.6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1.1000000000000001</v>
      </c>
      <c r="BK1031">
        <v>1.5</v>
      </c>
      <c r="BL1031">
        <v>71.2</v>
      </c>
      <c r="BM1031">
        <v>10.68</v>
      </c>
      <c r="BN1031">
        <v>81.88</v>
      </c>
      <c r="BO1031">
        <v>81.88</v>
      </c>
      <c r="BQ1031" t="s">
        <v>573</v>
      </c>
      <c r="BR1031" t="s">
        <v>84</v>
      </c>
      <c r="BS1031" s="3">
        <v>45848</v>
      </c>
      <c r="BT1031" s="4">
        <v>0.47083333333333333</v>
      </c>
      <c r="BU1031" t="s">
        <v>574</v>
      </c>
      <c r="BV1031" t="s">
        <v>98</v>
      </c>
      <c r="BY1031">
        <v>5320</v>
      </c>
      <c r="BZ1031" t="s">
        <v>89</v>
      </c>
      <c r="CA1031" t="s">
        <v>575</v>
      </c>
      <c r="CC1031" t="s">
        <v>306</v>
      </c>
      <c r="CD1031">
        <v>5201</v>
      </c>
      <c r="CE1031" t="s">
        <v>117</v>
      </c>
      <c r="CF1031" s="3">
        <v>45848</v>
      </c>
      <c r="CI1031">
        <v>5</v>
      </c>
      <c r="CJ1031">
        <v>1</v>
      </c>
      <c r="CK1031">
        <v>21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"080066451259"</f>
        <v>080066451259</v>
      </c>
      <c r="F1032" s="3">
        <v>45847</v>
      </c>
      <c r="G1032">
        <v>202604</v>
      </c>
      <c r="H1032" t="s">
        <v>75</v>
      </c>
      <c r="I1032" t="s">
        <v>76</v>
      </c>
      <c r="J1032" t="s">
        <v>77</v>
      </c>
      <c r="K1032" t="s">
        <v>78</v>
      </c>
      <c r="L1032" t="s">
        <v>168</v>
      </c>
      <c r="M1032" t="s">
        <v>169</v>
      </c>
      <c r="N1032" t="s">
        <v>206</v>
      </c>
      <c r="O1032" t="s">
        <v>82</v>
      </c>
      <c r="P1032" t="str">
        <f>"4170047498                    "</f>
        <v xml:space="preserve">4170047498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22.6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0.3</v>
      </c>
      <c r="BK1032">
        <v>1</v>
      </c>
      <c r="BL1032">
        <v>71.2</v>
      </c>
      <c r="BM1032">
        <v>10.68</v>
      </c>
      <c r="BN1032">
        <v>81.88</v>
      </c>
      <c r="BO1032">
        <v>81.88</v>
      </c>
      <c r="BQ1032" t="s">
        <v>207</v>
      </c>
      <c r="BR1032" t="s">
        <v>84</v>
      </c>
      <c r="BS1032" s="3">
        <v>45848</v>
      </c>
      <c r="BT1032" s="4">
        <v>0.40555555555555556</v>
      </c>
      <c r="BU1032" t="s">
        <v>1483</v>
      </c>
      <c r="BV1032" t="s">
        <v>98</v>
      </c>
      <c r="BY1032">
        <v>1350</v>
      </c>
      <c r="BZ1032" t="s">
        <v>89</v>
      </c>
      <c r="CA1032" t="s">
        <v>196</v>
      </c>
      <c r="CC1032" t="s">
        <v>169</v>
      </c>
      <c r="CD1032">
        <v>6001</v>
      </c>
      <c r="CE1032" t="s">
        <v>239</v>
      </c>
      <c r="CF1032" s="3">
        <v>45848</v>
      </c>
      <c r="CI1032">
        <v>1</v>
      </c>
      <c r="CJ1032">
        <v>1</v>
      </c>
      <c r="CK1032">
        <v>21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"080066451297"</f>
        <v>080066451297</v>
      </c>
      <c r="F1033" s="3">
        <v>45847</v>
      </c>
      <c r="G1033">
        <v>202604</v>
      </c>
      <c r="H1033" t="s">
        <v>75</v>
      </c>
      <c r="I1033" t="s">
        <v>76</v>
      </c>
      <c r="J1033" t="s">
        <v>77</v>
      </c>
      <c r="K1033" t="s">
        <v>78</v>
      </c>
      <c r="L1033" t="s">
        <v>246</v>
      </c>
      <c r="M1033" t="s">
        <v>247</v>
      </c>
      <c r="N1033" t="s">
        <v>1359</v>
      </c>
      <c r="O1033" t="s">
        <v>82</v>
      </c>
      <c r="P1033" t="str">
        <f>"4170047618                    "</f>
        <v xml:space="preserve">4170047618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31.78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0.6</v>
      </c>
      <c r="BK1033">
        <v>1</v>
      </c>
      <c r="BL1033">
        <v>100.13</v>
      </c>
      <c r="BM1033">
        <v>15.02</v>
      </c>
      <c r="BN1033">
        <v>115.15</v>
      </c>
      <c r="BO1033">
        <v>115.15</v>
      </c>
      <c r="BQ1033" t="s">
        <v>1360</v>
      </c>
      <c r="BR1033" t="s">
        <v>84</v>
      </c>
      <c r="BS1033" s="3">
        <v>45848</v>
      </c>
      <c r="BT1033" s="4">
        <v>0.41666666666666669</v>
      </c>
      <c r="BU1033" t="s">
        <v>1757</v>
      </c>
      <c r="BV1033" t="s">
        <v>98</v>
      </c>
      <c r="BY1033">
        <v>3192</v>
      </c>
      <c r="BZ1033" t="s">
        <v>89</v>
      </c>
      <c r="CA1033" t="s">
        <v>812</v>
      </c>
      <c r="CC1033" t="s">
        <v>247</v>
      </c>
      <c r="CD1033">
        <v>1438</v>
      </c>
      <c r="CE1033" t="s">
        <v>266</v>
      </c>
      <c r="CF1033" s="3">
        <v>45849</v>
      </c>
      <c r="CI1033">
        <v>1</v>
      </c>
      <c r="CJ1033">
        <v>1</v>
      </c>
      <c r="CK1033">
        <v>24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"080066451327"</f>
        <v>080066451327</v>
      </c>
      <c r="F1034" s="3">
        <v>45847</v>
      </c>
      <c r="G1034">
        <v>202604</v>
      </c>
      <c r="H1034" t="s">
        <v>75</v>
      </c>
      <c r="I1034" t="s">
        <v>76</v>
      </c>
      <c r="J1034" t="s">
        <v>77</v>
      </c>
      <c r="K1034" t="s">
        <v>78</v>
      </c>
      <c r="L1034" t="s">
        <v>168</v>
      </c>
      <c r="M1034" t="s">
        <v>169</v>
      </c>
      <c r="N1034" t="s">
        <v>206</v>
      </c>
      <c r="O1034" t="s">
        <v>82</v>
      </c>
      <c r="P1034" t="str">
        <f>"4170047503                    "</f>
        <v xml:space="preserve">4170047503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22.6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0.3</v>
      </c>
      <c r="BK1034">
        <v>1</v>
      </c>
      <c r="BL1034">
        <v>71.2</v>
      </c>
      <c r="BM1034">
        <v>10.68</v>
      </c>
      <c r="BN1034">
        <v>81.88</v>
      </c>
      <c r="BO1034">
        <v>81.88</v>
      </c>
      <c r="BQ1034" t="s">
        <v>207</v>
      </c>
      <c r="BR1034" t="s">
        <v>84</v>
      </c>
      <c r="BS1034" s="3">
        <v>45848</v>
      </c>
      <c r="BT1034" s="4">
        <v>0.40555555555555556</v>
      </c>
      <c r="BU1034" t="s">
        <v>1483</v>
      </c>
      <c r="BV1034" t="s">
        <v>98</v>
      </c>
      <c r="BY1034">
        <v>1350</v>
      </c>
      <c r="BZ1034" t="s">
        <v>89</v>
      </c>
      <c r="CA1034" t="s">
        <v>196</v>
      </c>
      <c r="CC1034" t="s">
        <v>169</v>
      </c>
      <c r="CD1034">
        <v>6001</v>
      </c>
      <c r="CE1034" t="s">
        <v>239</v>
      </c>
      <c r="CF1034" s="3">
        <v>45848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"080066451442"</f>
        <v>080066451442</v>
      </c>
      <c r="F1035" s="3">
        <v>45847</v>
      </c>
      <c r="G1035">
        <v>202604</v>
      </c>
      <c r="H1035" t="s">
        <v>75</v>
      </c>
      <c r="I1035" t="s">
        <v>76</v>
      </c>
      <c r="J1035" t="s">
        <v>77</v>
      </c>
      <c r="K1035" t="s">
        <v>78</v>
      </c>
      <c r="L1035" t="s">
        <v>168</v>
      </c>
      <c r="M1035" t="s">
        <v>169</v>
      </c>
      <c r="N1035" t="s">
        <v>726</v>
      </c>
      <c r="O1035" t="s">
        <v>82</v>
      </c>
      <c r="P1035" t="str">
        <f>"4170047589                    "</f>
        <v xml:space="preserve">4170047589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22.6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0.3</v>
      </c>
      <c r="BK1035">
        <v>1</v>
      </c>
      <c r="BL1035">
        <v>71.2</v>
      </c>
      <c r="BM1035">
        <v>10.68</v>
      </c>
      <c r="BN1035">
        <v>81.88</v>
      </c>
      <c r="BO1035">
        <v>81.88</v>
      </c>
      <c r="BQ1035" t="s">
        <v>727</v>
      </c>
      <c r="BR1035" t="s">
        <v>84</v>
      </c>
      <c r="BS1035" s="3">
        <v>45848</v>
      </c>
      <c r="BT1035" s="4">
        <v>0.41319444444444442</v>
      </c>
      <c r="BU1035" t="s">
        <v>1758</v>
      </c>
      <c r="BV1035" t="s">
        <v>98</v>
      </c>
      <c r="BY1035">
        <v>1350</v>
      </c>
      <c r="BZ1035" t="s">
        <v>89</v>
      </c>
      <c r="CA1035" t="s">
        <v>173</v>
      </c>
      <c r="CC1035" t="s">
        <v>169</v>
      </c>
      <c r="CD1035">
        <v>6001</v>
      </c>
      <c r="CE1035" t="s">
        <v>121</v>
      </c>
      <c r="CF1035" s="3">
        <v>45848</v>
      </c>
      <c r="CI1035">
        <v>1</v>
      </c>
      <c r="CJ1035">
        <v>1</v>
      </c>
      <c r="CK1035">
        <v>21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"080066451574"</f>
        <v>080066451574</v>
      </c>
      <c r="F1036" s="3">
        <v>45847</v>
      </c>
      <c r="G1036">
        <v>202604</v>
      </c>
      <c r="H1036" t="s">
        <v>75</v>
      </c>
      <c r="I1036" t="s">
        <v>76</v>
      </c>
      <c r="J1036" t="s">
        <v>77</v>
      </c>
      <c r="K1036" t="s">
        <v>78</v>
      </c>
      <c r="L1036" t="s">
        <v>168</v>
      </c>
      <c r="M1036" t="s">
        <v>169</v>
      </c>
      <c r="N1036" t="s">
        <v>412</v>
      </c>
      <c r="O1036" t="s">
        <v>82</v>
      </c>
      <c r="P1036" t="str">
        <f>"4170047570                    "</f>
        <v xml:space="preserve">4170047570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22.6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0.3</v>
      </c>
      <c r="BK1036">
        <v>1</v>
      </c>
      <c r="BL1036">
        <v>71.2</v>
      </c>
      <c r="BM1036">
        <v>10.68</v>
      </c>
      <c r="BN1036">
        <v>81.88</v>
      </c>
      <c r="BO1036">
        <v>81.88</v>
      </c>
      <c r="BQ1036" t="s">
        <v>413</v>
      </c>
      <c r="BR1036" t="s">
        <v>84</v>
      </c>
      <c r="BS1036" s="3">
        <v>45848</v>
      </c>
      <c r="BT1036" s="4">
        <v>0.38194444444444442</v>
      </c>
      <c r="BU1036" t="s">
        <v>470</v>
      </c>
      <c r="BV1036" t="s">
        <v>98</v>
      </c>
      <c r="BY1036">
        <v>1350</v>
      </c>
      <c r="BZ1036" t="s">
        <v>89</v>
      </c>
      <c r="CA1036" t="s">
        <v>415</v>
      </c>
      <c r="CC1036" t="s">
        <v>169</v>
      </c>
      <c r="CD1036">
        <v>6001</v>
      </c>
      <c r="CE1036" t="s">
        <v>121</v>
      </c>
      <c r="CF1036" s="3">
        <v>45848</v>
      </c>
      <c r="CI1036">
        <v>1</v>
      </c>
      <c r="CJ1036">
        <v>1</v>
      </c>
      <c r="CK1036">
        <v>21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"080066451691"</f>
        <v>080066451691</v>
      </c>
      <c r="F1037" s="3">
        <v>45847</v>
      </c>
      <c r="G1037">
        <v>202604</v>
      </c>
      <c r="H1037" t="s">
        <v>75</v>
      </c>
      <c r="I1037" t="s">
        <v>76</v>
      </c>
      <c r="J1037" t="s">
        <v>77</v>
      </c>
      <c r="K1037" t="s">
        <v>78</v>
      </c>
      <c r="L1037" t="s">
        <v>151</v>
      </c>
      <c r="M1037" t="s">
        <v>152</v>
      </c>
      <c r="N1037" t="s">
        <v>1759</v>
      </c>
      <c r="O1037" t="s">
        <v>82</v>
      </c>
      <c r="P1037" t="str">
        <f>"4170047652                    "</f>
        <v xml:space="preserve">4170047652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22.6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0.3</v>
      </c>
      <c r="BK1037">
        <v>1</v>
      </c>
      <c r="BL1037">
        <v>71.2</v>
      </c>
      <c r="BM1037">
        <v>10.68</v>
      </c>
      <c r="BN1037">
        <v>81.88</v>
      </c>
      <c r="BO1037">
        <v>81.88</v>
      </c>
      <c r="BQ1037" t="s">
        <v>1760</v>
      </c>
      <c r="BR1037" t="s">
        <v>84</v>
      </c>
      <c r="BS1037" s="3">
        <v>45848</v>
      </c>
      <c r="BT1037" s="4">
        <v>0.39166666666666666</v>
      </c>
      <c r="BU1037" t="s">
        <v>1394</v>
      </c>
      <c r="BV1037" t="s">
        <v>98</v>
      </c>
      <c r="BY1037">
        <v>1350</v>
      </c>
      <c r="BZ1037" t="s">
        <v>89</v>
      </c>
      <c r="CA1037" t="s">
        <v>683</v>
      </c>
      <c r="CC1037" t="s">
        <v>152</v>
      </c>
      <c r="CD1037" s="5" t="s">
        <v>684</v>
      </c>
      <c r="CE1037" t="s">
        <v>1761</v>
      </c>
      <c r="CF1037" s="3">
        <v>45848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"080066451697"</f>
        <v>080066451697</v>
      </c>
      <c r="F1038" s="3">
        <v>45847</v>
      </c>
      <c r="G1038">
        <v>202604</v>
      </c>
      <c r="H1038" t="s">
        <v>75</v>
      </c>
      <c r="I1038" t="s">
        <v>76</v>
      </c>
      <c r="J1038" t="s">
        <v>77</v>
      </c>
      <c r="K1038" t="s">
        <v>78</v>
      </c>
      <c r="L1038" t="s">
        <v>221</v>
      </c>
      <c r="M1038" t="s">
        <v>222</v>
      </c>
      <c r="N1038" t="s">
        <v>223</v>
      </c>
      <c r="O1038" t="s">
        <v>82</v>
      </c>
      <c r="P1038" t="str">
        <f>"4170047545                    "</f>
        <v xml:space="preserve">4170047545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43.78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137.94</v>
      </c>
      <c r="BM1038">
        <v>20.69</v>
      </c>
      <c r="BN1038">
        <v>158.63</v>
      </c>
      <c r="BO1038">
        <v>158.63</v>
      </c>
      <c r="BQ1038" t="s">
        <v>224</v>
      </c>
      <c r="BR1038" t="s">
        <v>84</v>
      </c>
      <c r="BS1038" s="3">
        <v>45848</v>
      </c>
      <c r="BT1038" s="4">
        <v>0.35416666666666669</v>
      </c>
      <c r="BU1038" t="s">
        <v>1707</v>
      </c>
      <c r="BV1038" t="s">
        <v>98</v>
      </c>
      <c r="BY1038">
        <v>1200</v>
      </c>
      <c r="BZ1038" t="s">
        <v>89</v>
      </c>
      <c r="CC1038" t="s">
        <v>222</v>
      </c>
      <c r="CD1038">
        <v>2740</v>
      </c>
      <c r="CE1038" t="s">
        <v>239</v>
      </c>
      <c r="CF1038" s="3">
        <v>45849</v>
      </c>
      <c r="CI1038">
        <v>1</v>
      </c>
      <c r="CJ1038">
        <v>1</v>
      </c>
      <c r="CK1038">
        <v>23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"080066451807"</f>
        <v>080066451807</v>
      </c>
      <c r="F1039" s="3">
        <v>45847</v>
      </c>
      <c r="G1039">
        <v>202604</v>
      </c>
      <c r="H1039" t="s">
        <v>75</v>
      </c>
      <c r="I1039" t="s">
        <v>76</v>
      </c>
      <c r="J1039" t="s">
        <v>77</v>
      </c>
      <c r="K1039" t="s">
        <v>78</v>
      </c>
      <c r="L1039" t="s">
        <v>1762</v>
      </c>
      <c r="M1039" t="s">
        <v>1763</v>
      </c>
      <c r="N1039" t="s">
        <v>1764</v>
      </c>
      <c r="O1039" t="s">
        <v>82</v>
      </c>
      <c r="P1039" t="str">
        <f>"4170047556                    "</f>
        <v xml:space="preserve">4170047556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43.78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137.94</v>
      </c>
      <c r="BM1039">
        <v>20.69</v>
      </c>
      <c r="BN1039">
        <v>158.63</v>
      </c>
      <c r="BO1039">
        <v>158.63</v>
      </c>
      <c r="BQ1039" t="s">
        <v>1765</v>
      </c>
      <c r="BR1039" t="s">
        <v>84</v>
      </c>
      <c r="BS1039" s="3">
        <v>45848</v>
      </c>
      <c r="BT1039" s="4">
        <v>0.69652777777777775</v>
      </c>
      <c r="BU1039" t="s">
        <v>1766</v>
      </c>
      <c r="BV1039" t="s">
        <v>98</v>
      </c>
      <c r="BY1039">
        <v>1200</v>
      </c>
      <c r="BZ1039" t="s">
        <v>89</v>
      </c>
      <c r="CA1039" t="s">
        <v>1767</v>
      </c>
      <c r="CC1039" t="s">
        <v>1763</v>
      </c>
      <c r="CD1039">
        <v>1389</v>
      </c>
      <c r="CE1039" t="s">
        <v>214</v>
      </c>
      <c r="CF1039" s="3">
        <v>45849</v>
      </c>
      <c r="CI1039">
        <v>1</v>
      </c>
      <c r="CJ1039">
        <v>1</v>
      </c>
      <c r="CK1039">
        <v>23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"080066451845"</f>
        <v>080066451845</v>
      </c>
      <c r="F1040" s="3">
        <v>45847</v>
      </c>
      <c r="G1040">
        <v>202604</v>
      </c>
      <c r="H1040" t="s">
        <v>75</v>
      </c>
      <c r="I1040" t="s">
        <v>76</v>
      </c>
      <c r="J1040" t="s">
        <v>77</v>
      </c>
      <c r="K1040" t="s">
        <v>78</v>
      </c>
      <c r="L1040" t="s">
        <v>75</v>
      </c>
      <c r="M1040" t="s">
        <v>76</v>
      </c>
      <c r="N1040" t="s">
        <v>701</v>
      </c>
      <c r="O1040" t="s">
        <v>82</v>
      </c>
      <c r="P1040" t="str">
        <f>"4170047577                    "</f>
        <v xml:space="preserve">4170047577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17.649999999999999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55.61</v>
      </c>
      <c r="BM1040">
        <v>8.34</v>
      </c>
      <c r="BN1040">
        <v>63.95</v>
      </c>
      <c r="BO1040">
        <v>63.95</v>
      </c>
      <c r="BQ1040" t="s">
        <v>702</v>
      </c>
      <c r="BR1040" t="s">
        <v>84</v>
      </c>
      <c r="BS1040" s="3">
        <v>45848</v>
      </c>
      <c r="BT1040" s="4">
        <v>0.39097222222222222</v>
      </c>
      <c r="BU1040" t="s">
        <v>703</v>
      </c>
      <c r="BV1040" t="s">
        <v>98</v>
      </c>
      <c r="BY1040">
        <v>1200</v>
      </c>
      <c r="BZ1040" t="s">
        <v>89</v>
      </c>
      <c r="CA1040" t="s">
        <v>617</v>
      </c>
      <c r="CC1040" t="s">
        <v>76</v>
      </c>
      <c r="CD1040">
        <v>1645</v>
      </c>
      <c r="CE1040" t="s">
        <v>214</v>
      </c>
      <c r="CF1040" s="3">
        <v>45849</v>
      </c>
      <c r="CI1040">
        <v>1</v>
      </c>
      <c r="CJ1040">
        <v>1</v>
      </c>
      <c r="CK1040">
        <v>22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"080066451888"</f>
        <v>080066451888</v>
      </c>
      <c r="F1041" s="3">
        <v>45847</v>
      </c>
      <c r="G1041">
        <v>202604</v>
      </c>
      <c r="H1041" t="s">
        <v>75</v>
      </c>
      <c r="I1041" t="s">
        <v>76</v>
      </c>
      <c r="J1041" t="s">
        <v>77</v>
      </c>
      <c r="K1041" t="s">
        <v>78</v>
      </c>
      <c r="L1041" t="s">
        <v>1768</v>
      </c>
      <c r="M1041" t="s">
        <v>1769</v>
      </c>
      <c r="N1041" t="s">
        <v>1770</v>
      </c>
      <c r="O1041" t="s">
        <v>82</v>
      </c>
      <c r="P1041" t="str">
        <f>"4170047561                    "</f>
        <v xml:space="preserve">4170047561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43.78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137.94</v>
      </c>
      <c r="BM1041">
        <v>20.69</v>
      </c>
      <c r="BN1041">
        <v>158.63</v>
      </c>
      <c r="BO1041">
        <v>158.63</v>
      </c>
      <c r="BQ1041" t="s">
        <v>1771</v>
      </c>
      <c r="BR1041" t="s">
        <v>84</v>
      </c>
      <c r="BS1041" s="3">
        <v>45848</v>
      </c>
      <c r="BT1041" s="4">
        <v>0.49444444444444446</v>
      </c>
      <c r="BU1041" t="s">
        <v>1772</v>
      </c>
      <c r="BV1041" t="s">
        <v>86</v>
      </c>
      <c r="BY1041">
        <v>1200</v>
      </c>
      <c r="BZ1041" t="s">
        <v>89</v>
      </c>
      <c r="CA1041" t="s">
        <v>1773</v>
      </c>
      <c r="CC1041" t="s">
        <v>1769</v>
      </c>
      <c r="CD1041">
        <v>2302</v>
      </c>
      <c r="CE1041" t="s">
        <v>239</v>
      </c>
      <c r="CF1041" s="3">
        <v>45848</v>
      </c>
      <c r="CI1041">
        <v>1</v>
      </c>
      <c r="CJ1041">
        <v>1</v>
      </c>
      <c r="CK1041">
        <v>23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"080066451955"</f>
        <v>080066451955</v>
      </c>
      <c r="F1042" s="3">
        <v>45847</v>
      </c>
      <c r="G1042">
        <v>202604</v>
      </c>
      <c r="H1042" t="s">
        <v>75</v>
      </c>
      <c r="I1042" t="s">
        <v>76</v>
      </c>
      <c r="J1042" t="s">
        <v>77</v>
      </c>
      <c r="K1042" t="s">
        <v>78</v>
      </c>
      <c r="L1042" t="s">
        <v>79</v>
      </c>
      <c r="M1042" t="s">
        <v>80</v>
      </c>
      <c r="N1042" t="s">
        <v>755</v>
      </c>
      <c r="O1042" t="s">
        <v>82</v>
      </c>
      <c r="P1042" t="str">
        <f>"4170047568                    "</f>
        <v xml:space="preserve">4170047568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22.6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1.7</v>
      </c>
      <c r="BK1042">
        <v>2</v>
      </c>
      <c r="BL1042">
        <v>71.2</v>
      </c>
      <c r="BM1042">
        <v>10.68</v>
      </c>
      <c r="BN1042">
        <v>81.88</v>
      </c>
      <c r="BO1042">
        <v>81.88</v>
      </c>
      <c r="BQ1042" t="s">
        <v>756</v>
      </c>
      <c r="BR1042" t="s">
        <v>84</v>
      </c>
      <c r="BS1042" s="3">
        <v>45848</v>
      </c>
      <c r="BT1042" s="4">
        <v>0.3923611111111111</v>
      </c>
      <c r="BU1042" t="s">
        <v>1774</v>
      </c>
      <c r="BV1042" t="s">
        <v>98</v>
      </c>
      <c r="BY1042">
        <v>8550</v>
      </c>
      <c r="BZ1042" t="s">
        <v>89</v>
      </c>
      <c r="CA1042" t="s">
        <v>665</v>
      </c>
      <c r="CC1042" t="s">
        <v>80</v>
      </c>
      <c r="CD1042">
        <v>7945</v>
      </c>
      <c r="CE1042" t="s">
        <v>117</v>
      </c>
      <c r="CF1042" s="3">
        <v>45849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"080066451977"</f>
        <v>080066451977</v>
      </c>
      <c r="F1043" s="3">
        <v>45847</v>
      </c>
      <c r="G1043">
        <v>202604</v>
      </c>
      <c r="H1043" t="s">
        <v>75</v>
      </c>
      <c r="I1043" t="s">
        <v>76</v>
      </c>
      <c r="J1043" t="s">
        <v>77</v>
      </c>
      <c r="K1043" t="s">
        <v>78</v>
      </c>
      <c r="L1043" t="s">
        <v>79</v>
      </c>
      <c r="M1043" t="s">
        <v>80</v>
      </c>
      <c r="N1043" t="s">
        <v>755</v>
      </c>
      <c r="O1043" t="s">
        <v>82</v>
      </c>
      <c r="P1043" t="str">
        <f>"4170047569                    "</f>
        <v xml:space="preserve">4170047569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22.6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1.7</v>
      </c>
      <c r="BK1043">
        <v>2</v>
      </c>
      <c r="BL1043">
        <v>71.2</v>
      </c>
      <c r="BM1043">
        <v>10.68</v>
      </c>
      <c r="BN1043">
        <v>81.88</v>
      </c>
      <c r="BO1043">
        <v>81.88</v>
      </c>
      <c r="BQ1043" t="s">
        <v>756</v>
      </c>
      <c r="BR1043" t="s">
        <v>84</v>
      </c>
      <c r="BS1043" s="3">
        <v>45848</v>
      </c>
      <c r="BT1043" s="4">
        <v>0.3923611111111111</v>
      </c>
      <c r="BU1043" t="s">
        <v>1774</v>
      </c>
      <c r="BV1043" t="s">
        <v>98</v>
      </c>
      <c r="BY1043">
        <v>8550</v>
      </c>
      <c r="BZ1043" t="s">
        <v>89</v>
      </c>
      <c r="CA1043" t="s">
        <v>665</v>
      </c>
      <c r="CC1043" t="s">
        <v>80</v>
      </c>
      <c r="CD1043">
        <v>7945</v>
      </c>
      <c r="CE1043" t="s">
        <v>266</v>
      </c>
      <c r="CF1043" s="3">
        <v>45849</v>
      </c>
      <c r="CI1043">
        <v>1</v>
      </c>
      <c r="CJ1043">
        <v>1</v>
      </c>
      <c r="CK1043">
        <v>21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"080066452000"</f>
        <v>080066452000</v>
      </c>
      <c r="F1044" s="3">
        <v>45847</v>
      </c>
      <c r="G1044">
        <v>202604</v>
      </c>
      <c r="H1044" t="s">
        <v>75</v>
      </c>
      <c r="I1044" t="s">
        <v>76</v>
      </c>
      <c r="J1044" t="s">
        <v>77</v>
      </c>
      <c r="K1044" t="s">
        <v>78</v>
      </c>
      <c r="L1044" t="s">
        <v>79</v>
      </c>
      <c r="M1044" t="s">
        <v>80</v>
      </c>
      <c r="N1044" t="s">
        <v>1775</v>
      </c>
      <c r="O1044" t="s">
        <v>82</v>
      </c>
      <c r="P1044" t="str">
        <f>"4170047576                    "</f>
        <v xml:space="preserve">4170047576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22.6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</v>
      </c>
      <c r="BJ1044">
        <v>1.1000000000000001</v>
      </c>
      <c r="BK1044">
        <v>2</v>
      </c>
      <c r="BL1044">
        <v>71.2</v>
      </c>
      <c r="BM1044">
        <v>10.68</v>
      </c>
      <c r="BN1044">
        <v>81.88</v>
      </c>
      <c r="BO1044">
        <v>81.88</v>
      </c>
      <c r="BQ1044" t="s">
        <v>1776</v>
      </c>
      <c r="BR1044" t="s">
        <v>84</v>
      </c>
      <c r="BS1044" s="3">
        <v>45848</v>
      </c>
      <c r="BT1044" s="4">
        <v>0.42222222222222222</v>
      </c>
      <c r="BU1044" t="s">
        <v>933</v>
      </c>
      <c r="BV1044" t="s">
        <v>98</v>
      </c>
      <c r="BY1044">
        <v>5320</v>
      </c>
      <c r="BZ1044" t="s">
        <v>89</v>
      </c>
      <c r="CA1044" t="s">
        <v>934</v>
      </c>
      <c r="CC1044" t="s">
        <v>80</v>
      </c>
      <c r="CD1044">
        <v>7530</v>
      </c>
      <c r="CE1044" t="s">
        <v>117</v>
      </c>
      <c r="CF1044" s="3">
        <v>45849</v>
      </c>
      <c r="CI1044">
        <v>1</v>
      </c>
      <c r="CJ1044">
        <v>1</v>
      </c>
      <c r="CK1044">
        <v>21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"080066452159"</f>
        <v>080066452159</v>
      </c>
      <c r="F1045" s="3">
        <v>45847</v>
      </c>
      <c r="G1045">
        <v>202604</v>
      </c>
      <c r="H1045" t="s">
        <v>75</v>
      </c>
      <c r="I1045" t="s">
        <v>76</v>
      </c>
      <c r="J1045" t="s">
        <v>77</v>
      </c>
      <c r="K1045" t="s">
        <v>78</v>
      </c>
      <c r="L1045" t="s">
        <v>168</v>
      </c>
      <c r="M1045" t="s">
        <v>169</v>
      </c>
      <c r="N1045" t="s">
        <v>1777</v>
      </c>
      <c r="O1045" t="s">
        <v>82</v>
      </c>
      <c r="P1045" t="str">
        <f>"4170047654                    "</f>
        <v xml:space="preserve">4170047654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22.6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0.9</v>
      </c>
      <c r="BK1045">
        <v>2</v>
      </c>
      <c r="BL1045">
        <v>71.2</v>
      </c>
      <c r="BM1045">
        <v>10.68</v>
      </c>
      <c r="BN1045">
        <v>81.88</v>
      </c>
      <c r="BO1045">
        <v>81.88</v>
      </c>
      <c r="BQ1045" t="s">
        <v>1778</v>
      </c>
      <c r="BR1045" t="s">
        <v>84</v>
      </c>
      <c r="BS1045" s="3">
        <v>45848</v>
      </c>
      <c r="BT1045" s="4">
        <v>0.38055555555555554</v>
      </c>
      <c r="BU1045" t="s">
        <v>1779</v>
      </c>
      <c r="BV1045" t="s">
        <v>98</v>
      </c>
      <c r="BY1045">
        <v>4275</v>
      </c>
      <c r="BZ1045" t="s">
        <v>89</v>
      </c>
      <c r="CA1045" t="s">
        <v>196</v>
      </c>
      <c r="CC1045" t="s">
        <v>169</v>
      </c>
      <c r="CD1045">
        <v>6001</v>
      </c>
      <c r="CE1045" t="s">
        <v>266</v>
      </c>
      <c r="CF1045" s="3">
        <v>45848</v>
      </c>
      <c r="CI1045">
        <v>1</v>
      </c>
      <c r="CJ1045">
        <v>1</v>
      </c>
      <c r="CK1045">
        <v>21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"080066452244"</f>
        <v>080066452244</v>
      </c>
      <c r="F1046" s="3">
        <v>45847</v>
      </c>
      <c r="G1046">
        <v>202604</v>
      </c>
      <c r="H1046" t="s">
        <v>75</v>
      </c>
      <c r="I1046" t="s">
        <v>76</v>
      </c>
      <c r="J1046" t="s">
        <v>77</v>
      </c>
      <c r="K1046" t="s">
        <v>78</v>
      </c>
      <c r="L1046" t="s">
        <v>240</v>
      </c>
      <c r="M1046" t="s">
        <v>241</v>
      </c>
      <c r="N1046" t="s">
        <v>403</v>
      </c>
      <c r="O1046" t="s">
        <v>82</v>
      </c>
      <c r="P1046" t="str">
        <f>"4170047630                    "</f>
        <v xml:space="preserve">4170047630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17.649999999999999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1.9</v>
      </c>
      <c r="BK1046">
        <v>2</v>
      </c>
      <c r="BL1046">
        <v>55.61</v>
      </c>
      <c r="BM1046">
        <v>8.34</v>
      </c>
      <c r="BN1046">
        <v>63.95</v>
      </c>
      <c r="BO1046">
        <v>63.95</v>
      </c>
      <c r="BQ1046" t="s">
        <v>404</v>
      </c>
      <c r="BR1046" t="s">
        <v>84</v>
      </c>
      <c r="BS1046" s="3">
        <v>45848</v>
      </c>
      <c r="BT1046" s="4">
        <v>0.4</v>
      </c>
      <c r="BU1046" t="s">
        <v>1299</v>
      </c>
      <c r="BV1046" t="s">
        <v>98</v>
      </c>
      <c r="BY1046">
        <v>9600</v>
      </c>
      <c r="BZ1046" t="s">
        <v>89</v>
      </c>
      <c r="CA1046" t="s">
        <v>1300</v>
      </c>
      <c r="CC1046" t="s">
        <v>241</v>
      </c>
      <c r="CD1046">
        <v>2013</v>
      </c>
      <c r="CE1046" t="s">
        <v>117</v>
      </c>
      <c r="CF1046" s="3">
        <v>45849</v>
      </c>
      <c r="CI1046">
        <v>1</v>
      </c>
      <c r="CJ1046">
        <v>1</v>
      </c>
      <c r="CK1046">
        <v>22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"080066452371"</f>
        <v>080066452371</v>
      </c>
      <c r="F1047" s="3">
        <v>45847</v>
      </c>
      <c r="G1047">
        <v>202604</v>
      </c>
      <c r="H1047" t="s">
        <v>75</v>
      </c>
      <c r="I1047" t="s">
        <v>76</v>
      </c>
      <c r="J1047" t="s">
        <v>77</v>
      </c>
      <c r="K1047" t="s">
        <v>78</v>
      </c>
      <c r="L1047" t="s">
        <v>305</v>
      </c>
      <c r="M1047" t="s">
        <v>306</v>
      </c>
      <c r="N1047" t="s">
        <v>1780</v>
      </c>
      <c r="O1047" t="s">
        <v>82</v>
      </c>
      <c r="P1047" t="str">
        <f>"4170047705                    "</f>
        <v xml:space="preserve">4170047705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22.6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0.9</v>
      </c>
      <c r="BK1047">
        <v>1</v>
      </c>
      <c r="BL1047">
        <v>71.2</v>
      </c>
      <c r="BM1047">
        <v>10.68</v>
      </c>
      <c r="BN1047">
        <v>81.88</v>
      </c>
      <c r="BO1047">
        <v>81.88</v>
      </c>
      <c r="BQ1047" t="s">
        <v>1781</v>
      </c>
      <c r="BR1047" t="s">
        <v>84</v>
      </c>
      <c r="BS1047" s="3">
        <v>45848</v>
      </c>
      <c r="BT1047" s="4">
        <v>0.41597222222222224</v>
      </c>
      <c r="BU1047" t="s">
        <v>1782</v>
      </c>
      <c r="BV1047" t="s">
        <v>98</v>
      </c>
      <c r="BY1047">
        <v>4275</v>
      </c>
      <c r="BZ1047" t="s">
        <v>89</v>
      </c>
      <c r="CA1047" t="s">
        <v>575</v>
      </c>
      <c r="CC1047" t="s">
        <v>306</v>
      </c>
      <c r="CD1047">
        <v>5201</v>
      </c>
      <c r="CE1047" t="s">
        <v>266</v>
      </c>
      <c r="CF1047" s="3">
        <v>45848</v>
      </c>
      <c r="CI1047">
        <v>1</v>
      </c>
      <c r="CJ1047">
        <v>1</v>
      </c>
      <c r="CK1047">
        <v>21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"080066452415"</f>
        <v>080066452415</v>
      </c>
      <c r="F1048" s="3">
        <v>45847</v>
      </c>
      <c r="G1048">
        <v>202604</v>
      </c>
      <c r="H1048" t="s">
        <v>75</v>
      </c>
      <c r="I1048" t="s">
        <v>76</v>
      </c>
      <c r="J1048" t="s">
        <v>77</v>
      </c>
      <c r="K1048" t="s">
        <v>78</v>
      </c>
      <c r="L1048" t="s">
        <v>240</v>
      </c>
      <c r="M1048" t="s">
        <v>241</v>
      </c>
      <c r="N1048" t="s">
        <v>686</v>
      </c>
      <c r="O1048" t="s">
        <v>82</v>
      </c>
      <c r="P1048" t="str">
        <f>"4170047507                    "</f>
        <v xml:space="preserve">4170047507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17.649999999999999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1.7</v>
      </c>
      <c r="BK1048">
        <v>2</v>
      </c>
      <c r="BL1048">
        <v>55.61</v>
      </c>
      <c r="BM1048">
        <v>8.34</v>
      </c>
      <c r="BN1048">
        <v>63.95</v>
      </c>
      <c r="BO1048">
        <v>63.95</v>
      </c>
      <c r="BQ1048" t="s">
        <v>687</v>
      </c>
      <c r="BR1048" t="s">
        <v>84</v>
      </c>
      <c r="BS1048" s="3">
        <v>45848</v>
      </c>
      <c r="BT1048" s="4">
        <v>0.33680555555555558</v>
      </c>
      <c r="BU1048" t="s">
        <v>938</v>
      </c>
      <c r="BV1048" t="s">
        <v>98</v>
      </c>
      <c r="BY1048">
        <v>8512</v>
      </c>
      <c r="BZ1048" t="s">
        <v>89</v>
      </c>
      <c r="CA1048" t="s">
        <v>451</v>
      </c>
      <c r="CC1048" t="s">
        <v>241</v>
      </c>
      <c r="CD1048">
        <v>2094</v>
      </c>
      <c r="CE1048" t="s">
        <v>117</v>
      </c>
      <c r="CF1048" s="3">
        <v>45848</v>
      </c>
      <c r="CI1048">
        <v>1</v>
      </c>
      <c r="CJ1048">
        <v>1</v>
      </c>
      <c r="CK1048">
        <v>22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"080066452449"</f>
        <v>080066452449</v>
      </c>
      <c r="F1049" s="3">
        <v>45847</v>
      </c>
      <c r="G1049">
        <v>202604</v>
      </c>
      <c r="H1049" t="s">
        <v>75</v>
      </c>
      <c r="I1049" t="s">
        <v>76</v>
      </c>
      <c r="J1049" t="s">
        <v>77</v>
      </c>
      <c r="K1049" t="s">
        <v>78</v>
      </c>
      <c r="L1049" t="s">
        <v>168</v>
      </c>
      <c r="M1049" t="s">
        <v>169</v>
      </c>
      <c r="N1049" t="s">
        <v>1783</v>
      </c>
      <c r="O1049" t="s">
        <v>82</v>
      </c>
      <c r="P1049" t="str">
        <f>"4170047671                    "</f>
        <v xml:space="preserve">4170047671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22.6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0.3</v>
      </c>
      <c r="BK1049">
        <v>1</v>
      </c>
      <c r="BL1049">
        <v>71.2</v>
      </c>
      <c r="BM1049">
        <v>10.68</v>
      </c>
      <c r="BN1049">
        <v>81.88</v>
      </c>
      <c r="BO1049">
        <v>81.88</v>
      </c>
      <c r="BQ1049" t="s">
        <v>1784</v>
      </c>
      <c r="BR1049" t="s">
        <v>84</v>
      </c>
      <c r="BS1049" s="3">
        <v>45848</v>
      </c>
      <c r="BT1049" s="4">
        <v>0.4236111111111111</v>
      </c>
      <c r="BU1049" t="s">
        <v>1785</v>
      </c>
      <c r="BV1049" t="s">
        <v>98</v>
      </c>
      <c r="BY1049">
        <v>1350</v>
      </c>
      <c r="BZ1049" t="s">
        <v>89</v>
      </c>
      <c r="CA1049" t="s">
        <v>423</v>
      </c>
      <c r="CC1049" t="s">
        <v>169</v>
      </c>
      <c r="CD1049">
        <v>6001</v>
      </c>
      <c r="CE1049" t="s">
        <v>239</v>
      </c>
      <c r="CF1049" s="3">
        <v>45848</v>
      </c>
      <c r="CI1049">
        <v>1</v>
      </c>
      <c r="CJ1049">
        <v>1</v>
      </c>
      <c r="CK1049">
        <v>21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"080066452489"</f>
        <v>080066452489</v>
      </c>
      <c r="F1050" s="3">
        <v>45847</v>
      </c>
      <c r="G1050">
        <v>202604</v>
      </c>
      <c r="H1050" t="s">
        <v>75</v>
      </c>
      <c r="I1050" t="s">
        <v>76</v>
      </c>
      <c r="J1050" t="s">
        <v>77</v>
      </c>
      <c r="K1050" t="s">
        <v>78</v>
      </c>
      <c r="L1050" t="s">
        <v>221</v>
      </c>
      <c r="M1050" t="s">
        <v>222</v>
      </c>
      <c r="N1050" t="s">
        <v>223</v>
      </c>
      <c r="O1050" t="s">
        <v>82</v>
      </c>
      <c r="P1050" t="str">
        <f>"4170047613                    "</f>
        <v xml:space="preserve">4170047613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132.76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3</v>
      </c>
      <c r="BJ1050">
        <v>6.4</v>
      </c>
      <c r="BK1050">
        <v>6.5</v>
      </c>
      <c r="BL1050">
        <v>418.26</v>
      </c>
      <c r="BM1050">
        <v>62.74</v>
      </c>
      <c r="BN1050">
        <v>481</v>
      </c>
      <c r="BO1050">
        <v>481</v>
      </c>
      <c r="BQ1050" t="s">
        <v>224</v>
      </c>
      <c r="BR1050" t="s">
        <v>84</v>
      </c>
      <c r="BS1050" s="3">
        <v>45848</v>
      </c>
      <c r="BT1050" s="4">
        <v>0.3972222222222222</v>
      </c>
      <c r="BU1050" t="s">
        <v>1707</v>
      </c>
      <c r="BV1050" t="s">
        <v>98</v>
      </c>
      <c r="BY1050">
        <v>31824</v>
      </c>
      <c r="BZ1050" t="s">
        <v>89</v>
      </c>
      <c r="CC1050" t="s">
        <v>222</v>
      </c>
      <c r="CD1050">
        <v>2740</v>
      </c>
      <c r="CE1050" t="s">
        <v>91</v>
      </c>
      <c r="CF1050" s="3">
        <v>45849</v>
      </c>
      <c r="CI1050">
        <v>1</v>
      </c>
      <c r="CJ1050">
        <v>1</v>
      </c>
      <c r="CK1050">
        <v>23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"080066452537"</f>
        <v>080066452537</v>
      </c>
      <c r="F1051" s="3">
        <v>45847</v>
      </c>
      <c r="G1051">
        <v>202604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141</v>
      </c>
      <c r="O1051" t="s">
        <v>82</v>
      </c>
      <c r="P1051" t="str">
        <f>"4170047622                    "</f>
        <v xml:space="preserve">4170047622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50.82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4.5</v>
      </c>
      <c r="BK1051">
        <v>4.5</v>
      </c>
      <c r="BL1051">
        <v>160.12</v>
      </c>
      <c r="BM1051">
        <v>24.02</v>
      </c>
      <c r="BN1051">
        <v>184.14</v>
      </c>
      <c r="BO1051">
        <v>184.14</v>
      </c>
      <c r="BQ1051" t="s">
        <v>142</v>
      </c>
      <c r="BR1051" t="s">
        <v>84</v>
      </c>
      <c r="BS1051" s="3">
        <v>45848</v>
      </c>
      <c r="BT1051" s="4">
        <v>0.39930555555555558</v>
      </c>
      <c r="BU1051" t="s">
        <v>143</v>
      </c>
      <c r="BV1051" t="s">
        <v>98</v>
      </c>
      <c r="BY1051">
        <v>22620</v>
      </c>
      <c r="BZ1051" t="s">
        <v>89</v>
      </c>
      <c r="CA1051" t="s">
        <v>144</v>
      </c>
      <c r="CC1051" t="s">
        <v>80</v>
      </c>
      <c r="CD1051">
        <v>7441</v>
      </c>
      <c r="CE1051" t="s">
        <v>117</v>
      </c>
      <c r="CF1051" s="3">
        <v>45849</v>
      </c>
      <c r="CI1051">
        <v>1</v>
      </c>
      <c r="CJ1051">
        <v>1</v>
      </c>
      <c r="CK1051">
        <v>21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"080066452554"</f>
        <v>080066452554</v>
      </c>
      <c r="F1052" s="3">
        <v>45847</v>
      </c>
      <c r="G1052">
        <v>202604</v>
      </c>
      <c r="H1052" t="s">
        <v>75</v>
      </c>
      <c r="I1052" t="s">
        <v>76</v>
      </c>
      <c r="J1052" t="s">
        <v>77</v>
      </c>
      <c r="K1052" t="s">
        <v>78</v>
      </c>
      <c r="L1052" t="s">
        <v>75</v>
      </c>
      <c r="M1052" t="s">
        <v>76</v>
      </c>
      <c r="N1052" t="s">
        <v>701</v>
      </c>
      <c r="O1052" t="s">
        <v>82</v>
      </c>
      <c r="P1052" t="str">
        <f>"4170047633                    "</f>
        <v xml:space="preserve">4170047633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17.649999999999999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0.3</v>
      </c>
      <c r="BK1052">
        <v>1</v>
      </c>
      <c r="BL1052">
        <v>55.61</v>
      </c>
      <c r="BM1052">
        <v>8.34</v>
      </c>
      <c r="BN1052">
        <v>63.95</v>
      </c>
      <c r="BO1052">
        <v>63.95</v>
      </c>
      <c r="BQ1052" t="s">
        <v>702</v>
      </c>
      <c r="BR1052" t="s">
        <v>84</v>
      </c>
      <c r="BS1052" s="3">
        <v>45848</v>
      </c>
      <c r="BT1052" s="4">
        <v>0.39097222222222222</v>
      </c>
      <c r="BU1052" t="s">
        <v>703</v>
      </c>
      <c r="BV1052" t="s">
        <v>98</v>
      </c>
      <c r="BY1052">
        <v>1350</v>
      </c>
      <c r="BZ1052" t="s">
        <v>89</v>
      </c>
      <c r="CA1052" t="s">
        <v>617</v>
      </c>
      <c r="CC1052" t="s">
        <v>76</v>
      </c>
      <c r="CD1052">
        <v>1645</v>
      </c>
      <c r="CE1052" t="s">
        <v>239</v>
      </c>
      <c r="CF1052" s="3">
        <v>45849</v>
      </c>
      <c r="CI1052">
        <v>1</v>
      </c>
      <c r="CJ1052">
        <v>1</v>
      </c>
      <c r="CK1052">
        <v>22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"080066452615"</f>
        <v>080066452615</v>
      </c>
      <c r="F1053" s="3">
        <v>45847</v>
      </c>
      <c r="G1053">
        <v>202604</v>
      </c>
      <c r="H1053" t="s">
        <v>75</v>
      </c>
      <c r="I1053" t="s">
        <v>76</v>
      </c>
      <c r="J1053" t="s">
        <v>77</v>
      </c>
      <c r="K1053" t="s">
        <v>78</v>
      </c>
      <c r="L1053" t="s">
        <v>305</v>
      </c>
      <c r="M1053" t="s">
        <v>306</v>
      </c>
      <c r="N1053" t="s">
        <v>1304</v>
      </c>
      <c r="O1053" t="s">
        <v>82</v>
      </c>
      <c r="P1053" t="str">
        <f>"4170047679                    "</f>
        <v xml:space="preserve">4170047679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22.6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0.3</v>
      </c>
      <c r="BK1053">
        <v>1</v>
      </c>
      <c r="BL1053">
        <v>71.2</v>
      </c>
      <c r="BM1053">
        <v>10.68</v>
      </c>
      <c r="BN1053">
        <v>81.88</v>
      </c>
      <c r="BO1053">
        <v>81.88</v>
      </c>
      <c r="BQ1053" t="s">
        <v>1305</v>
      </c>
      <c r="BR1053" t="s">
        <v>84</v>
      </c>
      <c r="BS1053" s="3">
        <v>45848</v>
      </c>
      <c r="BT1053" s="4">
        <v>0.48472222222222222</v>
      </c>
      <c r="BU1053" t="s">
        <v>1786</v>
      </c>
      <c r="BV1053" t="s">
        <v>98</v>
      </c>
      <c r="BY1053">
        <v>1350</v>
      </c>
      <c r="BZ1053" t="s">
        <v>89</v>
      </c>
      <c r="CA1053" t="s">
        <v>575</v>
      </c>
      <c r="CC1053" t="s">
        <v>306</v>
      </c>
      <c r="CD1053">
        <v>5201</v>
      </c>
      <c r="CE1053" t="s">
        <v>239</v>
      </c>
      <c r="CF1053" s="3">
        <v>45848</v>
      </c>
      <c r="CI1053">
        <v>5</v>
      </c>
      <c r="CJ1053">
        <v>1</v>
      </c>
      <c r="CK1053">
        <v>21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"080066452634"</f>
        <v>080066452634</v>
      </c>
      <c r="F1054" s="3">
        <v>45847</v>
      </c>
      <c r="G1054">
        <v>202604</v>
      </c>
      <c r="H1054" t="s">
        <v>75</v>
      </c>
      <c r="I1054" t="s">
        <v>76</v>
      </c>
      <c r="J1054" t="s">
        <v>77</v>
      </c>
      <c r="K1054" t="s">
        <v>78</v>
      </c>
      <c r="L1054" t="s">
        <v>111</v>
      </c>
      <c r="M1054" t="s">
        <v>112</v>
      </c>
      <c r="N1054" t="s">
        <v>1787</v>
      </c>
      <c r="O1054" t="s">
        <v>95</v>
      </c>
      <c r="P1054" t="str">
        <f>"4170047649                    "</f>
        <v xml:space="preserve">4170047649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61.64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5</v>
      </c>
      <c r="BJ1054">
        <v>2.4</v>
      </c>
      <c r="BK1054">
        <v>5</v>
      </c>
      <c r="BL1054">
        <v>200.06</v>
      </c>
      <c r="BM1054">
        <v>30.01</v>
      </c>
      <c r="BN1054">
        <v>230.07</v>
      </c>
      <c r="BO1054">
        <v>230.07</v>
      </c>
      <c r="BQ1054" t="s">
        <v>1788</v>
      </c>
      <c r="BR1054" t="s">
        <v>84</v>
      </c>
      <c r="BS1054" s="3">
        <v>45848</v>
      </c>
      <c r="BT1054" s="4">
        <v>0.3888888888888889</v>
      </c>
      <c r="BU1054" t="s">
        <v>1789</v>
      </c>
      <c r="BV1054" t="s">
        <v>98</v>
      </c>
      <c r="BY1054">
        <v>12236</v>
      </c>
      <c r="BZ1054" t="s">
        <v>99</v>
      </c>
      <c r="CA1054" t="s">
        <v>116</v>
      </c>
      <c r="CC1054" t="s">
        <v>112</v>
      </c>
      <c r="CD1054">
        <v>1873</v>
      </c>
      <c r="CE1054" t="s">
        <v>1303</v>
      </c>
      <c r="CF1054" s="3">
        <v>45848</v>
      </c>
      <c r="CI1054">
        <v>1</v>
      </c>
      <c r="CJ1054">
        <v>1</v>
      </c>
      <c r="CK1054">
        <v>43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"080066452769"</f>
        <v>080066452769</v>
      </c>
      <c r="F1055" s="3">
        <v>45847</v>
      </c>
      <c r="G1055">
        <v>202604</v>
      </c>
      <c r="H1055" t="s">
        <v>75</v>
      </c>
      <c r="I1055" t="s">
        <v>76</v>
      </c>
      <c r="J1055" t="s">
        <v>77</v>
      </c>
      <c r="K1055" t="s">
        <v>78</v>
      </c>
      <c r="L1055" t="s">
        <v>151</v>
      </c>
      <c r="M1055" t="s">
        <v>152</v>
      </c>
      <c r="N1055" t="s">
        <v>801</v>
      </c>
      <c r="O1055" t="s">
        <v>82</v>
      </c>
      <c r="P1055" t="str">
        <f>"4170047596                    "</f>
        <v xml:space="preserve">4170047596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22.6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0.3</v>
      </c>
      <c r="BK1055">
        <v>1</v>
      </c>
      <c r="BL1055">
        <v>71.2</v>
      </c>
      <c r="BM1055">
        <v>10.68</v>
      </c>
      <c r="BN1055">
        <v>81.88</v>
      </c>
      <c r="BO1055">
        <v>81.88</v>
      </c>
      <c r="BQ1055" t="s">
        <v>802</v>
      </c>
      <c r="BR1055" t="s">
        <v>84</v>
      </c>
      <c r="BS1055" s="3">
        <v>45848</v>
      </c>
      <c r="BT1055" s="4">
        <v>0.38263888888888886</v>
      </c>
      <c r="BU1055" t="s">
        <v>1744</v>
      </c>
      <c r="BV1055" t="s">
        <v>98</v>
      </c>
      <c r="BY1055">
        <v>1350</v>
      </c>
      <c r="BZ1055" t="s">
        <v>89</v>
      </c>
      <c r="CA1055" t="s">
        <v>716</v>
      </c>
      <c r="CC1055" t="s">
        <v>152</v>
      </c>
      <c r="CD1055" s="5" t="s">
        <v>717</v>
      </c>
      <c r="CE1055" t="s">
        <v>239</v>
      </c>
      <c r="CF1055" s="3">
        <v>45848</v>
      </c>
      <c r="CI1055">
        <v>1</v>
      </c>
      <c r="CJ1055">
        <v>1</v>
      </c>
      <c r="CK1055">
        <v>21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"080066452858"</f>
        <v>080066452858</v>
      </c>
      <c r="F1056" s="3">
        <v>45847</v>
      </c>
      <c r="G1056">
        <v>202604</v>
      </c>
      <c r="H1056" t="s">
        <v>75</v>
      </c>
      <c r="I1056" t="s">
        <v>76</v>
      </c>
      <c r="J1056" t="s">
        <v>77</v>
      </c>
      <c r="K1056" t="s">
        <v>78</v>
      </c>
      <c r="L1056" t="s">
        <v>79</v>
      </c>
      <c r="M1056" t="s">
        <v>80</v>
      </c>
      <c r="N1056" t="s">
        <v>1083</v>
      </c>
      <c r="O1056" t="s">
        <v>82</v>
      </c>
      <c r="P1056" t="str">
        <f>"4170047550                    "</f>
        <v xml:space="preserve">4170047550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22.6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1.1000000000000001</v>
      </c>
      <c r="BK1056">
        <v>1.5</v>
      </c>
      <c r="BL1056">
        <v>71.2</v>
      </c>
      <c r="BM1056">
        <v>10.68</v>
      </c>
      <c r="BN1056">
        <v>81.88</v>
      </c>
      <c r="BO1056">
        <v>81.88</v>
      </c>
      <c r="BQ1056" t="s">
        <v>1084</v>
      </c>
      <c r="BR1056" t="s">
        <v>84</v>
      </c>
      <c r="BS1056" s="3">
        <v>45848</v>
      </c>
      <c r="BT1056" s="4">
        <v>0.40555555555555556</v>
      </c>
      <c r="BU1056" t="s">
        <v>1790</v>
      </c>
      <c r="BV1056" t="s">
        <v>98</v>
      </c>
      <c r="BY1056">
        <v>5320</v>
      </c>
      <c r="BZ1056" t="s">
        <v>89</v>
      </c>
      <c r="CA1056" t="s">
        <v>522</v>
      </c>
      <c r="CC1056" t="s">
        <v>80</v>
      </c>
      <c r="CD1056">
        <v>8001</v>
      </c>
      <c r="CE1056" t="s">
        <v>117</v>
      </c>
      <c r="CF1056" s="3">
        <v>45849</v>
      </c>
      <c r="CI1056">
        <v>1</v>
      </c>
      <c r="CJ1056">
        <v>1</v>
      </c>
      <c r="CK1056">
        <v>21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"080066452955"</f>
        <v>080066452955</v>
      </c>
      <c r="F1057" s="3">
        <v>45847</v>
      </c>
      <c r="G1057">
        <v>202604</v>
      </c>
      <c r="H1057" t="s">
        <v>75</v>
      </c>
      <c r="I1057" t="s">
        <v>76</v>
      </c>
      <c r="J1057" t="s">
        <v>77</v>
      </c>
      <c r="K1057" t="s">
        <v>78</v>
      </c>
      <c r="L1057" t="s">
        <v>168</v>
      </c>
      <c r="M1057" t="s">
        <v>169</v>
      </c>
      <c r="N1057" t="s">
        <v>360</v>
      </c>
      <c r="O1057" t="s">
        <v>82</v>
      </c>
      <c r="P1057" t="str">
        <f>"4170047685                    "</f>
        <v xml:space="preserve">4170047685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22.6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0.3</v>
      </c>
      <c r="BK1057">
        <v>1</v>
      </c>
      <c r="BL1057">
        <v>71.2</v>
      </c>
      <c r="BM1057">
        <v>10.68</v>
      </c>
      <c r="BN1057">
        <v>81.88</v>
      </c>
      <c r="BO1057">
        <v>81.88</v>
      </c>
      <c r="BQ1057" t="s">
        <v>361</v>
      </c>
      <c r="BR1057" t="s">
        <v>84</v>
      </c>
      <c r="BS1057" s="3">
        <v>45848</v>
      </c>
      <c r="BT1057" s="4">
        <v>0.39583333333333331</v>
      </c>
      <c r="BU1057" t="s">
        <v>1791</v>
      </c>
      <c r="BV1057" t="s">
        <v>98</v>
      </c>
      <c r="BY1057">
        <v>1350</v>
      </c>
      <c r="BZ1057" t="s">
        <v>89</v>
      </c>
      <c r="CA1057" t="s">
        <v>423</v>
      </c>
      <c r="CC1057" t="s">
        <v>169</v>
      </c>
      <c r="CD1057">
        <v>6001</v>
      </c>
      <c r="CE1057" t="s">
        <v>239</v>
      </c>
      <c r="CF1057" s="3">
        <v>45848</v>
      </c>
      <c r="CI1057">
        <v>1</v>
      </c>
      <c r="CJ1057">
        <v>1</v>
      </c>
      <c r="CK1057">
        <v>21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"080066452957"</f>
        <v>080066452957</v>
      </c>
      <c r="F1058" s="3">
        <v>45847</v>
      </c>
      <c r="G1058">
        <v>202604</v>
      </c>
      <c r="H1058" t="s">
        <v>75</v>
      </c>
      <c r="I1058" t="s">
        <v>76</v>
      </c>
      <c r="J1058" t="s">
        <v>77</v>
      </c>
      <c r="K1058" t="s">
        <v>78</v>
      </c>
      <c r="L1058" t="s">
        <v>221</v>
      </c>
      <c r="M1058" t="s">
        <v>222</v>
      </c>
      <c r="N1058" t="s">
        <v>223</v>
      </c>
      <c r="O1058" t="s">
        <v>82</v>
      </c>
      <c r="P1058" t="str">
        <f>"4170047527                    "</f>
        <v xml:space="preserve">4170047527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112.99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4</v>
      </c>
      <c r="BJ1058">
        <v>5.5</v>
      </c>
      <c r="BK1058">
        <v>5.5</v>
      </c>
      <c r="BL1058">
        <v>355.97</v>
      </c>
      <c r="BM1058">
        <v>53.4</v>
      </c>
      <c r="BN1058">
        <v>409.37</v>
      </c>
      <c r="BO1058">
        <v>409.37</v>
      </c>
      <c r="BQ1058" t="s">
        <v>224</v>
      </c>
      <c r="BR1058" t="s">
        <v>84</v>
      </c>
      <c r="BS1058" s="3">
        <v>45848</v>
      </c>
      <c r="BT1058" s="4">
        <v>0.35416666666666669</v>
      </c>
      <c r="BU1058" t="s">
        <v>1707</v>
      </c>
      <c r="BV1058" t="s">
        <v>98</v>
      </c>
      <c r="BY1058">
        <v>27360</v>
      </c>
      <c r="BZ1058" t="s">
        <v>89</v>
      </c>
      <c r="CC1058" t="s">
        <v>222</v>
      </c>
      <c r="CD1058">
        <v>2740</v>
      </c>
      <c r="CE1058" t="s">
        <v>91</v>
      </c>
      <c r="CF1058" s="3">
        <v>45849</v>
      </c>
      <c r="CI1058">
        <v>1</v>
      </c>
      <c r="CJ1058">
        <v>1</v>
      </c>
      <c r="CK1058">
        <v>23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"080066453033"</f>
        <v>080066453033</v>
      </c>
      <c r="F1059" s="3">
        <v>45847</v>
      </c>
      <c r="G1059">
        <v>202604</v>
      </c>
      <c r="H1059" t="s">
        <v>75</v>
      </c>
      <c r="I1059" t="s">
        <v>76</v>
      </c>
      <c r="J1059" t="s">
        <v>77</v>
      </c>
      <c r="K1059" t="s">
        <v>78</v>
      </c>
      <c r="L1059" t="s">
        <v>168</v>
      </c>
      <c r="M1059" t="s">
        <v>169</v>
      </c>
      <c r="N1059" t="s">
        <v>412</v>
      </c>
      <c r="O1059" t="s">
        <v>82</v>
      </c>
      <c r="P1059" t="str">
        <f>"4170047631                    "</f>
        <v xml:space="preserve">4170047631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175.02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8</v>
      </c>
      <c r="BJ1059">
        <v>15.5</v>
      </c>
      <c r="BK1059">
        <v>15.5</v>
      </c>
      <c r="BL1059">
        <v>551.4</v>
      </c>
      <c r="BM1059">
        <v>82.71</v>
      </c>
      <c r="BN1059">
        <v>634.11</v>
      </c>
      <c r="BO1059">
        <v>634.11</v>
      </c>
      <c r="BQ1059" t="s">
        <v>413</v>
      </c>
      <c r="BR1059" t="s">
        <v>84</v>
      </c>
      <c r="BS1059" s="3">
        <v>45848</v>
      </c>
      <c r="BT1059" s="4">
        <v>0.38055555555555554</v>
      </c>
      <c r="BU1059" t="s">
        <v>470</v>
      </c>
      <c r="BV1059" t="s">
        <v>98</v>
      </c>
      <c r="BY1059">
        <v>77500</v>
      </c>
      <c r="BZ1059" t="s">
        <v>89</v>
      </c>
      <c r="CA1059" t="s">
        <v>415</v>
      </c>
      <c r="CC1059" t="s">
        <v>169</v>
      </c>
      <c r="CD1059">
        <v>6001</v>
      </c>
      <c r="CE1059" t="s">
        <v>91</v>
      </c>
      <c r="CF1059" s="3">
        <v>45848</v>
      </c>
      <c r="CI1059">
        <v>1</v>
      </c>
      <c r="CJ1059">
        <v>1</v>
      </c>
      <c r="CK1059">
        <v>21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"080066453035"</f>
        <v>080066453035</v>
      </c>
      <c r="F1060" s="3">
        <v>45847</v>
      </c>
      <c r="G1060">
        <v>202604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141</v>
      </c>
      <c r="O1060" t="s">
        <v>82</v>
      </c>
      <c r="P1060" t="str">
        <f>"4170047653                    "</f>
        <v xml:space="preserve">4170047653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22.6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0.3</v>
      </c>
      <c r="BK1060">
        <v>1</v>
      </c>
      <c r="BL1060">
        <v>71.2</v>
      </c>
      <c r="BM1060">
        <v>10.68</v>
      </c>
      <c r="BN1060">
        <v>81.88</v>
      </c>
      <c r="BO1060">
        <v>81.88</v>
      </c>
      <c r="BQ1060" t="s">
        <v>142</v>
      </c>
      <c r="BR1060" t="s">
        <v>84</v>
      </c>
      <c r="BS1060" s="3">
        <v>45848</v>
      </c>
      <c r="BT1060" s="4">
        <v>0.39930555555555558</v>
      </c>
      <c r="BU1060" t="s">
        <v>143</v>
      </c>
      <c r="BV1060" t="s">
        <v>98</v>
      </c>
      <c r="BY1060">
        <v>1350</v>
      </c>
      <c r="BZ1060" t="s">
        <v>89</v>
      </c>
      <c r="CA1060" t="s">
        <v>144</v>
      </c>
      <c r="CC1060" t="s">
        <v>80</v>
      </c>
      <c r="CD1060">
        <v>7441</v>
      </c>
      <c r="CE1060" t="s">
        <v>239</v>
      </c>
      <c r="CF1060" s="3">
        <v>45849</v>
      </c>
      <c r="CI1060">
        <v>1</v>
      </c>
      <c r="CJ1060">
        <v>1</v>
      </c>
      <c r="CK1060">
        <v>21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"080066453068"</f>
        <v>080066453068</v>
      </c>
      <c r="F1061" s="3">
        <v>45847</v>
      </c>
      <c r="G1061">
        <v>202604</v>
      </c>
      <c r="H1061" t="s">
        <v>75</v>
      </c>
      <c r="I1061" t="s">
        <v>76</v>
      </c>
      <c r="J1061" t="s">
        <v>77</v>
      </c>
      <c r="K1061" t="s">
        <v>78</v>
      </c>
      <c r="L1061" t="s">
        <v>503</v>
      </c>
      <c r="M1061" t="s">
        <v>504</v>
      </c>
      <c r="N1061" t="s">
        <v>505</v>
      </c>
      <c r="O1061" t="s">
        <v>82</v>
      </c>
      <c r="P1061" t="str">
        <f>"4170047730                    "</f>
        <v xml:space="preserve">4170047730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63.56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3</v>
      </c>
      <c r="BJ1061">
        <v>1.7</v>
      </c>
      <c r="BK1061">
        <v>3</v>
      </c>
      <c r="BL1061">
        <v>200.24</v>
      </c>
      <c r="BM1061">
        <v>30.04</v>
      </c>
      <c r="BN1061">
        <v>230.28</v>
      </c>
      <c r="BO1061">
        <v>230.28</v>
      </c>
      <c r="BQ1061" t="s">
        <v>506</v>
      </c>
      <c r="BR1061" t="s">
        <v>84</v>
      </c>
      <c r="BS1061" s="3">
        <v>45848</v>
      </c>
      <c r="BT1061" s="4">
        <v>0.41597222222222224</v>
      </c>
      <c r="BU1061" t="s">
        <v>1235</v>
      </c>
      <c r="BV1061" t="s">
        <v>98</v>
      </c>
      <c r="BY1061">
        <v>8512</v>
      </c>
      <c r="BZ1061" t="s">
        <v>89</v>
      </c>
      <c r="CA1061" t="s">
        <v>508</v>
      </c>
      <c r="CC1061" t="s">
        <v>504</v>
      </c>
      <c r="CD1061">
        <v>7130</v>
      </c>
      <c r="CE1061" t="s">
        <v>117</v>
      </c>
      <c r="CF1061" s="3">
        <v>45849</v>
      </c>
      <c r="CI1061">
        <v>1</v>
      </c>
      <c r="CJ1061">
        <v>1</v>
      </c>
      <c r="CK1061">
        <v>23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"080066453077"</f>
        <v>080066453077</v>
      </c>
      <c r="F1062" s="3">
        <v>45847</v>
      </c>
      <c r="G1062">
        <v>202604</v>
      </c>
      <c r="H1062" t="s">
        <v>75</v>
      </c>
      <c r="I1062" t="s">
        <v>76</v>
      </c>
      <c r="J1062" t="s">
        <v>77</v>
      </c>
      <c r="K1062" t="s">
        <v>78</v>
      </c>
      <c r="L1062" t="s">
        <v>79</v>
      </c>
      <c r="M1062" t="s">
        <v>80</v>
      </c>
      <c r="N1062" t="s">
        <v>188</v>
      </c>
      <c r="O1062" t="s">
        <v>82</v>
      </c>
      <c r="P1062" t="str">
        <f>"4170047707                    "</f>
        <v xml:space="preserve">4170047707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22.6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0.3</v>
      </c>
      <c r="BK1062">
        <v>1</v>
      </c>
      <c r="BL1062">
        <v>71.2</v>
      </c>
      <c r="BM1062">
        <v>10.68</v>
      </c>
      <c r="BN1062">
        <v>81.88</v>
      </c>
      <c r="BO1062">
        <v>81.88</v>
      </c>
      <c r="BQ1062" t="s">
        <v>189</v>
      </c>
      <c r="BR1062" t="s">
        <v>84</v>
      </c>
      <c r="BS1062" s="3">
        <v>45848</v>
      </c>
      <c r="BT1062" s="4">
        <v>0.35416666666666669</v>
      </c>
      <c r="BU1062" t="s">
        <v>1565</v>
      </c>
      <c r="BV1062" t="s">
        <v>98</v>
      </c>
      <c r="BY1062">
        <v>1350</v>
      </c>
      <c r="BZ1062" t="s">
        <v>89</v>
      </c>
      <c r="CC1062" t="s">
        <v>80</v>
      </c>
      <c r="CD1062">
        <v>7441</v>
      </c>
      <c r="CE1062" t="s">
        <v>239</v>
      </c>
      <c r="CF1062" s="3">
        <v>45849</v>
      </c>
      <c r="CI1062">
        <v>1</v>
      </c>
      <c r="CJ1062">
        <v>1</v>
      </c>
      <c r="CK1062">
        <v>21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"080066453103"</f>
        <v>080066453103</v>
      </c>
      <c r="F1063" s="3">
        <v>45847</v>
      </c>
      <c r="G1063">
        <v>202604</v>
      </c>
      <c r="H1063" t="s">
        <v>75</v>
      </c>
      <c r="I1063" t="s">
        <v>76</v>
      </c>
      <c r="J1063" t="s">
        <v>77</v>
      </c>
      <c r="K1063" t="s">
        <v>78</v>
      </c>
      <c r="L1063" t="s">
        <v>305</v>
      </c>
      <c r="M1063" t="s">
        <v>306</v>
      </c>
      <c r="N1063" t="s">
        <v>640</v>
      </c>
      <c r="O1063" t="s">
        <v>82</v>
      </c>
      <c r="P1063" t="str">
        <f>"4170047646                    "</f>
        <v xml:space="preserve">4170047646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22.6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</v>
      </c>
      <c r="BJ1063">
        <v>1.7</v>
      </c>
      <c r="BK1063">
        <v>2</v>
      </c>
      <c r="BL1063">
        <v>71.2</v>
      </c>
      <c r="BM1063">
        <v>10.68</v>
      </c>
      <c r="BN1063">
        <v>81.88</v>
      </c>
      <c r="BO1063">
        <v>81.88</v>
      </c>
      <c r="BQ1063" t="s">
        <v>641</v>
      </c>
      <c r="BR1063" t="s">
        <v>84</v>
      </c>
      <c r="BS1063" s="3">
        <v>45848</v>
      </c>
      <c r="BT1063" s="4">
        <v>0.51875000000000004</v>
      </c>
      <c r="BU1063" t="s">
        <v>975</v>
      </c>
      <c r="BV1063" t="s">
        <v>86</v>
      </c>
      <c r="BY1063">
        <v>8550</v>
      </c>
      <c r="BZ1063" t="s">
        <v>89</v>
      </c>
      <c r="CA1063" t="s">
        <v>310</v>
      </c>
      <c r="CC1063" t="s">
        <v>306</v>
      </c>
      <c r="CD1063">
        <v>5201</v>
      </c>
      <c r="CE1063" t="s">
        <v>117</v>
      </c>
      <c r="CF1063" s="3">
        <v>45848</v>
      </c>
      <c r="CI1063">
        <v>1</v>
      </c>
      <c r="CJ1063">
        <v>1</v>
      </c>
      <c r="CK1063">
        <v>21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"080066453122"</f>
        <v>080066453122</v>
      </c>
      <c r="F1064" s="3">
        <v>45847</v>
      </c>
      <c r="G1064">
        <v>202604</v>
      </c>
      <c r="H1064" t="s">
        <v>75</v>
      </c>
      <c r="I1064" t="s">
        <v>76</v>
      </c>
      <c r="J1064" t="s">
        <v>77</v>
      </c>
      <c r="K1064" t="s">
        <v>78</v>
      </c>
      <c r="L1064" t="s">
        <v>79</v>
      </c>
      <c r="M1064" t="s">
        <v>80</v>
      </c>
      <c r="N1064" t="s">
        <v>141</v>
      </c>
      <c r="O1064" t="s">
        <v>82</v>
      </c>
      <c r="P1064" t="str">
        <f>"4170047651                    "</f>
        <v xml:space="preserve">4170047651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45.18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2</v>
      </c>
      <c r="BI1064">
        <v>2</v>
      </c>
      <c r="BJ1064">
        <v>3.9</v>
      </c>
      <c r="BK1064">
        <v>4</v>
      </c>
      <c r="BL1064">
        <v>142.34</v>
      </c>
      <c r="BM1064">
        <v>21.35</v>
      </c>
      <c r="BN1064">
        <v>163.69</v>
      </c>
      <c r="BO1064">
        <v>163.69</v>
      </c>
      <c r="BQ1064" t="s">
        <v>142</v>
      </c>
      <c r="BR1064" t="s">
        <v>84</v>
      </c>
      <c r="BS1064" s="3">
        <v>45848</v>
      </c>
      <c r="BT1064" s="4">
        <v>0.39930555555555558</v>
      </c>
      <c r="BU1064" t="s">
        <v>143</v>
      </c>
      <c r="BV1064" t="s">
        <v>98</v>
      </c>
      <c r="BY1064">
        <v>19376</v>
      </c>
      <c r="BZ1064" t="s">
        <v>89</v>
      </c>
      <c r="CA1064" t="s">
        <v>144</v>
      </c>
      <c r="CC1064" t="s">
        <v>80</v>
      </c>
      <c r="CD1064">
        <v>7441</v>
      </c>
      <c r="CE1064" t="s">
        <v>266</v>
      </c>
      <c r="CF1064" s="3">
        <v>45849</v>
      </c>
      <c r="CI1064">
        <v>1</v>
      </c>
      <c r="CJ1064">
        <v>1</v>
      </c>
      <c r="CK1064">
        <v>21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"080066453150"</f>
        <v>080066453150</v>
      </c>
      <c r="F1065" s="3">
        <v>45847</v>
      </c>
      <c r="G1065">
        <v>202604</v>
      </c>
      <c r="H1065" t="s">
        <v>75</v>
      </c>
      <c r="I1065" t="s">
        <v>76</v>
      </c>
      <c r="J1065" t="s">
        <v>77</v>
      </c>
      <c r="K1065" t="s">
        <v>78</v>
      </c>
      <c r="L1065" t="s">
        <v>79</v>
      </c>
      <c r="M1065" t="s">
        <v>80</v>
      </c>
      <c r="N1065" t="s">
        <v>141</v>
      </c>
      <c r="O1065" t="s">
        <v>82</v>
      </c>
      <c r="P1065" t="str">
        <f>"4170047559                    "</f>
        <v xml:space="preserve">4170047559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56.47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5</v>
      </c>
      <c r="BJ1065">
        <v>3.4</v>
      </c>
      <c r="BK1065">
        <v>5</v>
      </c>
      <c r="BL1065">
        <v>177.91</v>
      </c>
      <c r="BM1065">
        <v>26.69</v>
      </c>
      <c r="BN1065">
        <v>204.6</v>
      </c>
      <c r="BO1065">
        <v>204.6</v>
      </c>
      <c r="BQ1065" t="s">
        <v>142</v>
      </c>
      <c r="BR1065" t="s">
        <v>84</v>
      </c>
      <c r="BS1065" s="3">
        <v>45848</v>
      </c>
      <c r="BT1065" s="4">
        <v>0.39930555555555558</v>
      </c>
      <c r="BU1065" t="s">
        <v>143</v>
      </c>
      <c r="BV1065" t="s">
        <v>98</v>
      </c>
      <c r="BY1065">
        <v>16965</v>
      </c>
      <c r="BZ1065" t="s">
        <v>89</v>
      </c>
      <c r="CA1065" t="s">
        <v>144</v>
      </c>
      <c r="CC1065" t="s">
        <v>80</v>
      </c>
      <c r="CD1065">
        <v>7441</v>
      </c>
      <c r="CE1065" t="s">
        <v>117</v>
      </c>
      <c r="CF1065" s="3">
        <v>45849</v>
      </c>
      <c r="CI1065">
        <v>1</v>
      </c>
      <c r="CJ1065">
        <v>1</v>
      </c>
      <c r="CK1065">
        <v>21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"080066453170"</f>
        <v>080066453170</v>
      </c>
      <c r="F1066" s="3">
        <v>45847</v>
      </c>
      <c r="G1066">
        <v>202604</v>
      </c>
      <c r="H1066" t="s">
        <v>75</v>
      </c>
      <c r="I1066" t="s">
        <v>76</v>
      </c>
      <c r="J1066" t="s">
        <v>77</v>
      </c>
      <c r="K1066" t="s">
        <v>78</v>
      </c>
      <c r="L1066" t="s">
        <v>168</v>
      </c>
      <c r="M1066" t="s">
        <v>169</v>
      </c>
      <c r="N1066" t="s">
        <v>412</v>
      </c>
      <c r="O1066" t="s">
        <v>82</v>
      </c>
      <c r="P1066" t="str">
        <f>"4170047514                    "</f>
        <v xml:space="preserve">4170047514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169.37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15</v>
      </c>
      <c r="BJ1066">
        <v>3.4</v>
      </c>
      <c r="BK1066">
        <v>15</v>
      </c>
      <c r="BL1066">
        <v>533.61</v>
      </c>
      <c r="BM1066">
        <v>80.040000000000006</v>
      </c>
      <c r="BN1066">
        <v>613.65</v>
      </c>
      <c r="BO1066">
        <v>613.65</v>
      </c>
      <c r="BQ1066" t="s">
        <v>413</v>
      </c>
      <c r="BR1066" t="s">
        <v>84</v>
      </c>
      <c r="BS1066" s="3">
        <v>45848</v>
      </c>
      <c r="BT1066" s="4">
        <v>0.37986111111111109</v>
      </c>
      <c r="BU1066" t="s">
        <v>1298</v>
      </c>
      <c r="BV1066" t="s">
        <v>98</v>
      </c>
      <c r="BY1066">
        <v>16965</v>
      </c>
      <c r="BZ1066" t="s">
        <v>89</v>
      </c>
      <c r="CA1066" t="s">
        <v>415</v>
      </c>
      <c r="CC1066" t="s">
        <v>169</v>
      </c>
      <c r="CD1066">
        <v>6001</v>
      </c>
      <c r="CE1066" t="s">
        <v>117</v>
      </c>
      <c r="CF1066" s="3">
        <v>45848</v>
      </c>
      <c r="CI1066">
        <v>1</v>
      </c>
      <c r="CJ1066">
        <v>1</v>
      </c>
      <c r="CK1066">
        <v>21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"080066453198"</f>
        <v>080066453198</v>
      </c>
      <c r="F1067" s="3">
        <v>45847</v>
      </c>
      <c r="G1067">
        <v>202604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118</v>
      </c>
      <c r="O1067" t="s">
        <v>82</v>
      </c>
      <c r="P1067" t="str">
        <f>"4170047543                    "</f>
        <v xml:space="preserve">4170047543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17.649999999999999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1.1000000000000001</v>
      </c>
      <c r="BK1067">
        <v>3</v>
      </c>
      <c r="BL1067">
        <v>55.61</v>
      </c>
      <c r="BM1067">
        <v>8.34</v>
      </c>
      <c r="BN1067">
        <v>63.95</v>
      </c>
      <c r="BO1067">
        <v>63.95</v>
      </c>
      <c r="BQ1067" t="s">
        <v>119</v>
      </c>
      <c r="BR1067" t="s">
        <v>84</v>
      </c>
      <c r="BS1067" s="3">
        <v>45848</v>
      </c>
      <c r="BT1067" s="4">
        <v>0.34583333333333333</v>
      </c>
      <c r="BU1067" t="s">
        <v>1363</v>
      </c>
      <c r="BV1067" t="s">
        <v>98</v>
      </c>
      <c r="BY1067">
        <v>5472</v>
      </c>
      <c r="BZ1067" t="s">
        <v>89</v>
      </c>
      <c r="CA1067" t="s">
        <v>213</v>
      </c>
      <c r="CC1067" t="s">
        <v>76</v>
      </c>
      <c r="CD1067">
        <v>1600</v>
      </c>
      <c r="CE1067" t="s">
        <v>91</v>
      </c>
      <c r="CF1067" s="3">
        <v>45849</v>
      </c>
      <c r="CI1067">
        <v>1</v>
      </c>
      <c r="CJ1067">
        <v>1</v>
      </c>
      <c r="CK1067">
        <v>22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"080066453205"</f>
        <v>080066453205</v>
      </c>
      <c r="F1068" s="3">
        <v>45847</v>
      </c>
      <c r="G1068">
        <v>202604</v>
      </c>
      <c r="H1068" t="s">
        <v>75</v>
      </c>
      <c r="I1068" t="s">
        <v>76</v>
      </c>
      <c r="J1068" t="s">
        <v>77</v>
      </c>
      <c r="K1068" t="s">
        <v>78</v>
      </c>
      <c r="L1068" t="s">
        <v>168</v>
      </c>
      <c r="M1068" t="s">
        <v>169</v>
      </c>
      <c r="N1068" t="s">
        <v>202</v>
      </c>
      <c r="O1068" t="s">
        <v>82</v>
      </c>
      <c r="P1068" t="str">
        <f>"4170047684                    "</f>
        <v xml:space="preserve">4170047684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22.6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0.3</v>
      </c>
      <c r="BK1068">
        <v>1</v>
      </c>
      <c r="BL1068">
        <v>71.2</v>
      </c>
      <c r="BM1068">
        <v>10.68</v>
      </c>
      <c r="BN1068">
        <v>81.88</v>
      </c>
      <c r="BO1068">
        <v>81.88</v>
      </c>
      <c r="BQ1068" t="s">
        <v>203</v>
      </c>
      <c r="BR1068" t="s">
        <v>84</v>
      </c>
      <c r="BS1068" s="3">
        <v>45848</v>
      </c>
      <c r="BT1068" s="4">
        <v>0.37569444444444444</v>
      </c>
      <c r="BU1068" t="s">
        <v>1713</v>
      </c>
      <c r="BV1068" t="s">
        <v>98</v>
      </c>
      <c r="BY1068">
        <v>1350</v>
      </c>
      <c r="BZ1068" t="s">
        <v>89</v>
      </c>
      <c r="CA1068" t="s">
        <v>205</v>
      </c>
      <c r="CC1068" t="s">
        <v>169</v>
      </c>
      <c r="CD1068">
        <v>6001</v>
      </c>
      <c r="CE1068" t="s">
        <v>239</v>
      </c>
      <c r="CF1068" s="3">
        <v>45848</v>
      </c>
      <c r="CI1068">
        <v>1</v>
      </c>
      <c r="CJ1068">
        <v>1</v>
      </c>
      <c r="CK1068">
        <v>21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"080066453224"</f>
        <v>080066453224</v>
      </c>
      <c r="F1069" s="3">
        <v>45847</v>
      </c>
      <c r="G1069">
        <v>202604</v>
      </c>
      <c r="H1069" t="s">
        <v>75</v>
      </c>
      <c r="I1069" t="s">
        <v>76</v>
      </c>
      <c r="J1069" t="s">
        <v>77</v>
      </c>
      <c r="K1069" t="s">
        <v>78</v>
      </c>
      <c r="L1069" t="s">
        <v>452</v>
      </c>
      <c r="M1069" t="s">
        <v>453</v>
      </c>
      <c r="N1069" t="s">
        <v>1792</v>
      </c>
      <c r="O1069" t="s">
        <v>95</v>
      </c>
      <c r="P1069" t="str">
        <f>"4170047555                    "</f>
        <v xml:space="preserve">4170047555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35.69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17</v>
      </c>
      <c r="BJ1069">
        <v>8.1999999999999993</v>
      </c>
      <c r="BK1069">
        <v>17</v>
      </c>
      <c r="BL1069">
        <v>118.32</v>
      </c>
      <c r="BM1069">
        <v>17.75</v>
      </c>
      <c r="BN1069">
        <v>136.07</v>
      </c>
      <c r="BO1069">
        <v>136.07</v>
      </c>
      <c r="BQ1069" t="s">
        <v>1793</v>
      </c>
      <c r="BR1069" t="s">
        <v>84</v>
      </c>
      <c r="BS1069" s="3">
        <v>45848</v>
      </c>
      <c r="BT1069" s="4">
        <v>0.35833333333333334</v>
      </c>
      <c r="BU1069" t="s">
        <v>1794</v>
      </c>
      <c r="BV1069" t="s">
        <v>98</v>
      </c>
      <c r="BY1069">
        <v>41040</v>
      </c>
      <c r="BZ1069" t="s">
        <v>99</v>
      </c>
      <c r="CA1069" t="s">
        <v>1541</v>
      </c>
      <c r="CC1069" t="s">
        <v>453</v>
      </c>
      <c r="CD1069">
        <v>1559</v>
      </c>
      <c r="CE1069" t="s">
        <v>91</v>
      </c>
      <c r="CF1069" s="3">
        <v>45849</v>
      </c>
      <c r="CI1069">
        <v>1</v>
      </c>
      <c r="CJ1069">
        <v>1</v>
      </c>
      <c r="CK1069">
        <v>42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"080066453262"</f>
        <v>080066453262</v>
      </c>
      <c r="F1070" s="3">
        <v>45847</v>
      </c>
      <c r="G1070">
        <v>202604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1795</v>
      </c>
      <c r="O1070" t="s">
        <v>82</v>
      </c>
      <c r="P1070" t="str">
        <f>"4170047698                    "</f>
        <v xml:space="preserve">4170047698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17.649999999999999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0.3</v>
      </c>
      <c r="BK1070">
        <v>1</v>
      </c>
      <c r="BL1070">
        <v>55.61</v>
      </c>
      <c r="BM1070">
        <v>8.34</v>
      </c>
      <c r="BN1070">
        <v>63.95</v>
      </c>
      <c r="BO1070">
        <v>63.95</v>
      </c>
      <c r="BQ1070" t="s">
        <v>1796</v>
      </c>
      <c r="BR1070" t="s">
        <v>84</v>
      </c>
      <c r="BS1070" s="3">
        <v>45848</v>
      </c>
      <c r="BT1070" s="4">
        <v>0.37152777777777779</v>
      </c>
      <c r="BU1070" t="s">
        <v>1797</v>
      </c>
      <c r="BV1070" t="s">
        <v>98</v>
      </c>
      <c r="BY1070">
        <v>1350</v>
      </c>
      <c r="BZ1070" t="s">
        <v>89</v>
      </c>
      <c r="CA1070" t="s">
        <v>213</v>
      </c>
      <c r="CC1070" t="s">
        <v>76</v>
      </c>
      <c r="CD1070">
        <v>1600</v>
      </c>
      <c r="CE1070" t="s">
        <v>239</v>
      </c>
      <c r="CF1070" s="3">
        <v>45849</v>
      </c>
      <c r="CI1070">
        <v>1</v>
      </c>
      <c r="CJ1070">
        <v>1</v>
      </c>
      <c r="CK1070">
        <v>22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"080066453308"</f>
        <v>080066453308</v>
      </c>
      <c r="F1071" s="3">
        <v>45847</v>
      </c>
      <c r="G1071">
        <v>202604</v>
      </c>
      <c r="H1071" t="s">
        <v>75</v>
      </c>
      <c r="I1071" t="s">
        <v>76</v>
      </c>
      <c r="J1071" t="s">
        <v>77</v>
      </c>
      <c r="K1071" t="s">
        <v>78</v>
      </c>
      <c r="L1071" t="s">
        <v>122</v>
      </c>
      <c r="M1071" t="s">
        <v>123</v>
      </c>
      <c r="N1071" t="s">
        <v>267</v>
      </c>
      <c r="O1071" t="s">
        <v>82</v>
      </c>
      <c r="P1071" t="str">
        <f>"4170047750                    "</f>
        <v xml:space="preserve">4170047750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22.6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0.3</v>
      </c>
      <c r="BK1071">
        <v>1</v>
      </c>
      <c r="BL1071">
        <v>71.2</v>
      </c>
      <c r="BM1071">
        <v>10.68</v>
      </c>
      <c r="BN1071">
        <v>81.88</v>
      </c>
      <c r="BO1071">
        <v>81.88</v>
      </c>
      <c r="BQ1071" t="s">
        <v>268</v>
      </c>
      <c r="BR1071" t="s">
        <v>84</v>
      </c>
      <c r="BS1071" s="3">
        <v>45848</v>
      </c>
      <c r="BT1071" s="4">
        <v>0.38333333333333336</v>
      </c>
      <c r="BU1071" t="s">
        <v>939</v>
      </c>
      <c r="BV1071" t="s">
        <v>98</v>
      </c>
      <c r="BY1071">
        <v>1350</v>
      </c>
      <c r="BZ1071" t="s">
        <v>89</v>
      </c>
      <c r="CA1071" t="s">
        <v>166</v>
      </c>
      <c r="CC1071" t="s">
        <v>123</v>
      </c>
      <c r="CD1071">
        <v>3610</v>
      </c>
      <c r="CE1071" t="s">
        <v>239</v>
      </c>
      <c r="CF1071" s="3">
        <v>45849</v>
      </c>
      <c r="CI1071">
        <v>1</v>
      </c>
      <c r="CJ1071">
        <v>1</v>
      </c>
      <c r="CK1071">
        <v>21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"080066453363"</f>
        <v>080066453363</v>
      </c>
      <c r="F1072" s="3">
        <v>45847</v>
      </c>
      <c r="G1072">
        <v>202604</v>
      </c>
      <c r="H1072" t="s">
        <v>75</v>
      </c>
      <c r="I1072" t="s">
        <v>76</v>
      </c>
      <c r="J1072" t="s">
        <v>77</v>
      </c>
      <c r="K1072" t="s">
        <v>78</v>
      </c>
      <c r="L1072" t="s">
        <v>197</v>
      </c>
      <c r="M1072" t="s">
        <v>198</v>
      </c>
      <c r="N1072" t="s">
        <v>1209</v>
      </c>
      <c r="O1072" t="s">
        <v>82</v>
      </c>
      <c r="P1072" t="str">
        <f>"4170047558                    "</f>
        <v xml:space="preserve">4170047558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17.649999999999999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0.3</v>
      </c>
      <c r="BK1072">
        <v>1</v>
      </c>
      <c r="BL1072">
        <v>55.61</v>
      </c>
      <c r="BM1072">
        <v>8.34</v>
      </c>
      <c r="BN1072">
        <v>63.95</v>
      </c>
      <c r="BO1072">
        <v>63.95</v>
      </c>
      <c r="BQ1072" t="s">
        <v>1210</v>
      </c>
      <c r="BR1072" t="s">
        <v>84</v>
      </c>
      <c r="BS1072" s="3">
        <v>45848</v>
      </c>
      <c r="BT1072" s="4">
        <v>0.4375</v>
      </c>
      <c r="BU1072" t="s">
        <v>1798</v>
      </c>
      <c r="BV1072" t="s">
        <v>98</v>
      </c>
      <c r="BY1072">
        <v>1350</v>
      </c>
      <c r="BZ1072" t="s">
        <v>89</v>
      </c>
      <c r="CA1072" t="s">
        <v>1799</v>
      </c>
      <c r="CC1072" t="s">
        <v>198</v>
      </c>
      <c r="CD1072">
        <v>1406</v>
      </c>
      <c r="CE1072" t="s">
        <v>239</v>
      </c>
      <c r="CF1072" s="3">
        <v>45849</v>
      </c>
      <c r="CI1072">
        <v>1</v>
      </c>
      <c r="CJ1072">
        <v>1</v>
      </c>
      <c r="CK1072">
        <v>22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"080066453519"</f>
        <v>080066453519</v>
      </c>
      <c r="F1073" s="3">
        <v>45847</v>
      </c>
      <c r="G1073">
        <v>202604</v>
      </c>
      <c r="H1073" t="s">
        <v>75</v>
      </c>
      <c r="I1073" t="s">
        <v>76</v>
      </c>
      <c r="J1073" t="s">
        <v>77</v>
      </c>
      <c r="K1073" t="s">
        <v>78</v>
      </c>
      <c r="L1073" t="s">
        <v>151</v>
      </c>
      <c r="M1073" t="s">
        <v>152</v>
      </c>
      <c r="N1073" t="s">
        <v>1759</v>
      </c>
      <c r="O1073" t="s">
        <v>82</v>
      </c>
      <c r="P1073" t="str">
        <f>"4170047724                    "</f>
        <v xml:space="preserve">4170047724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0.3</v>
      </c>
      <c r="BK1073">
        <v>1</v>
      </c>
      <c r="BL1073">
        <v>71.2</v>
      </c>
      <c r="BM1073">
        <v>10.68</v>
      </c>
      <c r="BN1073">
        <v>81.88</v>
      </c>
      <c r="BO1073">
        <v>81.88</v>
      </c>
      <c r="BQ1073" t="s">
        <v>1760</v>
      </c>
      <c r="BR1073" t="s">
        <v>84</v>
      </c>
      <c r="BS1073" s="3">
        <v>45848</v>
      </c>
      <c r="BT1073" s="4">
        <v>0.39166666666666666</v>
      </c>
      <c r="BU1073" t="s">
        <v>1394</v>
      </c>
      <c r="BV1073" t="s">
        <v>98</v>
      </c>
      <c r="BY1073">
        <v>1350</v>
      </c>
      <c r="BZ1073" t="s">
        <v>89</v>
      </c>
      <c r="CA1073" t="s">
        <v>683</v>
      </c>
      <c r="CC1073" t="s">
        <v>152</v>
      </c>
      <c r="CD1073" s="5" t="s">
        <v>684</v>
      </c>
      <c r="CE1073" t="s">
        <v>121</v>
      </c>
      <c r="CF1073" s="3">
        <v>45848</v>
      </c>
      <c r="CI1073">
        <v>1</v>
      </c>
      <c r="CJ1073">
        <v>1</v>
      </c>
      <c r="CK1073">
        <v>21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"080066453517"</f>
        <v>080066453517</v>
      </c>
      <c r="F1074" s="3">
        <v>45847</v>
      </c>
      <c r="G1074">
        <v>202604</v>
      </c>
      <c r="H1074" t="s">
        <v>75</v>
      </c>
      <c r="I1074" t="s">
        <v>76</v>
      </c>
      <c r="J1074" t="s">
        <v>77</v>
      </c>
      <c r="K1074" t="s">
        <v>78</v>
      </c>
      <c r="L1074" t="s">
        <v>452</v>
      </c>
      <c r="M1074" t="s">
        <v>453</v>
      </c>
      <c r="N1074" t="s">
        <v>1180</v>
      </c>
      <c r="O1074" t="s">
        <v>82</v>
      </c>
      <c r="P1074" t="str">
        <f>"4170047634                    "</f>
        <v xml:space="preserve">4170047634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17.649999999999999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3</v>
      </c>
      <c r="BJ1074">
        <v>5.9</v>
      </c>
      <c r="BK1074">
        <v>6</v>
      </c>
      <c r="BL1074">
        <v>55.61</v>
      </c>
      <c r="BM1074">
        <v>8.34</v>
      </c>
      <c r="BN1074">
        <v>63.95</v>
      </c>
      <c r="BO1074">
        <v>63.95</v>
      </c>
      <c r="BQ1074" t="s">
        <v>1181</v>
      </c>
      <c r="BR1074" t="s">
        <v>84</v>
      </c>
      <c r="BS1074" s="3">
        <v>45848</v>
      </c>
      <c r="BT1074" s="4">
        <v>0.30555555555555558</v>
      </c>
      <c r="BU1074" t="s">
        <v>1800</v>
      </c>
      <c r="BV1074" t="s">
        <v>98</v>
      </c>
      <c r="BY1074">
        <v>29376</v>
      </c>
      <c r="BZ1074" t="s">
        <v>89</v>
      </c>
      <c r="CA1074" t="s">
        <v>873</v>
      </c>
      <c r="CC1074" t="s">
        <v>453</v>
      </c>
      <c r="CD1074">
        <v>1559</v>
      </c>
      <c r="CE1074" t="s">
        <v>91</v>
      </c>
      <c r="CF1074" s="3">
        <v>45849</v>
      </c>
      <c r="CI1074">
        <v>1</v>
      </c>
      <c r="CJ1074">
        <v>1</v>
      </c>
      <c r="CK1074">
        <v>22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"080066453545"</f>
        <v>080066453545</v>
      </c>
      <c r="F1075" s="3">
        <v>45847</v>
      </c>
      <c r="G1075">
        <v>202604</v>
      </c>
      <c r="H1075" t="s">
        <v>75</v>
      </c>
      <c r="I1075" t="s">
        <v>76</v>
      </c>
      <c r="J1075" t="s">
        <v>77</v>
      </c>
      <c r="K1075" t="s">
        <v>78</v>
      </c>
      <c r="L1075" t="s">
        <v>168</v>
      </c>
      <c r="M1075" t="s">
        <v>169</v>
      </c>
      <c r="N1075" t="s">
        <v>420</v>
      </c>
      <c r="O1075" t="s">
        <v>82</v>
      </c>
      <c r="P1075" t="str">
        <f>"4170047666                    "</f>
        <v xml:space="preserve">4170047666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22.6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0.3</v>
      </c>
      <c r="BK1075">
        <v>1</v>
      </c>
      <c r="BL1075">
        <v>71.2</v>
      </c>
      <c r="BM1075">
        <v>10.68</v>
      </c>
      <c r="BN1075">
        <v>81.88</v>
      </c>
      <c r="BO1075">
        <v>81.88</v>
      </c>
      <c r="BQ1075" t="s">
        <v>421</v>
      </c>
      <c r="BR1075" t="s">
        <v>84</v>
      </c>
      <c r="BS1075" s="3">
        <v>45848</v>
      </c>
      <c r="BT1075" s="4">
        <v>0.41944444444444445</v>
      </c>
      <c r="BU1075" t="s">
        <v>1600</v>
      </c>
      <c r="BV1075" t="s">
        <v>98</v>
      </c>
      <c r="BY1075">
        <v>1350</v>
      </c>
      <c r="BZ1075" t="s">
        <v>89</v>
      </c>
      <c r="CA1075" t="s">
        <v>423</v>
      </c>
      <c r="CC1075" t="s">
        <v>169</v>
      </c>
      <c r="CD1075">
        <v>6001</v>
      </c>
      <c r="CE1075" t="s">
        <v>121</v>
      </c>
      <c r="CF1075" s="3">
        <v>45848</v>
      </c>
      <c r="CI1075">
        <v>1</v>
      </c>
      <c r="CJ1075">
        <v>1</v>
      </c>
      <c r="CK1075">
        <v>21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"080066453566"</f>
        <v>080066453566</v>
      </c>
      <c r="F1076" s="3">
        <v>45847</v>
      </c>
      <c r="G1076">
        <v>202604</v>
      </c>
      <c r="H1076" t="s">
        <v>75</v>
      </c>
      <c r="I1076" t="s">
        <v>76</v>
      </c>
      <c r="J1076" t="s">
        <v>77</v>
      </c>
      <c r="K1076" t="s">
        <v>78</v>
      </c>
      <c r="L1076" t="s">
        <v>854</v>
      </c>
      <c r="M1076" t="s">
        <v>855</v>
      </c>
      <c r="N1076" t="s">
        <v>429</v>
      </c>
      <c r="O1076" t="s">
        <v>82</v>
      </c>
      <c r="P1076" t="str">
        <f>"4170047621                    "</f>
        <v xml:space="preserve">4170047621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43.78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16.739999999999998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1.9</v>
      </c>
      <c r="BK1076">
        <v>2</v>
      </c>
      <c r="BL1076">
        <v>154.68</v>
      </c>
      <c r="BM1076">
        <v>23.2</v>
      </c>
      <c r="BN1076">
        <v>177.88</v>
      </c>
      <c r="BO1076">
        <v>177.88</v>
      </c>
      <c r="BQ1076" t="s">
        <v>430</v>
      </c>
      <c r="BR1076" t="s">
        <v>84</v>
      </c>
      <c r="BS1076" s="3">
        <v>45848</v>
      </c>
      <c r="BT1076" s="4">
        <v>0.57430555555555551</v>
      </c>
      <c r="BU1076" t="s">
        <v>1601</v>
      </c>
      <c r="BV1076" t="s">
        <v>98</v>
      </c>
      <c r="BY1076">
        <v>9600</v>
      </c>
      <c r="BZ1076" t="s">
        <v>460</v>
      </c>
      <c r="CA1076" t="s">
        <v>992</v>
      </c>
      <c r="CC1076" t="s">
        <v>855</v>
      </c>
      <c r="CD1076" s="5" t="s">
        <v>993</v>
      </c>
      <c r="CE1076" t="s">
        <v>145</v>
      </c>
      <c r="CF1076" s="3">
        <v>45848</v>
      </c>
      <c r="CI1076">
        <v>1</v>
      </c>
      <c r="CJ1076">
        <v>1</v>
      </c>
      <c r="CK1076">
        <v>23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"080066453584"</f>
        <v>080066453584</v>
      </c>
      <c r="F1077" s="3">
        <v>45847</v>
      </c>
      <c r="G1077">
        <v>202604</v>
      </c>
      <c r="H1077" t="s">
        <v>75</v>
      </c>
      <c r="I1077" t="s">
        <v>76</v>
      </c>
      <c r="J1077" t="s">
        <v>77</v>
      </c>
      <c r="K1077" t="s">
        <v>78</v>
      </c>
      <c r="L1077" t="s">
        <v>260</v>
      </c>
      <c r="M1077" t="s">
        <v>261</v>
      </c>
      <c r="N1077" t="s">
        <v>1801</v>
      </c>
      <c r="O1077" t="s">
        <v>82</v>
      </c>
      <c r="P1077" t="str">
        <f>"4170047751                    "</f>
        <v xml:space="preserve">4170047751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43.78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0.3</v>
      </c>
      <c r="BK1077">
        <v>1</v>
      </c>
      <c r="BL1077">
        <v>137.94</v>
      </c>
      <c r="BM1077">
        <v>20.69</v>
      </c>
      <c r="BN1077">
        <v>158.63</v>
      </c>
      <c r="BO1077">
        <v>158.63</v>
      </c>
      <c r="BQ1077" t="s">
        <v>1802</v>
      </c>
      <c r="BR1077" t="s">
        <v>84</v>
      </c>
      <c r="BS1077" s="3">
        <v>45848</v>
      </c>
      <c r="BT1077" s="4">
        <v>0.4375</v>
      </c>
      <c r="BU1077" t="s">
        <v>1803</v>
      </c>
      <c r="BV1077" t="s">
        <v>98</v>
      </c>
      <c r="BY1077">
        <v>1350</v>
      </c>
      <c r="BZ1077" t="s">
        <v>89</v>
      </c>
      <c r="CA1077" t="s">
        <v>721</v>
      </c>
      <c r="CC1077" t="s">
        <v>261</v>
      </c>
      <c r="CD1077">
        <v>1900</v>
      </c>
      <c r="CE1077" t="s">
        <v>1804</v>
      </c>
      <c r="CF1077" s="3">
        <v>45848</v>
      </c>
      <c r="CI1077">
        <v>1</v>
      </c>
      <c r="CJ1077">
        <v>1</v>
      </c>
      <c r="CK1077">
        <v>23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"080066453607"</f>
        <v>080066453607</v>
      </c>
      <c r="F1078" s="3">
        <v>45847</v>
      </c>
      <c r="G1078">
        <v>202604</v>
      </c>
      <c r="H1078" t="s">
        <v>75</v>
      </c>
      <c r="I1078" t="s">
        <v>76</v>
      </c>
      <c r="J1078" t="s">
        <v>77</v>
      </c>
      <c r="K1078" t="s">
        <v>78</v>
      </c>
      <c r="L1078" t="s">
        <v>92</v>
      </c>
      <c r="M1078" t="s">
        <v>93</v>
      </c>
      <c r="N1078" t="s">
        <v>1805</v>
      </c>
      <c r="O1078" t="s">
        <v>82</v>
      </c>
      <c r="P1078" t="str">
        <f>"4170047645                    "</f>
        <v xml:space="preserve">4170047645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101.63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6</v>
      </c>
      <c r="BJ1078">
        <v>8.9</v>
      </c>
      <c r="BK1078">
        <v>9</v>
      </c>
      <c r="BL1078">
        <v>320.19</v>
      </c>
      <c r="BM1078">
        <v>48.03</v>
      </c>
      <c r="BN1078">
        <v>368.22</v>
      </c>
      <c r="BO1078">
        <v>368.22</v>
      </c>
      <c r="BQ1078" t="s">
        <v>1806</v>
      </c>
      <c r="BR1078" t="s">
        <v>84</v>
      </c>
      <c r="BS1078" s="3">
        <v>45848</v>
      </c>
      <c r="BT1078" s="4">
        <v>0.35972222222222222</v>
      </c>
      <c r="BU1078" t="s">
        <v>1807</v>
      </c>
      <c r="BV1078" t="s">
        <v>98</v>
      </c>
      <c r="BY1078">
        <v>44640</v>
      </c>
      <c r="BZ1078" t="s">
        <v>89</v>
      </c>
      <c r="CA1078" t="s">
        <v>100</v>
      </c>
      <c r="CC1078" t="s">
        <v>93</v>
      </c>
      <c r="CD1078">
        <v>4060</v>
      </c>
      <c r="CE1078" t="s">
        <v>145</v>
      </c>
      <c r="CF1078" s="3">
        <v>45848</v>
      </c>
      <c r="CI1078">
        <v>1</v>
      </c>
      <c r="CJ1078">
        <v>1</v>
      </c>
      <c r="CK1078">
        <v>21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"080066453636"</f>
        <v>080066453636</v>
      </c>
      <c r="F1079" s="3">
        <v>45847</v>
      </c>
      <c r="G1079">
        <v>202604</v>
      </c>
      <c r="H1079" t="s">
        <v>75</v>
      </c>
      <c r="I1079" t="s">
        <v>76</v>
      </c>
      <c r="J1079" t="s">
        <v>77</v>
      </c>
      <c r="K1079" t="s">
        <v>78</v>
      </c>
      <c r="L1079" t="s">
        <v>240</v>
      </c>
      <c r="M1079" t="s">
        <v>241</v>
      </c>
      <c r="N1079" t="s">
        <v>1808</v>
      </c>
      <c r="O1079" t="s">
        <v>82</v>
      </c>
      <c r="P1079" t="str">
        <f>"4170047739                    "</f>
        <v xml:space="preserve">4170047739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17.649999999999999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0.3</v>
      </c>
      <c r="BK1079">
        <v>1</v>
      </c>
      <c r="BL1079">
        <v>55.61</v>
      </c>
      <c r="BM1079">
        <v>8.34</v>
      </c>
      <c r="BN1079">
        <v>63.95</v>
      </c>
      <c r="BO1079">
        <v>63.95</v>
      </c>
      <c r="BQ1079" t="s">
        <v>1809</v>
      </c>
      <c r="BR1079" t="s">
        <v>84</v>
      </c>
      <c r="BS1079" s="3">
        <v>45848</v>
      </c>
      <c r="BT1079" s="4">
        <v>0.4</v>
      </c>
      <c r="BU1079" t="s">
        <v>1299</v>
      </c>
      <c r="BV1079" t="s">
        <v>98</v>
      </c>
      <c r="BY1079">
        <v>1350</v>
      </c>
      <c r="BZ1079" t="s">
        <v>89</v>
      </c>
      <c r="CA1079" t="s">
        <v>1300</v>
      </c>
      <c r="CC1079" t="s">
        <v>241</v>
      </c>
      <c r="CD1079">
        <v>2013</v>
      </c>
      <c r="CE1079" t="s">
        <v>121</v>
      </c>
      <c r="CF1079" s="3">
        <v>45849</v>
      </c>
      <c r="CI1079">
        <v>1</v>
      </c>
      <c r="CJ1079">
        <v>1</v>
      </c>
      <c r="CK1079">
        <v>22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"080066453649"</f>
        <v>080066453649</v>
      </c>
      <c r="F1080" s="3">
        <v>45847</v>
      </c>
      <c r="G1080">
        <v>202604</v>
      </c>
      <c r="H1080" t="s">
        <v>75</v>
      </c>
      <c r="I1080" t="s">
        <v>76</v>
      </c>
      <c r="J1080" t="s">
        <v>77</v>
      </c>
      <c r="K1080" t="s">
        <v>78</v>
      </c>
      <c r="L1080" t="s">
        <v>580</v>
      </c>
      <c r="M1080" t="s">
        <v>581</v>
      </c>
      <c r="N1080" t="s">
        <v>582</v>
      </c>
      <c r="O1080" t="s">
        <v>82</v>
      </c>
      <c r="P1080" t="str">
        <f>"4170047686                    "</f>
        <v xml:space="preserve">4170047686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22.6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0.6</v>
      </c>
      <c r="BK1080">
        <v>1</v>
      </c>
      <c r="BL1080">
        <v>71.2</v>
      </c>
      <c r="BM1080">
        <v>10.68</v>
      </c>
      <c r="BN1080">
        <v>81.88</v>
      </c>
      <c r="BO1080">
        <v>81.88</v>
      </c>
      <c r="BQ1080" t="s">
        <v>583</v>
      </c>
      <c r="BR1080" t="s">
        <v>84</v>
      </c>
      <c r="BS1080" s="3">
        <v>45848</v>
      </c>
      <c r="BT1080" s="4">
        <v>0.43333333333333335</v>
      </c>
      <c r="BU1080" t="s">
        <v>584</v>
      </c>
      <c r="BV1080" t="s">
        <v>98</v>
      </c>
      <c r="BY1080">
        <v>3192</v>
      </c>
      <c r="BZ1080" t="s">
        <v>89</v>
      </c>
      <c r="CA1080" t="s">
        <v>585</v>
      </c>
      <c r="CC1080" t="s">
        <v>581</v>
      </c>
      <c r="CD1080">
        <v>4302</v>
      </c>
      <c r="CE1080" t="s">
        <v>117</v>
      </c>
      <c r="CF1080" s="3">
        <v>45849</v>
      </c>
      <c r="CI1080">
        <v>1</v>
      </c>
      <c r="CJ1080">
        <v>1</v>
      </c>
      <c r="CK1080">
        <v>21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"080066453670"</f>
        <v>080066453670</v>
      </c>
      <c r="F1081" s="3">
        <v>45847</v>
      </c>
      <c r="G1081">
        <v>202604</v>
      </c>
      <c r="H1081" t="s">
        <v>75</v>
      </c>
      <c r="I1081" t="s">
        <v>76</v>
      </c>
      <c r="J1081" t="s">
        <v>77</v>
      </c>
      <c r="K1081" t="s">
        <v>78</v>
      </c>
      <c r="L1081" t="s">
        <v>135</v>
      </c>
      <c r="M1081" t="s">
        <v>136</v>
      </c>
      <c r="N1081" t="s">
        <v>379</v>
      </c>
      <c r="O1081" t="s">
        <v>82</v>
      </c>
      <c r="P1081" t="str">
        <f>"4170047663                    "</f>
        <v xml:space="preserve">4170047663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22.6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0.3</v>
      </c>
      <c r="BK1081">
        <v>1</v>
      </c>
      <c r="BL1081">
        <v>71.2</v>
      </c>
      <c r="BM1081">
        <v>10.68</v>
      </c>
      <c r="BN1081">
        <v>81.88</v>
      </c>
      <c r="BO1081">
        <v>81.88</v>
      </c>
      <c r="BQ1081" t="s">
        <v>380</v>
      </c>
      <c r="BR1081" t="s">
        <v>84</v>
      </c>
      <c r="BS1081" s="3">
        <v>45848</v>
      </c>
      <c r="BT1081" s="4">
        <v>0.41666666666666669</v>
      </c>
      <c r="BU1081" t="s">
        <v>1701</v>
      </c>
      <c r="BV1081" t="s">
        <v>98</v>
      </c>
      <c r="BY1081">
        <v>1350</v>
      </c>
      <c r="BZ1081" t="s">
        <v>89</v>
      </c>
      <c r="CA1081" t="s">
        <v>382</v>
      </c>
      <c r="CC1081" t="s">
        <v>136</v>
      </c>
      <c r="CD1081">
        <v>3212</v>
      </c>
      <c r="CE1081" t="s">
        <v>239</v>
      </c>
      <c r="CF1081" s="3">
        <v>45849</v>
      </c>
      <c r="CI1081">
        <v>2</v>
      </c>
      <c r="CJ1081">
        <v>1</v>
      </c>
      <c r="CK1081">
        <v>21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"080066453724"</f>
        <v>080066453724</v>
      </c>
      <c r="F1082" s="3">
        <v>45847</v>
      </c>
      <c r="G1082">
        <v>202604</v>
      </c>
      <c r="H1082" t="s">
        <v>75</v>
      </c>
      <c r="I1082" t="s">
        <v>76</v>
      </c>
      <c r="J1082" t="s">
        <v>77</v>
      </c>
      <c r="K1082" t="s">
        <v>78</v>
      </c>
      <c r="L1082" t="s">
        <v>554</v>
      </c>
      <c r="M1082" t="s">
        <v>555</v>
      </c>
      <c r="N1082" t="s">
        <v>556</v>
      </c>
      <c r="O1082" t="s">
        <v>82</v>
      </c>
      <c r="P1082" t="str">
        <f>"4170047648                    "</f>
        <v xml:space="preserve">4170047648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22.6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1.7</v>
      </c>
      <c r="BK1082">
        <v>2</v>
      </c>
      <c r="BL1082">
        <v>71.2</v>
      </c>
      <c r="BM1082">
        <v>10.68</v>
      </c>
      <c r="BN1082">
        <v>81.88</v>
      </c>
      <c r="BO1082">
        <v>81.88</v>
      </c>
      <c r="BQ1082" t="s">
        <v>557</v>
      </c>
      <c r="BR1082" t="s">
        <v>84</v>
      </c>
      <c r="BS1082" s="3">
        <v>45848</v>
      </c>
      <c r="BT1082" s="4">
        <v>0.35555555555555557</v>
      </c>
      <c r="BU1082" t="s">
        <v>1810</v>
      </c>
      <c r="BV1082" t="s">
        <v>98</v>
      </c>
      <c r="BY1082">
        <v>8512</v>
      </c>
      <c r="BZ1082" t="s">
        <v>89</v>
      </c>
      <c r="CA1082" t="s">
        <v>559</v>
      </c>
      <c r="CC1082" t="s">
        <v>555</v>
      </c>
      <c r="CD1082" s="5" t="s">
        <v>560</v>
      </c>
      <c r="CE1082" t="s">
        <v>117</v>
      </c>
      <c r="CF1082" s="3">
        <v>45848</v>
      </c>
      <c r="CI1082">
        <v>1</v>
      </c>
      <c r="CJ1082">
        <v>1</v>
      </c>
      <c r="CK1082">
        <v>21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"080066453756"</f>
        <v>080066453756</v>
      </c>
      <c r="F1083" s="3">
        <v>45847</v>
      </c>
      <c r="G1083">
        <v>202604</v>
      </c>
      <c r="H1083" t="s">
        <v>75</v>
      </c>
      <c r="I1083" t="s">
        <v>76</v>
      </c>
      <c r="J1083" t="s">
        <v>77</v>
      </c>
      <c r="K1083" t="s">
        <v>78</v>
      </c>
      <c r="L1083" t="s">
        <v>277</v>
      </c>
      <c r="M1083" t="s">
        <v>278</v>
      </c>
      <c r="N1083" t="s">
        <v>279</v>
      </c>
      <c r="O1083" t="s">
        <v>82</v>
      </c>
      <c r="P1083" t="str">
        <f>"4170047689                    "</f>
        <v xml:space="preserve">4170047689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22.6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0.9</v>
      </c>
      <c r="BK1083">
        <v>2</v>
      </c>
      <c r="BL1083">
        <v>71.2</v>
      </c>
      <c r="BM1083">
        <v>10.68</v>
      </c>
      <c r="BN1083">
        <v>81.88</v>
      </c>
      <c r="BO1083">
        <v>81.88</v>
      </c>
      <c r="BQ1083" t="s">
        <v>280</v>
      </c>
      <c r="BR1083" t="s">
        <v>84</v>
      </c>
      <c r="BS1083" s="3">
        <v>45848</v>
      </c>
      <c r="BT1083" s="4">
        <v>0.41388888888888886</v>
      </c>
      <c r="BU1083" t="s">
        <v>1124</v>
      </c>
      <c r="BV1083" t="s">
        <v>98</v>
      </c>
      <c r="BY1083">
        <v>4275</v>
      </c>
      <c r="BZ1083" t="s">
        <v>89</v>
      </c>
      <c r="CA1083" t="s">
        <v>282</v>
      </c>
      <c r="CC1083" t="s">
        <v>278</v>
      </c>
      <c r="CD1083">
        <v>6230</v>
      </c>
      <c r="CE1083" t="s">
        <v>266</v>
      </c>
      <c r="CF1083" s="3">
        <v>45848</v>
      </c>
      <c r="CI1083">
        <v>1</v>
      </c>
      <c r="CJ1083">
        <v>1</v>
      </c>
      <c r="CK1083">
        <v>21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"080066453758"</f>
        <v>080066453758</v>
      </c>
      <c r="F1084" s="3">
        <v>45847</v>
      </c>
      <c r="G1084">
        <v>202604</v>
      </c>
      <c r="H1084" t="s">
        <v>75</v>
      </c>
      <c r="I1084" t="s">
        <v>76</v>
      </c>
      <c r="J1084" t="s">
        <v>77</v>
      </c>
      <c r="K1084" t="s">
        <v>78</v>
      </c>
      <c r="L1084" t="s">
        <v>92</v>
      </c>
      <c r="M1084" t="s">
        <v>93</v>
      </c>
      <c r="N1084" t="s">
        <v>1811</v>
      </c>
      <c r="O1084" t="s">
        <v>82</v>
      </c>
      <c r="P1084" t="str">
        <f>"4170047644                    "</f>
        <v xml:space="preserve">4170047644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22.6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0.3</v>
      </c>
      <c r="BK1084">
        <v>1</v>
      </c>
      <c r="BL1084">
        <v>71.2</v>
      </c>
      <c r="BM1084">
        <v>10.68</v>
      </c>
      <c r="BN1084">
        <v>81.88</v>
      </c>
      <c r="BO1084">
        <v>81.88</v>
      </c>
      <c r="BQ1084" t="s">
        <v>1812</v>
      </c>
      <c r="BR1084" t="s">
        <v>84</v>
      </c>
      <c r="BS1084" s="3">
        <v>45848</v>
      </c>
      <c r="BT1084" s="4">
        <v>0.41666666666666669</v>
      </c>
      <c r="BU1084" t="s">
        <v>1813</v>
      </c>
      <c r="BV1084" t="s">
        <v>98</v>
      </c>
      <c r="BY1084">
        <v>1350</v>
      </c>
      <c r="BZ1084" t="s">
        <v>89</v>
      </c>
      <c r="CA1084" t="s">
        <v>337</v>
      </c>
      <c r="CC1084" t="s">
        <v>93</v>
      </c>
      <c r="CD1084">
        <v>4052</v>
      </c>
      <c r="CE1084" t="s">
        <v>1814</v>
      </c>
      <c r="CF1084" s="3">
        <v>45848</v>
      </c>
      <c r="CI1084">
        <v>1</v>
      </c>
      <c r="CJ1084">
        <v>1</v>
      </c>
      <c r="CK1084">
        <v>21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"080066453833"</f>
        <v>080066453833</v>
      </c>
      <c r="F1085" s="3">
        <v>45847</v>
      </c>
      <c r="G1085">
        <v>202604</v>
      </c>
      <c r="H1085" t="s">
        <v>75</v>
      </c>
      <c r="I1085" t="s">
        <v>76</v>
      </c>
      <c r="J1085" t="s">
        <v>77</v>
      </c>
      <c r="K1085" t="s">
        <v>78</v>
      </c>
      <c r="L1085" t="s">
        <v>79</v>
      </c>
      <c r="M1085" t="s">
        <v>80</v>
      </c>
      <c r="N1085" t="s">
        <v>376</v>
      </c>
      <c r="O1085" t="s">
        <v>82</v>
      </c>
      <c r="P1085" t="str">
        <f>"4170047712                    "</f>
        <v xml:space="preserve">4170047712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22.6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0.3</v>
      </c>
      <c r="BK1085">
        <v>1</v>
      </c>
      <c r="BL1085">
        <v>71.2</v>
      </c>
      <c r="BM1085">
        <v>10.68</v>
      </c>
      <c r="BN1085">
        <v>81.88</v>
      </c>
      <c r="BO1085">
        <v>81.88</v>
      </c>
      <c r="BQ1085" t="s">
        <v>377</v>
      </c>
      <c r="BR1085" t="s">
        <v>84</v>
      </c>
      <c r="BS1085" s="3">
        <v>45848</v>
      </c>
      <c r="BT1085" s="4">
        <v>0.40555555555555556</v>
      </c>
      <c r="BU1085" t="s">
        <v>1790</v>
      </c>
      <c r="BV1085" t="s">
        <v>98</v>
      </c>
      <c r="BY1085">
        <v>1350</v>
      </c>
      <c r="BZ1085" t="s">
        <v>89</v>
      </c>
      <c r="CA1085" t="s">
        <v>522</v>
      </c>
      <c r="CC1085" t="s">
        <v>80</v>
      </c>
      <c r="CD1085">
        <v>8001</v>
      </c>
      <c r="CE1085" t="s">
        <v>239</v>
      </c>
      <c r="CF1085" s="3">
        <v>45849</v>
      </c>
      <c r="CI1085">
        <v>1</v>
      </c>
      <c r="CJ1085">
        <v>1</v>
      </c>
      <c r="CK1085">
        <v>21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"080066453911"</f>
        <v>080066453911</v>
      </c>
      <c r="F1086" s="3">
        <v>45847</v>
      </c>
      <c r="G1086">
        <v>202604</v>
      </c>
      <c r="H1086" t="s">
        <v>75</v>
      </c>
      <c r="I1086" t="s">
        <v>76</v>
      </c>
      <c r="J1086" t="s">
        <v>77</v>
      </c>
      <c r="K1086" t="s">
        <v>78</v>
      </c>
      <c r="L1086" t="s">
        <v>246</v>
      </c>
      <c r="M1086" t="s">
        <v>247</v>
      </c>
      <c r="N1086" t="s">
        <v>1359</v>
      </c>
      <c r="O1086" t="s">
        <v>82</v>
      </c>
      <c r="P1086" t="str">
        <f>"4170047774                    "</f>
        <v xml:space="preserve">4170047774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31.78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0.3</v>
      </c>
      <c r="BK1086">
        <v>1</v>
      </c>
      <c r="BL1086">
        <v>100.13</v>
      </c>
      <c r="BM1086">
        <v>15.02</v>
      </c>
      <c r="BN1086">
        <v>115.15</v>
      </c>
      <c r="BO1086">
        <v>115.15</v>
      </c>
      <c r="BQ1086" t="s">
        <v>1360</v>
      </c>
      <c r="BR1086" t="s">
        <v>84</v>
      </c>
      <c r="BS1086" s="3">
        <v>45848</v>
      </c>
      <c r="BT1086" s="4">
        <v>0.41666666666666669</v>
      </c>
      <c r="BU1086" t="s">
        <v>1757</v>
      </c>
      <c r="BV1086" t="s">
        <v>98</v>
      </c>
      <c r="BY1086">
        <v>1350</v>
      </c>
      <c r="BZ1086" t="s">
        <v>89</v>
      </c>
      <c r="CA1086" t="s">
        <v>812</v>
      </c>
      <c r="CC1086" t="s">
        <v>247</v>
      </c>
      <c r="CD1086">
        <v>1438</v>
      </c>
      <c r="CE1086" t="s">
        <v>239</v>
      </c>
      <c r="CF1086" s="3">
        <v>45849</v>
      </c>
      <c r="CI1086">
        <v>1</v>
      </c>
      <c r="CJ1086">
        <v>1</v>
      </c>
      <c r="CK1086">
        <v>24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"080066453940"</f>
        <v>080066453940</v>
      </c>
      <c r="F1087" s="3">
        <v>45847</v>
      </c>
      <c r="G1087">
        <v>202604</v>
      </c>
      <c r="H1087" t="s">
        <v>75</v>
      </c>
      <c r="I1087" t="s">
        <v>76</v>
      </c>
      <c r="J1087" t="s">
        <v>77</v>
      </c>
      <c r="K1087" t="s">
        <v>78</v>
      </c>
      <c r="L1087" t="s">
        <v>168</v>
      </c>
      <c r="M1087" t="s">
        <v>169</v>
      </c>
      <c r="N1087" t="s">
        <v>206</v>
      </c>
      <c r="O1087" t="s">
        <v>82</v>
      </c>
      <c r="P1087" t="str">
        <f>"4170047661                    "</f>
        <v xml:space="preserve">4170047661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22.6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0.3</v>
      </c>
      <c r="BK1087">
        <v>1</v>
      </c>
      <c r="BL1087">
        <v>71.2</v>
      </c>
      <c r="BM1087">
        <v>10.68</v>
      </c>
      <c r="BN1087">
        <v>81.88</v>
      </c>
      <c r="BO1087">
        <v>81.88</v>
      </c>
      <c r="BQ1087" t="s">
        <v>207</v>
      </c>
      <c r="BR1087" t="s">
        <v>84</v>
      </c>
      <c r="BS1087" s="3">
        <v>45848</v>
      </c>
      <c r="BT1087" s="4">
        <v>0.40555555555555556</v>
      </c>
      <c r="BU1087" t="s">
        <v>1483</v>
      </c>
      <c r="BV1087" t="s">
        <v>98</v>
      </c>
      <c r="BY1087">
        <v>1350</v>
      </c>
      <c r="BZ1087" t="s">
        <v>89</v>
      </c>
      <c r="CA1087" t="s">
        <v>196</v>
      </c>
      <c r="CC1087" t="s">
        <v>169</v>
      </c>
      <c r="CD1087">
        <v>6001</v>
      </c>
      <c r="CE1087" t="s">
        <v>239</v>
      </c>
      <c r="CF1087" s="3">
        <v>45848</v>
      </c>
      <c r="CI1087">
        <v>1</v>
      </c>
      <c r="CJ1087">
        <v>1</v>
      </c>
      <c r="CK1087">
        <v>21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"080066453970"</f>
        <v>080066453970</v>
      </c>
      <c r="F1088" s="3">
        <v>45847</v>
      </c>
      <c r="G1088">
        <v>202604</v>
      </c>
      <c r="H1088" t="s">
        <v>75</v>
      </c>
      <c r="I1088" t="s">
        <v>76</v>
      </c>
      <c r="J1088" t="s">
        <v>77</v>
      </c>
      <c r="K1088" t="s">
        <v>78</v>
      </c>
      <c r="L1088" t="s">
        <v>305</v>
      </c>
      <c r="M1088" t="s">
        <v>306</v>
      </c>
      <c r="N1088" t="s">
        <v>1154</v>
      </c>
      <c r="O1088" t="s">
        <v>82</v>
      </c>
      <c r="P1088" t="str">
        <f>"4170047638                    "</f>
        <v xml:space="preserve">4170047638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22.6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0.3</v>
      </c>
      <c r="BK1088">
        <v>1</v>
      </c>
      <c r="BL1088">
        <v>71.2</v>
      </c>
      <c r="BM1088">
        <v>10.68</v>
      </c>
      <c r="BN1088">
        <v>81.88</v>
      </c>
      <c r="BO1088">
        <v>81.88</v>
      </c>
      <c r="BQ1088" t="s">
        <v>1155</v>
      </c>
      <c r="BR1088" t="s">
        <v>84</v>
      </c>
      <c r="BS1088" s="3">
        <v>45848</v>
      </c>
      <c r="BT1088" s="4">
        <v>0.5</v>
      </c>
      <c r="BU1088" t="s">
        <v>1156</v>
      </c>
      <c r="BV1088" t="s">
        <v>86</v>
      </c>
      <c r="BY1088">
        <v>1350</v>
      </c>
      <c r="BZ1088" t="s">
        <v>89</v>
      </c>
      <c r="CC1088" t="s">
        <v>306</v>
      </c>
      <c r="CD1088">
        <v>5201</v>
      </c>
      <c r="CE1088" t="s">
        <v>1815</v>
      </c>
      <c r="CF1088" s="3">
        <v>45848</v>
      </c>
      <c r="CI1088">
        <v>1</v>
      </c>
      <c r="CJ1088">
        <v>1</v>
      </c>
      <c r="CK1088">
        <v>21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"080066454011"</f>
        <v>080066454011</v>
      </c>
      <c r="F1089" s="3">
        <v>45847</v>
      </c>
      <c r="G1089">
        <v>202604</v>
      </c>
      <c r="H1089" t="s">
        <v>75</v>
      </c>
      <c r="I1089" t="s">
        <v>76</v>
      </c>
      <c r="J1089" t="s">
        <v>77</v>
      </c>
      <c r="K1089" t="s">
        <v>78</v>
      </c>
      <c r="L1089" t="s">
        <v>79</v>
      </c>
      <c r="M1089" t="s">
        <v>80</v>
      </c>
      <c r="N1089" t="s">
        <v>286</v>
      </c>
      <c r="O1089" t="s">
        <v>82</v>
      </c>
      <c r="P1089" t="str">
        <f>"4170047691                    "</f>
        <v xml:space="preserve">4170047691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22.6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71.2</v>
      </c>
      <c r="BM1089">
        <v>10.68</v>
      </c>
      <c r="BN1089">
        <v>81.88</v>
      </c>
      <c r="BO1089">
        <v>81.88</v>
      </c>
      <c r="BQ1089" t="s">
        <v>287</v>
      </c>
      <c r="BR1089" t="s">
        <v>84</v>
      </c>
      <c r="BS1089" s="3">
        <v>45848</v>
      </c>
      <c r="BT1089" s="4">
        <v>0.36180555555555555</v>
      </c>
      <c r="BU1089" t="s">
        <v>1693</v>
      </c>
      <c r="BV1089" t="s">
        <v>98</v>
      </c>
      <c r="BY1089">
        <v>1200</v>
      </c>
      <c r="BZ1089" t="s">
        <v>89</v>
      </c>
      <c r="CA1089" t="s">
        <v>289</v>
      </c>
      <c r="CC1089" t="s">
        <v>80</v>
      </c>
      <c r="CD1089">
        <v>7530</v>
      </c>
      <c r="CE1089" t="s">
        <v>239</v>
      </c>
      <c r="CF1089" s="3">
        <v>45849</v>
      </c>
      <c r="CI1089">
        <v>1</v>
      </c>
      <c r="CJ1089">
        <v>1</v>
      </c>
      <c r="CK1089">
        <v>21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"080066454017"</f>
        <v>080066454017</v>
      </c>
      <c r="F1090" s="3">
        <v>45847</v>
      </c>
      <c r="G1090">
        <v>202604</v>
      </c>
      <c r="H1090" t="s">
        <v>75</v>
      </c>
      <c r="I1090" t="s">
        <v>76</v>
      </c>
      <c r="J1090" t="s">
        <v>77</v>
      </c>
      <c r="K1090" t="s">
        <v>78</v>
      </c>
      <c r="L1090" t="s">
        <v>122</v>
      </c>
      <c r="M1090" t="s">
        <v>123</v>
      </c>
      <c r="N1090" t="s">
        <v>184</v>
      </c>
      <c r="O1090" t="s">
        <v>82</v>
      </c>
      <c r="P1090" t="str">
        <f>"4170047725                    "</f>
        <v xml:space="preserve">4170047725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22.6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0.3</v>
      </c>
      <c r="BK1090">
        <v>1</v>
      </c>
      <c r="BL1090">
        <v>71.2</v>
      </c>
      <c r="BM1090">
        <v>10.68</v>
      </c>
      <c r="BN1090">
        <v>81.88</v>
      </c>
      <c r="BO1090">
        <v>81.88</v>
      </c>
      <c r="BQ1090" t="s">
        <v>185</v>
      </c>
      <c r="BR1090" t="s">
        <v>84</v>
      </c>
      <c r="BS1090" s="3">
        <v>45848</v>
      </c>
      <c r="BT1090" s="4">
        <v>0.4</v>
      </c>
      <c r="BU1090" t="s">
        <v>186</v>
      </c>
      <c r="BV1090" t="s">
        <v>98</v>
      </c>
      <c r="BY1090">
        <v>1350</v>
      </c>
      <c r="BZ1090" t="s">
        <v>89</v>
      </c>
      <c r="CA1090" t="s">
        <v>187</v>
      </c>
      <c r="CC1090" t="s">
        <v>123</v>
      </c>
      <c r="CD1090">
        <v>3610</v>
      </c>
      <c r="CE1090" t="s">
        <v>239</v>
      </c>
      <c r="CF1090" s="3">
        <v>45849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"080066454032"</f>
        <v>080066454032</v>
      </c>
      <c r="F1091" s="3">
        <v>45847</v>
      </c>
      <c r="G1091">
        <v>202604</v>
      </c>
      <c r="H1091" t="s">
        <v>75</v>
      </c>
      <c r="I1091" t="s">
        <v>76</v>
      </c>
      <c r="J1091" t="s">
        <v>77</v>
      </c>
      <c r="K1091" t="s">
        <v>78</v>
      </c>
      <c r="L1091" t="s">
        <v>122</v>
      </c>
      <c r="M1091" t="s">
        <v>123</v>
      </c>
      <c r="N1091" t="s">
        <v>972</v>
      </c>
      <c r="O1091" t="s">
        <v>82</v>
      </c>
      <c r="P1091" t="str">
        <f>"4170047726                    "</f>
        <v xml:space="preserve">4170047726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22.6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71.2</v>
      </c>
      <c r="BM1091">
        <v>10.68</v>
      </c>
      <c r="BN1091">
        <v>81.88</v>
      </c>
      <c r="BO1091">
        <v>81.88</v>
      </c>
      <c r="BQ1091" t="s">
        <v>973</v>
      </c>
      <c r="BR1091" t="s">
        <v>84</v>
      </c>
      <c r="BS1091" s="3">
        <v>45848</v>
      </c>
      <c r="BT1091" s="4">
        <v>0.38958333333333334</v>
      </c>
      <c r="BU1091" t="s">
        <v>974</v>
      </c>
      <c r="BV1091" t="s">
        <v>98</v>
      </c>
      <c r="BY1091">
        <v>1200</v>
      </c>
      <c r="BZ1091" t="s">
        <v>89</v>
      </c>
      <c r="CA1091" t="s">
        <v>166</v>
      </c>
      <c r="CC1091" t="s">
        <v>123</v>
      </c>
      <c r="CD1091">
        <v>3610</v>
      </c>
      <c r="CE1091" t="s">
        <v>239</v>
      </c>
      <c r="CF1091" s="3">
        <v>45849</v>
      </c>
      <c r="CI1091">
        <v>1</v>
      </c>
      <c r="CJ1091">
        <v>1</v>
      </c>
      <c r="CK1091">
        <v>21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"080066454051"</f>
        <v>080066454051</v>
      </c>
      <c r="F1092" s="3">
        <v>45847</v>
      </c>
      <c r="G1092">
        <v>202604</v>
      </c>
      <c r="H1092" t="s">
        <v>75</v>
      </c>
      <c r="I1092" t="s">
        <v>76</v>
      </c>
      <c r="J1092" t="s">
        <v>77</v>
      </c>
      <c r="K1092" t="s">
        <v>78</v>
      </c>
      <c r="L1092" t="s">
        <v>79</v>
      </c>
      <c r="M1092" t="s">
        <v>80</v>
      </c>
      <c r="N1092" t="s">
        <v>1816</v>
      </c>
      <c r="O1092" t="s">
        <v>82</v>
      </c>
      <c r="P1092" t="str">
        <f>"4170047723                    "</f>
        <v xml:space="preserve">4170047723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22.6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0.3</v>
      </c>
      <c r="BK1092">
        <v>1</v>
      </c>
      <c r="BL1092">
        <v>71.2</v>
      </c>
      <c r="BM1092">
        <v>10.68</v>
      </c>
      <c r="BN1092">
        <v>81.88</v>
      </c>
      <c r="BO1092">
        <v>81.88</v>
      </c>
      <c r="BQ1092" t="s">
        <v>1817</v>
      </c>
      <c r="BR1092" t="s">
        <v>84</v>
      </c>
      <c r="BS1092" s="3">
        <v>45849</v>
      </c>
      <c r="BT1092" s="4">
        <v>0.64166666666666672</v>
      </c>
      <c r="BU1092" t="s">
        <v>534</v>
      </c>
      <c r="BV1092" t="s">
        <v>86</v>
      </c>
      <c r="BY1092">
        <v>1350</v>
      </c>
      <c r="BZ1092" t="s">
        <v>89</v>
      </c>
      <c r="CA1092" t="s">
        <v>535</v>
      </c>
      <c r="CC1092" t="s">
        <v>80</v>
      </c>
      <c r="CD1092">
        <v>7441</v>
      </c>
      <c r="CE1092" t="s">
        <v>239</v>
      </c>
      <c r="CI1092">
        <v>1</v>
      </c>
      <c r="CJ1092">
        <v>2</v>
      </c>
      <c r="CK1092">
        <v>21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"080066454066"</f>
        <v>080066454066</v>
      </c>
      <c r="F1093" s="3">
        <v>45847</v>
      </c>
      <c r="G1093">
        <v>202604</v>
      </c>
      <c r="H1093" t="s">
        <v>75</v>
      </c>
      <c r="I1093" t="s">
        <v>76</v>
      </c>
      <c r="J1093" t="s">
        <v>77</v>
      </c>
      <c r="K1093" t="s">
        <v>78</v>
      </c>
      <c r="L1093" t="s">
        <v>168</v>
      </c>
      <c r="M1093" t="s">
        <v>169</v>
      </c>
      <c r="N1093" t="s">
        <v>206</v>
      </c>
      <c r="O1093" t="s">
        <v>82</v>
      </c>
      <c r="P1093" t="str">
        <f>"4170047632                    "</f>
        <v xml:space="preserve">4170047632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71.2</v>
      </c>
      <c r="BM1093">
        <v>10.68</v>
      </c>
      <c r="BN1093">
        <v>81.88</v>
      </c>
      <c r="BO1093">
        <v>81.88</v>
      </c>
      <c r="BQ1093" t="s">
        <v>207</v>
      </c>
      <c r="BR1093" t="s">
        <v>84</v>
      </c>
      <c r="BS1093" s="3">
        <v>45848</v>
      </c>
      <c r="BT1093" s="4">
        <v>0.40555555555555556</v>
      </c>
      <c r="BU1093" t="s">
        <v>1483</v>
      </c>
      <c r="BV1093" t="s">
        <v>98</v>
      </c>
      <c r="BY1093">
        <v>1200</v>
      </c>
      <c r="BZ1093" t="s">
        <v>89</v>
      </c>
      <c r="CA1093" t="s">
        <v>196</v>
      </c>
      <c r="CC1093" t="s">
        <v>169</v>
      </c>
      <c r="CD1093">
        <v>6001</v>
      </c>
      <c r="CE1093" t="s">
        <v>239</v>
      </c>
      <c r="CF1093" s="3">
        <v>45848</v>
      </c>
      <c r="CI1093">
        <v>1</v>
      </c>
      <c r="CJ1093">
        <v>1</v>
      </c>
      <c r="CK1093">
        <v>21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"080066454101"</f>
        <v>080066454101</v>
      </c>
      <c r="F1094" s="3">
        <v>45847</v>
      </c>
      <c r="G1094">
        <v>202604</v>
      </c>
      <c r="H1094" t="s">
        <v>75</v>
      </c>
      <c r="I1094" t="s">
        <v>76</v>
      </c>
      <c r="J1094" t="s">
        <v>77</v>
      </c>
      <c r="K1094" t="s">
        <v>78</v>
      </c>
      <c r="L1094" t="s">
        <v>319</v>
      </c>
      <c r="M1094" t="s">
        <v>320</v>
      </c>
      <c r="N1094" t="s">
        <v>785</v>
      </c>
      <c r="O1094" t="s">
        <v>82</v>
      </c>
      <c r="P1094" t="str">
        <f>"4170047699                    "</f>
        <v xml:space="preserve">4170047699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43.78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137.94</v>
      </c>
      <c r="BM1094">
        <v>20.69</v>
      </c>
      <c r="BN1094">
        <v>158.63</v>
      </c>
      <c r="BO1094">
        <v>158.63</v>
      </c>
      <c r="BQ1094" t="s">
        <v>786</v>
      </c>
      <c r="BR1094" t="s">
        <v>84</v>
      </c>
      <c r="BS1094" s="3">
        <v>45848</v>
      </c>
      <c r="BT1094" s="4">
        <v>0.5625</v>
      </c>
      <c r="BU1094" t="s">
        <v>1818</v>
      </c>
      <c r="BV1094" t="s">
        <v>98</v>
      </c>
      <c r="BY1094">
        <v>1200</v>
      </c>
      <c r="BZ1094" t="s">
        <v>89</v>
      </c>
      <c r="CC1094" t="s">
        <v>320</v>
      </c>
      <c r="CD1094">
        <v>1028</v>
      </c>
      <c r="CE1094" t="s">
        <v>239</v>
      </c>
      <c r="CF1094" s="3">
        <v>45848</v>
      </c>
      <c r="CI1094">
        <v>1</v>
      </c>
      <c r="CJ1094">
        <v>1</v>
      </c>
      <c r="CK1094">
        <v>23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"080066454093"</f>
        <v>080066454093</v>
      </c>
      <c r="F1095" s="3">
        <v>45847</v>
      </c>
      <c r="G1095">
        <v>202604</v>
      </c>
      <c r="H1095" t="s">
        <v>75</v>
      </c>
      <c r="I1095" t="s">
        <v>76</v>
      </c>
      <c r="J1095" t="s">
        <v>77</v>
      </c>
      <c r="K1095" t="s">
        <v>78</v>
      </c>
      <c r="L1095" t="s">
        <v>503</v>
      </c>
      <c r="M1095" t="s">
        <v>504</v>
      </c>
      <c r="N1095" t="s">
        <v>505</v>
      </c>
      <c r="O1095" t="s">
        <v>82</v>
      </c>
      <c r="P1095" t="str">
        <f>"4170047745                    "</f>
        <v xml:space="preserve">4170047745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43.78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0.1</v>
      </c>
      <c r="BK1095">
        <v>1</v>
      </c>
      <c r="BL1095">
        <v>137.94</v>
      </c>
      <c r="BM1095">
        <v>20.69</v>
      </c>
      <c r="BN1095">
        <v>158.63</v>
      </c>
      <c r="BO1095">
        <v>158.63</v>
      </c>
      <c r="BQ1095" t="s">
        <v>506</v>
      </c>
      <c r="BR1095" t="s">
        <v>84</v>
      </c>
      <c r="BS1095" s="3">
        <v>45848</v>
      </c>
      <c r="BT1095" s="4">
        <v>0.41597222222222224</v>
      </c>
      <c r="BU1095" t="s">
        <v>1235</v>
      </c>
      <c r="BV1095" t="s">
        <v>98</v>
      </c>
      <c r="BY1095">
        <v>450</v>
      </c>
      <c r="BZ1095" t="s">
        <v>89</v>
      </c>
      <c r="CA1095" t="s">
        <v>508</v>
      </c>
      <c r="CC1095" t="s">
        <v>504</v>
      </c>
      <c r="CD1095">
        <v>7130</v>
      </c>
      <c r="CE1095" t="s">
        <v>239</v>
      </c>
      <c r="CF1095" s="3">
        <v>45849</v>
      </c>
      <c r="CI1095">
        <v>1</v>
      </c>
      <c r="CJ1095">
        <v>1</v>
      </c>
      <c r="CK1095">
        <v>23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"080066454126"</f>
        <v>080066454126</v>
      </c>
      <c r="F1096" s="3">
        <v>45847</v>
      </c>
      <c r="G1096">
        <v>202604</v>
      </c>
      <c r="H1096" t="s">
        <v>75</v>
      </c>
      <c r="I1096" t="s">
        <v>76</v>
      </c>
      <c r="J1096" t="s">
        <v>77</v>
      </c>
      <c r="K1096" t="s">
        <v>78</v>
      </c>
      <c r="L1096" t="s">
        <v>473</v>
      </c>
      <c r="M1096" t="s">
        <v>474</v>
      </c>
      <c r="N1096" t="s">
        <v>1224</v>
      </c>
      <c r="O1096" t="s">
        <v>82</v>
      </c>
      <c r="P1096" t="str">
        <f>"4170047650                    "</f>
        <v xml:space="preserve">4170047650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22.6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71.2</v>
      </c>
      <c r="BM1096">
        <v>10.68</v>
      </c>
      <c r="BN1096">
        <v>81.88</v>
      </c>
      <c r="BO1096">
        <v>81.88</v>
      </c>
      <c r="BQ1096" t="s">
        <v>1225</v>
      </c>
      <c r="BR1096" t="s">
        <v>84</v>
      </c>
      <c r="BS1096" s="3">
        <v>45848</v>
      </c>
      <c r="BT1096" s="4">
        <v>0.40486111111111112</v>
      </c>
      <c r="BU1096" t="s">
        <v>1226</v>
      </c>
      <c r="BV1096" t="s">
        <v>98</v>
      </c>
      <c r="BY1096">
        <v>1200</v>
      </c>
      <c r="BZ1096" t="s">
        <v>89</v>
      </c>
      <c r="CA1096" t="s">
        <v>337</v>
      </c>
      <c r="CC1096" t="s">
        <v>474</v>
      </c>
      <c r="CD1096">
        <v>4026</v>
      </c>
      <c r="CE1096" t="s">
        <v>239</v>
      </c>
      <c r="CF1096" s="3">
        <v>45849</v>
      </c>
      <c r="CI1096">
        <v>1</v>
      </c>
      <c r="CJ1096">
        <v>1</v>
      </c>
      <c r="CK1096">
        <v>21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"080066454144"</f>
        <v>080066454144</v>
      </c>
      <c r="F1097" s="3">
        <v>45847</v>
      </c>
      <c r="G1097">
        <v>202604</v>
      </c>
      <c r="H1097" t="s">
        <v>75</v>
      </c>
      <c r="I1097" t="s">
        <v>76</v>
      </c>
      <c r="J1097" t="s">
        <v>77</v>
      </c>
      <c r="K1097" t="s">
        <v>78</v>
      </c>
      <c r="L1097" t="s">
        <v>758</v>
      </c>
      <c r="M1097" t="s">
        <v>759</v>
      </c>
      <c r="N1097" t="s">
        <v>760</v>
      </c>
      <c r="O1097" t="s">
        <v>82</v>
      </c>
      <c r="P1097" t="str">
        <f>"4170047706                    "</f>
        <v xml:space="preserve">4170047706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43.78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137.94</v>
      </c>
      <c r="BM1097">
        <v>20.69</v>
      </c>
      <c r="BN1097">
        <v>158.63</v>
      </c>
      <c r="BO1097">
        <v>158.63</v>
      </c>
      <c r="BQ1097" t="s">
        <v>761</v>
      </c>
      <c r="BR1097" t="s">
        <v>84</v>
      </c>
      <c r="BS1097" s="3">
        <v>45848</v>
      </c>
      <c r="BT1097" s="4">
        <v>0.39374999999999999</v>
      </c>
      <c r="BU1097" t="s">
        <v>1819</v>
      </c>
      <c r="BV1097" t="s">
        <v>98</v>
      </c>
      <c r="BY1097">
        <v>1200</v>
      </c>
      <c r="BZ1097" t="s">
        <v>89</v>
      </c>
      <c r="CA1097" t="s">
        <v>763</v>
      </c>
      <c r="CC1097" t="s">
        <v>759</v>
      </c>
      <c r="CD1097">
        <v>2531</v>
      </c>
      <c r="CE1097" t="s">
        <v>239</v>
      </c>
      <c r="CF1097" s="3">
        <v>45849</v>
      </c>
      <c r="CI1097">
        <v>1</v>
      </c>
      <c r="CJ1097">
        <v>1</v>
      </c>
      <c r="CK1097">
        <v>23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"080066454147"</f>
        <v>080066454147</v>
      </c>
      <c r="F1098" s="3">
        <v>45847</v>
      </c>
      <c r="G1098">
        <v>202604</v>
      </c>
      <c r="H1098" t="s">
        <v>75</v>
      </c>
      <c r="I1098" t="s">
        <v>76</v>
      </c>
      <c r="J1098" t="s">
        <v>77</v>
      </c>
      <c r="K1098" t="s">
        <v>78</v>
      </c>
      <c r="L1098" t="s">
        <v>79</v>
      </c>
      <c r="M1098" t="s">
        <v>80</v>
      </c>
      <c r="N1098" t="s">
        <v>1816</v>
      </c>
      <c r="O1098" t="s">
        <v>82</v>
      </c>
      <c r="P1098" t="str">
        <f>"4170047722                    "</f>
        <v xml:space="preserve">4170047722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22.6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0.3</v>
      </c>
      <c r="BK1098">
        <v>1</v>
      </c>
      <c r="BL1098">
        <v>71.2</v>
      </c>
      <c r="BM1098">
        <v>10.68</v>
      </c>
      <c r="BN1098">
        <v>81.88</v>
      </c>
      <c r="BO1098">
        <v>81.88</v>
      </c>
      <c r="BQ1098" t="s">
        <v>1817</v>
      </c>
      <c r="BR1098" t="s">
        <v>84</v>
      </c>
      <c r="BS1098" s="3">
        <v>45849</v>
      </c>
      <c r="BT1098" s="4">
        <v>0.65347222222222223</v>
      </c>
      <c r="BU1098" t="s">
        <v>534</v>
      </c>
      <c r="BV1098" t="s">
        <v>86</v>
      </c>
      <c r="BY1098">
        <v>1350</v>
      </c>
      <c r="BZ1098" t="s">
        <v>89</v>
      </c>
      <c r="CA1098" t="s">
        <v>535</v>
      </c>
      <c r="CC1098" t="s">
        <v>80</v>
      </c>
      <c r="CD1098">
        <v>7441</v>
      </c>
      <c r="CE1098" t="s">
        <v>239</v>
      </c>
      <c r="CI1098">
        <v>1</v>
      </c>
      <c r="CJ1098">
        <v>2</v>
      </c>
      <c r="CK1098">
        <v>21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"080066454197"</f>
        <v>080066454197</v>
      </c>
      <c r="F1099" s="3">
        <v>45847</v>
      </c>
      <c r="G1099">
        <v>202604</v>
      </c>
      <c r="H1099" t="s">
        <v>75</v>
      </c>
      <c r="I1099" t="s">
        <v>76</v>
      </c>
      <c r="J1099" t="s">
        <v>77</v>
      </c>
      <c r="K1099" t="s">
        <v>78</v>
      </c>
      <c r="L1099" t="s">
        <v>75</v>
      </c>
      <c r="M1099" t="s">
        <v>76</v>
      </c>
      <c r="N1099" t="s">
        <v>809</v>
      </c>
      <c r="O1099" t="s">
        <v>82</v>
      </c>
      <c r="P1099" t="str">
        <f>"4170047665                    "</f>
        <v xml:space="preserve">4170047665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17.649999999999999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55.61</v>
      </c>
      <c r="BM1099">
        <v>8.34</v>
      </c>
      <c r="BN1099">
        <v>63.95</v>
      </c>
      <c r="BO1099">
        <v>63.95</v>
      </c>
      <c r="BQ1099" t="s">
        <v>810</v>
      </c>
      <c r="BR1099" t="s">
        <v>84</v>
      </c>
      <c r="BS1099" s="3">
        <v>45848</v>
      </c>
      <c r="BT1099" s="4">
        <v>0.42777777777777776</v>
      </c>
      <c r="BU1099" t="s">
        <v>882</v>
      </c>
      <c r="BV1099" t="s">
        <v>98</v>
      </c>
      <c r="BY1099">
        <v>1200</v>
      </c>
      <c r="BZ1099" t="s">
        <v>89</v>
      </c>
      <c r="CA1099" t="s">
        <v>883</v>
      </c>
      <c r="CC1099" t="s">
        <v>76</v>
      </c>
      <c r="CD1099">
        <v>1666</v>
      </c>
      <c r="CE1099" t="s">
        <v>239</v>
      </c>
      <c r="CF1099" s="3">
        <v>45848</v>
      </c>
      <c r="CI1099">
        <v>1</v>
      </c>
      <c r="CJ1099">
        <v>1</v>
      </c>
      <c r="CK1099">
        <v>22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"080066454226"</f>
        <v>080066454226</v>
      </c>
      <c r="F1100" s="3">
        <v>45847</v>
      </c>
      <c r="G1100">
        <v>202604</v>
      </c>
      <c r="H1100" t="s">
        <v>75</v>
      </c>
      <c r="I1100" t="s">
        <v>76</v>
      </c>
      <c r="J1100" t="s">
        <v>77</v>
      </c>
      <c r="K1100" t="s">
        <v>78</v>
      </c>
      <c r="L1100" t="s">
        <v>168</v>
      </c>
      <c r="M1100" t="s">
        <v>169</v>
      </c>
      <c r="N1100" t="s">
        <v>202</v>
      </c>
      <c r="O1100" t="s">
        <v>82</v>
      </c>
      <c r="P1100" t="str">
        <f>"4170047672                    "</f>
        <v xml:space="preserve">4170047672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22.6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71.2</v>
      </c>
      <c r="BM1100">
        <v>10.68</v>
      </c>
      <c r="BN1100">
        <v>81.88</v>
      </c>
      <c r="BO1100">
        <v>81.88</v>
      </c>
      <c r="BQ1100" t="s">
        <v>203</v>
      </c>
      <c r="BR1100" t="s">
        <v>84</v>
      </c>
      <c r="BS1100" s="3">
        <v>45848</v>
      </c>
      <c r="BT1100" s="4">
        <v>0.37638888888888888</v>
      </c>
      <c r="BU1100" t="s">
        <v>1713</v>
      </c>
      <c r="BV1100" t="s">
        <v>98</v>
      </c>
      <c r="BY1100">
        <v>1200</v>
      </c>
      <c r="BZ1100" t="s">
        <v>89</v>
      </c>
      <c r="CA1100" t="s">
        <v>205</v>
      </c>
      <c r="CC1100" t="s">
        <v>169</v>
      </c>
      <c r="CD1100">
        <v>6001</v>
      </c>
      <c r="CE1100" t="s">
        <v>239</v>
      </c>
      <c r="CF1100" s="3">
        <v>45848</v>
      </c>
      <c r="CI1100">
        <v>1</v>
      </c>
      <c r="CJ1100">
        <v>1</v>
      </c>
      <c r="CK1100">
        <v>21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"080066454257"</f>
        <v>080066454257</v>
      </c>
      <c r="F1101" s="3">
        <v>45847</v>
      </c>
      <c r="G1101">
        <v>202604</v>
      </c>
      <c r="H1101" t="s">
        <v>75</v>
      </c>
      <c r="I1101" t="s">
        <v>76</v>
      </c>
      <c r="J1101" t="s">
        <v>77</v>
      </c>
      <c r="K1101" t="s">
        <v>78</v>
      </c>
      <c r="L1101" t="s">
        <v>580</v>
      </c>
      <c r="M1101" t="s">
        <v>581</v>
      </c>
      <c r="N1101" t="s">
        <v>582</v>
      </c>
      <c r="O1101" t="s">
        <v>82</v>
      </c>
      <c r="P1101" t="str">
        <f>"4170047743                    "</f>
        <v xml:space="preserve">4170047743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124.21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11</v>
      </c>
      <c r="BJ1101">
        <v>3.4</v>
      </c>
      <c r="BK1101">
        <v>11</v>
      </c>
      <c r="BL1101">
        <v>391.33</v>
      </c>
      <c r="BM1101">
        <v>58.7</v>
      </c>
      <c r="BN1101">
        <v>450.03</v>
      </c>
      <c r="BO1101">
        <v>450.03</v>
      </c>
      <c r="BQ1101" t="s">
        <v>583</v>
      </c>
      <c r="BR1101" t="s">
        <v>84</v>
      </c>
      <c r="BS1101" s="3">
        <v>45848</v>
      </c>
      <c r="BT1101" s="4">
        <v>0.43333333333333335</v>
      </c>
      <c r="BU1101" t="s">
        <v>584</v>
      </c>
      <c r="BV1101" t="s">
        <v>98</v>
      </c>
      <c r="BY1101">
        <v>16965</v>
      </c>
      <c r="BZ1101" t="s">
        <v>89</v>
      </c>
      <c r="CA1101" t="s">
        <v>585</v>
      </c>
      <c r="CC1101" t="s">
        <v>581</v>
      </c>
      <c r="CD1101">
        <v>4302</v>
      </c>
      <c r="CE1101" t="s">
        <v>117</v>
      </c>
      <c r="CF1101" s="3">
        <v>45849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"080066454285"</f>
        <v>080066454285</v>
      </c>
      <c r="F1102" s="3">
        <v>45847</v>
      </c>
      <c r="G1102">
        <v>202604</v>
      </c>
      <c r="H1102" t="s">
        <v>75</v>
      </c>
      <c r="I1102" t="s">
        <v>76</v>
      </c>
      <c r="J1102" t="s">
        <v>77</v>
      </c>
      <c r="K1102" t="s">
        <v>78</v>
      </c>
      <c r="L1102" t="s">
        <v>92</v>
      </c>
      <c r="M1102" t="s">
        <v>93</v>
      </c>
      <c r="N1102" t="s">
        <v>334</v>
      </c>
      <c r="O1102" t="s">
        <v>82</v>
      </c>
      <c r="P1102" t="str">
        <f>"4170047688                    "</f>
        <v xml:space="preserve">4170047688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79.05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7</v>
      </c>
      <c r="BJ1102">
        <v>2.9</v>
      </c>
      <c r="BK1102">
        <v>7</v>
      </c>
      <c r="BL1102">
        <v>249.05</v>
      </c>
      <c r="BM1102">
        <v>37.36</v>
      </c>
      <c r="BN1102">
        <v>286.41000000000003</v>
      </c>
      <c r="BO1102">
        <v>286.41000000000003</v>
      </c>
      <c r="BQ1102" t="s">
        <v>335</v>
      </c>
      <c r="BR1102" t="s">
        <v>84</v>
      </c>
      <c r="BS1102" s="3">
        <v>45848</v>
      </c>
      <c r="BT1102" s="4">
        <v>0.42638888888888887</v>
      </c>
      <c r="BU1102" t="s">
        <v>1365</v>
      </c>
      <c r="BV1102" t="s">
        <v>98</v>
      </c>
      <c r="BY1102">
        <v>14336</v>
      </c>
      <c r="BZ1102" t="s">
        <v>89</v>
      </c>
      <c r="CA1102" t="s">
        <v>337</v>
      </c>
      <c r="CC1102" t="s">
        <v>93</v>
      </c>
      <c r="CD1102">
        <v>4052</v>
      </c>
      <c r="CE1102" t="s">
        <v>91</v>
      </c>
      <c r="CF1102" s="3">
        <v>45848</v>
      </c>
      <c r="CI1102">
        <v>1</v>
      </c>
      <c r="CJ1102">
        <v>1</v>
      </c>
      <c r="CK1102">
        <v>21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"080066454352"</f>
        <v>080066454352</v>
      </c>
      <c r="F1103" s="3">
        <v>45847</v>
      </c>
      <c r="G1103">
        <v>202604</v>
      </c>
      <c r="H1103" t="s">
        <v>75</v>
      </c>
      <c r="I1103" t="s">
        <v>76</v>
      </c>
      <c r="J1103" t="s">
        <v>77</v>
      </c>
      <c r="K1103" t="s">
        <v>78</v>
      </c>
      <c r="L1103" t="s">
        <v>704</v>
      </c>
      <c r="M1103" t="s">
        <v>705</v>
      </c>
      <c r="N1103" t="s">
        <v>848</v>
      </c>
      <c r="O1103" t="s">
        <v>82</v>
      </c>
      <c r="P1103" t="str">
        <f>"4170047647                    "</f>
        <v xml:space="preserve">4170047647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221.73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6</v>
      </c>
      <c r="BJ1103">
        <v>10.9</v>
      </c>
      <c r="BK1103">
        <v>11</v>
      </c>
      <c r="BL1103">
        <v>698.57</v>
      </c>
      <c r="BM1103">
        <v>104.79</v>
      </c>
      <c r="BN1103">
        <v>803.36</v>
      </c>
      <c r="BO1103">
        <v>803.36</v>
      </c>
      <c r="BQ1103" t="s">
        <v>849</v>
      </c>
      <c r="BR1103" t="s">
        <v>84</v>
      </c>
      <c r="BS1103" s="3">
        <v>45848</v>
      </c>
      <c r="BT1103" s="4">
        <v>0.4909722222222222</v>
      </c>
      <c r="BU1103" t="s">
        <v>1697</v>
      </c>
      <c r="BV1103" t="s">
        <v>98</v>
      </c>
      <c r="BY1103">
        <v>54432</v>
      </c>
      <c r="BZ1103" t="s">
        <v>89</v>
      </c>
      <c r="CA1103" t="s">
        <v>1152</v>
      </c>
      <c r="CC1103" t="s">
        <v>705</v>
      </c>
      <c r="CD1103">
        <v>6850</v>
      </c>
      <c r="CE1103" t="s">
        <v>91</v>
      </c>
      <c r="CF1103" s="3">
        <v>45849</v>
      </c>
      <c r="CI1103">
        <v>2</v>
      </c>
      <c r="CJ1103">
        <v>1</v>
      </c>
      <c r="CK1103">
        <v>23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"080066454601"</f>
        <v>080066454601</v>
      </c>
      <c r="F1104" s="3">
        <v>45847</v>
      </c>
      <c r="G1104">
        <v>202604</v>
      </c>
      <c r="H1104" t="s">
        <v>75</v>
      </c>
      <c r="I1104" t="s">
        <v>76</v>
      </c>
      <c r="J1104" t="s">
        <v>77</v>
      </c>
      <c r="K1104" t="s">
        <v>78</v>
      </c>
      <c r="L1104" t="s">
        <v>305</v>
      </c>
      <c r="M1104" t="s">
        <v>306</v>
      </c>
      <c r="N1104" t="s">
        <v>1820</v>
      </c>
      <c r="O1104" t="s">
        <v>82</v>
      </c>
      <c r="P1104" t="str">
        <f>"4170047693                    "</f>
        <v xml:space="preserve">4170047693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101.63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9</v>
      </c>
      <c r="BJ1104">
        <v>4.5999999999999996</v>
      </c>
      <c r="BK1104">
        <v>9</v>
      </c>
      <c r="BL1104">
        <v>320.19</v>
      </c>
      <c r="BM1104">
        <v>48.03</v>
      </c>
      <c r="BN1104">
        <v>368.22</v>
      </c>
      <c r="BO1104">
        <v>368.22</v>
      </c>
      <c r="BQ1104" t="s">
        <v>1821</v>
      </c>
      <c r="BR1104" t="s">
        <v>84</v>
      </c>
      <c r="BS1104" s="3">
        <v>45848</v>
      </c>
      <c r="BT1104" s="4">
        <v>0.55208333333333337</v>
      </c>
      <c r="BU1104" t="s">
        <v>1822</v>
      </c>
      <c r="BV1104" t="s">
        <v>86</v>
      </c>
      <c r="BY1104">
        <v>23184</v>
      </c>
      <c r="BZ1104" t="s">
        <v>89</v>
      </c>
      <c r="CC1104" t="s">
        <v>306</v>
      </c>
      <c r="CD1104">
        <v>5200</v>
      </c>
      <c r="CE1104" t="s">
        <v>91</v>
      </c>
      <c r="CF1104" s="3">
        <v>45848</v>
      </c>
      <c r="CI1104">
        <v>1</v>
      </c>
      <c r="CJ1104">
        <v>1</v>
      </c>
      <c r="CK1104">
        <v>21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"080066454638"</f>
        <v>080066454638</v>
      </c>
      <c r="F1105" s="3">
        <v>45847</v>
      </c>
      <c r="G1105">
        <v>202604</v>
      </c>
      <c r="H1105" t="s">
        <v>75</v>
      </c>
      <c r="I1105" t="s">
        <v>76</v>
      </c>
      <c r="J1105" t="s">
        <v>77</v>
      </c>
      <c r="K1105" t="s">
        <v>78</v>
      </c>
      <c r="L1105" t="s">
        <v>758</v>
      </c>
      <c r="M1105" t="s">
        <v>759</v>
      </c>
      <c r="N1105" t="s">
        <v>760</v>
      </c>
      <c r="O1105" t="s">
        <v>82</v>
      </c>
      <c r="P1105" t="str">
        <f>"4170047392                    "</f>
        <v xml:space="preserve">4170047392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43.78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</v>
      </c>
      <c r="BJ1105">
        <v>1.3</v>
      </c>
      <c r="BK1105">
        <v>2</v>
      </c>
      <c r="BL1105">
        <v>137.94</v>
      </c>
      <c r="BM1105">
        <v>20.69</v>
      </c>
      <c r="BN1105">
        <v>158.63</v>
      </c>
      <c r="BO1105">
        <v>158.63</v>
      </c>
      <c r="BQ1105" t="s">
        <v>761</v>
      </c>
      <c r="BR1105" t="s">
        <v>84</v>
      </c>
      <c r="BS1105" s="3">
        <v>45848</v>
      </c>
      <c r="BT1105" s="4">
        <v>0.39444444444444443</v>
      </c>
      <c r="BU1105" t="s">
        <v>1819</v>
      </c>
      <c r="BV1105" t="s">
        <v>98</v>
      </c>
      <c r="BY1105">
        <v>6664</v>
      </c>
      <c r="BZ1105" t="s">
        <v>89</v>
      </c>
      <c r="CA1105" t="s">
        <v>763</v>
      </c>
      <c r="CC1105" t="s">
        <v>759</v>
      </c>
      <c r="CD1105">
        <v>2531</v>
      </c>
      <c r="CE1105" t="s">
        <v>91</v>
      </c>
      <c r="CF1105" s="3">
        <v>45849</v>
      </c>
      <c r="CI1105">
        <v>1</v>
      </c>
      <c r="CJ1105">
        <v>1</v>
      </c>
      <c r="CK1105">
        <v>23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"080066454653"</f>
        <v>080066454653</v>
      </c>
      <c r="F1106" s="3">
        <v>45847</v>
      </c>
      <c r="G1106">
        <v>202604</v>
      </c>
      <c r="H1106" t="s">
        <v>75</v>
      </c>
      <c r="I1106" t="s">
        <v>76</v>
      </c>
      <c r="J1106" t="s">
        <v>77</v>
      </c>
      <c r="K1106" t="s">
        <v>78</v>
      </c>
      <c r="L1106" t="s">
        <v>240</v>
      </c>
      <c r="M1106" t="s">
        <v>241</v>
      </c>
      <c r="N1106" t="s">
        <v>1605</v>
      </c>
      <c r="O1106" t="s">
        <v>82</v>
      </c>
      <c r="P1106" t="str">
        <f>"4170047759                    "</f>
        <v xml:space="preserve">4170047759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17.649999999999999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0.3</v>
      </c>
      <c r="BK1106">
        <v>1</v>
      </c>
      <c r="BL1106">
        <v>55.61</v>
      </c>
      <c r="BM1106">
        <v>8.34</v>
      </c>
      <c r="BN1106">
        <v>63.95</v>
      </c>
      <c r="BO1106">
        <v>63.95</v>
      </c>
      <c r="BQ1106" t="s">
        <v>1606</v>
      </c>
      <c r="BR1106" t="s">
        <v>84</v>
      </c>
      <c r="BS1106" s="3">
        <v>45848</v>
      </c>
      <c r="BT1106" s="4">
        <v>0.375</v>
      </c>
      <c r="BU1106" t="s">
        <v>1823</v>
      </c>
      <c r="BV1106" t="s">
        <v>98</v>
      </c>
      <c r="BY1106">
        <v>1350</v>
      </c>
      <c r="BZ1106" t="s">
        <v>89</v>
      </c>
      <c r="CA1106" t="s">
        <v>1300</v>
      </c>
      <c r="CC1106" t="s">
        <v>241</v>
      </c>
      <c r="CD1106">
        <v>2190</v>
      </c>
      <c r="CE1106" t="s">
        <v>239</v>
      </c>
      <c r="CF1106" s="3">
        <v>45849</v>
      </c>
      <c r="CI1106">
        <v>1</v>
      </c>
      <c r="CJ1106">
        <v>1</v>
      </c>
      <c r="CK1106">
        <v>22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"080066454669"</f>
        <v>080066454669</v>
      </c>
      <c r="F1107" s="3">
        <v>45847</v>
      </c>
      <c r="G1107">
        <v>202604</v>
      </c>
      <c r="H1107" t="s">
        <v>75</v>
      </c>
      <c r="I1107" t="s">
        <v>76</v>
      </c>
      <c r="J1107" t="s">
        <v>77</v>
      </c>
      <c r="K1107" t="s">
        <v>78</v>
      </c>
      <c r="L1107" t="s">
        <v>92</v>
      </c>
      <c r="M1107" t="s">
        <v>93</v>
      </c>
      <c r="N1107" t="s">
        <v>291</v>
      </c>
      <c r="O1107" t="s">
        <v>82</v>
      </c>
      <c r="P1107" t="str">
        <f>"4170047676                    "</f>
        <v xml:space="preserve">4170047676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45.18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4</v>
      </c>
      <c r="BJ1107">
        <v>1.3</v>
      </c>
      <c r="BK1107">
        <v>4</v>
      </c>
      <c r="BL1107">
        <v>142.34</v>
      </c>
      <c r="BM1107">
        <v>21.35</v>
      </c>
      <c r="BN1107">
        <v>163.69</v>
      </c>
      <c r="BO1107">
        <v>163.69</v>
      </c>
      <c r="BQ1107" t="s">
        <v>292</v>
      </c>
      <c r="BR1107" t="s">
        <v>84</v>
      </c>
      <c r="BS1107" s="3">
        <v>45848</v>
      </c>
      <c r="BT1107" s="4">
        <v>0.32361111111111113</v>
      </c>
      <c r="BU1107" t="s">
        <v>971</v>
      </c>
      <c r="BV1107" t="s">
        <v>98</v>
      </c>
      <c r="BY1107">
        <v>6664</v>
      </c>
      <c r="BZ1107" t="s">
        <v>89</v>
      </c>
      <c r="CA1107" t="s">
        <v>294</v>
      </c>
      <c r="CC1107" t="s">
        <v>93</v>
      </c>
      <c r="CD1107">
        <v>4051</v>
      </c>
      <c r="CE1107" t="s">
        <v>91</v>
      </c>
      <c r="CF1107" s="3">
        <v>45848</v>
      </c>
      <c r="CI1107">
        <v>1</v>
      </c>
      <c r="CJ1107">
        <v>1</v>
      </c>
      <c r="CK1107">
        <v>21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"080066454702"</f>
        <v>080066454702</v>
      </c>
      <c r="F1108" s="3">
        <v>45847</v>
      </c>
      <c r="G1108">
        <v>202604</v>
      </c>
      <c r="H1108" t="s">
        <v>75</v>
      </c>
      <c r="I1108" t="s">
        <v>76</v>
      </c>
      <c r="J1108" t="s">
        <v>77</v>
      </c>
      <c r="K1108" t="s">
        <v>78</v>
      </c>
      <c r="L1108" t="s">
        <v>277</v>
      </c>
      <c r="M1108" t="s">
        <v>278</v>
      </c>
      <c r="N1108" t="s">
        <v>279</v>
      </c>
      <c r="O1108" t="s">
        <v>82</v>
      </c>
      <c r="P1108" t="str">
        <f>"4170047704                    "</f>
        <v xml:space="preserve">4170047704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22.6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0.3</v>
      </c>
      <c r="BK1108">
        <v>1</v>
      </c>
      <c r="BL1108">
        <v>71.2</v>
      </c>
      <c r="BM1108">
        <v>10.68</v>
      </c>
      <c r="BN1108">
        <v>81.88</v>
      </c>
      <c r="BO1108">
        <v>81.88</v>
      </c>
      <c r="BQ1108" t="s">
        <v>280</v>
      </c>
      <c r="BR1108" t="s">
        <v>84</v>
      </c>
      <c r="BS1108" s="3">
        <v>45848</v>
      </c>
      <c r="BT1108" s="4">
        <v>0.41388888888888886</v>
      </c>
      <c r="BU1108" t="s">
        <v>1124</v>
      </c>
      <c r="BV1108" t="s">
        <v>98</v>
      </c>
      <c r="BY1108">
        <v>1350</v>
      </c>
      <c r="BZ1108" t="s">
        <v>89</v>
      </c>
      <c r="CA1108" t="s">
        <v>282</v>
      </c>
      <c r="CC1108" t="s">
        <v>278</v>
      </c>
      <c r="CD1108">
        <v>6230</v>
      </c>
      <c r="CE1108" t="s">
        <v>239</v>
      </c>
      <c r="CF1108" s="3">
        <v>45848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"080066454713"</f>
        <v>080066454713</v>
      </c>
      <c r="F1109" s="3">
        <v>45847</v>
      </c>
      <c r="G1109">
        <v>202604</v>
      </c>
      <c r="H1109" t="s">
        <v>75</v>
      </c>
      <c r="I1109" t="s">
        <v>76</v>
      </c>
      <c r="J1109" t="s">
        <v>77</v>
      </c>
      <c r="K1109" t="s">
        <v>78</v>
      </c>
      <c r="L1109" t="s">
        <v>580</v>
      </c>
      <c r="M1109" t="s">
        <v>581</v>
      </c>
      <c r="N1109" t="s">
        <v>582</v>
      </c>
      <c r="O1109" t="s">
        <v>82</v>
      </c>
      <c r="P1109" t="str">
        <f>"4170047716                    "</f>
        <v xml:space="preserve">4170047716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56.47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5</v>
      </c>
      <c r="BJ1109">
        <v>1.7</v>
      </c>
      <c r="BK1109">
        <v>5</v>
      </c>
      <c r="BL1109">
        <v>177.91</v>
      </c>
      <c r="BM1109">
        <v>26.69</v>
      </c>
      <c r="BN1109">
        <v>204.6</v>
      </c>
      <c r="BO1109">
        <v>204.6</v>
      </c>
      <c r="BQ1109" t="s">
        <v>583</v>
      </c>
      <c r="BR1109" t="s">
        <v>84</v>
      </c>
      <c r="BS1109" s="3">
        <v>45848</v>
      </c>
      <c r="BT1109" s="4">
        <v>0.43333333333333335</v>
      </c>
      <c r="BU1109" t="s">
        <v>584</v>
      </c>
      <c r="BV1109" t="s">
        <v>98</v>
      </c>
      <c r="BY1109">
        <v>8512</v>
      </c>
      <c r="BZ1109" t="s">
        <v>89</v>
      </c>
      <c r="CA1109" t="s">
        <v>585</v>
      </c>
      <c r="CC1109" t="s">
        <v>581</v>
      </c>
      <c r="CD1109">
        <v>4302</v>
      </c>
      <c r="CE1109" t="s">
        <v>117</v>
      </c>
      <c r="CF1109" s="3">
        <v>45849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"080066454730"</f>
        <v>080066454730</v>
      </c>
      <c r="F1110" s="3">
        <v>45847</v>
      </c>
      <c r="G1110">
        <v>202604</v>
      </c>
      <c r="H1110" t="s">
        <v>75</v>
      </c>
      <c r="I1110" t="s">
        <v>76</v>
      </c>
      <c r="J1110" t="s">
        <v>77</v>
      </c>
      <c r="K1110" t="s">
        <v>78</v>
      </c>
      <c r="L1110" t="s">
        <v>174</v>
      </c>
      <c r="M1110" t="s">
        <v>175</v>
      </c>
      <c r="N1110" t="s">
        <v>176</v>
      </c>
      <c r="O1110" t="s">
        <v>82</v>
      </c>
      <c r="P1110" t="str">
        <f>"4170047700                    "</f>
        <v xml:space="preserve">4170047700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22.6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0.3</v>
      </c>
      <c r="BK1110">
        <v>1</v>
      </c>
      <c r="BL1110">
        <v>71.2</v>
      </c>
      <c r="BM1110">
        <v>10.68</v>
      </c>
      <c r="BN1110">
        <v>81.88</v>
      </c>
      <c r="BO1110">
        <v>81.88</v>
      </c>
      <c r="BQ1110" t="s">
        <v>177</v>
      </c>
      <c r="BR1110" t="s">
        <v>84</v>
      </c>
      <c r="BS1110" s="3">
        <v>45848</v>
      </c>
      <c r="BT1110" s="4">
        <v>0.43263888888888891</v>
      </c>
      <c r="BU1110" t="s">
        <v>1824</v>
      </c>
      <c r="BV1110" t="s">
        <v>98</v>
      </c>
      <c r="BY1110">
        <v>1350</v>
      </c>
      <c r="BZ1110" t="s">
        <v>89</v>
      </c>
      <c r="CA1110" t="s">
        <v>173</v>
      </c>
      <c r="CC1110" t="s">
        <v>175</v>
      </c>
      <c r="CD1110">
        <v>6220</v>
      </c>
      <c r="CE1110" t="s">
        <v>239</v>
      </c>
      <c r="CF1110" s="3">
        <v>45848</v>
      </c>
      <c r="CI1110">
        <v>1</v>
      </c>
      <c r="CJ1110">
        <v>1</v>
      </c>
      <c r="CK1110">
        <v>21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"080066454742"</f>
        <v>080066454742</v>
      </c>
      <c r="F1111" s="3">
        <v>45847</v>
      </c>
      <c r="G1111">
        <v>202604</v>
      </c>
      <c r="H1111" t="s">
        <v>75</v>
      </c>
      <c r="I1111" t="s">
        <v>76</v>
      </c>
      <c r="J1111" t="s">
        <v>77</v>
      </c>
      <c r="K1111" t="s">
        <v>78</v>
      </c>
      <c r="L1111" t="s">
        <v>240</v>
      </c>
      <c r="M1111" t="s">
        <v>241</v>
      </c>
      <c r="N1111" t="s">
        <v>1505</v>
      </c>
      <c r="O1111" t="s">
        <v>82</v>
      </c>
      <c r="P1111" t="str">
        <f>"4170047678                    "</f>
        <v xml:space="preserve">4170047678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17.649999999999999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0.6</v>
      </c>
      <c r="BK1111">
        <v>1</v>
      </c>
      <c r="BL1111">
        <v>55.61</v>
      </c>
      <c r="BM1111">
        <v>8.34</v>
      </c>
      <c r="BN1111">
        <v>63.95</v>
      </c>
      <c r="BO1111">
        <v>63.95</v>
      </c>
      <c r="BQ1111" t="s">
        <v>1506</v>
      </c>
      <c r="BR1111" t="s">
        <v>84</v>
      </c>
      <c r="BS1111" s="3">
        <v>45848</v>
      </c>
      <c r="BT1111" s="4">
        <v>0.42222222222222222</v>
      </c>
      <c r="BU1111" t="s">
        <v>1507</v>
      </c>
      <c r="BV1111" t="s">
        <v>98</v>
      </c>
      <c r="BY1111">
        <v>3192</v>
      </c>
      <c r="BZ1111" t="s">
        <v>89</v>
      </c>
      <c r="CA1111" t="s">
        <v>1508</v>
      </c>
      <c r="CC1111" t="s">
        <v>241</v>
      </c>
      <c r="CD1111">
        <v>2001</v>
      </c>
      <c r="CE1111" t="s">
        <v>117</v>
      </c>
      <c r="CF1111" s="3">
        <v>45849</v>
      </c>
      <c r="CI1111">
        <v>1</v>
      </c>
      <c r="CJ1111">
        <v>1</v>
      </c>
      <c r="CK1111">
        <v>22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"080066454766"</f>
        <v>080066454766</v>
      </c>
      <c r="F1112" s="3">
        <v>45847</v>
      </c>
      <c r="G1112">
        <v>202604</v>
      </c>
      <c r="H1112" t="s">
        <v>75</v>
      </c>
      <c r="I1112" t="s">
        <v>76</v>
      </c>
      <c r="J1112" t="s">
        <v>77</v>
      </c>
      <c r="K1112" t="s">
        <v>78</v>
      </c>
      <c r="L1112" t="s">
        <v>122</v>
      </c>
      <c r="M1112" t="s">
        <v>123</v>
      </c>
      <c r="N1112" t="s">
        <v>1825</v>
      </c>
      <c r="O1112" t="s">
        <v>82</v>
      </c>
      <c r="P1112" t="str">
        <f>"4170047673                    "</f>
        <v xml:space="preserve">4170047673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22.6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0.3</v>
      </c>
      <c r="BK1112">
        <v>1</v>
      </c>
      <c r="BL1112">
        <v>71.2</v>
      </c>
      <c r="BM1112">
        <v>10.68</v>
      </c>
      <c r="BN1112">
        <v>81.88</v>
      </c>
      <c r="BO1112">
        <v>81.88</v>
      </c>
      <c r="BQ1112" t="s">
        <v>1826</v>
      </c>
      <c r="BR1112" t="s">
        <v>84</v>
      </c>
      <c r="BS1112" s="3">
        <v>45848</v>
      </c>
      <c r="BT1112" s="4">
        <v>0.4826388888888889</v>
      </c>
      <c r="BU1112" t="s">
        <v>1240</v>
      </c>
      <c r="BV1112" t="s">
        <v>98</v>
      </c>
      <c r="BY1112">
        <v>1350</v>
      </c>
      <c r="BZ1112" t="s">
        <v>89</v>
      </c>
      <c r="CA1112" t="s">
        <v>166</v>
      </c>
      <c r="CC1112" t="s">
        <v>123</v>
      </c>
      <c r="CD1112">
        <v>3610</v>
      </c>
      <c r="CE1112" t="s">
        <v>239</v>
      </c>
      <c r="CF1112" s="3">
        <v>45849</v>
      </c>
      <c r="CI1112">
        <v>1</v>
      </c>
      <c r="CJ1112">
        <v>1</v>
      </c>
      <c r="CK1112">
        <v>21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"080066454796"</f>
        <v>080066454796</v>
      </c>
      <c r="F1113" s="3">
        <v>45847</v>
      </c>
      <c r="G1113">
        <v>202604</v>
      </c>
      <c r="H1113" t="s">
        <v>75</v>
      </c>
      <c r="I1113" t="s">
        <v>76</v>
      </c>
      <c r="J1113" t="s">
        <v>77</v>
      </c>
      <c r="K1113" t="s">
        <v>78</v>
      </c>
      <c r="L1113" t="s">
        <v>1462</v>
      </c>
      <c r="M1113" t="s">
        <v>1463</v>
      </c>
      <c r="N1113" t="s">
        <v>1464</v>
      </c>
      <c r="O1113" t="s">
        <v>82</v>
      </c>
      <c r="P1113" t="str">
        <f>"4170047731                    "</f>
        <v xml:space="preserve">4170047731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43.78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0.3</v>
      </c>
      <c r="BK1113">
        <v>1</v>
      </c>
      <c r="BL1113">
        <v>137.94</v>
      </c>
      <c r="BM1113">
        <v>20.69</v>
      </c>
      <c r="BN1113">
        <v>158.63</v>
      </c>
      <c r="BO1113">
        <v>158.63</v>
      </c>
      <c r="BQ1113" t="s">
        <v>1465</v>
      </c>
      <c r="BR1113" t="s">
        <v>84</v>
      </c>
      <c r="BS1113" s="3">
        <v>45848</v>
      </c>
      <c r="BT1113" s="4">
        <v>0.41666666666666669</v>
      </c>
      <c r="BU1113" t="s">
        <v>1745</v>
      </c>
      <c r="BV1113" t="s">
        <v>98</v>
      </c>
      <c r="BY1113">
        <v>1350</v>
      </c>
      <c r="BZ1113" t="s">
        <v>89</v>
      </c>
      <c r="CA1113" t="s">
        <v>1467</v>
      </c>
      <c r="CC1113" t="s">
        <v>1463</v>
      </c>
      <c r="CD1113">
        <v>3290</v>
      </c>
      <c r="CE1113" t="s">
        <v>239</v>
      </c>
      <c r="CF1113" s="3">
        <v>45848</v>
      </c>
      <c r="CI1113">
        <v>1</v>
      </c>
      <c r="CJ1113">
        <v>1</v>
      </c>
      <c r="CK1113">
        <v>23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"080066454836"</f>
        <v>080066454836</v>
      </c>
      <c r="F1114" s="3">
        <v>45847</v>
      </c>
      <c r="G1114">
        <v>202604</v>
      </c>
      <c r="H1114" t="s">
        <v>75</v>
      </c>
      <c r="I1114" t="s">
        <v>76</v>
      </c>
      <c r="J1114" t="s">
        <v>77</v>
      </c>
      <c r="K1114" t="s">
        <v>78</v>
      </c>
      <c r="L1114" t="s">
        <v>854</v>
      </c>
      <c r="M1114" t="s">
        <v>855</v>
      </c>
      <c r="N1114" t="s">
        <v>429</v>
      </c>
      <c r="O1114" t="s">
        <v>82</v>
      </c>
      <c r="P1114" t="str">
        <f>"4170047717                    "</f>
        <v xml:space="preserve">4170047717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43.78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16.739999999999998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0.3</v>
      </c>
      <c r="BK1114">
        <v>1</v>
      </c>
      <c r="BL1114">
        <v>154.68</v>
      </c>
      <c r="BM1114">
        <v>23.2</v>
      </c>
      <c r="BN1114">
        <v>177.88</v>
      </c>
      <c r="BO1114">
        <v>177.88</v>
      </c>
      <c r="BQ1114" t="s">
        <v>430</v>
      </c>
      <c r="BR1114" t="s">
        <v>84</v>
      </c>
      <c r="BS1114" s="3">
        <v>45848</v>
      </c>
      <c r="BT1114" s="4">
        <v>0.57361111111111107</v>
      </c>
      <c r="BU1114" t="s">
        <v>1601</v>
      </c>
      <c r="BV1114" t="s">
        <v>98</v>
      </c>
      <c r="BY1114">
        <v>1350</v>
      </c>
      <c r="BZ1114" t="s">
        <v>460</v>
      </c>
      <c r="CA1114" t="s">
        <v>992</v>
      </c>
      <c r="CC1114" t="s">
        <v>855</v>
      </c>
      <c r="CD1114" s="5" t="s">
        <v>993</v>
      </c>
      <c r="CE1114" t="s">
        <v>239</v>
      </c>
      <c r="CF1114" s="3">
        <v>45848</v>
      </c>
      <c r="CI1114">
        <v>1</v>
      </c>
      <c r="CJ1114">
        <v>1</v>
      </c>
      <c r="CK1114">
        <v>23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"080066454869"</f>
        <v>080066454869</v>
      </c>
      <c r="F1115" s="3">
        <v>45847</v>
      </c>
      <c r="G1115">
        <v>202604</v>
      </c>
      <c r="H1115" t="s">
        <v>75</v>
      </c>
      <c r="I1115" t="s">
        <v>76</v>
      </c>
      <c r="J1115" t="s">
        <v>77</v>
      </c>
      <c r="K1115" t="s">
        <v>78</v>
      </c>
      <c r="L1115" t="s">
        <v>151</v>
      </c>
      <c r="M1115" t="s">
        <v>152</v>
      </c>
      <c r="N1115" t="s">
        <v>153</v>
      </c>
      <c r="O1115" t="s">
        <v>82</v>
      </c>
      <c r="P1115" t="str">
        <f>"4170047742                    "</f>
        <v xml:space="preserve">4170047742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22.6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0.3</v>
      </c>
      <c r="BK1115">
        <v>1</v>
      </c>
      <c r="BL1115">
        <v>71.2</v>
      </c>
      <c r="BM1115">
        <v>10.68</v>
      </c>
      <c r="BN1115">
        <v>81.88</v>
      </c>
      <c r="BO1115">
        <v>81.88</v>
      </c>
      <c r="BQ1115" t="s">
        <v>154</v>
      </c>
      <c r="BR1115" t="s">
        <v>84</v>
      </c>
      <c r="BS1115" s="3">
        <v>45848</v>
      </c>
      <c r="BT1115" s="4">
        <v>0.375</v>
      </c>
      <c r="BU1115" t="s">
        <v>1827</v>
      </c>
      <c r="BV1115" t="s">
        <v>98</v>
      </c>
      <c r="BY1115">
        <v>1350</v>
      </c>
      <c r="BZ1115" t="s">
        <v>89</v>
      </c>
      <c r="CA1115" t="s">
        <v>156</v>
      </c>
      <c r="CC1115" t="s">
        <v>152</v>
      </c>
      <c r="CD1115" s="5" t="s">
        <v>157</v>
      </c>
      <c r="CE1115" t="s">
        <v>239</v>
      </c>
      <c r="CF1115" s="3">
        <v>45848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"080066454901"</f>
        <v>080066454901</v>
      </c>
      <c r="F1116" s="3">
        <v>45847</v>
      </c>
      <c r="G1116">
        <v>202604</v>
      </c>
      <c r="H1116" t="s">
        <v>75</v>
      </c>
      <c r="I1116" t="s">
        <v>76</v>
      </c>
      <c r="J1116" t="s">
        <v>77</v>
      </c>
      <c r="K1116" t="s">
        <v>78</v>
      </c>
      <c r="L1116" t="s">
        <v>305</v>
      </c>
      <c r="M1116" t="s">
        <v>306</v>
      </c>
      <c r="N1116" t="s">
        <v>1320</v>
      </c>
      <c r="O1116" t="s">
        <v>82</v>
      </c>
      <c r="P1116" t="str">
        <f>"4170047680                    "</f>
        <v xml:space="preserve">4170047680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22.6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0.3</v>
      </c>
      <c r="BK1116">
        <v>1</v>
      </c>
      <c r="BL1116">
        <v>71.2</v>
      </c>
      <c r="BM1116">
        <v>10.68</v>
      </c>
      <c r="BN1116">
        <v>81.88</v>
      </c>
      <c r="BO1116">
        <v>81.88</v>
      </c>
      <c r="BQ1116" t="s">
        <v>308</v>
      </c>
      <c r="BR1116" t="s">
        <v>84</v>
      </c>
      <c r="BS1116" s="3">
        <v>45848</v>
      </c>
      <c r="BT1116" s="4">
        <v>0.5</v>
      </c>
      <c r="BU1116" t="s">
        <v>1708</v>
      </c>
      <c r="BV1116" t="s">
        <v>86</v>
      </c>
      <c r="BY1116">
        <v>1350</v>
      </c>
      <c r="BZ1116" t="s">
        <v>89</v>
      </c>
      <c r="CA1116" t="s">
        <v>310</v>
      </c>
      <c r="CC1116" t="s">
        <v>306</v>
      </c>
      <c r="CD1116">
        <v>5201</v>
      </c>
      <c r="CE1116" t="s">
        <v>239</v>
      </c>
      <c r="CF1116" s="3">
        <v>45848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"080066454952"</f>
        <v>080066454952</v>
      </c>
      <c r="F1117" s="3">
        <v>45847</v>
      </c>
      <c r="G1117">
        <v>202604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118</v>
      </c>
      <c r="O1117" t="s">
        <v>82</v>
      </c>
      <c r="P1117" t="str">
        <f>"4170047718                    "</f>
        <v xml:space="preserve">4170047718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17.649999999999999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0.3</v>
      </c>
      <c r="BK1117">
        <v>1</v>
      </c>
      <c r="BL1117">
        <v>55.61</v>
      </c>
      <c r="BM1117">
        <v>8.34</v>
      </c>
      <c r="BN1117">
        <v>63.95</v>
      </c>
      <c r="BO1117">
        <v>63.95</v>
      </c>
      <c r="BQ1117" t="s">
        <v>119</v>
      </c>
      <c r="BR1117" t="s">
        <v>84</v>
      </c>
      <c r="BS1117" s="3">
        <v>45848</v>
      </c>
      <c r="BT1117" s="4">
        <v>0.34583333333333333</v>
      </c>
      <c r="BU1117" t="s">
        <v>1363</v>
      </c>
      <c r="BV1117" t="s">
        <v>98</v>
      </c>
      <c r="BY1117">
        <v>1350</v>
      </c>
      <c r="BZ1117" t="s">
        <v>89</v>
      </c>
      <c r="CA1117" t="s">
        <v>213</v>
      </c>
      <c r="CC1117" t="s">
        <v>76</v>
      </c>
      <c r="CD1117">
        <v>1600</v>
      </c>
      <c r="CE1117" t="s">
        <v>239</v>
      </c>
      <c r="CF1117" s="3">
        <v>45849</v>
      </c>
      <c r="CI1117">
        <v>1</v>
      </c>
      <c r="CJ1117">
        <v>1</v>
      </c>
      <c r="CK1117">
        <v>22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"080066454967"</f>
        <v>080066454967</v>
      </c>
      <c r="F1118" s="3">
        <v>45847</v>
      </c>
      <c r="G1118">
        <v>202604</v>
      </c>
      <c r="H1118" t="s">
        <v>75</v>
      </c>
      <c r="I1118" t="s">
        <v>76</v>
      </c>
      <c r="J1118" t="s">
        <v>77</v>
      </c>
      <c r="K1118" t="s">
        <v>78</v>
      </c>
      <c r="L1118" t="s">
        <v>240</v>
      </c>
      <c r="M1118" t="s">
        <v>241</v>
      </c>
      <c r="N1118" t="s">
        <v>1828</v>
      </c>
      <c r="O1118" t="s">
        <v>82</v>
      </c>
      <c r="P1118" t="str">
        <f>"4170047732                    "</f>
        <v xml:space="preserve">4170047732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17.649999999999999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0.6</v>
      </c>
      <c r="BK1118">
        <v>1</v>
      </c>
      <c r="BL1118">
        <v>55.61</v>
      </c>
      <c r="BM1118">
        <v>8.34</v>
      </c>
      <c r="BN1118">
        <v>63.95</v>
      </c>
      <c r="BO1118">
        <v>63.95</v>
      </c>
      <c r="BQ1118" t="s">
        <v>1829</v>
      </c>
      <c r="BR1118" t="s">
        <v>84</v>
      </c>
      <c r="BS1118" s="3">
        <v>45848</v>
      </c>
      <c r="BT1118" s="4">
        <v>0.43055555555555558</v>
      </c>
      <c r="BU1118" t="s">
        <v>1830</v>
      </c>
      <c r="BV1118" t="s">
        <v>98</v>
      </c>
      <c r="BY1118">
        <v>3192</v>
      </c>
      <c r="BZ1118" t="s">
        <v>89</v>
      </c>
      <c r="CA1118" t="s">
        <v>1738</v>
      </c>
      <c r="CC1118" t="s">
        <v>241</v>
      </c>
      <c r="CD1118">
        <v>2091</v>
      </c>
      <c r="CE1118" t="s">
        <v>266</v>
      </c>
      <c r="CF1118" s="3">
        <v>45849</v>
      </c>
      <c r="CI1118">
        <v>1</v>
      </c>
      <c r="CJ1118">
        <v>1</v>
      </c>
      <c r="CK1118">
        <v>22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"080066454977"</f>
        <v>080066454977</v>
      </c>
      <c r="F1119" s="3">
        <v>45847</v>
      </c>
      <c r="G1119">
        <v>202604</v>
      </c>
      <c r="H1119" t="s">
        <v>75</v>
      </c>
      <c r="I1119" t="s">
        <v>76</v>
      </c>
      <c r="J1119" t="s">
        <v>77</v>
      </c>
      <c r="K1119" t="s">
        <v>78</v>
      </c>
      <c r="L1119" t="s">
        <v>92</v>
      </c>
      <c r="M1119" t="s">
        <v>93</v>
      </c>
      <c r="N1119" t="s">
        <v>1831</v>
      </c>
      <c r="O1119" t="s">
        <v>82</v>
      </c>
      <c r="P1119" t="str">
        <f>"4170047656                    "</f>
        <v xml:space="preserve">4170047656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22.6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0.3</v>
      </c>
      <c r="BK1119">
        <v>1</v>
      </c>
      <c r="BL1119">
        <v>71.2</v>
      </c>
      <c r="BM1119">
        <v>10.68</v>
      </c>
      <c r="BN1119">
        <v>81.88</v>
      </c>
      <c r="BO1119">
        <v>81.88</v>
      </c>
      <c r="BQ1119" t="s">
        <v>1832</v>
      </c>
      <c r="BR1119" t="s">
        <v>84</v>
      </c>
      <c r="BS1119" s="3">
        <v>45848</v>
      </c>
      <c r="BT1119" s="4">
        <v>0.39374999999999999</v>
      </c>
      <c r="BU1119" t="s">
        <v>1833</v>
      </c>
      <c r="BV1119" t="s">
        <v>98</v>
      </c>
      <c r="BY1119">
        <v>1350</v>
      </c>
      <c r="BZ1119" t="s">
        <v>89</v>
      </c>
      <c r="CA1119" t="s">
        <v>1834</v>
      </c>
      <c r="CC1119" t="s">
        <v>93</v>
      </c>
      <c r="CD1119">
        <v>4051</v>
      </c>
      <c r="CE1119" t="s">
        <v>239</v>
      </c>
      <c r="CF1119" s="3">
        <v>45848</v>
      </c>
      <c r="CI1119">
        <v>1</v>
      </c>
      <c r="CJ1119">
        <v>1</v>
      </c>
      <c r="CK1119">
        <v>21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"080066455021"</f>
        <v>080066455021</v>
      </c>
      <c r="F1120" s="3">
        <v>45847</v>
      </c>
      <c r="G1120">
        <v>202604</v>
      </c>
      <c r="H1120" t="s">
        <v>75</v>
      </c>
      <c r="I1120" t="s">
        <v>76</v>
      </c>
      <c r="J1120" t="s">
        <v>77</v>
      </c>
      <c r="K1120" t="s">
        <v>78</v>
      </c>
      <c r="L1120" t="s">
        <v>168</v>
      </c>
      <c r="M1120" t="s">
        <v>169</v>
      </c>
      <c r="N1120" t="s">
        <v>191</v>
      </c>
      <c r="O1120" t="s">
        <v>82</v>
      </c>
      <c r="P1120" t="str">
        <f>"4170047714                    "</f>
        <v xml:space="preserve">4170047714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22.6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0.3</v>
      </c>
      <c r="BK1120">
        <v>1</v>
      </c>
      <c r="BL1120">
        <v>71.2</v>
      </c>
      <c r="BM1120">
        <v>10.68</v>
      </c>
      <c r="BN1120">
        <v>81.88</v>
      </c>
      <c r="BO1120">
        <v>81.88</v>
      </c>
      <c r="BQ1120" t="s">
        <v>192</v>
      </c>
      <c r="BR1120" t="s">
        <v>84</v>
      </c>
      <c r="BS1120" s="3">
        <v>45848</v>
      </c>
      <c r="BT1120" s="4">
        <v>0.42777777777777776</v>
      </c>
      <c r="BU1120" t="s">
        <v>193</v>
      </c>
      <c r="BV1120" t="s">
        <v>98</v>
      </c>
      <c r="BY1120">
        <v>1350</v>
      </c>
      <c r="BZ1120" t="s">
        <v>89</v>
      </c>
      <c r="CA1120" t="s">
        <v>196</v>
      </c>
      <c r="CC1120" t="s">
        <v>169</v>
      </c>
      <c r="CD1120">
        <v>6056</v>
      </c>
      <c r="CE1120" t="s">
        <v>239</v>
      </c>
      <c r="CF1120" s="3">
        <v>45848</v>
      </c>
      <c r="CI1120">
        <v>1</v>
      </c>
      <c r="CJ1120">
        <v>1</v>
      </c>
      <c r="CK1120">
        <v>21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"080066455288"</f>
        <v>080066455288</v>
      </c>
      <c r="F1121" s="3">
        <v>45847</v>
      </c>
      <c r="G1121">
        <v>202604</v>
      </c>
      <c r="H1121" t="s">
        <v>75</v>
      </c>
      <c r="I1121" t="s">
        <v>76</v>
      </c>
      <c r="J1121" t="s">
        <v>77</v>
      </c>
      <c r="K1121" t="s">
        <v>78</v>
      </c>
      <c r="L1121" t="s">
        <v>92</v>
      </c>
      <c r="M1121" t="s">
        <v>93</v>
      </c>
      <c r="N1121" t="s">
        <v>1811</v>
      </c>
      <c r="O1121" t="s">
        <v>82</v>
      </c>
      <c r="P1121" t="str">
        <f>"4170047643                    "</f>
        <v xml:space="preserve">4170047643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79.05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7</v>
      </c>
      <c r="BJ1121">
        <v>3.4</v>
      </c>
      <c r="BK1121">
        <v>7</v>
      </c>
      <c r="BL1121">
        <v>249.05</v>
      </c>
      <c r="BM1121">
        <v>37.36</v>
      </c>
      <c r="BN1121">
        <v>286.41000000000003</v>
      </c>
      <c r="BO1121">
        <v>286.41000000000003</v>
      </c>
      <c r="BQ1121" t="s">
        <v>1812</v>
      </c>
      <c r="BR1121" t="s">
        <v>84</v>
      </c>
      <c r="BS1121" s="3">
        <v>45848</v>
      </c>
      <c r="BT1121" s="4">
        <v>0.41666666666666669</v>
      </c>
      <c r="BU1121" t="s">
        <v>1835</v>
      </c>
      <c r="BV1121" t="s">
        <v>98</v>
      </c>
      <c r="BY1121">
        <v>16965</v>
      </c>
      <c r="BZ1121" t="s">
        <v>89</v>
      </c>
      <c r="CA1121" t="s">
        <v>337</v>
      </c>
      <c r="CC1121" t="s">
        <v>93</v>
      </c>
      <c r="CD1121">
        <v>4052</v>
      </c>
      <c r="CE1121" t="s">
        <v>145</v>
      </c>
      <c r="CF1121" s="3">
        <v>45848</v>
      </c>
      <c r="CI1121">
        <v>1</v>
      </c>
      <c r="CJ1121">
        <v>1</v>
      </c>
      <c r="CK1121">
        <v>21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"080066455322"</f>
        <v>080066455322</v>
      </c>
      <c r="F1122" s="3">
        <v>45847</v>
      </c>
      <c r="G1122">
        <v>202604</v>
      </c>
      <c r="H1122" t="s">
        <v>75</v>
      </c>
      <c r="I1122" t="s">
        <v>76</v>
      </c>
      <c r="J1122" t="s">
        <v>77</v>
      </c>
      <c r="K1122" t="s">
        <v>78</v>
      </c>
      <c r="L1122" t="s">
        <v>146</v>
      </c>
      <c r="M1122" t="s">
        <v>146</v>
      </c>
      <c r="N1122" t="s">
        <v>986</v>
      </c>
      <c r="O1122" t="s">
        <v>82</v>
      </c>
      <c r="P1122" t="str">
        <f>"4170047702                    "</f>
        <v xml:space="preserve">4170047702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43.78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137.94</v>
      </c>
      <c r="BM1122">
        <v>20.69</v>
      </c>
      <c r="BN1122">
        <v>158.63</v>
      </c>
      <c r="BO1122">
        <v>158.63</v>
      </c>
      <c r="BQ1122" t="s">
        <v>987</v>
      </c>
      <c r="BR1122" t="s">
        <v>84</v>
      </c>
      <c r="BS1122" s="3">
        <v>45848</v>
      </c>
      <c r="BT1122" s="4">
        <v>0.49861111111111112</v>
      </c>
      <c r="BU1122" t="s">
        <v>1748</v>
      </c>
      <c r="BV1122" t="s">
        <v>98</v>
      </c>
      <c r="BY1122">
        <v>1200</v>
      </c>
      <c r="BZ1122" t="s">
        <v>89</v>
      </c>
      <c r="CA1122" t="s">
        <v>989</v>
      </c>
      <c r="CC1122" t="s">
        <v>146</v>
      </c>
      <c r="CD1122">
        <v>7646</v>
      </c>
      <c r="CE1122" t="s">
        <v>258</v>
      </c>
      <c r="CF1122" s="3">
        <v>45849</v>
      </c>
      <c r="CI1122">
        <v>1</v>
      </c>
      <c r="CJ1122">
        <v>1</v>
      </c>
      <c r="CK1122">
        <v>23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"080066455488"</f>
        <v>080066455488</v>
      </c>
      <c r="F1123" s="3">
        <v>45847</v>
      </c>
      <c r="G1123">
        <v>202604</v>
      </c>
      <c r="H1123" t="s">
        <v>75</v>
      </c>
      <c r="I1123" t="s">
        <v>76</v>
      </c>
      <c r="J1123" t="s">
        <v>77</v>
      </c>
      <c r="K1123" t="s">
        <v>78</v>
      </c>
      <c r="L1123" t="s">
        <v>542</v>
      </c>
      <c r="M1123" t="s">
        <v>543</v>
      </c>
      <c r="N1123" t="s">
        <v>544</v>
      </c>
      <c r="O1123" t="s">
        <v>82</v>
      </c>
      <c r="P1123" t="str">
        <f>"4170047531                    "</f>
        <v xml:space="preserve">4170047531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17.649999999999999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55.61</v>
      </c>
      <c r="BM1123">
        <v>8.34</v>
      </c>
      <c r="BN1123">
        <v>63.95</v>
      </c>
      <c r="BO1123">
        <v>63.95</v>
      </c>
      <c r="BQ1123" t="s">
        <v>545</v>
      </c>
      <c r="BR1123" t="s">
        <v>84</v>
      </c>
      <c r="BS1123" s="3">
        <v>45848</v>
      </c>
      <c r="BT1123" s="4">
        <v>0.41388888888888886</v>
      </c>
      <c r="BU1123" t="s">
        <v>1836</v>
      </c>
      <c r="BV1123" t="s">
        <v>98</v>
      </c>
      <c r="BY1123">
        <v>1200</v>
      </c>
      <c r="BZ1123" t="s">
        <v>89</v>
      </c>
      <c r="CA1123" t="s">
        <v>547</v>
      </c>
      <c r="CC1123" t="s">
        <v>543</v>
      </c>
      <c r="CD1123">
        <v>1449</v>
      </c>
      <c r="CE1123" t="s">
        <v>239</v>
      </c>
      <c r="CF1123" s="3">
        <v>45848</v>
      </c>
      <c r="CI1123">
        <v>1</v>
      </c>
      <c r="CJ1123">
        <v>1</v>
      </c>
      <c r="CK1123">
        <v>22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"080066455674"</f>
        <v>080066455674</v>
      </c>
      <c r="F1124" s="3">
        <v>45847</v>
      </c>
      <c r="G1124">
        <v>202604</v>
      </c>
      <c r="H1124" t="s">
        <v>75</v>
      </c>
      <c r="I1124" t="s">
        <v>76</v>
      </c>
      <c r="J1124" t="s">
        <v>77</v>
      </c>
      <c r="K1124" t="s">
        <v>78</v>
      </c>
      <c r="L1124" t="s">
        <v>295</v>
      </c>
      <c r="M1124" t="s">
        <v>296</v>
      </c>
      <c r="N1124" t="s">
        <v>1837</v>
      </c>
      <c r="O1124" t="s">
        <v>95</v>
      </c>
      <c r="P1124" t="str">
        <f>"4170047670                    "</f>
        <v xml:space="preserve">4170047670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34.71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13</v>
      </c>
      <c r="BJ1124">
        <v>15.3</v>
      </c>
      <c r="BK1124">
        <v>16</v>
      </c>
      <c r="BL1124">
        <v>115.22</v>
      </c>
      <c r="BM1124">
        <v>17.28</v>
      </c>
      <c r="BN1124">
        <v>132.5</v>
      </c>
      <c r="BO1124">
        <v>132.5</v>
      </c>
      <c r="BQ1124" t="s">
        <v>1838</v>
      </c>
      <c r="BR1124" t="s">
        <v>84</v>
      </c>
      <c r="BS1124" s="3">
        <v>45848</v>
      </c>
      <c r="BT1124" s="4">
        <v>0.39097222222222222</v>
      </c>
      <c r="BU1124" t="s">
        <v>1726</v>
      </c>
      <c r="BV1124" t="s">
        <v>98</v>
      </c>
      <c r="BY1124">
        <v>76320</v>
      </c>
      <c r="BZ1124" t="s">
        <v>99</v>
      </c>
      <c r="CA1124" t="s">
        <v>300</v>
      </c>
      <c r="CC1124" t="s">
        <v>296</v>
      </c>
      <c r="CD1124">
        <v>1459</v>
      </c>
      <c r="CE1124" t="s">
        <v>117</v>
      </c>
      <c r="CF1124" s="3">
        <v>45849</v>
      </c>
      <c r="CI1124">
        <v>1</v>
      </c>
      <c r="CJ1124">
        <v>1</v>
      </c>
      <c r="CK1124">
        <v>42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"080066455697"</f>
        <v>080066455697</v>
      </c>
      <c r="F1125" s="3">
        <v>45847</v>
      </c>
      <c r="G1125">
        <v>202604</v>
      </c>
      <c r="H1125" t="s">
        <v>75</v>
      </c>
      <c r="I1125" t="s">
        <v>76</v>
      </c>
      <c r="J1125" t="s">
        <v>77</v>
      </c>
      <c r="K1125" t="s">
        <v>78</v>
      </c>
      <c r="L1125" t="s">
        <v>704</v>
      </c>
      <c r="M1125" t="s">
        <v>705</v>
      </c>
      <c r="N1125" t="s">
        <v>829</v>
      </c>
      <c r="O1125" t="s">
        <v>82</v>
      </c>
      <c r="P1125" t="str">
        <f>"4170046960                    "</f>
        <v xml:space="preserve">4170046960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182.19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8.9</v>
      </c>
      <c r="BK1125">
        <v>9</v>
      </c>
      <c r="BL1125">
        <v>573.99</v>
      </c>
      <c r="BM1125">
        <v>86.1</v>
      </c>
      <c r="BN1125">
        <v>660.09</v>
      </c>
      <c r="BO1125">
        <v>660.09</v>
      </c>
      <c r="BQ1125" t="s">
        <v>830</v>
      </c>
      <c r="BR1125" t="s">
        <v>84</v>
      </c>
      <c r="BS1125" s="3">
        <v>45848</v>
      </c>
      <c r="BT1125" s="4">
        <v>0.50694444444444442</v>
      </c>
      <c r="BU1125" t="s">
        <v>1839</v>
      </c>
      <c r="BV1125" t="s">
        <v>98</v>
      </c>
      <c r="BY1125">
        <v>44640</v>
      </c>
      <c r="BZ1125" t="s">
        <v>89</v>
      </c>
      <c r="CA1125" t="s">
        <v>1152</v>
      </c>
      <c r="CC1125" t="s">
        <v>705</v>
      </c>
      <c r="CD1125">
        <v>6850</v>
      </c>
      <c r="CE1125" t="s">
        <v>117</v>
      </c>
      <c r="CF1125" s="3">
        <v>45849</v>
      </c>
      <c r="CI1125">
        <v>2</v>
      </c>
      <c r="CJ1125">
        <v>1</v>
      </c>
      <c r="CK1125">
        <v>23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"080066455829"</f>
        <v>080066455829</v>
      </c>
      <c r="F1126" s="3">
        <v>45847</v>
      </c>
      <c r="G1126">
        <v>202604</v>
      </c>
      <c r="H1126" t="s">
        <v>75</v>
      </c>
      <c r="I1126" t="s">
        <v>76</v>
      </c>
      <c r="J1126" t="s">
        <v>77</v>
      </c>
      <c r="K1126" t="s">
        <v>78</v>
      </c>
      <c r="L1126" t="s">
        <v>168</v>
      </c>
      <c r="M1126" t="s">
        <v>169</v>
      </c>
      <c r="N1126" t="s">
        <v>1840</v>
      </c>
      <c r="O1126" t="s">
        <v>82</v>
      </c>
      <c r="P1126" t="str">
        <f>"4170047681                    "</f>
        <v xml:space="preserve">4170047681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22.6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1.1000000000000001</v>
      </c>
      <c r="BK1126">
        <v>1.5</v>
      </c>
      <c r="BL1126">
        <v>71.2</v>
      </c>
      <c r="BM1126">
        <v>10.68</v>
      </c>
      <c r="BN1126">
        <v>81.88</v>
      </c>
      <c r="BO1126">
        <v>81.88</v>
      </c>
      <c r="BQ1126" t="s">
        <v>1841</v>
      </c>
      <c r="BR1126" t="s">
        <v>84</v>
      </c>
      <c r="BS1126" s="3">
        <v>45849</v>
      </c>
      <c r="BT1126" s="4">
        <v>0.31944444444444442</v>
      </c>
      <c r="BU1126" t="s">
        <v>1418</v>
      </c>
      <c r="BV1126" t="s">
        <v>86</v>
      </c>
      <c r="BW1126" t="s">
        <v>194</v>
      </c>
      <c r="BX1126" t="s">
        <v>1382</v>
      </c>
      <c r="BY1126">
        <v>5320</v>
      </c>
      <c r="BZ1126" t="s">
        <v>89</v>
      </c>
      <c r="CA1126" t="s">
        <v>423</v>
      </c>
      <c r="CC1126" t="s">
        <v>169</v>
      </c>
      <c r="CD1126">
        <v>6070</v>
      </c>
      <c r="CE1126" t="s">
        <v>117</v>
      </c>
      <c r="CF1126" s="3">
        <v>45849</v>
      </c>
      <c r="CI1126">
        <v>1</v>
      </c>
      <c r="CJ1126">
        <v>2</v>
      </c>
      <c r="CK1126">
        <v>21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"080066455885"</f>
        <v>080066455885</v>
      </c>
      <c r="F1127" s="3">
        <v>45847</v>
      </c>
      <c r="G1127">
        <v>202604</v>
      </c>
      <c r="H1127" t="s">
        <v>75</v>
      </c>
      <c r="I1127" t="s">
        <v>76</v>
      </c>
      <c r="J1127" t="s">
        <v>77</v>
      </c>
      <c r="K1127" t="s">
        <v>78</v>
      </c>
      <c r="L1127" t="s">
        <v>1332</v>
      </c>
      <c r="M1127" t="s">
        <v>1333</v>
      </c>
      <c r="N1127" t="s">
        <v>1334</v>
      </c>
      <c r="O1127" t="s">
        <v>82</v>
      </c>
      <c r="P1127" t="str">
        <f>"4170047677                    "</f>
        <v xml:space="preserve">4170047677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53.67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0.5</v>
      </c>
      <c r="BJ1127">
        <v>2.2999999999999998</v>
      </c>
      <c r="BK1127">
        <v>2.5</v>
      </c>
      <c r="BL1127">
        <v>169.09</v>
      </c>
      <c r="BM1127">
        <v>25.36</v>
      </c>
      <c r="BN1127">
        <v>194.45</v>
      </c>
      <c r="BO1127">
        <v>194.45</v>
      </c>
      <c r="BQ1127" t="s">
        <v>1335</v>
      </c>
      <c r="BR1127" t="s">
        <v>84</v>
      </c>
      <c r="BS1127" s="3">
        <v>45848</v>
      </c>
      <c r="BT1127" s="4">
        <v>0.43194444444444446</v>
      </c>
      <c r="BU1127" t="s">
        <v>1842</v>
      </c>
      <c r="BV1127" t="s">
        <v>98</v>
      </c>
      <c r="BY1127">
        <v>11504.03</v>
      </c>
      <c r="BZ1127" t="s">
        <v>89</v>
      </c>
      <c r="CA1127" t="s">
        <v>1843</v>
      </c>
      <c r="CC1127" t="s">
        <v>1333</v>
      </c>
      <c r="CD1127">
        <v>2571</v>
      </c>
      <c r="CE1127" t="s">
        <v>239</v>
      </c>
      <c r="CF1127" s="3">
        <v>45849</v>
      </c>
      <c r="CI1127">
        <v>1</v>
      </c>
      <c r="CJ1127">
        <v>1</v>
      </c>
      <c r="CK1127">
        <v>23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"080066455947"</f>
        <v>080066455947</v>
      </c>
      <c r="F1128" s="3">
        <v>45847</v>
      </c>
      <c r="G1128">
        <v>202604</v>
      </c>
      <c r="H1128" t="s">
        <v>75</v>
      </c>
      <c r="I1128" t="s">
        <v>76</v>
      </c>
      <c r="J1128" t="s">
        <v>77</v>
      </c>
      <c r="K1128" t="s">
        <v>78</v>
      </c>
      <c r="L1128" t="s">
        <v>554</v>
      </c>
      <c r="M1128" t="s">
        <v>555</v>
      </c>
      <c r="N1128" t="s">
        <v>556</v>
      </c>
      <c r="O1128" t="s">
        <v>82</v>
      </c>
      <c r="P1128" t="str">
        <f>"4170047756                    "</f>
        <v xml:space="preserve">4170047756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22.6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0.7</v>
      </c>
      <c r="BJ1128">
        <v>1.5</v>
      </c>
      <c r="BK1128">
        <v>1.5</v>
      </c>
      <c r="BL1128">
        <v>71.2</v>
      </c>
      <c r="BM1128">
        <v>10.68</v>
      </c>
      <c r="BN1128">
        <v>81.88</v>
      </c>
      <c r="BO1128">
        <v>81.88</v>
      </c>
      <c r="BQ1128" t="s">
        <v>557</v>
      </c>
      <c r="BR1128" t="s">
        <v>84</v>
      </c>
      <c r="BS1128" s="3">
        <v>45848</v>
      </c>
      <c r="BT1128" s="4">
        <v>0.35486111111111113</v>
      </c>
      <c r="BU1128" t="s">
        <v>1810</v>
      </c>
      <c r="BV1128" t="s">
        <v>98</v>
      </c>
      <c r="BY1128">
        <v>7521.99</v>
      </c>
      <c r="BZ1128" t="s">
        <v>89</v>
      </c>
      <c r="CA1128" t="s">
        <v>559</v>
      </c>
      <c r="CC1128" t="s">
        <v>555</v>
      </c>
      <c r="CD1128" s="5" t="s">
        <v>560</v>
      </c>
      <c r="CE1128" t="s">
        <v>239</v>
      </c>
      <c r="CF1128" s="3">
        <v>45848</v>
      </c>
      <c r="CI1128">
        <v>1</v>
      </c>
      <c r="CJ1128">
        <v>1</v>
      </c>
      <c r="CK1128">
        <v>21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"080066455969"</f>
        <v>080066455969</v>
      </c>
      <c r="F1129" s="3">
        <v>45847</v>
      </c>
      <c r="G1129">
        <v>202604</v>
      </c>
      <c r="H1129" t="s">
        <v>75</v>
      </c>
      <c r="I1129" t="s">
        <v>76</v>
      </c>
      <c r="J1129" t="s">
        <v>77</v>
      </c>
      <c r="K1129" t="s">
        <v>78</v>
      </c>
      <c r="L1129" t="s">
        <v>168</v>
      </c>
      <c r="M1129" t="s">
        <v>169</v>
      </c>
      <c r="N1129" t="s">
        <v>959</v>
      </c>
      <c r="O1129" t="s">
        <v>82</v>
      </c>
      <c r="P1129" t="str">
        <f>"4170047710                    "</f>
        <v xml:space="preserve">4170047710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22.6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0.3</v>
      </c>
      <c r="BK1129">
        <v>1</v>
      </c>
      <c r="BL1129">
        <v>71.2</v>
      </c>
      <c r="BM1129">
        <v>10.68</v>
      </c>
      <c r="BN1129">
        <v>81.88</v>
      </c>
      <c r="BO1129">
        <v>81.88</v>
      </c>
      <c r="BQ1129" t="s">
        <v>960</v>
      </c>
      <c r="BR1129" t="s">
        <v>84</v>
      </c>
      <c r="BS1129" s="3">
        <v>45848</v>
      </c>
      <c r="BT1129" s="4">
        <v>0.39930555555555558</v>
      </c>
      <c r="BU1129" t="s">
        <v>961</v>
      </c>
      <c r="BV1129" t="s">
        <v>98</v>
      </c>
      <c r="BY1129">
        <v>1350</v>
      </c>
      <c r="BZ1129" t="s">
        <v>89</v>
      </c>
      <c r="CA1129" t="s">
        <v>345</v>
      </c>
      <c r="CC1129" t="s">
        <v>169</v>
      </c>
      <c r="CD1129">
        <v>6001</v>
      </c>
      <c r="CE1129" t="s">
        <v>239</v>
      </c>
      <c r="CF1129" s="3">
        <v>45848</v>
      </c>
      <c r="CI1129">
        <v>1</v>
      </c>
      <c r="CJ1129">
        <v>1</v>
      </c>
      <c r="CK1129">
        <v>21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"080066456000"</f>
        <v>080066456000</v>
      </c>
      <c r="F1130" s="3">
        <v>45847</v>
      </c>
      <c r="G1130">
        <v>202604</v>
      </c>
      <c r="H1130" t="s">
        <v>75</v>
      </c>
      <c r="I1130" t="s">
        <v>76</v>
      </c>
      <c r="J1130" t="s">
        <v>77</v>
      </c>
      <c r="K1130" t="s">
        <v>78</v>
      </c>
      <c r="L1130" t="s">
        <v>168</v>
      </c>
      <c r="M1130" t="s">
        <v>169</v>
      </c>
      <c r="N1130" t="s">
        <v>487</v>
      </c>
      <c r="O1130" t="s">
        <v>82</v>
      </c>
      <c r="P1130" t="str">
        <f>"4170047675                    "</f>
        <v xml:space="preserve">4170047675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22.6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</v>
      </c>
      <c r="BJ1130">
        <v>1.7</v>
      </c>
      <c r="BK1130">
        <v>2</v>
      </c>
      <c r="BL1130">
        <v>71.2</v>
      </c>
      <c r="BM1130">
        <v>10.68</v>
      </c>
      <c r="BN1130">
        <v>81.88</v>
      </c>
      <c r="BO1130">
        <v>81.88</v>
      </c>
      <c r="BQ1130" t="s">
        <v>488</v>
      </c>
      <c r="BR1130" t="s">
        <v>84</v>
      </c>
      <c r="BS1130" s="3">
        <v>45848</v>
      </c>
      <c r="BT1130" s="4">
        <v>0.43333333333333335</v>
      </c>
      <c r="BU1130" t="s">
        <v>1844</v>
      </c>
      <c r="BV1130" t="s">
        <v>98</v>
      </c>
      <c r="BY1130">
        <v>8512</v>
      </c>
      <c r="BZ1130" t="s">
        <v>89</v>
      </c>
      <c r="CA1130" t="s">
        <v>415</v>
      </c>
      <c r="CC1130" t="s">
        <v>169</v>
      </c>
      <c r="CD1130">
        <v>6012</v>
      </c>
      <c r="CE1130" t="s">
        <v>117</v>
      </c>
      <c r="CF1130" s="3">
        <v>45848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"080066456017"</f>
        <v>080066456017</v>
      </c>
      <c r="F1131" s="3">
        <v>45847</v>
      </c>
      <c r="G1131">
        <v>202604</v>
      </c>
      <c r="H1131" t="s">
        <v>75</v>
      </c>
      <c r="I1131" t="s">
        <v>76</v>
      </c>
      <c r="J1131" t="s">
        <v>77</v>
      </c>
      <c r="K1131" t="s">
        <v>78</v>
      </c>
      <c r="L1131" t="s">
        <v>168</v>
      </c>
      <c r="M1131" t="s">
        <v>169</v>
      </c>
      <c r="N1131" t="s">
        <v>1845</v>
      </c>
      <c r="O1131" t="s">
        <v>82</v>
      </c>
      <c r="P1131" t="str">
        <f>"4170047736                    "</f>
        <v xml:space="preserve">4170047736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22.6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0.3</v>
      </c>
      <c r="BK1131">
        <v>1</v>
      </c>
      <c r="BL1131">
        <v>71.2</v>
      </c>
      <c r="BM1131">
        <v>10.68</v>
      </c>
      <c r="BN1131">
        <v>81.88</v>
      </c>
      <c r="BO1131">
        <v>81.88</v>
      </c>
      <c r="BQ1131" t="s">
        <v>1846</v>
      </c>
      <c r="BR1131" t="s">
        <v>84</v>
      </c>
      <c r="BS1131" s="3">
        <v>45848</v>
      </c>
      <c r="BT1131" s="4">
        <v>0.40972222222222221</v>
      </c>
      <c r="BU1131" t="s">
        <v>1847</v>
      </c>
      <c r="BV1131" t="s">
        <v>98</v>
      </c>
      <c r="BY1131">
        <v>1350</v>
      </c>
      <c r="BZ1131" t="s">
        <v>89</v>
      </c>
      <c r="CA1131" t="s">
        <v>423</v>
      </c>
      <c r="CC1131" t="s">
        <v>169</v>
      </c>
      <c r="CD1131">
        <v>6001</v>
      </c>
      <c r="CE1131" t="s">
        <v>239</v>
      </c>
      <c r="CF1131" s="3">
        <v>45848</v>
      </c>
      <c r="CI1131">
        <v>1</v>
      </c>
      <c r="CJ1131">
        <v>1</v>
      </c>
      <c r="CK1131">
        <v>21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"080066456021"</f>
        <v>080066456021</v>
      </c>
      <c r="F1132" s="3">
        <v>45847</v>
      </c>
      <c r="G1132">
        <v>202604</v>
      </c>
      <c r="H1132" t="s">
        <v>75</v>
      </c>
      <c r="I1132" t="s">
        <v>76</v>
      </c>
      <c r="J1132" t="s">
        <v>77</v>
      </c>
      <c r="K1132" t="s">
        <v>78</v>
      </c>
      <c r="L1132" t="s">
        <v>79</v>
      </c>
      <c r="M1132" t="s">
        <v>80</v>
      </c>
      <c r="N1132" t="s">
        <v>81</v>
      </c>
      <c r="O1132" t="s">
        <v>82</v>
      </c>
      <c r="P1132" t="str">
        <f>"4170047721                    "</f>
        <v xml:space="preserve">4170047721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67.760000000000005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6</v>
      </c>
      <c r="BJ1132">
        <v>4.5</v>
      </c>
      <c r="BK1132">
        <v>6</v>
      </c>
      <c r="BL1132">
        <v>213.48</v>
      </c>
      <c r="BM1132">
        <v>32.020000000000003</v>
      </c>
      <c r="BN1132">
        <v>245.5</v>
      </c>
      <c r="BO1132">
        <v>245.5</v>
      </c>
      <c r="BQ1132" t="s">
        <v>83</v>
      </c>
      <c r="BR1132" t="s">
        <v>84</v>
      </c>
      <c r="BS1132" s="3">
        <v>45848</v>
      </c>
      <c r="BT1132" s="4">
        <v>0.65069444444444446</v>
      </c>
      <c r="BU1132" t="s">
        <v>1699</v>
      </c>
      <c r="BV1132" t="s">
        <v>86</v>
      </c>
      <c r="BW1132" t="s">
        <v>87</v>
      </c>
      <c r="BX1132" t="s">
        <v>88</v>
      </c>
      <c r="BY1132">
        <v>22528</v>
      </c>
      <c r="BZ1132" t="s">
        <v>89</v>
      </c>
      <c r="CA1132" t="s">
        <v>1700</v>
      </c>
      <c r="CC1132" t="s">
        <v>80</v>
      </c>
      <c r="CD1132">
        <v>7550</v>
      </c>
      <c r="CE1132" t="s">
        <v>91</v>
      </c>
      <c r="CF1132" s="3">
        <v>45849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"080066456075"</f>
        <v>080066456075</v>
      </c>
      <c r="F1133" s="3">
        <v>45847</v>
      </c>
      <c r="G1133">
        <v>202604</v>
      </c>
      <c r="H1133" t="s">
        <v>75</v>
      </c>
      <c r="I1133" t="s">
        <v>76</v>
      </c>
      <c r="J1133" t="s">
        <v>77</v>
      </c>
      <c r="K1133" t="s">
        <v>78</v>
      </c>
      <c r="L1133" t="s">
        <v>168</v>
      </c>
      <c r="M1133" t="s">
        <v>169</v>
      </c>
      <c r="N1133" t="s">
        <v>202</v>
      </c>
      <c r="O1133" t="s">
        <v>82</v>
      </c>
      <c r="P1133" t="str">
        <f>"4170047708                    "</f>
        <v xml:space="preserve">4170047708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22.6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0.3</v>
      </c>
      <c r="BK1133">
        <v>1</v>
      </c>
      <c r="BL1133">
        <v>71.2</v>
      </c>
      <c r="BM1133">
        <v>10.68</v>
      </c>
      <c r="BN1133">
        <v>81.88</v>
      </c>
      <c r="BO1133">
        <v>81.88</v>
      </c>
      <c r="BQ1133" t="s">
        <v>203</v>
      </c>
      <c r="BR1133" t="s">
        <v>84</v>
      </c>
      <c r="BS1133" s="3">
        <v>45848</v>
      </c>
      <c r="BT1133" s="4">
        <v>0.37708333333333333</v>
      </c>
      <c r="BU1133" t="s">
        <v>1713</v>
      </c>
      <c r="BV1133" t="s">
        <v>98</v>
      </c>
      <c r="BY1133">
        <v>1350</v>
      </c>
      <c r="BZ1133" t="s">
        <v>89</v>
      </c>
      <c r="CA1133" t="s">
        <v>205</v>
      </c>
      <c r="CC1133" t="s">
        <v>169</v>
      </c>
      <c r="CD1133">
        <v>6001</v>
      </c>
      <c r="CE1133" t="s">
        <v>239</v>
      </c>
      <c r="CF1133" s="3">
        <v>45848</v>
      </c>
      <c r="CI1133">
        <v>1</v>
      </c>
      <c r="CJ1133">
        <v>1</v>
      </c>
      <c r="CK1133">
        <v>21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"080066456148"</f>
        <v>080066456148</v>
      </c>
      <c r="F1134" s="3">
        <v>45847</v>
      </c>
      <c r="G1134">
        <v>202604</v>
      </c>
      <c r="H1134" t="s">
        <v>75</v>
      </c>
      <c r="I1134" t="s">
        <v>76</v>
      </c>
      <c r="J1134" t="s">
        <v>77</v>
      </c>
      <c r="K1134" t="s">
        <v>78</v>
      </c>
      <c r="L1134" t="s">
        <v>168</v>
      </c>
      <c r="M1134" t="s">
        <v>169</v>
      </c>
      <c r="N1134" t="s">
        <v>1848</v>
      </c>
      <c r="O1134" t="s">
        <v>82</v>
      </c>
      <c r="P1134" t="str">
        <f>"4170047823                    "</f>
        <v xml:space="preserve">4170047823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22.6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0.3</v>
      </c>
      <c r="BK1134">
        <v>1</v>
      </c>
      <c r="BL1134">
        <v>71.2</v>
      </c>
      <c r="BM1134">
        <v>10.68</v>
      </c>
      <c r="BN1134">
        <v>81.88</v>
      </c>
      <c r="BO1134">
        <v>81.88</v>
      </c>
      <c r="BQ1134" t="s">
        <v>1849</v>
      </c>
      <c r="BR1134" t="s">
        <v>84</v>
      </c>
      <c r="BS1134" s="3">
        <v>45848</v>
      </c>
      <c r="BT1134" s="4">
        <v>0.3923611111111111</v>
      </c>
      <c r="BU1134" t="s">
        <v>1850</v>
      </c>
      <c r="BV1134" t="s">
        <v>98</v>
      </c>
      <c r="BY1134">
        <v>1350</v>
      </c>
      <c r="BZ1134" t="s">
        <v>89</v>
      </c>
      <c r="CA1134" t="s">
        <v>173</v>
      </c>
      <c r="CC1134" t="s">
        <v>169</v>
      </c>
      <c r="CD1134">
        <v>6001</v>
      </c>
      <c r="CE1134" t="s">
        <v>1851</v>
      </c>
      <c r="CF1134" s="3">
        <v>45848</v>
      </c>
      <c r="CI1134">
        <v>1</v>
      </c>
      <c r="CJ1134">
        <v>1</v>
      </c>
      <c r="CK1134">
        <v>21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"080066456166"</f>
        <v>080066456166</v>
      </c>
      <c r="F1135" s="3">
        <v>45847</v>
      </c>
      <c r="G1135">
        <v>202604</v>
      </c>
      <c r="H1135" t="s">
        <v>75</v>
      </c>
      <c r="I1135" t="s">
        <v>76</v>
      </c>
      <c r="J1135" t="s">
        <v>77</v>
      </c>
      <c r="K1135" t="s">
        <v>78</v>
      </c>
      <c r="L1135" t="s">
        <v>554</v>
      </c>
      <c r="M1135" t="s">
        <v>555</v>
      </c>
      <c r="N1135" t="s">
        <v>556</v>
      </c>
      <c r="O1135" t="s">
        <v>82</v>
      </c>
      <c r="P1135" t="str">
        <f>"4170047758                    "</f>
        <v xml:space="preserve">4170047758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39.53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3.4</v>
      </c>
      <c r="BK1135">
        <v>3.5</v>
      </c>
      <c r="BL1135">
        <v>124.55</v>
      </c>
      <c r="BM1135">
        <v>18.68</v>
      </c>
      <c r="BN1135">
        <v>143.22999999999999</v>
      </c>
      <c r="BO1135">
        <v>143.22999999999999</v>
      </c>
      <c r="BQ1135" t="s">
        <v>557</v>
      </c>
      <c r="BR1135" t="s">
        <v>84</v>
      </c>
      <c r="BS1135" s="3">
        <v>45848</v>
      </c>
      <c r="BT1135" s="4">
        <v>0.35416666666666669</v>
      </c>
      <c r="BU1135" t="s">
        <v>1810</v>
      </c>
      <c r="BV1135" t="s">
        <v>98</v>
      </c>
      <c r="BY1135">
        <v>16965</v>
      </c>
      <c r="BZ1135" t="s">
        <v>89</v>
      </c>
      <c r="CA1135" t="s">
        <v>559</v>
      </c>
      <c r="CC1135" t="s">
        <v>555</v>
      </c>
      <c r="CD1135" s="5" t="s">
        <v>560</v>
      </c>
      <c r="CE1135" t="s">
        <v>117</v>
      </c>
      <c r="CF1135" s="3">
        <v>45848</v>
      </c>
      <c r="CI1135">
        <v>1</v>
      </c>
      <c r="CJ1135">
        <v>1</v>
      </c>
      <c r="CK1135">
        <v>21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"080066456208"</f>
        <v>080066456208</v>
      </c>
      <c r="F1136" s="3">
        <v>45847</v>
      </c>
      <c r="G1136">
        <v>202604</v>
      </c>
      <c r="H1136" t="s">
        <v>75</v>
      </c>
      <c r="I1136" t="s">
        <v>76</v>
      </c>
      <c r="J1136" t="s">
        <v>77</v>
      </c>
      <c r="K1136" t="s">
        <v>78</v>
      </c>
      <c r="L1136" t="s">
        <v>168</v>
      </c>
      <c r="M1136" t="s">
        <v>169</v>
      </c>
      <c r="N1136" t="s">
        <v>206</v>
      </c>
      <c r="O1136" t="s">
        <v>82</v>
      </c>
      <c r="P1136" t="str">
        <f>"4170047659                    "</f>
        <v xml:space="preserve">4170047659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22.6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0.3</v>
      </c>
      <c r="BK1136">
        <v>1</v>
      </c>
      <c r="BL1136">
        <v>71.2</v>
      </c>
      <c r="BM1136">
        <v>10.68</v>
      </c>
      <c r="BN1136">
        <v>81.88</v>
      </c>
      <c r="BO1136">
        <v>81.88</v>
      </c>
      <c r="BQ1136" t="s">
        <v>207</v>
      </c>
      <c r="BR1136" t="s">
        <v>84</v>
      </c>
      <c r="BS1136" s="3">
        <v>45848</v>
      </c>
      <c r="BT1136" s="4">
        <v>0.40555555555555556</v>
      </c>
      <c r="BU1136" t="s">
        <v>1483</v>
      </c>
      <c r="BV1136" t="s">
        <v>98</v>
      </c>
      <c r="BY1136">
        <v>1350</v>
      </c>
      <c r="BZ1136" t="s">
        <v>89</v>
      </c>
      <c r="CA1136" t="s">
        <v>196</v>
      </c>
      <c r="CC1136" t="s">
        <v>169</v>
      </c>
      <c r="CD1136">
        <v>6001</v>
      </c>
      <c r="CE1136" t="s">
        <v>239</v>
      </c>
      <c r="CF1136" s="3">
        <v>45848</v>
      </c>
      <c r="CI1136">
        <v>1</v>
      </c>
      <c r="CJ1136">
        <v>1</v>
      </c>
      <c r="CK1136">
        <v>21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"080066456224"</f>
        <v>080066456224</v>
      </c>
      <c r="F1137" s="3">
        <v>45847</v>
      </c>
      <c r="G1137">
        <v>202604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701</v>
      </c>
      <c r="O1137" t="s">
        <v>82</v>
      </c>
      <c r="P1137" t="str">
        <f>"4170047711                    "</f>
        <v xml:space="preserve">4170047711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17.649999999999999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3.8</v>
      </c>
      <c r="BK1137">
        <v>4</v>
      </c>
      <c r="BL1137">
        <v>55.61</v>
      </c>
      <c r="BM1137">
        <v>8.34</v>
      </c>
      <c r="BN1137">
        <v>63.95</v>
      </c>
      <c r="BO1137">
        <v>63.95</v>
      </c>
      <c r="BQ1137" t="s">
        <v>702</v>
      </c>
      <c r="BR1137" t="s">
        <v>84</v>
      </c>
      <c r="BS1137" s="3">
        <v>45848</v>
      </c>
      <c r="BT1137" s="4">
        <v>0.39166666666666666</v>
      </c>
      <c r="BU1137" t="s">
        <v>703</v>
      </c>
      <c r="BV1137" t="s">
        <v>98</v>
      </c>
      <c r="BY1137">
        <v>19040</v>
      </c>
      <c r="BZ1137" t="s">
        <v>89</v>
      </c>
      <c r="CA1137" t="s">
        <v>617</v>
      </c>
      <c r="CC1137" t="s">
        <v>76</v>
      </c>
      <c r="CD1137">
        <v>1645</v>
      </c>
      <c r="CE1137" t="s">
        <v>91</v>
      </c>
      <c r="CF1137" s="3">
        <v>45849</v>
      </c>
      <c r="CI1137">
        <v>1</v>
      </c>
      <c r="CJ1137">
        <v>1</v>
      </c>
      <c r="CK1137">
        <v>22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"080066456242"</f>
        <v>080066456242</v>
      </c>
      <c r="F1138" s="3">
        <v>45847</v>
      </c>
      <c r="G1138">
        <v>202604</v>
      </c>
      <c r="H1138" t="s">
        <v>75</v>
      </c>
      <c r="I1138" t="s">
        <v>76</v>
      </c>
      <c r="J1138" t="s">
        <v>77</v>
      </c>
      <c r="K1138" t="s">
        <v>78</v>
      </c>
      <c r="L1138" t="s">
        <v>168</v>
      </c>
      <c r="M1138" t="s">
        <v>169</v>
      </c>
      <c r="N1138" t="s">
        <v>206</v>
      </c>
      <c r="O1138" t="s">
        <v>82</v>
      </c>
      <c r="P1138" t="str">
        <f>"4170047701                    "</f>
        <v xml:space="preserve">4170047701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22.6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0.3</v>
      </c>
      <c r="BK1138">
        <v>1</v>
      </c>
      <c r="BL1138">
        <v>71.2</v>
      </c>
      <c r="BM1138">
        <v>10.68</v>
      </c>
      <c r="BN1138">
        <v>81.88</v>
      </c>
      <c r="BO1138">
        <v>81.88</v>
      </c>
      <c r="BQ1138" t="s">
        <v>207</v>
      </c>
      <c r="BR1138" t="s">
        <v>84</v>
      </c>
      <c r="BS1138" s="3">
        <v>45848</v>
      </c>
      <c r="BT1138" s="4">
        <v>0.40555555555555556</v>
      </c>
      <c r="BU1138" t="s">
        <v>1483</v>
      </c>
      <c r="BV1138" t="s">
        <v>98</v>
      </c>
      <c r="BY1138">
        <v>1350</v>
      </c>
      <c r="BZ1138" t="s">
        <v>89</v>
      </c>
      <c r="CA1138" t="s">
        <v>196</v>
      </c>
      <c r="CC1138" t="s">
        <v>169</v>
      </c>
      <c r="CD1138">
        <v>6001</v>
      </c>
      <c r="CE1138" t="s">
        <v>239</v>
      </c>
      <c r="CF1138" s="3">
        <v>45848</v>
      </c>
      <c r="CI1138">
        <v>1</v>
      </c>
      <c r="CJ1138">
        <v>1</v>
      </c>
      <c r="CK1138">
        <v>21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"080066456256"</f>
        <v>080066456256</v>
      </c>
      <c r="F1139" s="3">
        <v>45847</v>
      </c>
      <c r="G1139">
        <v>202604</v>
      </c>
      <c r="H1139" t="s">
        <v>75</v>
      </c>
      <c r="I1139" t="s">
        <v>76</v>
      </c>
      <c r="J1139" t="s">
        <v>77</v>
      </c>
      <c r="K1139" t="s">
        <v>78</v>
      </c>
      <c r="L1139" t="s">
        <v>92</v>
      </c>
      <c r="M1139" t="s">
        <v>93</v>
      </c>
      <c r="N1139" t="s">
        <v>1852</v>
      </c>
      <c r="O1139" t="s">
        <v>82</v>
      </c>
      <c r="P1139" t="str">
        <f>"4170047674                    "</f>
        <v xml:space="preserve">4170047674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22.6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1.7</v>
      </c>
      <c r="BK1139">
        <v>2</v>
      </c>
      <c r="BL1139">
        <v>71.2</v>
      </c>
      <c r="BM1139">
        <v>10.68</v>
      </c>
      <c r="BN1139">
        <v>81.88</v>
      </c>
      <c r="BO1139">
        <v>81.88</v>
      </c>
      <c r="BQ1139" t="s">
        <v>1853</v>
      </c>
      <c r="BR1139" t="s">
        <v>84</v>
      </c>
      <c r="BS1139" s="3">
        <v>45848</v>
      </c>
      <c r="BT1139" s="4">
        <v>0.48819444444444443</v>
      </c>
      <c r="BU1139" t="s">
        <v>1854</v>
      </c>
      <c r="BV1139" t="s">
        <v>86</v>
      </c>
      <c r="BY1139">
        <v>8512</v>
      </c>
      <c r="BZ1139" t="s">
        <v>89</v>
      </c>
      <c r="CA1139" t="s">
        <v>1175</v>
      </c>
      <c r="CC1139" t="s">
        <v>93</v>
      </c>
      <c r="CD1139">
        <v>4000</v>
      </c>
      <c r="CE1139" t="s">
        <v>117</v>
      </c>
      <c r="CF1139" s="3">
        <v>45848</v>
      </c>
      <c r="CI1139">
        <v>1</v>
      </c>
      <c r="CJ1139">
        <v>1</v>
      </c>
      <c r="CK1139">
        <v>21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"080066456269"</f>
        <v>080066456269</v>
      </c>
      <c r="F1140" s="3">
        <v>45847</v>
      </c>
      <c r="G1140">
        <v>202604</v>
      </c>
      <c r="H1140" t="s">
        <v>75</v>
      </c>
      <c r="I1140" t="s">
        <v>76</v>
      </c>
      <c r="J1140" t="s">
        <v>77</v>
      </c>
      <c r="K1140" t="s">
        <v>78</v>
      </c>
      <c r="L1140" t="s">
        <v>92</v>
      </c>
      <c r="M1140" t="s">
        <v>93</v>
      </c>
      <c r="N1140" t="s">
        <v>291</v>
      </c>
      <c r="O1140" t="s">
        <v>82</v>
      </c>
      <c r="P1140" t="str">
        <f>"4170047818                    "</f>
        <v xml:space="preserve">4170047818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22.6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0.3</v>
      </c>
      <c r="BK1140">
        <v>1</v>
      </c>
      <c r="BL1140">
        <v>71.2</v>
      </c>
      <c r="BM1140">
        <v>10.68</v>
      </c>
      <c r="BN1140">
        <v>81.88</v>
      </c>
      <c r="BO1140">
        <v>81.88</v>
      </c>
      <c r="BQ1140" t="s">
        <v>292</v>
      </c>
      <c r="BR1140" t="s">
        <v>84</v>
      </c>
      <c r="BS1140" s="3">
        <v>45848</v>
      </c>
      <c r="BT1140" s="4">
        <v>0.32361111111111113</v>
      </c>
      <c r="BU1140" t="s">
        <v>971</v>
      </c>
      <c r="BV1140" t="s">
        <v>98</v>
      </c>
      <c r="BY1140">
        <v>1350</v>
      </c>
      <c r="BZ1140" t="s">
        <v>89</v>
      </c>
      <c r="CA1140" t="s">
        <v>294</v>
      </c>
      <c r="CC1140" t="s">
        <v>93</v>
      </c>
      <c r="CD1140">
        <v>4051</v>
      </c>
      <c r="CE1140" t="s">
        <v>239</v>
      </c>
      <c r="CF1140" s="3">
        <v>45848</v>
      </c>
      <c r="CI1140">
        <v>1</v>
      </c>
      <c r="CJ1140">
        <v>1</v>
      </c>
      <c r="CK1140">
        <v>21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"080066456286"</f>
        <v>080066456286</v>
      </c>
      <c r="F1141" s="3">
        <v>45847</v>
      </c>
      <c r="G1141">
        <v>202604</v>
      </c>
      <c r="H1141" t="s">
        <v>75</v>
      </c>
      <c r="I1141" t="s">
        <v>76</v>
      </c>
      <c r="J1141" t="s">
        <v>77</v>
      </c>
      <c r="K1141" t="s">
        <v>78</v>
      </c>
      <c r="L1141" t="s">
        <v>75</v>
      </c>
      <c r="M1141" t="s">
        <v>76</v>
      </c>
      <c r="N1141" t="s">
        <v>1855</v>
      </c>
      <c r="O1141" t="s">
        <v>82</v>
      </c>
      <c r="P1141" t="str">
        <f>"4170047719                    "</f>
        <v xml:space="preserve">4170047719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17.649999999999999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2</v>
      </c>
      <c r="BJ1141">
        <v>3.8</v>
      </c>
      <c r="BK1141">
        <v>4</v>
      </c>
      <c r="BL1141">
        <v>55.61</v>
      </c>
      <c r="BM1141">
        <v>8.34</v>
      </c>
      <c r="BN1141">
        <v>63.95</v>
      </c>
      <c r="BO1141">
        <v>63.95</v>
      </c>
      <c r="BQ1141" t="s">
        <v>1856</v>
      </c>
      <c r="BR1141" t="s">
        <v>84</v>
      </c>
      <c r="BS1141" s="3">
        <v>45848</v>
      </c>
      <c r="BT1141" s="4">
        <v>0.37569444444444444</v>
      </c>
      <c r="BU1141" t="s">
        <v>1857</v>
      </c>
      <c r="BV1141" t="s">
        <v>98</v>
      </c>
      <c r="BY1141">
        <v>19040</v>
      </c>
      <c r="BZ1141" t="s">
        <v>89</v>
      </c>
      <c r="CA1141" t="s">
        <v>304</v>
      </c>
      <c r="CC1141" t="s">
        <v>76</v>
      </c>
      <c r="CD1141">
        <v>1600</v>
      </c>
      <c r="CE1141" t="s">
        <v>91</v>
      </c>
      <c r="CF1141" s="3">
        <v>45848</v>
      </c>
      <c r="CI1141">
        <v>1</v>
      </c>
      <c r="CJ1141">
        <v>1</v>
      </c>
      <c r="CK1141">
        <v>22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"080066456288"</f>
        <v>080066456288</v>
      </c>
      <c r="F1142" s="3">
        <v>45847</v>
      </c>
      <c r="G1142">
        <v>202604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141</v>
      </c>
      <c r="O1142" t="s">
        <v>82</v>
      </c>
      <c r="P1142" t="str">
        <f>"4170047740                    "</f>
        <v xml:space="preserve">4170047740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33.89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3</v>
      </c>
      <c r="BK1142">
        <v>3</v>
      </c>
      <c r="BL1142">
        <v>106.77</v>
      </c>
      <c r="BM1142">
        <v>16.02</v>
      </c>
      <c r="BN1142">
        <v>122.79</v>
      </c>
      <c r="BO1142">
        <v>122.79</v>
      </c>
      <c r="BQ1142" t="s">
        <v>142</v>
      </c>
      <c r="BR1142" t="s">
        <v>84</v>
      </c>
      <c r="BS1142" s="3">
        <v>45848</v>
      </c>
      <c r="BT1142" s="4">
        <v>0.39930555555555558</v>
      </c>
      <c r="BU1142" t="s">
        <v>143</v>
      </c>
      <c r="BV1142" t="s">
        <v>98</v>
      </c>
      <c r="BY1142">
        <v>14850</v>
      </c>
      <c r="BZ1142" t="s">
        <v>89</v>
      </c>
      <c r="CA1142" t="s">
        <v>144</v>
      </c>
      <c r="CC1142" t="s">
        <v>80</v>
      </c>
      <c r="CD1142">
        <v>7441</v>
      </c>
      <c r="CE1142" t="s">
        <v>239</v>
      </c>
      <c r="CF1142" s="3">
        <v>45849</v>
      </c>
      <c r="CI1142">
        <v>1</v>
      </c>
      <c r="CJ1142">
        <v>1</v>
      </c>
      <c r="CK1142">
        <v>21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"080066456300"</f>
        <v>080066456300</v>
      </c>
      <c r="F1143" s="3">
        <v>45847</v>
      </c>
      <c r="G1143">
        <v>202604</v>
      </c>
      <c r="H1143" t="s">
        <v>75</v>
      </c>
      <c r="I1143" t="s">
        <v>76</v>
      </c>
      <c r="J1143" t="s">
        <v>77</v>
      </c>
      <c r="K1143" t="s">
        <v>78</v>
      </c>
      <c r="L1143" t="s">
        <v>168</v>
      </c>
      <c r="M1143" t="s">
        <v>169</v>
      </c>
      <c r="N1143" t="s">
        <v>191</v>
      </c>
      <c r="O1143" t="s">
        <v>82</v>
      </c>
      <c r="P1143" t="str">
        <f>"4170047715                    "</f>
        <v xml:space="preserve">4170047715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22.6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71.2</v>
      </c>
      <c r="BM1143">
        <v>10.68</v>
      </c>
      <c r="BN1143">
        <v>81.88</v>
      </c>
      <c r="BO1143">
        <v>81.88</v>
      </c>
      <c r="BQ1143" t="s">
        <v>192</v>
      </c>
      <c r="BR1143" t="s">
        <v>84</v>
      </c>
      <c r="BS1143" s="3">
        <v>45848</v>
      </c>
      <c r="BT1143" s="4">
        <v>0.42777777777777776</v>
      </c>
      <c r="BU1143" t="s">
        <v>193</v>
      </c>
      <c r="BV1143" t="s">
        <v>98</v>
      </c>
      <c r="BY1143">
        <v>1200</v>
      </c>
      <c r="BZ1143" t="s">
        <v>89</v>
      </c>
      <c r="CA1143" t="s">
        <v>196</v>
      </c>
      <c r="CC1143" t="s">
        <v>169</v>
      </c>
      <c r="CD1143">
        <v>6056</v>
      </c>
      <c r="CE1143" t="s">
        <v>239</v>
      </c>
      <c r="CF1143" s="3">
        <v>45848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"080066456320"</f>
        <v>080066456320</v>
      </c>
      <c r="F1144" s="3">
        <v>45847</v>
      </c>
      <c r="G1144">
        <v>202604</v>
      </c>
      <c r="H1144" t="s">
        <v>75</v>
      </c>
      <c r="I1144" t="s">
        <v>76</v>
      </c>
      <c r="J1144" t="s">
        <v>77</v>
      </c>
      <c r="K1144" t="s">
        <v>78</v>
      </c>
      <c r="L1144" t="s">
        <v>151</v>
      </c>
      <c r="M1144" t="s">
        <v>152</v>
      </c>
      <c r="N1144" t="s">
        <v>1858</v>
      </c>
      <c r="O1144" t="s">
        <v>82</v>
      </c>
      <c r="P1144" t="str">
        <f>"4170047822                    "</f>
        <v xml:space="preserve">4170047822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22.6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71.2</v>
      </c>
      <c r="BM1144">
        <v>10.68</v>
      </c>
      <c r="BN1144">
        <v>81.88</v>
      </c>
      <c r="BO1144">
        <v>81.88</v>
      </c>
      <c r="BQ1144" t="s">
        <v>1859</v>
      </c>
      <c r="BR1144" t="s">
        <v>84</v>
      </c>
      <c r="BS1144" s="3">
        <v>45848</v>
      </c>
      <c r="BT1144" s="4">
        <v>0.35138888888888886</v>
      </c>
      <c r="BU1144" t="s">
        <v>1860</v>
      </c>
      <c r="BV1144" t="s">
        <v>98</v>
      </c>
      <c r="BY1144">
        <v>1200</v>
      </c>
      <c r="BZ1144" t="s">
        <v>89</v>
      </c>
      <c r="CA1144" t="s">
        <v>906</v>
      </c>
      <c r="CC1144" t="s">
        <v>152</v>
      </c>
      <c r="CD1144" s="5" t="s">
        <v>1013</v>
      </c>
      <c r="CE1144" t="s">
        <v>214</v>
      </c>
      <c r="CF1144" s="3">
        <v>45848</v>
      </c>
      <c r="CI1144">
        <v>1</v>
      </c>
      <c r="CJ1144">
        <v>1</v>
      </c>
      <c r="CK1144">
        <v>21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"080066456336"</f>
        <v>080066456336</v>
      </c>
      <c r="F1145" s="3">
        <v>45847</v>
      </c>
      <c r="G1145">
        <v>202604</v>
      </c>
      <c r="H1145" t="s">
        <v>75</v>
      </c>
      <c r="I1145" t="s">
        <v>76</v>
      </c>
      <c r="J1145" t="s">
        <v>77</v>
      </c>
      <c r="K1145" t="s">
        <v>78</v>
      </c>
      <c r="L1145" t="s">
        <v>168</v>
      </c>
      <c r="M1145" t="s">
        <v>169</v>
      </c>
      <c r="N1145" t="s">
        <v>206</v>
      </c>
      <c r="O1145" t="s">
        <v>82</v>
      </c>
      <c r="P1145" t="str">
        <f>"4170047660                    "</f>
        <v xml:space="preserve">4170047660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22.6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0.3</v>
      </c>
      <c r="BK1145">
        <v>1</v>
      </c>
      <c r="BL1145">
        <v>71.2</v>
      </c>
      <c r="BM1145">
        <v>10.68</v>
      </c>
      <c r="BN1145">
        <v>81.88</v>
      </c>
      <c r="BO1145">
        <v>81.88</v>
      </c>
      <c r="BQ1145" t="s">
        <v>207</v>
      </c>
      <c r="BR1145" t="s">
        <v>84</v>
      </c>
      <c r="BS1145" s="3">
        <v>45848</v>
      </c>
      <c r="BT1145" s="4">
        <v>0.40555555555555556</v>
      </c>
      <c r="BU1145" t="s">
        <v>1483</v>
      </c>
      <c r="BV1145" t="s">
        <v>98</v>
      </c>
      <c r="BY1145">
        <v>1350</v>
      </c>
      <c r="BZ1145" t="s">
        <v>89</v>
      </c>
      <c r="CA1145" t="s">
        <v>196</v>
      </c>
      <c r="CC1145" t="s">
        <v>169</v>
      </c>
      <c r="CD1145">
        <v>6001</v>
      </c>
      <c r="CE1145" t="s">
        <v>239</v>
      </c>
      <c r="CF1145" s="3">
        <v>45848</v>
      </c>
      <c r="CI1145">
        <v>1</v>
      </c>
      <c r="CJ1145">
        <v>1</v>
      </c>
      <c r="CK1145">
        <v>21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"080066456337"</f>
        <v>080066456337</v>
      </c>
      <c r="F1146" s="3">
        <v>45847</v>
      </c>
      <c r="G1146">
        <v>202604</v>
      </c>
      <c r="H1146" t="s">
        <v>75</v>
      </c>
      <c r="I1146" t="s">
        <v>76</v>
      </c>
      <c r="J1146" t="s">
        <v>77</v>
      </c>
      <c r="K1146" t="s">
        <v>78</v>
      </c>
      <c r="L1146" t="s">
        <v>79</v>
      </c>
      <c r="M1146" t="s">
        <v>80</v>
      </c>
      <c r="N1146" t="s">
        <v>141</v>
      </c>
      <c r="O1146" t="s">
        <v>82</v>
      </c>
      <c r="P1146" t="str">
        <f>"4170047749                    "</f>
        <v xml:space="preserve">4170047749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22.6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71.2</v>
      </c>
      <c r="BM1146">
        <v>10.68</v>
      </c>
      <c r="BN1146">
        <v>81.88</v>
      </c>
      <c r="BO1146">
        <v>81.88</v>
      </c>
      <c r="BQ1146" t="s">
        <v>142</v>
      </c>
      <c r="BR1146" t="s">
        <v>84</v>
      </c>
      <c r="BS1146" s="3">
        <v>45848</v>
      </c>
      <c r="BT1146" s="4">
        <v>0.39930555555555558</v>
      </c>
      <c r="BU1146" t="s">
        <v>143</v>
      </c>
      <c r="BV1146" t="s">
        <v>98</v>
      </c>
      <c r="BY1146">
        <v>1200</v>
      </c>
      <c r="BZ1146" t="s">
        <v>89</v>
      </c>
      <c r="CA1146" t="s">
        <v>144</v>
      </c>
      <c r="CC1146" t="s">
        <v>80</v>
      </c>
      <c r="CD1146">
        <v>7441</v>
      </c>
      <c r="CE1146" t="s">
        <v>214</v>
      </c>
      <c r="CF1146" s="3">
        <v>45849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"080066456355"</f>
        <v>080066456355</v>
      </c>
      <c r="F1147" s="3">
        <v>45847</v>
      </c>
      <c r="G1147">
        <v>202604</v>
      </c>
      <c r="H1147" t="s">
        <v>75</v>
      </c>
      <c r="I1147" t="s">
        <v>76</v>
      </c>
      <c r="J1147" t="s">
        <v>77</v>
      </c>
      <c r="K1147" t="s">
        <v>78</v>
      </c>
      <c r="L1147" t="s">
        <v>1861</v>
      </c>
      <c r="M1147" t="s">
        <v>1862</v>
      </c>
      <c r="N1147" t="s">
        <v>1863</v>
      </c>
      <c r="O1147" t="s">
        <v>82</v>
      </c>
      <c r="P1147" t="str">
        <f>"4170047696                    "</f>
        <v xml:space="preserve">4170047696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43.78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137.94</v>
      </c>
      <c r="BM1147">
        <v>20.69</v>
      </c>
      <c r="BN1147">
        <v>158.63</v>
      </c>
      <c r="BO1147">
        <v>158.63</v>
      </c>
      <c r="BQ1147" t="s">
        <v>1864</v>
      </c>
      <c r="BR1147" t="s">
        <v>84</v>
      </c>
      <c r="BS1147" s="3">
        <v>45848</v>
      </c>
      <c r="BT1147" s="4">
        <v>0.53472222222222221</v>
      </c>
      <c r="BU1147" t="s">
        <v>1865</v>
      </c>
      <c r="BV1147" t="s">
        <v>98</v>
      </c>
      <c r="BY1147">
        <v>1200</v>
      </c>
      <c r="BZ1147" t="s">
        <v>89</v>
      </c>
      <c r="CA1147" t="s">
        <v>1866</v>
      </c>
      <c r="CC1147" t="s">
        <v>1862</v>
      </c>
      <c r="CD1147">
        <v>6500</v>
      </c>
      <c r="CE1147" t="s">
        <v>239</v>
      </c>
      <c r="CF1147" s="3">
        <v>45848</v>
      </c>
      <c r="CI1147">
        <v>1</v>
      </c>
      <c r="CJ1147">
        <v>1</v>
      </c>
      <c r="CK1147">
        <v>23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"080066456357"</f>
        <v>080066456357</v>
      </c>
      <c r="F1148" s="3">
        <v>45847</v>
      </c>
      <c r="G1148">
        <v>202604</v>
      </c>
      <c r="H1148" t="s">
        <v>75</v>
      </c>
      <c r="I1148" t="s">
        <v>76</v>
      </c>
      <c r="J1148" t="s">
        <v>77</v>
      </c>
      <c r="K1148" t="s">
        <v>78</v>
      </c>
      <c r="L1148" t="s">
        <v>151</v>
      </c>
      <c r="M1148" t="s">
        <v>152</v>
      </c>
      <c r="N1148" t="s">
        <v>1349</v>
      </c>
      <c r="O1148" t="s">
        <v>82</v>
      </c>
      <c r="P1148" t="str">
        <f>"4170047728                    "</f>
        <v xml:space="preserve">4170047728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22.6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0.3</v>
      </c>
      <c r="BK1148">
        <v>1</v>
      </c>
      <c r="BL1148">
        <v>71.2</v>
      </c>
      <c r="BM1148">
        <v>10.68</v>
      </c>
      <c r="BN1148">
        <v>81.88</v>
      </c>
      <c r="BO1148">
        <v>81.88</v>
      </c>
      <c r="BQ1148" t="s">
        <v>1350</v>
      </c>
      <c r="BR1148" t="s">
        <v>84</v>
      </c>
      <c r="BS1148" s="3">
        <v>45848</v>
      </c>
      <c r="BT1148" s="4">
        <v>0.30902777777777779</v>
      </c>
      <c r="BU1148" t="s">
        <v>1867</v>
      </c>
      <c r="BV1148" t="s">
        <v>98</v>
      </c>
      <c r="BY1148">
        <v>1350</v>
      </c>
      <c r="BZ1148" t="s">
        <v>89</v>
      </c>
      <c r="CA1148" t="s">
        <v>1352</v>
      </c>
      <c r="CC1148" t="s">
        <v>152</v>
      </c>
      <c r="CD1148" s="5" t="s">
        <v>157</v>
      </c>
      <c r="CE1148" t="s">
        <v>239</v>
      </c>
      <c r="CF1148" s="3">
        <v>45848</v>
      </c>
      <c r="CI1148">
        <v>1</v>
      </c>
      <c r="CJ1148">
        <v>1</v>
      </c>
      <c r="CK1148">
        <v>21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"080066456366"</f>
        <v>080066456366</v>
      </c>
      <c r="F1149" s="3">
        <v>45847</v>
      </c>
      <c r="G1149">
        <v>202604</v>
      </c>
      <c r="H1149" t="s">
        <v>75</v>
      </c>
      <c r="I1149" t="s">
        <v>76</v>
      </c>
      <c r="J1149" t="s">
        <v>77</v>
      </c>
      <c r="K1149" t="s">
        <v>78</v>
      </c>
      <c r="L1149" t="s">
        <v>79</v>
      </c>
      <c r="M1149" t="s">
        <v>80</v>
      </c>
      <c r="N1149" t="s">
        <v>576</v>
      </c>
      <c r="O1149" t="s">
        <v>82</v>
      </c>
      <c r="P1149" t="str">
        <f>"4170047761                    "</f>
        <v xml:space="preserve">4170047761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22.6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71.2</v>
      </c>
      <c r="BM1149">
        <v>10.68</v>
      </c>
      <c r="BN1149">
        <v>81.88</v>
      </c>
      <c r="BO1149">
        <v>81.88</v>
      </c>
      <c r="BQ1149" t="s">
        <v>577</v>
      </c>
      <c r="BR1149" t="s">
        <v>84</v>
      </c>
      <c r="BS1149" s="3">
        <v>45848</v>
      </c>
      <c r="BT1149" s="4">
        <v>0.40694444444444444</v>
      </c>
      <c r="BU1149" t="s">
        <v>1092</v>
      </c>
      <c r="BV1149" t="s">
        <v>98</v>
      </c>
      <c r="BY1149">
        <v>1200</v>
      </c>
      <c r="BZ1149" t="s">
        <v>89</v>
      </c>
      <c r="CA1149" t="s">
        <v>579</v>
      </c>
      <c r="CC1149" t="s">
        <v>80</v>
      </c>
      <c r="CD1149">
        <v>7480</v>
      </c>
      <c r="CE1149" t="s">
        <v>214</v>
      </c>
      <c r="CF1149" s="3">
        <v>45849</v>
      </c>
      <c r="CI1149">
        <v>1</v>
      </c>
      <c r="CJ1149">
        <v>1</v>
      </c>
      <c r="CK1149">
        <v>21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"080066456383"</f>
        <v>080066456383</v>
      </c>
      <c r="F1150" s="3">
        <v>45847</v>
      </c>
      <c r="G1150">
        <v>202604</v>
      </c>
      <c r="H1150" t="s">
        <v>75</v>
      </c>
      <c r="I1150" t="s">
        <v>76</v>
      </c>
      <c r="J1150" t="s">
        <v>77</v>
      </c>
      <c r="K1150" t="s">
        <v>78</v>
      </c>
      <c r="L1150" t="s">
        <v>168</v>
      </c>
      <c r="M1150" t="s">
        <v>169</v>
      </c>
      <c r="N1150" t="s">
        <v>191</v>
      </c>
      <c r="O1150" t="s">
        <v>82</v>
      </c>
      <c r="P1150" t="str">
        <f>"4170047713                    "</f>
        <v xml:space="preserve">4170047713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22.6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71.2</v>
      </c>
      <c r="BM1150">
        <v>10.68</v>
      </c>
      <c r="BN1150">
        <v>81.88</v>
      </c>
      <c r="BO1150">
        <v>81.88</v>
      </c>
      <c r="BQ1150" t="s">
        <v>192</v>
      </c>
      <c r="BR1150" t="s">
        <v>84</v>
      </c>
      <c r="BS1150" s="3">
        <v>45848</v>
      </c>
      <c r="BT1150" s="4">
        <v>0.42777777777777776</v>
      </c>
      <c r="BU1150" t="s">
        <v>193</v>
      </c>
      <c r="BV1150" t="s">
        <v>98</v>
      </c>
      <c r="BY1150">
        <v>1200</v>
      </c>
      <c r="BZ1150" t="s">
        <v>89</v>
      </c>
      <c r="CA1150" t="s">
        <v>196</v>
      </c>
      <c r="CC1150" t="s">
        <v>169</v>
      </c>
      <c r="CD1150">
        <v>6056</v>
      </c>
      <c r="CE1150" t="s">
        <v>214</v>
      </c>
      <c r="CF1150" s="3">
        <v>45848</v>
      </c>
      <c r="CI1150">
        <v>1</v>
      </c>
      <c r="CJ1150">
        <v>1</v>
      </c>
      <c r="CK1150">
        <v>21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"080066456427"</f>
        <v>080066456427</v>
      </c>
      <c r="F1151" s="3">
        <v>45847</v>
      </c>
      <c r="G1151">
        <v>202604</v>
      </c>
      <c r="H1151" t="s">
        <v>75</v>
      </c>
      <c r="I1151" t="s">
        <v>76</v>
      </c>
      <c r="J1151" t="s">
        <v>77</v>
      </c>
      <c r="K1151" t="s">
        <v>78</v>
      </c>
      <c r="L1151" t="s">
        <v>1861</v>
      </c>
      <c r="M1151" t="s">
        <v>1862</v>
      </c>
      <c r="N1151" t="s">
        <v>1863</v>
      </c>
      <c r="O1151" t="s">
        <v>311</v>
      </c>
      <c r="P1151" t="str">
        <f>"4170047697                    "</f>
        <v xml:space="preserve">4170047697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43.78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0.3</v>
      </c>
      <c r="BK1151">
        <v>1</v>
      </c>
      <c r="BL1151">
        <v>137.94</v>
      </c>
      <c r="BM1151">
        <v>20.69</v>
      </c>
      <c r="BN1151">
        <v>158.63</v>
      </c>
      <c r="BO1151">
        <v>158.63</v>
      </c>
      <c r="BQ1151" t="s">
        <v>1864</v>
      </c>
      <c r="BR1151" t="s">
        <v>84</v>
      </c>
      <c r="BS1151" s="3">
        <v>45848</v>
      </c>
      <c r="BT1151" s="4">
        <v>0.53472222222222221</v>
      </c>
      <c r="BU1151" t="s">
        <v>1865</v>
      </c>
      <c r="BV1151" t="s">
        <v>98</v>
      </c>
      <c r="BY1151">
        <v>1350</v>
      </c>
      <c r="BZ1151" t="s">
        <v>99</v>
      </c>
      <c r="CA1151" t="s">
        <v>1866</v>
      </c>
      <c r="CC1151" t="s">
        <v>1862</v>
      </c>
      <c r="CD1151">
        <v>6500</v>
      </c>
      <c r="CE1151" t="s">
        <v>1868</v>
      </c>
      <c r="CF1151" s="3">
        <v>45848</v>
      </c>
      <c r="CI1151">
        <v>1</v>
      </c>
      <c r="CJ1151">
        <v>1</v>
      </c>
      <c r="CK1151">
        <v>33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"080066456441"</f>
        <v>080066456441</v>
      </c>
      <c r="F1152" s="3">
        <v>45847</v>
      </c>
      <c r="G1152">
        <v>202604</v>
      </c>
      <c r="H1152" t="s">
        <v>75</v>
      </c>
      <c r="I1152" t="s">
        <v>76</v>
      </c>
      <c r="J1152" t="s">
        <v>77</v>
      </c>
      <c r="K1152" t="s">
        <v>78</v>
      </c>
      <c r="L1152" t="s">
        <v>122</v>
      </c>
      <c r="M1152" t="s">
        <v>123</v>
      </c>
      <c r="N1152" t="s">
        <v>1176</v>
      </c>
      <c r="O1152" t="s">
        <v>82</v>
      </c>
      <c r="P1152" t="str">
        <f>"4170047824                    "</f>
        <v xml:space="preserve">4170047824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22.6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0.3</v>
      </c>
      <c r="BK1152">
        <v>1</v>
      </c>
      <c r="BL1152">
        <v>71.2</v>
      </c>
      <c r="BM1152">
        <v>10.68</v>
      </c>
      <c r="BN1152">
        <v>81.88</v>
      </c>
      <c r="BO1152">
        <v>81.88</v>
      </c>
      <c r="BQ1152" t="s">
        <v>1177</v>
      </c>
      <c r="BR1152" t="s">
        <v>84</v>
      </c>
      <c r="BS1152" s="3">
        <v>45848</v>
      </c>
      <c r="BT1152" s="4">
        <v>0.66527777777777775</v>
      </c>
      <c r="BU1152" t="s">
        <v>1869</v>
      </c>
      <c r="BV1152" t="s">
        <v>86</v>
      </c>
      <c r="BY1152">
        <v>1350</v>
      </c>
      <c r="BZ1152" t="s">
        <v>89</v>
      </c>
      <c r="CA1152" t="s">
        <v>1870</v>
      </c>
      <c r="CC1152" t="s">
        <v>123</v>
      </c>
      <c r="CD1152">
        <v>3610</v>
      </c>
      <c r="CE1152" t="s">
        <v>1868</v>
      </c>
      <c r="CF1152" s="3">
        <v>45849</v>
      </c>
      <c r="CI1152">
        <v>1</v>
      </c>
      <c r="CJ1152">
        <v>1</v>
      </c>
      <c r="CK1152">
        <v>21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"080066456462"</f>
        <v>080066456462</v>
      </c>
      <c r="F1153" s="3">
        <v>45847</v>
      </c>
      <c r="G1153">
        <v>202604</v>
      </c>
      <c r="H1153" t="s">
        <v>75</v>
      </c>
      <c r="I1153" t="s">
        <v>76</v>
      </c>
      <c r="J1153" t="s">
        <v>77</v>
      </c>
      <c r="K1153" t="s">
        <v>78</v>
      </c>
      <c r="L1153" t="s">
        <v>168</v>
      </c>
      <c r="M1153" t="s">
        <v>169</v>
      </c>
      <c r="N1153" t="s">
        <v>206</v>
      </c>
      <c r="O1153" t="s">
        <v>82</v>
      </c>
      <c r="P1153" t="str">
        <f>"4170047657                    "</f>
        <v xml:space="preserve">4170047657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22.6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0.3</v>
      </c>
      <c r="BK1153">
        <v>1</v>
      </c>
      <c r="BL1153">
        <v>71.2</v>
      </c>
      <c r="BM1153">
        <v>10.68</v>
      </c>
      <c r="BN1153">
        <v>81.88</v>
      </c>
      <c r="BO1153">
        <v>81.88</v>
      </c>
      <c r="BQ1153" t="s">
        <v>207</v>
      </c>
      <c r="BR1153" t="s">
        <v>84</v>
      </c>
      <c r="BS1153" s="3">
        <v>45848</v>
      </c>
      <c r="BT1153" s="4">
        <v>0.40555555555555556</v>
      </c>
      <c r="BU1153" t="s">
        <v>1483</v>
      </c>
      <c r="BV1153" t="s">
        <v>98</v>
      </c>
      <c r="BY1153">
        <v>1350</v>
      </c>
      <c r="BZ1153" t="s">
        <v>89</v>
      </c>
      <c r="CA1153" t="s">
        <v>196</v>
      </c>
      <c r="CC1153" t="s">
        <v>169</v>
      </c>
      <c r="CD1153">
        <v>6001</v>
      </c>
      <c r="CE1153" t="s">
        <v>1868</v>
      </c>
      <c r="CF1153" s="3">
        <v>45848</v>
      </c>
      <c r="CI1153">
        <v>1</v>
      </c>
      <c r="CJ1153">
        <v>1</v>
      </c>
      <c r="CK1153">
        <v>21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"080066456475"</f>
        <v>080066456475</v>
      </c>
      <c r="F1154" s="3">
        <v>45847</v>
      </c>
      <c r="G1154">
        <v>202604</v>
      </c>
      <c r="H1154" t="s">
        <v>75</v>
      </c>
      <c r="I1154" t="s">
        <v>76</v>
      </c>
      <c r="J1154" t="s">
        <v>77</v>
      </c>
      <c r="K1154" t="s">
        <v>78</v>
      </c>
      <c r="L1154" t="s">
        <v>168</v>
      </c>
      <c r="M1154" t="s">
        <v>169</v>
      </c>
      <c r="N1154" t="s">
        <v>206</v>
      </c>
      <c r="O1154" t="s">
        <v>82</v>
      </c>
      <c r="P1154" t="str">
        <f>"4170047658                    "</f>
        <v xml:space="preserve">4170047658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22.6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0.3</v>
      </c>
      <c r="BK1154">
        <v>1</v>
      </c>
      <c r="BL1154">
        <v>71.2</v>
      </c>
      <c r="BM1154">
        <v>10.68</v>
      </c>
      <c r="BN1154">
        <v>81.88</v>
      </c>
      <c r="BO1154">
        <v>81.88</v>
      </c>
      <c r="BQ1154" t="s">
        <v>207</v>
      </c>
      <c r="BR1154" t="s">
        <v>84</v>
      </c>
      <c r="BS1154" s="3">
        <v>45848</v>
      </c>
      <c r="BT1154" s="4">
        <v>0.40555555555555556</v>
      </c>
      <c r="BU1154" t="s">
        <v>1483</v>
      </c>
      <c r="BV1154" t="s">
        <v>98</v>
      </c>
      <c r="BY1154">
        <v>1350</v>
      </c>
      <c r="BZ1154" t="s">
        <v>89</v>
      </c>
      <c r="CA1154" t="s">
        <v>196</v>
      </c>
      <c r="CC1154" t="s">
        <v>169</v>
      </c>
      <c r="CD1154">
        <v>6001</v>
      </c>
      <c r="CE1154" t="s">
        <v>1868</v>
      </c>
      <c r="CF1154" s="3">
        <v>45848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"080066456483"</f>
        <v>080066456483</v>
      </c>
      <c r="F1155" s="3">
        <v>45847</v>
      </c>
      <c r="G1155">
        <v>202604</v>
      </c>
      <c r="H1155" t="s">
        <v>75</v>
      </c>
      <c r="I1155" t="s">
        <v>76</v>
      </c>
      <c r="J1155" t="s">
        <v>77</v>
      </c>
      <c r="K1155" t="s">
        <v>78</v>
      </c>
      <c r="L1155" t="s">
        <v>168</v>
      </c>
      <c r="M1155" t="s">
        <v>169</v>
      </c>
      <c r="N1155" t="s">
        <v>191</v>
      </c>
      <c r="O1155" t="s">
        <v>82</v>
      </c>
      <c r="P1155" t="str">
        <f>"4170047810                    "</f>
        <v xml:space="preserve">4170047810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22.6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71.2</v>
      </c>
      <c r="BM1155">
        <v>10.68</v>
      </c>
      <c r="BN1155">
        <v>81.88</v>
      </c>
      <c r="BO1155">
        <v>81.88</v>
      </c>
      <c r="BQ1155" t="s">
        <v>192</v>
      </c>
      <c r="BR1155" t="s">
        <v>84</v>
      </c>
      <c r="BS1155" s="3">
        <v>45848</v>
      </c>
      <c r="BT1155" s="4">
        <v>0.42777777777777776</v>
      </c>
      <c r="BU1155" t="s">
        <v>193</v>
      </c>
      <c r="BV1155" t="s">
        <v>98</v>
      </c>
      <c r="BY1155">
        <v>1200</v>
      </c>
      <c r="BZ1155" t="s">
        <v>89</v>
      </c>
      <c r="CA1155" t="s">
        <v>196</v>
      </c>
      <c r="CC1155" t="s">
        <v>169</v>
      </c>
      <c r="CD1155">
        <v>6056</v>
      </c>
      <c r="CE1155" t="s">
        <v>239</v>
      </c>
      <c r="CF1155" s="3">
        <v>45848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"080066456491"</f>
        <v>080066456491</v>
      </c>
      <c r="F1156" s="3">
        <v>45847</v>
      </c>
      <c r="G1156">
        <v>202604</v>
      </c>
      <c r="H1156" t="s">
        <v>75</v>
      </c>
      <c r="I1156" t="s">
        <v>76</v>
      </c>
      <c r="J1156" t="s">
        <v>77</v>
      </c>
      <c r="K1156" t="s">
        <v>78</v>
      </c>
      <c r="L1156" t="s">
        <v>168</v>
      </c>
      <c r="M1156" t="s">
        <v>169</v>
      </c>
      <c r="N1156" t="s">
        <v>206</v>
      </c>
      <c r="O1156" t="s">
        <v>82</v>
      </c>
      <c r="P1156" t="str">
        <f>"4170047727                    "</f>
        <v xml:space="preserve">4170047727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22.6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0.3</v>
      </c>
      <c r="BK1156">
        <v>1</v>
      </c>
      <c r="BL1156">
        <v>71.2</v>
      </c>
      <c r="BM1156">
        <v>10.68</v>
      </c>
      <c r="BN1156">
        <v>81.88</v>
      </c>
      <c r="BO1156">
        <v>81.88</v>
      </c>
      <c r="BQ1156" t="s">
        <v>207</v>
      </c>
      <c r="BR1156" t="s">
        <v>84</v>
      </c>
      <c r="BS1156" s="3">
        <v>45848</v>
      </c>
      <c r="BT1156" s="4">
        <v>0.68680555555555556</v>
      </c>
      <c r="BU1156" t="s">
        <v>534</v>
      </c>
      <c r="BV1156" t="s">
        <v>86</v>
      </c>
      <c r="BY1156">
        <v>1350</v>
      </c>
      <c r="BZ1156" t="s">
        <v>89</v>
      </c>
      <c r="CA1156" t="s">
        <v>535</v>
      </c>
      <c r="CC1156" t="s">
        <v>169</v>
      </c>
      <c r="CD1156">
        <v>6001</v>
      </c>
      <c r="CE1156" t="s">
        <v>1868</v>
      </c>
      <c r="CI1156">
        <v>1</v>
      </c>
      <c r="CJ1156">
        <v>1</v>
      </c>
      <c r="CK1156">
        <v>21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"080066456499"</f>
        <v>080066456499</v>
      </c>
      <c r="F1157" s="3">
        <v>45847</v>
      </c>
      <c r="G1157">
        <v>202604</v>
      </c>
      <c r="H1157" t="s">
        <v>75</v>
      </c>
      <c r="I1157" t="s">
        <v>76</v>
      </c>
      <c r="J1157" t="s">
        <v>77</v>
      </c>
      <c r="K1157" t="s">
        <v>78</v>
      </c>
      <c r="L1157" t="s">
        <v>427</v>
      </c>
      <c r="M1157" t="s">
        <v>428</v>
      </c>
      <c r="N1157" t="s">
        <v>429</v>
      </c>
      <c r="O1157" t="s">
        <v>82</v>
      </c>
      <c r="P1157" t="str">
        <f>"4170047827                    "</f>
        <v xml:space="preserve">4170047827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43.78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1.8</v>
      </c>
      <c r="BK1157">
        <v>2</v>
      </c>
      <c r="BL1157">
        <v>137.94</v>
      </c>
      <c r="BM1157">
        <v>20.69</v>
      </c>
      <c r="BN1157">
        <v>158.63</v>
      </c>
      <c r="BO1157">
        <v>158.63</v>
      </c>
      <c r="BQ1157" t="s">
        <v>430</v>
      </c>
      <c r="BR1157" t="s">
        <v>84</v>
      </c>
      <c r="BS1157" s="3">
        <v>45848</v>
      </c>
      <c r="BT1157" s="4">
        <v>0.69236111111111109</v>
      </c>
      <c r="BU1157" t="s">
        <v>431</v>
      </c>
      <c r="BV1157" t="s">
        <v>98</v>
      </c>
      <c r="BY1157">
        <v>9000</v>
      </c>
      <c r="BZ1157" t="s">
        <v>89</v>
      </c>
      <c r="CA1157" t="s">
        <v>432</v>
      </c>
      <c r="CC1157" t="s">
        <v>428</v>
      </c>
      <c r="CD1157">
        <v>9880</v>
      </c>
      <c r="CE1157" t="s">
        <v>91</v>
      </c>
      <c r="CF1157" s="3">
        <v>45848</v>
      </c>
      <c r="CI1157">
        <v>1</v>
      </c>
      <c r="CJ1157">
        <v>1</v>
      </c>
      <c r="CK1157">
        <v>23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"080066456513"</f>
        <v>080066456513</v>
      </c>
      <c r="F1158" s="3">
        <v>45847</v>
      </c>
      <c r="G1158">
        <v>202604</v>
      </c>
      <c r="H1158" t="s">
        <v>75</v>
      </c>
      <c r="I1158" t="s">
        <v>76</v>
      </c>
      <c r="J1158" t="s">
        <v>77</v>
      </c>
      <c r="K1158" t="s">
        <v>78</v>
      </c>
      <c r="L1158" t="s">
        <v>168</v>
      </c>
      <c r="M1158" t="s">
        <v>169</v>
      </c>
      <c r="N1158" t="s">
        <v>412</v>
      </c>
      <c r="O1158" t="s">
        <v>82</v>
      </c>
      <c r="P1158" t="str">
        <f>"4170047784                    "</f>
        <v xml:space="preserve">4170047784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22.6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0.6</v>
      </c>
      <c r="BK1158">
        <v>2</v>
      </c>
      <c r="BL1158">
        <v>71.2</v>
      </c>
      <c r="BM1158">
        <v>10.68</v>
      </c>
      <c r="BN1158">
        <v>81.88</v>
      </c>
      <c r="BO1158">
        <v>81.88</v>
      </c>
      <c r="BQ1158" t="s">
        <v>413</v>
      </c>
      <c r="BR1158" t="s">
        <v>84</v>
      </c>
      <c r="BS1158" s="3">
        <v>45848</v>
      </c>
      <c r="BT1158" s="4">
        <v>0.38124999999999998</v>
      </c>
      <c r="BU1158" t="s">
        <v>1298</v>
      </c>
      <c r="BV1158" t="s">
        <v>98</v>
      </c>
      <c r="BY1158">
        <v>3192</v>
      </c>
      <c r="BZ1158" t="s">
        <v>89</v>
      </c>
      <c r="CA1158" t="s">
        <v>415</v>
      </c>
      <c r="CC1158" t="s">
        <v>169</v>
      </c>
      <c r="CD1158">
        <v>6001</v>
      </c>
      <c r="CE1158" t="s">
        <v>266</v>
      </c>
      <c r="CF1158" s="3">
        <v>45848</v>
      </c>
      <c r="CI1158">
        <v>1</v>
      </c>
      <c r="CJ1158">
        <v>1</v>
      </c>
      <c r="CK1158">
        <v>21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"080066456532"</f>
        <v>080066456532</v>
      </c>
      <c r="F1159" s="3">
        <v>45847</v>
      </c>
      <c r="G1159">
        <v>202604</v>
      </c>
      <c r="H1159" t="s">
        <v>75</v>
      </c>
      <c r="I1159" t="s">
        <v>76</v>
      </c>
      <c r="J1159" t="s">
        <v>77</v>
      </c>
      <c r="K1159" t="s">
        <v>78</v>
      </c>
      <c r="L1159" t="s">
        <v>168</v>
      </c>
      <c r="M1159" t="s">
        <v>169</v>
      </c>
      <c r="N1159" t="s">
        <v>1871</v>
      </c>
      <c r="O1159" t="s">
        <v>82</v>
      </c>
      <c r="P1159" t="str">
        <f>"4170047753                    "</f>
        <v xml:space="preserve">4170047753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73.400000000000006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6.2</v>
      </c>
      <c r="BK1159">
        <v>6.5</v>
      </c>
      <c r="BL1159">
        <v>231.26</v>
      </c>
      <c r="BM1159">
        <v>34.69</v>
      </c>
      <c r="BN1159">
        <v>265.95</v>
      </c>
      <c r="BO1159">
        <v>265.95</v>
      </c>
      <c r="BQ1159" t="s">
        <v>1872</v>
      </c>
      <c r="BR1159" t="s">
        <v>84</v>
      </c>
      <c r="BS1159" s="3">
        <v>45848</v>
      </c>
      <c r="BT1159" s="4">
        <v>0.42499999999999999</v>
      </c>
      <c r="BU1159" t="s">
        <v>1127</v>
      </c>
      <c r="BV1159" t="s">
        <v>98</v>
      </c>
      <c r="BY1159">
        <v>31008</v>
      </c>
      <c r="BZ1159" t="s">
        <v>89</v>
      </c>
      <c r="CA1159" t="s">
        <v>415</v>
      </c>
      <c r="CC1159" t="s">
        <v>169</v>
      </c>
      <c r="CD1159">
        <v>6012</v>
      </c>
      <c r="CE1159" t="s">
        <v>91</v>
      </c>
      <c r="CF1159" s="3">
        <v>45848</v>
      </c>
      <c r="CI1159">
        <v>1</v>
      </c>
      <c r="CJ1159">
        <v>1</v>
      </c>
      <c r="CK1159">
        <v>21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"080066456561"</f>
        <v>080066456561</v>
      </c>
      <c r="F1160" s="3">
        <v>45847</v>
      </c>
      <c r="G1160">
        <v>202604</v>
      </c>
      <c r="H1160" t="s">
        <v>75</v>
      </c>
      <c r="I1160" t="s">
        <v>76</v>
      </c>
      <c r="J1160" t="s">
        <v>77</v>
      </c>
      <c r="K1160" t="s">
        <v>78</v>
      </c>
      <c r="L1160" t="s">
        <v>1651</v>
      </c>
      <c r="M1160" t="s">
        <v>1652</v>
      </c>
      <c r="N1160" t="s">
        <v>1653</v>
      </c>
      <c r="O1160" t="s">
        <v>82</v>
      </c>
      <c r="P1160" t="str">
        <f>"4170047755                    "</f>
        <v xml:space="preserve">4170047755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122.87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3</v>
      </c>
      <c r="BJ1160">
        <v>5.8</v>
      </c>
      <c r="BK1160">
        <v>6</v>
      </c>
      <c r="BL1160">
        <v>387.11</v>
      </c>
      <c r="BM1160">
        <v>58.07</v>
      </c>
      <c r="BN1160">
        <v>445.18</v>
      </c>
      <c r="BO1160">
        <v>445.18</v>
      </c>
      <c r="BQ1160" t="s">
        <v>1654</v>
      </c>
      <c r="BR1160" t="s">
        <v>84</v>
      </c>
      <c r="BS1160" s="3">
        <v>45848</v>
      </c>
      <c r="BT1160" s="4">
        <v>0.5180555555555556</v>
      </c>
      <c r="BU1160" t="s">
        <v>1655</v>
      </c>
      <c r="BV1160" t="s">
        <v>98</v>
      </c>
      <c r="BY1160">
        <v>29184</v>
      </c>
      <c r="BZ1160" t="s">
        <v>89</v>
      </c>
      <c r="CA1160" t="s">
        <v>1656</v>
      </c>
      <c r="CC1160" t="s">
        <v>1652</v>
      </c>
      <c r="CD1160">
        <v>6715</v>
      </c>
      <c r="CE1160" t="s">
        <v>91</v>
      </c>
      <c r="CF1160" s="3">
        <v>45849</v>
      </c>
      <c r="CI1160">
        <v>2</v>
      </c>
      <c r="CJ1160">
        <v>1</v>
      </c>
      <c r="CK1160">
        <v>23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"080066456580"</f>
        <v>080066456580</v>
      </c>
      <c r="F1161" s="3">
        <v>45847</v>
      </c>
      <c r="G1161">
        <v>202604</v>
      </c>
      <c r="H1161" t="s">
        <v>75</v>
      </c>
      <c r="I1161" t="s">
        <v>76</v>
      </c>
      <c r="J1161" t="s">
        <v>77</v>
      </c>
      <c r="K1161" t="s">
        <v>78</v>
      </c>
      <c r="L1161" t="s">
        <v>452</v>
      </c>
      <c r="M1161" t="s">
        <v>453</v>
      </c>
      <c r="N1161" t="s">
        <v>1338</v>
      </c>
      <c r="O1161" t="s">
        <v>82</v>
      </c>
      <c r="P1161" t="str">
        <f>"4170047792                    "</f>
        <v xml:space="preserve">4170047792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17.649999999999999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0.9</v>
      </c>
      <c r="BJ1161">
        <v>1.7</v>
      </c>
      <c r="BK1161">
        <v>2</v>
      </c>
      <c r="BL1161">
        <v>55.61</v>
      </c>
      <c r="BM1161">
        <v>8.34</v>
      </c>
      <c r="BN1161">
        <v>63.95</v>
      </c>
      <c r="BO1161">
        <v>63.95</v>
      </c>
      <c r="BQ1161" t="s">
        <v>1339</v>
      </c>
      <c r="BR1161" t="s">
        <v>84</v>
      </c>
      <c r="BS1161" s="3">
        <v>45848</v>
      </c>
      <c r="BT1161" s="4">
        <v>0.36736111111111114</v>
      </c>
      <c r="BU1161" t="s">
        <v>1873</v>
      </c>
      <c r="BV1161" t="s">
        <v>98</v>
      </c>
      <c r="BY1161">
        <v>8530.06</v>
      </c>
      <c r="BZ1161" t="s">
        <v>89</v>
      </c>
      <c r="CA1161" t="s">
        <v>1541</v>
      </c>
      <c r="CC1161" t="s">
        <v>453</v>
      </c>
      <c r="CD1161">
        <v>1559</v>
      </c>
      <c r="CE1161" t="s">
        <v>1868</v>
      </c>
      <c r="CF1161" s="3">
        <v>45849</v>
      </c>
      <c r="CI1161">
        <v>1</v>
      </c>
      <c r="CJ1161">
        <v>1</v>
      </c>
      <c r="CK1161">
        <v>22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"080066456584"</f>
        <v>080066456584</v>
      </c>
      <c r="F1162" s="3">
        <v>45847</v>
      </c>
      <c r="G1162">
        <v>202604</v>
      </c>
      <c r="H1162" t="s">
        <v>75</v>
      </c>
      <c r="I1162" t="s">
        <v>76</v>
      </c>
      <c r="J1162" t="s">
        <v>77</v>
      </c>
      <c r="K1162" t="s">
        <v>78</v>
      </c>
      <c r="L1162" t="s">
        <v>151</v>
      </c>
      <c r="M1162" t="s">
        <v>152</v>
      </c>
      <c r="N1162" t="s">
        <v>1759</v>
      </c>
      <c r="O1162" t="s">
        <v>82</v>
      </c>
      <c r="P1162" t="str">
        <f>"4170047793                    "</f>
        <v xml:space="preserve">4170047793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33.89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3</v>
      </c>
      <c r="BJ1162">
        <v>1.7</v>
      </c>
      <c r="BK1162">
        <v>3</v>
      </c>
      <c r="BL1162">
        <v>106.77</v>
      </c>
      <c r="BM1162">
        <v>16.02</v>
      </c>
      <c r="BN1162">
        <v>122.79</v>
      </c>
      <c r="BO1162">
        <v>122.79</v>
      </c>
      <c r="BQ1162" t="s">
        <v>1760</v>
      </c>
      <c r="BR1162" t="s">
        <v>84</v>
      </c>
      <c r="BS1162" s="3">
        <v>45848</v>
      </c>
      <c r="BT1162" s="4">
        <v>0.39166666666666666</v>
      </c>
      <c r="BU1162" t="s">
        <v>1394</v>
      </c>
      <c r="BV1162" t="s">
        <v>98</v>
      </c>
      <c r="BY1162">
        <v>8512</v>
      </c>
      <c r="BZ1162" t="s">
        <v>89</v>
      </c>
      <c r="CA1162" t="s">
        <v>683</v>
      </c>
      <c r="CC1162" t="s">
        <v>152</v>
      </c>
      <c r="CD1162" s="5" t="s">
        <v>684</v>
      </c>
      <c r="CE1162" t="s">
        <v>145</v>
      </c>
      <c r="CF1162" s="3">
        <v>45848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"080066456590"</f>
        <v>080066456590</v>
      </c>
      <c r="F1163" s="3">
        <v>45847</v>
      </c>
      <c r="G1163">
        <v>202604</v>
      </c>
      <c r="H1163" t="s">
        <v>75</v>
      </c>
      <c r="I1163" t="s">
        <v>76</v>
      </c>
      <c r="J1163" t="s">
        <v>77</v>
      </c>
      <c r="K1163" t="s">
        <v>78</v>
      </c>
      <c r="L1163" t="s">
        <v>79</v>
      </c>
      <c r="M1163" t="s">
        <v>80</v>
      </c>
      <c r="N1163" t="s">
        <v>141</v>
      </c>
      <c r="O1163" t="s">
        <v>82</v>
      </c>
      <c r="P1163" t="str">
        <f>"4170047760                    "</f>
        <v xml:space="preserve">4170047760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22.6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0.3</v>
      </c>
      <c r="BK1163">
        <v>1</v>
      </c>
      <c r="BL1163">
        <v>71.2</v>
      </c>
      <c r="BM1163">
        <v>10.68</v>
      </c>
      <c r="BN1163">
        <v>81.88</v>
      </c>
      <c r="BO1163">
        <v>81.88</v>
      </c>
      <c r="BQ1163" t="s">
        <v>142</v>
      </c>
      <c r="BR1163" t="s">
        <v>84</v>
      </c>
      <c r="BS1163" s="3">
        <v>45848</v>
      </c>
      <c r="BT1163" s="4">
        <v>0.39930555555555558</v>
      </c>
      <c r="BU1163" t="s">
        <v>143</v>
      </c>
      <c r="BV1163" t="s">
        <v>98</v>
      </c>
      <c r="BY1163">
        <v>1350</v>
      </c>
      <c r="BZ1163" t="s">
        <v>89</v>
      </c>
      <c r="CA1163" t="s">
        <v>144</v>
      </c>
      <c r="CC1163" t="s">
        <v>80</v>
      </c>
      <c r="CD1163">
        <v>7441</v>
      </c>
      <c r="CE1163" t="s">
        <v>158</v>
      </c>
      <c r="CF1163" s="3">
        <v>45849</v>
      </c>
      <c r="CI1163">
        <v>1</v>
      </c>
      <c r="CJ1163">
        <v>1</v>
      </c>
      <c r="CK1163">
        <v>21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"080066456595"</f>
        <v>080066456595</v>
      </c>
      <c r="F1164" s="3">
        <v>45847</v>
      </c>
      <c r="G1164">
        <v>202604</v>
      </c>
      <c r="H1164" t="s">
        <v>75</v>
      </c>
      <c r="I1164" t="s">
        <v>76</v>
      </c>
      <c r="J1164" t="s">
        <v>77</v>
      </c>
      <c r="K1164" t="s">
        <v>78</v>
      </c>
      <c r="L1164" t="s">
        <v>79</v>
      </c>
      <c r="M1164" t="s">
        <v>80</v>
      </c>
      <c r="N1164" t="s">
        <v>1557</v>
      </c>
      <c r="O1164" t="s">
        <v>82</v>
      </c>
      <c r="P1164" t="str">
        <f>"4170047829                    "</f>
        <v xml:space="preserve">4170047829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39.53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3</v>
      </c>
      <c r="BJ1164">
        <v>3.4</v>
      </c>
      <c r="BK1164">
        <v>3.5</v>
      </c>
      <c r="BL1164">
        <v>124.55</v>
      </c>
      <c r="BM1164">
        <v>18.68</v>
      </c>
      <c r="BN1164">
        <v>143.22999999999999</v>
      </c>
      <c r="BO1164">
        <v>143.22999999999999</v>
      </c>
      <c r="BQ1164" t="s">
        <v>1558</v>
      </c>
      <c r="BR1164" t="s">
        <v>84</v>
      </c>
      <c r="BS1164" s="3">
        <v>45848</v>
      </c>
      <c r="BT1164" s="4">
        <v>0.43055555555555558</v>
      </c>
      <c r="BU1164" t="s">
        <v>1874</v>
      </c>
      <c r="BV1164" t="s">
        <v>98</v>
      </c>
      <c r="BY1164">
        <v>16965</v>
      </c>
      <c r="BZ1164" t="s">
        <v>89</v>
      </c>
      <c r="CA1164" t="s">
        <v>1875</v>
      </c>
      <c r="CC1164" t="s">
        <v>80</v>
      </c>
      <c r="CD1164">
        <v>7535</v>
      </c>
      <c r="CE1164" t="s">
        <v>145</v>
      </c>
      <c r="CF1164" s="3">
        <v>45849</v>
      </c>
      <c r="CI1164">
        <v>1</v>
      </c>
      <c r="CJ1164">
        <v>1</v>
      </c>
      <c r="CK1164">
        <v>21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"080066456557"</f>
        <v>080066456557</v>
      </c>
      <c r="F1165" s="3">
        <v>45847</v>
      </c>
      <c r="G1165">
        <v>202604</v>
      </c>
      <c r="H1165" t="s">
        <v>75</v>
      </c>
      <c r="I1165" t="s">
        <v>76</v>
      </c>
      <c r="J1165" t="s">
        <v>77</v>
      </c>
      <c r="K1165" t="s">
        <v>78</v>
      </c>
      <c r="L1165" t="s">
        <v>92</v>
      </c>
      <c r="M1165" t="s">
        <v>93</v>
      </c>
      <c r="N1165" t="s">
        <v>291</v>
      </c>
      <c r="O1165" t="s">
        <v>82</v>
      </c>
      <c r="P1165" t="str">
        <f>"4170047820                    "</f>
        <v xml:space="preserve">4170047820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95.99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8.1</v>
      </c>
      <c r="BK1165">
        <v>8.5</v>
      </c>
      <c r="BL1165">
        <v>302.41000000000003</v>
      </c>
      <c r="BM1165">
        <v>45.36</v>
      </c>
      <c r="BN1165">
        <v>347.77</v>
      </c>
      <c r="BO1165">
        <v>347.77</v>
      </c>
      <c r="BQ1165" t="s">
        <v>292</v>
      </c>
      <c r="BR1165" t="s">
        <v>84</v>
      </c>
      <c r="BS1165" s="3">
        <v>45848</v>
      </c>
      <c r="BT1165" s="4">
        <v>0.32361111111111113</v>
      </c>
      <c r="BU1165" t="s">
        <v>971</v>
      </c>
      <c r="BV1165" t="s">
        <v>98</v>
      </c>
      <c r="BY1165">
        <v>40500</v>
      </c>
      <c r="BZ1165" t="s">
        <v>89</v>
      </c>
      <c r="CA1165" t="s">
        <v>294</v>
      </c>
      <c r="CC1165" t="s">
        <v>93</v>
      </c>
      <c r="CD1165">
        <v>4051</v>
      </c>
      <c r="CE1165" t="s">
        <v>158</v>
      </c>
      <c r="CF1165" s="3">
        <v>45848</v>
      </c>
      <c r="CI1165">
        <v>1</v>
      </c>
      <c r="CJ1165">
        <v>1</v>
      </c>
      <c r="CK1165">
        <v>21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"080066456603"</f>
        <v>080066456603</v>
      </c>
      <c r="F1166" s="3">
        <v>45847</v>
      </c>
      <c r="G1166">
        <v>202604</v>
      </c>
      <c r="H1166" t="s">
        <v>75</v>
      </c>
      <c r="I1166" t="s">
        <v>76</v>
      </c>
      <c r="J1166" t="s">
        <v>77</v>
      </c>
      <c r="K1166" t="s">
        <v>78</v>
      </c>
      <c r="L1166" t="s">
        <v>277</v>
      </c>
      <c r="M1166" t="s">
        <v>278</v>
      </c>
      <c r="N1166" t="s">
        <v>279</v>
      </c>
      <c r="O1166" t="s">
        <v>82</v>
      </c>
      <c r="P1166" t="str">
        <f>"4170047733                    "</f>
        <v xml:space="preserve">4170047733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22.6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0.3</v>
      </c>
      <c r="BK1166">
        <v>1</v>
      </c>
      <c r="BL1166">
        <v>71.2</v>
      </c>
      <c r="BM1166">
        <v>10.68</v>
      </c>
      <c r="BN1166">
        <v>81.88</v>
      </c>
      <c r="BO1166">
        <v>81.88</v>
      </c>
      <c r="BQ1166" t="s">
        <v>280</v>
      </c>
      <c r="BR1166" t="s">
        <v>84</v>
      </c>
      <c r="BS1166" s="3">
        <v>45848</v>
      </c>
      <c r="BT1166" s="4">
        <v>0.41319444444444442</v>
      </c>
      <c r="BU1166" t="s">
        <v>1124</v>
      </c>
      <c r="BV1166" t="s">
        <v>98</v>
      </c>
      <c r="BY1166">
        <v>1350</v>
      </c>
      <c r="BZ1166" t="s">
        <v>89</v>
      </c>
      <c r="CA1166" t="s">
        <v>282</v>
      </c>
      <c r="CC1166" t="s">
        <v>278</v>
      </c>
      <c r="CD1166">
        <v>6230</v>
      </c>
      <c r="CE1166" t="s">
        <v>158</v>
      </c>
      <c r="CF1166" s="3">
        <v>45848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"080066456610"</f>
        <v>080066456610</v>
      </c>
      <c r="F1167" s="3">
        <v>45847</v>
      </c>
      <c r="G1167">
        <v>202604</v>
      </c>
      <c r="H1167" t="s">
        <v>75</v>
      </c>
      <c r="I1167" t="s">
        <v>76</v>
      </c>
      <c r="J1167" t="s">
        <v>77</v>
      </c>
      <c r="K1167" t="s">
        <v>78</v>
      </c>
      <c r="L1167" t="s">
        <v>305</v>
      </c>
      <c r="M1167" t="s">
        <v>306</v>
      </c>
      <c r="N1167" t="s">
        <v>1820</v>
      </c>
      <c r="O1167" t="s">
        <v>82</v>
      </c>
      <c r="P1167" t="str">
        <f>"4170047738                    "</f>
        <v xml:space="preserve">4170047738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22.6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2</v>
      </c>
      <c r="BJ1167">
        <v>1.1000000000000001</v>
      </c>
      <c r="BK1167">
        <v>2</v>
      </c>
      <c r="BL1167">
        <v>71.2</v>
      </c>
      <c r="BM1167">
        <v>10.68</v>
      </c>
      <c r="BN1167">
        <v>81.88</v>
      </c>
      <c r="BO1167">
        <v>81.88</v>
      </c>
      <c r="BQ1167" t="s">
        <v>1821</v>
      </c>
      <c r="BR1167" t="s">
        <v>84</v>
      </c>
      <c r="BS1167" s="3">
        <v>45848</v>
      </c>
      <c r="BT1167" s="4">
        <v>0.55069444444444449</v>
      </c>
      <c r="BU1167" t="s">
        <v>1876</v>
      </c>
      <c r="BV1167" t="s">
        <v>86</v>
      </c>
      <c r="BY1167">
        <v>5320</v>
      </c>
      <c r="BZ1167" t="s">
        <v>89</v>
      </c>
      <c r="CA1167" t="s">
        <v>1877</v>
      </c>
      <c r="CC1167" t="s">
        <v>306</v>
      </c>
      <c r="CD1167">
        <v>5200</v>
      </c>
      <c r="CE1167" t="s">
        <v>145</v>
      </c>
      <c r="CF1167" s="3">
        <v>45848</v>
      </c>
      <c r="CI1167">
        <v>1</v>
      </c>
      <c r="CJ1167">
        <v>1</v>
      </c>
      <c r="CK1167">
        <v>21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"080066456626"</f>
        <v>080066456626</v>
      </c>
      <c r="F1168" s="3">
        <v>45847</v>
      </c>
      <c r="G1168">
        <v>202604</v>
      </c>
      <c r="H1168" t="s">
        <v>75</v>
      </c>
      <c r="I1168" t="s">
        <v>76</v>
      </c>
      <c r="J1168" t="s">
        <v>77</v>
      </c>
      <c r="K1168" t="s">
        <v>78</v>
      </c>
      <c r="L1168" t="s">
        <v>503</v>
      </c>
      <c r="M1168" t="s">
        <v>504</v>
      </c>
      <c r="N1168" t="s">
        <v>505</v>
      </c>
      <c r="O1168" t="s">
        <v>82</v>
      </c>
      <c r="P1168" t="str">
        <f>"4170047806                    "</f>
        <v xml:space="preserve">4170047806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43.78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1.1000000000000001</v>
      </c>
      <c r="BK1168">
        <v>2</v>
      </c>
      <c r="BL1168">
        <v>137.94</v>
      </c>
      <c r="BM1168">
        <v>20.69</v>
      </c>
      <c r="BN1168">
        <v>158.63</v>
      </c>
      <c r="BO1168">
        <v>158.63</v>
      </c>
      <c r="BQ1168" t="s">
        <v>506</v>
      </c>
      <c r="BR1168" t="s">
        <v>84</v>
      </c>
      <c r="BS1168" s="3">
        <v>45848</v>
      </c>
      <c r="BT1168" s="4">
        <v>0.41666666666666669</v>
      </c>
      <c r="BU1168" t="s">
        <v>507</v>
      </c>
      <c r="BV1168" t="s">
        <v>98</v>
      </c>
      <c r="BY1168">
        <v>5320</v>
      </c>
      <c r="BZ1168" t="s">
        <v>89</v>
      </c>
      <c r="CC1168" t="s">
        <v>504</v>
      </c>
      <c r="CD1168">
        <v>7130</v>
      </c>
      <c r="CE1168" t="s">
        <v>145</v>
      </c>
      <c r="CF1168" s="3">
        <v>45849</v>
      </c>
      <c r="CI1168">
        <v>1</v>
      </c>
      <c r="CJ1168">
        <v>1</v>
      </c>
      <c r="CK1168">
        <v>23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"080066456647"</f>
        <v>080066456647</v>
      </c>
      <c r="F1169" s="3">
        <v>45847</v>
      </c>
      <c r="G1169">
        <v>202604</v>
      </c>
      <c r="H1169" t="s">
        <v>75</v>
      </c>
      <c r="I1169" t="s">
        <v>76</v>
      </c>
      <c r="J1169" t="s">
        <v>77</v>
      </c>
      <c r="K1169" t="s">
        <v>78</v>
      </c>
      <c r="L1169" t="s">
        <v>168</v>
      </c>
      <c r="M1169" t="s">
        <v>169</v>
      </c>
      <c r="N1169" t="s">
        <v>170</v>
      </c>
      <c r="O1169" t="s">
        <v>82</v>
      </c>
      <c r="P1169" t="str">
        <f>"4170047668                    "</f>
        <v xml:space="preserve">4170047668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39.53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3.4</v>
      </c>
      <c r="BK1169">
        <v>3.5</v>
      </c>
      <c r="BL1169">
        <v>124.55</v>
      </c>
      <c r="BM1169">
        <v>18.68</v>
      </c>
      <c r="BN1169">
        <v>143.22999999999999</v>
      </c>
      <c r="BO1169">
        <v>143.22999999999999</v>
      </c>
      <c r="BQ1169" t="s">
        <v>171</v>
      </c>
      <c r="BR1169" t="s">
        <v>84</v>
      </c>
      <c r="BS1169" s="3">
        <v>45848</v>
      </c>
      <c r="BT1169" s="4">
        <v>0.40555555555555556</v>
      </c>
      <c r="BU1169" t="s">
        <v>1878</v>
      </c>
      <c r="BV1169" t="s">
        <v>98</v>
      </c>
      <c r="BY1169">
        <v>16965</v>
      </c>
      <c r="BZ1169" t="s">
        <v>89</v>
      </c>
      <c r="CA1169" t="s">
        <v>173</v>
      </c>
      <c r="CC1169" t="s">
        <v>169</v>
      </c>
      <c r="CD1169">
        <v>6001</v>
      </c>
      <c r="CE1169" t="s">
        <v>117</v>
      </c>
      <c r="CF1169" s="3">
        <v>45848</v>
      </c>
      <c r="CI1169">
        <v>1</v>
      </c>
      <c r="CJ1169">
        <v>1</v>
      </c>
      <c r="CK1169">
        <v>21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"080066456665"</f>
        <v>080066456665</v>
      </c>
      <c r="F1170" s="3">
        <v>45847</v>
      </c>
      <c r="G1170">
        <v>202604</v>
      </c>
      <c r="H1170" t="s">
        <v>75</v>
      </c>
      <c r="I1170" t="s">
        <v>76</v>
      </c>
      <c r="J1170" t="s">
        <v>77</v>
      </c>
      <c r="K1170" t="s">
        <v>78</v>
      </c>
      <c r="L1170" t="s">
        <v>151</v>
      </c>
      <c r="M1170" t="s">
        <v>152</v>
      </c>
      <c r="N1170" t="s">
        <v>153</v>
      </c>
      <c r="O1170" t="s">
        <v>82</v>
      </c>
      <c r="P1170" t="str">
        <f>"4170047812                    "</f>
        <v xml:space="preserve">4170047812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22.6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0.3</v>
      </c>
      <c r="BK1170">
        <v>1</v>
      </c>
      <c r="BL1170">
        <v>71.2</v>
      </c>
      <c r="BM1170">
        <v>10.68</v>
      </c>
      <c r="BN1170">
        <v>81.88</v>
      </c>
      <c r="BO1170">
        <v>81.88</v>
      </c>
      <c r="BQ1170" t="s">
        <v>154</v>
      </c>
      <c r="BR1170" t="s">
        <v>84</v>
      </c>
      <c r="BS1170" s="3">
        <v>45848</v>
      </c>
      <c r="BT1170" s="4">
        <v>0.37569444444444444</v>
      </c>
      <c r="BU1170" t="s">
        <v>1879</v>
      </c>
      <c r="BV1170" t="s">
        <v>98</v>
      </c>
      <c r="BY1170">
        <v>1350</v>
      </c>
      <c r="BZ1170" t="s">
        <v>89</v>
      </c>
      <c r="CA1170" t="s">
        <v>156</v>
      </c>
      <c r="CC1170" t="s">
        <v>152</v>
      </c>
      <c r="CD1170" s="5" t="s">
        <v>157</v>
      </c>
      <c r="CE1170" t="s">
        <v>1868</v>
      </c>
      <c r="CF1170" s="3">
        <v>45848</v>
      </c>
      <c r="CI1170">
        <v>1</v>
      </c>
      <c r="CJ1170">
        <v>1</v>
      </c>
      <c r="CK1170">
        <v>21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"080066456677"</f>
        <v>080066456677</v>
      </c>
      <c r="F1171" s="3">
        <v>45847</v>
      </c>
      <c r="G1171">
        <v>202604</v>
      </c>
      <c r="H1171" t="s">
        <v>75</v>
      </c>
      <c r="I1171" t="s">
        <v>76</v>
      </c>
      <c r="J1171" t="s">
        <v>77</v>
      </c>
      <c r="K1171" t="s">
        <v>78</v>
      </c>
      <c r="L1171" t="s">
        <v>854</v>
      </c>
      <c r="M1171" t="s">
        <v>855</v>
      </c>
      <c r="N1171" t="s">
        <v>856</v>
      </c>
      <c r="O1171" t="s">
        <v>95</v>
      </c>
      <c r="P1171" t="str">
        <f>"4170047682                    "</f>
        <v xml:space="preserve">4170047682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61.64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16.739999999999998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4</v>
      </c>
      <c r="BJ1171">
        <v>1.6</v>
      </c>
      <c r="BK1171">
        <v>4</v>
      </c>
      <c r="BL1171">
        <v>216.8</v>
      </c>
      <c r="BM1171">
        <v>32.520000000000003</v>
      </c>
      <c r="BN1171">
        <v>249.32</v>
      </c>
      <c r="BO1171">
        <v>249.32</v>
      </c>
      <c r="BQ1171" t="s">
        <v>857</v>
      </c>
      <c r="BR1171" t="s">
        <v>84</v>
      </c>
      <c r="BS1171" s="3">
        <v>45848</v>
      </c>
      <c r="BT1171" s="4">
        <v>0.63194444444444442</v>
      </c>
      <c r="BU1171" t="s">
        <v>1880</v>
      </c>
      <c r="BV1171" t="s">
        <v>98</v>
      </c>
      <c r="BY1171">
        <v>7840</v>
      </c>
      <c r="BZ1171" t="s">
        <v>991</v>
      </c>
      <c r="CC1171" t="s">
        <v>855</v>
      </c>
      <c r="CD1171" s="5" t="s">
        <v>860</v>
      </c>
      <c r="CE1171" t="s">
        <v>91</v>
      </c>
      <c r="CF1171" s="3">
        <v>45849</v>
      </c>
      <c r="CI1171">
        <v>1</v>
      </c>
      <c r="CJ1171">
        <v>1</v>
      </c>
      <c r="CK1171">
        <v>43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"080066456695"</f>
        <v>080066456695</v>
      </c>
      <c r="F1172" s="3">
        <v>45847</v>
      </c>
      <c r="G1172">
        <v>202604</v>
      </c>
      <c r="H1172" t="s">
        <v>75</v>
      </c>
      <c r="I1172" t="s">
        <v>76</v>
      </c>
      <c r="J1172" t="s">
        <v>77</v>
      </c>
      <c r="K1172" t="s">
        <v>78</v>
      </c>
      <c r="L1172" t="s">
        <v>75</v>
      </c>
      <c r="M1172" t="s">
        <v>76</v>
      </c>
      <c r="N1172" t="s">
        <v>118</v>
      </c>
      <c r="O1172" t="s">
        <v>82</v>
      </c>
      <c r="P1172" t="str">
        <f>"4170047796                    "</f>
        <v xml:space="preserve">4170047796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17.649999999999999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0.5</v>
      </c>
      <c r="BJ1172">
        <v>1.8</v>
      </c>
      <c r="BK1172">
        <v>2</v>
      </c>
      <c r="BL1172">
        <v>55.61</v>
      </c>
      <c r="BM1172">
        <v>8.34</v>
      </c>
      <c r="BN1172">
        <v>63.95</v>
      </c>
      <c r="BO1172">
        <v>63.95</v>
      </c>
      <c r="BQ1172" t="s">
        <v>119</v>
      </c>
      <c r="BR1172" t="s">
        <v>84</v>
      </c>
      <c r="BS1172" s="3">
        <v>45848</v>
      </c>
      <c r="BT1172" s="4">
        <v>0.34583333333333333</v>
      </c>
      <c r="BU1172" t="s">
        <v>1363</v>
      </c>
      <c r="BV1172" t="s">
        <v>98</v>
      </c>
      <c r="BY1172">
        <v>9108.26</v>
      </c>
      <c r="BZ1172" t="s">
        <v>89</v>
      </c>
      <c r="CA1172" t="s">
        <v>213</v>
      </c>
      <c r="CC1172" t="s">
        <v>76</v>
      </c>
      <c r="CD1172">
        <v>1600</v>
      </c>
      <c r="CE1172" t="s">
        <v>1868</v>
      </c>
      <c r="CF1172" s="3">
        <v>45849</v>
      </c>
      <c r="CI1172">
        <v>1</v>
      </c>
      <c r="CJ1172">
        <v>1</v>
      </c>
      <c r="CK1172">
        <v>22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"080066456707"</f>
        <v>080066456707</v>
      </c>
      <c r="F1173" s="3">
        <v>45847</v>
      </c>
      <c r="G1173">
        <v>202604</v>
      </c>
      <c r="H1173" t="s">
        <v>75</v>
      </c>
      <c r="I1173" t="s">
        <v>76</v>
      </c>
      <c r="J1173" t="s">
        <v>77</v>
      </c>
      <c r="K1173" t="s">
        <v>78</v>
      </c>
      <c r="L1173" t="s">
        <v>75</v>
      </c>
      <c r="M1173" t="s">
        <v>76</v>
      </c>
      <c r="N1173" t="s">
        <v>301</v>
      </c>
      <c r="O1173" t="s">
        <v>82</v>
      </c>
      <c r="P1173" t="str">
        <f>"4170046943                    "</f>
        <v xml:space="preserve">4170046943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17.649999999999999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0.3</v>
      </c>
      <c r="BK1173">
        <v>1</v>
      </c>
      <c r="BL1173">
        <v>55.61</v>
      </c>
      <c r="BM1173">
        <v>8.34</v>
      </c>
      <c r="BN1173">
        <v>63.95</v>
      </c>
      <c r="BO1173">
        <v>63.95</v>
      </c>
      <c r="BQ1173" t="s">
        <v>302</v>
      </c>
      <c r="BR1173" t="s">
        <v>84</v>
      </c>
      <c r="BS1173" s="3">
        <v>45848</v>
      </c>
      <c r="BT1173" s="4">
        <v>0.35902777777777778</v>
      </c>
      <c r="BU1173" t="s">
        <v>1881</v>
      </c>
      <c r="BV1173" t="s">
        <v>98</v>
      </c>
      <c r="BY1173">
        <v>1350</v>
      </c>
      <c r="BZ1173" t="s">
        <v>89</v>
      </c>
      <c r="CA1173" t="s">
        <v>304</v>
      </c>
      <c r="CC1173" t="s">
        <v>76</v>
      </c>
      <c r="CD1173">
        <v>1600</v>
      </c>
      <c r="CE1173" t="s">
        <v>1868</v>
      </c>
      <c r="CF1173" s="3">
        <v>45848</v>
      </c>
      <c r="CI1173">
        <v>1</v>
      </c>
      <c r="CJ1173">
        <v>1</v>
      </c>
      <c r="CK1173">
        <v>22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"080066456721"</f>
        <v>080066456721</v>
      </c>
      <c r="F1174" s="3">
        <v>45847</v>
      </c>
      <c r="G1174">
        <v>202604</v>
      </c>
      <c r="H1174" t="s">
        <v>75</v>
      </c>
      <c r="I1174" t="s">
        <v>76</v>
      </c>
      <c r="J1174" t="s">
        <v>77</v>
      </c>
      <c r="K1174" t="s">
        <v>78</v>
      </c>
      <c r="L1174" t="s">
        <v>1882</v>
      </c>
      <c r="M1174" t="s">
        <v>1883</v>
      </c>
      <c r="N1174" t="s">
        <v>1884</v>
      </c>
      <c r="O1174" t="s">
        <v>82</v>
      </c>
      <c r="P1174" t="str">
        <f>"4170047805                    "</f>
        <v xml:space="preserve">4170047805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43.78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0.3</v>
      </c>
      <c r="BK1174">
        <v>1</v>
      </c>
      <c r="BL1174">
        <v>137.94</v>
      </c>
      <c r="BM1174">
        <v>20.69</v>
      </c>
      <c r="BN1174">
        <v>158.63</v>
      </c>
      <c r="BO1174">
        <v>158.63</v>
      </c>
      <c r="BQ1174" t="s">
        <v>1885</v>
      </c>
      <c r="BR1174" t="s">
        <v>84</v>
      </c>
      <c r="BS1174" s="3">
        <v>45848</v>
      </c>
      <c r="BT1174" s="4">
        <v>0.41666666666666669</v>
      </c>
      <c r="BU1174" t="s">
        <v>1886</v>
      </c>
      <c r="BV1174" t="s">
        <v>98</v>
      </c>
      <c r="BY1174">
        <v>1350</v>
      </c>
      <c r="BZ1174" t="s">
        <v>1887</v>
      </c>
      <c r="CA1174" t="s">
        <v>1888</v>
      </c>
      <c r="CC1174" t="s">
        <v>1883</v>
      </c>
      <c r="CD1174">
        <v>3236</v>
      </c>
      <c r="CE1174" t="s">
        <v>1868</v>
      </c>
      <c r="CF1174" s="3">
        <v>45849</v>
      </c>
      <c r="CI1174">
        <v>5</v>
      </c>
      <c r="CJ1174">
        <v>1</v>
      </c>
      <c r="CK1174">
        <v>23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"080066456722"</f>
        <v>080066456722</v>
      </c>
      <c r="F1175" s="3">
        <v>45847</v>
      </c>
      <c r="G1175">
        <v>202604</v>
      </c>
      <c r="H1175" t="s">
        <v>75</v>
      </c>
      <c r="I1175" t="s">
        <v>76</v>
      </c>
      <c r="J1175" t="s">
        <v>77</v>
      </c>
      <c r="K1175" t="s">
        <v>78</v>
      </c>
      <c r="L1175" t="s">
        <v>168</v>
      </c>
      <c r="M1175" t="s">
        <v>169</v>
      </c>
      <c r="N1175" t="s">
        <v>360</v>
      </c>
      <c r="O1175" t="s">
        <v>82</v>
      </c>
      <c r="P1175" t="str">
        <f>"4170047737                    "</f>
        <v xml:space="preserve">4170047737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180.66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16</v>
      </c>
      <c r="BJ1175">
        <v>9.3000000000000007</v>
      </c>
      <c r="BK1175">
        <v>16</v>
      </c>
      <c r="BL1175">
        <v>569.17999999999995</v>
      </c>
      <c r="BM1175">
        <v>85.38</v>
      </c>
      <c r="BN1175">
        <v>654.55999999999995</v>
      </c>
      <c r="BO1175">
        <v>654.55999999999995</v>
      </c>
      <c r="BQ1175" t="s">
        <v>361</v>
      </c>
      <c r="BR1175" t="s">
        <v>84</v>
      </c>
      <c r="BS1175" s="3">
        <v>45848</v>
      </c>
      <c r="BT1175" s="4">
        <v>0.39583333333333331</v>
      </c>
      <c r="BU1175" t="s">
        <v>1889</v>
      </c>
      <c r="BV1175" t="s">
        <v>98</v>
      </c>
      <c r="BY1175">
        <v>46656</v>
      </c>
      <c r="BZ1175" t="s">
        <v>89</v>
      </c>
      <c r="CA1175" t="s">
        <v>423</v>
      </c>
      <c r="CC1175" t="s">
        <v>169</v>
      </c>
      <c r="CD1175">
        <v>6001</v>
      </c>
      <c r="CE1175" t="s">
        <v>1377</v>
      </c>
      <c r="CF1175" s="3">
        <v>45848</v>
      </c>
      <c r="CI1175">
        <v>1</v>
      </c>
      <c r="CJ1175">
        <v>1</v>
      </c>
      <c r="CK1175">
        <v>21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"080066456728"</f>
        <v>080066456728</v>
      </c>
      <c r="F1176" s="3">
        <v>45847</v>
      </c>
      <c r="G1176">
        <v>202604</v>
      </c>
      <c r="H1176" t="s">
        <v>75</v>
      </c>
      <c r="I1176" t="s">
        <v>76</v>
      </c>
      <c r="J1176" t="s">
        <v>77</v>
      </c>
      <c r="K1176" t="s">
        <v>78</v>
      </c>
      <c r="L1176" t="s">
        <v>168</v>
      </c>
      <c r="M1176" t="s">
        <v>169</v>
      </c>
      <c r="N1176" t="s">
        <v>206</v>
      </c>
      <c r="O1176" t="s">
        <v>82</v>
      </c>
      <c r="P1176" t="str">
        <f>"4170047781                    "</f>
        <v xml:space="preserve">4170047781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22.6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0.3</v>
      </c>
      <c r="BK1176">
        <v>1</v>
      </c>
      <c r="BL1176">
        <v>71.2</v>
      </c>
      <c r="BM1176">
        <v>10.68</v>
      </c>
      <c r="BN1176">
        <v>81.88</v>
      </c>
      <c r="BO1176">
        <v>81.88</v>
      </c>
      <c r="BQ1176" t="s">
        <v>207</v>
      </c>
      <c r="BR1176" t="s">
        <v>84</v>
      </c>
      <c r="BS1176" s="3">
        <v>45848</v>
      </c>
      <c r="BT1176" s="4">
        <v>0.40555555555555556</v>
      </c>
      <c r="BU1176" t="s">
        <v>1483</v>
      </c>
      <c r="BV1176" t="s">
        <v>98</v>
      </c>
      <c r="BY1176">
        <v>1350</v>
      </c>
      <c r="BZ1176" t="s">
        <v>89</v>
      </c>
      <c r="CA1176" t="s">
        <v>196</v>
      </c>
      <c r="CC1176" t="s">
        <v>169</v>
      </c>
      <c r="CD1176">
        <v>6001</v>
      </c>
      <c r="CE1176" t="s">
        <v>1868</v>
      </c>
      <c r="CF1176" s="3">
        <v>45848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"080066456729"</f>
        <v>080066456729</v>
      </c>
      <c r="F1177" s="3">
        <v>45847</v>
      </c>
      <c r="G1177">
        <v>202604</v>
      </c>
      <c r="H1177" t="s">
        <v>75</v>
      </c>
      <c r="I1177" t="s">
        <v>76</v>
      </c>
      <c r="J1177" t="s">
        <v>77</v>
      </c>
      <c r="K1177" t="s">
        <v>78</v>
      </c>
      <c r="L1177" t="s">
        <v>1677</v>
      </c>
      <c r="M1177" t="s">
        <v>1678</v>
      </c>
      <c r="N1177" t="s">
        <v>1890</v>
      </c>
      <c r="O1177" t="s">
        <v>95</v>
      </c>
      <c r="P1177" t="str">
        <f>"4170047817                    "</f>
        <v xml:space="preserve">4170047817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71.08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10</v>
      </c>
      <c r="BJ1177">
        <v>17.7</v>
      </c>
      <c r="BK1177">
        <v>18</v>
      </c>
      <c r="BL1177">
        <v>229.81</v>
      </c>
      <c r="BM1177">
        <v>34.47</v>
      </c>
      <c r="BN1177">
        <v>264.27999999999997</v>
      </c>
      <c r="BO1177">
        <v>264.27999999999997</v>
      </c>
      <c r="BQ1177" t="s">
        <v>1891</v>
      </c>
      <c r="BR1177" t="s">
        <v>84</v>
      </c>
      <c r="BS1177" s="3">
        <v>45848</v>
      </c>
      <c r="BT1177" s="4">
        <v>0.54166666666666663</v>
      </c>
      <c r="BU1177" t="s">
        <v>1891</v>
      </c>
      <c r="BV1177" t="s">
        <v>98</v>
      </c>
      <c r="BY1177">
        <v>88320</v>
      </c>
      <c r="BZ1177" t="s">
        <v>99</v>
      </c>
      <c r="CA1177" t="s">
        <v>1892</v>
      </c>
      <c r="CC1177" t="s">
        <v>1678</v>
      </c>
      <c r="CD1177">
        <v>1039</v>
      </c>
      <c r="CE1177" t="s">
        <v>117</v>
      </c>
      <c r="CF1177" s="3">
        <v>45848</v>
      </c>
      <c r="CI1177">
        <v>1</v>
      </c>
      <c r="CJ1177">
        <v>1</v>
      </c>
      <c r="CK1177">
        <v>43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"080066456752"</f>
        <v>080066456752</v>
      </c>
      <c r="F1178" s="3">
        <v>45847</v>
      </c>
      <c r="G1178">
        <v>202604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301</v>
      </c>
      <c r="O1178" t="s">
        <v>82</v>
      </c>
      <c r="P1178" t="str">
        <f>"4170047055                    "</f>
        <v xml:space="preserve">4170047055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17.649999999999999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0.3</v>
      </c>
      <c r="BK1178">
        <v>1</v>
      </c>
      <c r="BL1178">
        <v>55.61</v>
      </c>
      <c r="BM1178">
        <v>8.34</v>
      </c>
      <c r="BN1178">
        <v>63.95</v>
      </c>
      <c r="BO1178">
        <v>63.95</v>
      </c>
      <c r="BQ1178" t="s">
        <v>302</v>
      </c>
      <c r="BR1178" t="s">
        <v>84</v>
      </c>
      <c r="BS1178" s="3">
        <v>45848</v>
      </c>
      <c r="BT1178" s="4">
        <v>0.35833333333333334</v>
      </c>
      <c r="BU1178" t="s">
        <v>1881</v>
      </c>
      <c r="BV1178" t="s">
        <v>98</v>
      </c>
      <c r="BY1178">
        <v>1350</v>
      </c>
      <c r="BZ1178" t="s">
        <v>89</v>
      </c>
      <c r="CA1178" t="s">
        <v>304</v>
      </c>
      <c r="CC1178" t="s">
        <v>76</v>
      </c>
      <c r="CD1178">
        <v>1600</v>
      </c>
      <c r="CE1178" t="s">
        <v>1868</v>
      </c>
      <c r="CF1178" s="3">
        <v>45848</v>
      </c>
      <c r="CI1178">
        <v>1</v>
      </c>
      <c r="CJ1178">
        <v>1</v>
      </c>
      <c r="CK1178">
        <v>22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"080066456759"</f>
        <v>080066456759</v>
      </c>
      <c r="F1179" s="3">
        <v>45847</v>
      </c>
      <c r="G1179">
        <v>202604</v>
      </c>
      <c r="H1179" t="s">
        <v>75</v>
      </c>
      <c r="I1179" t="s">
        <v>76</v>
      </c>
      <c r="J1179" t="s">
        <v>77</v>
      </c>
      <c r="K1179" t="s">
        <v>78</v>
      </c>
      <c r="L1179" t="s">
        <v>151</v>
      </c>
      <c r="M1179" t="s">
        <v>152</v>
      </c>
      <c r="N1179" t="s">
        <v>1568</v>
      </c>
      <c r="O1179" t="s">
        <v>95</v>
      </c>
      <c r="P1179" t="str">
        <f>"4170047763                    "</f>
        <v xml:space="preserve">4170047763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49.11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6</v>
      </c>
      <c r="BJ1179">
        <v>17.7</v>
      </c>
      <c r="BK1179">
        <v>18</v>
      </c>
      <c r="BL1179">
        <v>160.6</v>
      </c>
      <c r="BM1179">
        <v>24.09</v>
      </c>
      <c r="BN1179">
        <v>184.69</v>
      </c>
      <c r="BO1179">
        <v>184.69</v>
      </c>
      <c r="BQ1179" t="s">
        <v>1569</v>
      </c>
      <c r="BR1179" t="s">
        <v>84</v>
      </c>
      <c r="BS1179" s="3">
        <v>45848</v>
      </c>
      <c r="BT1179" s="4">
        <v>0.33124999999999999</v>
      </c>
      <c r="BU1179" t="s">
        <v>1570</v>
      </c>
      <c r="BV1179" t="s">
        <v>98</v>
      </c>
      <c r="BY1179">
        <v>88320</v>
      </c>
      <c r="BZ1179" t="s">
        <v>99</v>
      </c>
      <c r="CA1179" t="s">
        <v>906</v>
      </c>
      <c r="CC1179" t="s">
        <v>152</v>
      </c>
      <c r="CD1179" s="5" t="s">
        <v>907</v>
      </c>
      <c r="CE1179" t="s">
        <v>117</v>
      </c>
      <c r="CF1179" s="3">
        <v>45848</v>
      </c>
      <c r="CI1179">
        <v>1</v>
      </c>
      <c r="CJ1179">
        <v>1</v>
      </c>
      <c r="CK1179">
        <v>41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"080066456785"</f>
        <v>080066456785</v>
      </c>
      <c r="F1180" s="3">
        <v>45847</v>
      </c>
      <c r="G1180">
        <v>202604</v>
      </c>
      <c r="H1180" t="s">
        <v>75</v>
      </c>
      <c r="I1180" t="s">
        <v>76</v>
      </c>
      <c r="J1180" t="s">
        <v>77</v>
      </c>
      <c r="K1180" t="s">
        <v>78</v>
      </c>
      <c r="L1180" t="s">
        <v>75</v>
      </c>
      <c r="M1180" t="s">
        <v>76</v>
      </c>
      <c r="N1180" t="s">
        <v>118</v>
      </c>
      <c r="O1180" t="s">
        <v>82</v>
      </c>
      <c r="P1180" t="str">
        <f>"4170047801                    "</f>
        <v xml:space="preserve">4170047801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17.649999999999999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0.7</v>
      </c>
      <c r="BK1180">
        <v>1</v>
      </c>
      <c r="BL1180">
        <v>55.61</v>
      </c>
      <c r="BM1180">
        <v>8.34</v>
      </c>
      <c r="BN1180">
        <v>63.95</v>
      </c>
      <c r="BO1180">
        <v>63.95</v>
      </c>
      <c r="BQ1180" t="s">
        <v>119</v>
      </c>
      <c r="BR1180" t="s">
        <v>84</v>
      </c>
      <c r="BS1180" s="3">
        <v>45848</v>
      </c>
      <c r="BT1180" s="4">
        <v>0.34583333333333333</v>
      </c>
      <c r="BU1180" t="s">
        <v>1363</v>
      </c>
      <c r="BV1180" t="s">
        <v>98</v>
      </c>
      <c r="BY1180">
        <v>3584</v>
      </c>
      <c r="BZ1180" t="s">
        <v>89</v>
      </c>
      <c r="CA1180" t="s">
        <v>213</v>
      </c>
      <c r="CC1180" t="s">
        <v>76</v>
      </c>
      <c r="CD1180">
        <v>1600</v>
      </c>
      <c r="CE1180" t="s">
        <v>91</v>
      </c>
      <c r="CF1180" s="3">
        <v>45849</v>
      </c>
      <c r="CI1180">
        <v>1</v>
      </c>
      <c r="CJ1180">
        <v>1</v>
      </c>
      <c r="CK1180">
        <v>22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"080066456828"</f>
        <v>080066456828</v>
      </c>
      <c r="F1181" s="3">
        <v>45847</v>
      </c>
      <c r="G1181">
        <v>202604</v>
      </c>
      <c r="H1181" t="s">
        <v>75</v>
      </c>
      <c r="I1181" t="s">
        <v>76</v>
      </c>
      <c r="J1181" t="s">
        <v>77</v>
      </c>
      <c r="K1181" t="s">
        <v>78</v>
      </c>
      <c r="L1181" t="s">
        <v>758</v>
      </c>
      <c r="M1181" t="s">
        <v>759</v>
      </c>
      <c r="N1181" t="s">
        <v>760</v>
      </c>
      <c r="O1181" t="s">
        <v>82</v>
      </c>
      <c r="P1181" t="str">
        <f>"4170047789                    "</f>
        <v xml:space="preserve">4170047789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43.78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0.6</v>
      </c>
      <c r="BK1181">
        <v>2</v>
      </c>
      <c r="BL1181">
        <v>137.94</v>
      </c>
      <c r="BM1181">
        <v>20.69</v>
      </c>
      <c r="BN1181">
        <v>158.63</v>
      </c>
      <c r="BO1181">
        <v>158.63</v>
      </c>
      <c r="BQ1181" t="s">
        <v>761</v>
      </c>
      <c r="BR1181" t="s">
        <v>84</v>
      </c>
      <c r="BS1181" s="3">
        <v>45848</v>
      </c>
      <c r="BT1181" s="4">
        <v>0.39374999999999999</v>
      </c>
      <c r="BU1181" t="s">
        <v>1819</v>
      </c>
      <c r="BV1181" t="s">
        <v>98</v>
      </c>
      <c r="BY1181">
        <v>3192</v>
      </c>
      <c r="BZ1181" t="s">
        <v>89</v>
      </c>
      <c r="CA1181" t="s">
        <v>763</v>
      </c>
      <c r="CC1181" t="s">
        <v>759</v>
      </c>
      <c r="CD1181">
        <v>2531</v>
      </c>
      <c r="CE1181" t="s">
        <v>117</v>
      </c>
      <c r="CF1181" s="3">
        <v>45849</v>
      </c>
      <c r="CI1181">
        <v>1</v>
      </c>
      <c r="CJ1181">
        <v>1</v>
      </c>
      <c r="CK1181">
        <v>23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"080066456878"</f>
        <v>080066456878</v>
      </c>
      <c r="F1182" s="3">
        <v>45847</v>
      </c>
      <c r="G1182">
        <v>202604</v>
      </c>
      <c r="H1182" t="s">
        <v>75</v>
      </c>
      <c r="I1182" t="s">
        <v>76</v>
      </c>
      <c r="J1182" t="s">
        <v>77</v>
      </c>
      <c r="K1182" t="s">
        <v>78</v>
      </c>
      <c r="L1182" t="s">
        <v>92</v>
      </c>
      <c r="M1182" t="s">
        <v>93</v>
      </c>
      <c r="N1182" t="s">
        <v>723</v>
      </c>
      <c r="O1182" t="s">
        <v>82</v>
      </c>
      <c r="P1182" t="str">
        <f>"4170047804                    "</f>
        <v xml:space="preserve">4170047804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22.6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0.9</v>
      </c>
      <c r="BK1182">
        <v>1</v>
      </c>
      <c r="BL1182">
        <v>71.2</v>
      </c>
      <c r="BM1182">
        <v>10.68</v>
      </c>
      <c r="BN1182">
        <v>81.88</v>
      </c>
      <c r="BO1182">
        <v>81.88</v>
      </c>
      <c r="BQ1182" t="s">
        <v>724</v>
      </c>
      <c r="BR1182" t="s">
        <v>84</v>
      </c>
      <c r="BS1182" s="3">
        <v>45848</v>
      </c>
      <c r="BT1182" s="4">
        <v>0.4513888888888889</v>
      </c>
      <c r="BU1182" t="s">
        <v>354</v>
      </c>
      <c r="BV1182" t="s">
        <v>86</v>
      </c>
      <c r="BY1182">
        <v>4560</v>
      </c>
      <c r="BZ1182" t="s">
        <v>89</v>
      </c>
      <c r="CA1182" t="s">
        <v>166</v>
      </c>
      <c r="CC1182" t="s">
        <v>93</v>
      </c>
      <c r="CD1182">
        <v>4000</v>
      </c>
      <c r="CE1182" t="s">
        <v>117</v>
      </c>
      <c r="CF1182" s="3">
        <v>45849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"080066456935"</f>
        <v>080066456935</v>
      </c>
      <c r="F1183" s="3">
        <v>45847</v>
      </c>
      <c r="G1183">
        <v>202604</v>
      </c>
      <c r="H1183" t="s">
        <v>75</v>
      </c>
      <c r="I1183" t="s">
        <v>76</v>
      </c>
      <c r="J1183" t="s">
        <v>77</v>
      </c>
      <c r="K1183" t="s">
        <v>78</v>
      </c>
      <c r="L1183" t="s">
        <v>92</v>
      </c>
      <c r="M1183" t="s">
        <v>93</v>
      </c>
      <c r="N1183" t="s">
        <v>1893</v>
      </c>
      <c r="O1183" t="s">
        <v>95</v>
      </c>
      <c r="P1183" t="str">
        <f>"4170047821                    "</f>
        <v xml:space="preserve">4170047821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43.7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</v>
      </c>
      <c r="BJ1183">
        <v>1.3</v>
      </c>
      <c r="BK1183">
        <v>3</v>
      </c>
      <c r="BL1183">
        <v>143.55000000000001</v>
      </c>
      <c r="BM1183">
        <v>21.53</v>
      </c>
      <c r="BN1183">
        <v>165.08</v>
      </c>
      <c r="BO1183">
        <v>165.08</v>
      </c>
      <c r="BQ1183" t="s">
        <v>1894</v>
      </c>
      <c r="BR1183" t="s">
        <v>84</v>
      </c>
      <c r="BS1183" s="3">
        <v>45848</v>
      </c>
      <c r="BT1183" s="4">
        <v>0.55763888888888891</v>
      </c>
      <c r="BU1183" t="s">
        <v>1895</v>
      </c>
      <c r="BV1183" t="s">
        <v>98</v>
      </c>
      <c r="BY1183">
        <v>6555</v>
      </c>
      <c r="BZ1183" t="s">
        <v>99</v>
      </c>
      <c r="CA1183" t="s">
        <v>1896</v>
      </c>
      <c r="CC1183" t="s">
        <v>93</v>
      </c>
      <c r="CD1183">
        <v>4001</v>
      </c>
      <c r="CE1183" t="s">
        <v>1303</v>
      </c>
      <c r="CF1183" s="3">
        <v>45849</v>
      </c>
      <c r="CI1183">
        <v>1</v>
      </c>
      <c r="CJ1183">
        <v>1</v>
      </c>
      <c r="CK1183">
        <v>41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"080066456978"</f>
        <v>080066456978</v>
      </c>
      <c r="F1184" s="3">
        <v>45847</v>
      </c>
      <c r="G1184">
        <v>202604</v>
      </c>
      <c r="H1184" t="s">
        <v>75</v>
      </c>
      <c r="I1184" t="s">
        <v>76</v>
      </c>
      <c r="J1184" t="s">
        <v>77</v>
      </c>
      <c r="K1184" t="s">
        <v>78</v>
      </c>
      <c r="L1184" t="s">
        <v>168</v>
      </c>
      <c r="M1184" t="s">
        <v>169</v>
      </c>
      <c r="N1184" t="s">
        <v>206</v>
      </c>
      <c r="O1184" t="s">
        <v>82</v>
      </c>
      <c r="P1184" t="str">
        <f>"4170047729                    "</f>
        <v xml:space="preserve">4170047729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22.6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1.1000000000000001</v>
      </c>
      <c r="BK1184">
        <v>1.5</v>
      </c>
      <c r="BL1184">
        <v>71.2</v>
      </c>
      <c r="BM1184">
        <v>10.68</v>
      </c>
      <c r="BN1184">
        <v>81.88</v>
      </c>
      <c r="BO1184">
        <v>81.88</v>
      </c>
      <c r="BQ1184" t="s">
        <v>207</v>
      </c>
      <c r="BR1184" t="s">
        <v>84</v>
      </c>
      <c r="BS1184" s="3">
        <v>45848</v>
      </c>
      <c r="BT1184" s="4">
        <v>0.40555555555555556</v>
      </c>
      <c r="BU1184" t="s">
        <v>1483</v>
      </c>
      <c r="BV1184" t="s">
        <v>98</v>
      </c>
      <c r="BY1184">
        <v>5320</v>
      </c>
      <c r="BZ1184" t="s">
        <v>89</v>
      </c>
      <c r="CA1184" t="s">
        <v>196</v>
      </c>
      <c r="CC1184" t="s">
        <v>169</v>
      </c>
      <c r="CD1184">
        <v>6001</v>
      </c>
      <c r="CE1184" t="s">
        <v>117</v>
      </c>
      <c r="CF1184" s="3">
        <v>45848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"080066457022"</f>
        <v>080066457022</v>
      </c>
      <c r="F1185" s="3">
        <v>45847</v>
      </c>
      <c r="G1185">
        <v>202604</v>
      </c>
      <c r="H1185" t="s">
        <v>75</v>
      </c>
      <c r="I1185" t="s">
        <v>76</v>
      </c>
      <c r="J1185" t="s">
        <v>77</v>
      </c>
      <c r="K1185" t="s">
        <v>78</v>
      </c>
      <c r="L1185" t="s">
        <v>305</v>
      </c>
      <c r="M1185" t="s">
        <v>306</v>
      </c>
      <c r="N1185" t="s">
        <v>1320</v>
      </c>
      <c r="O1185" t="s">
        <v>82</v>
      </c>
      <c r="P1185" t="str">
        <f>"4170047825                    "</f>
        <v xml:space="preserve">4170047825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33.89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3</v>
      </c>
      <c r="BK1185">
        <v>3</v>
      </c>
      <c r="BL1185">
        <v>106.77</v>
      </c>
      <c r="BM1185">
        <v>16.02</v>
      </c>
      <c r="BN1185">
        <v>122.79</v>
      </c>
      <c r="BO1185">
        <v>122.79</v>
      </c>
      <c r="BQ1185" t="s">
        <v>308</v>
      </c>
      <c r="BR1185" t="s">
        <v>84</v>
      </c>
      <c r="BS1185" s="3">
        <v>45848</v>
      </c>
      <c r="BT1185" s="4">
        <v>0.5</v>
      </c>
      <c r="BU1185" t="s">
        <v>1378</v>
      </c>
      <c r="BV1185" t="s">
        <v>86</v>
      </c>
      <c r="BY1185">
        <v>15232</v>
      </c>
      <c r="BZ1185" t="s">
        <v>89</v>
      </c>
      <c r="CA1185" t="s">
        <v>310</v>
      </c>
      <c r="CC1185" t="s">
        <v>306</v>
      </c>
      <c r="CD1185">
        <v>5201</v>
      </c>
      <c r="CE1185" t="s">
        <v>91</v>
      </c>
      <c r="CF1185" s="3">
        <v>45848</v>
      </c>
      <c r="CI1185">
        <v>1</v>
      </c>
      <c r="CJ1185">
        <v>1</v>
      </c>
      <c r="CK1185">
        <v>21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"080066457043"</f>
        <v>080066457043</v>
      </c>
      <c r="F1186" s="3">
        <v>45847</v>
      </c>
      <c r="G1186">
        <v>202604</v>
      </c>
      <c r="H1186" t="s">
        <v>75</v>
      </c>
      <c r="I1186" t="s">
        <v>76</v>
      </c>
      <c r="J1186" t="s">
        <v>77</v>
      </c>
      <c r="K1186" t="s">
        <v>78</v>
      </c>
      <c r="L1186" t="s">
        <v>146</v>
      </c>
      <c r="M1186" t="s">
        <v>146</v>
      </c>
      <c r="N1186" t="s">
        <v>986</v>
      </c>
      <c r="O1186" t="s">
        <v>82</v>
      </c>
      <c r="P1186" t="str">
        <f>"4170047819                    "</f>
        <v xml:space="preserve">4170047819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43.78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0.6</v>
      </c>
      <c r="BK1186">
        <v>1</v>
      </c>
      <c r="BL1186">
        <v>137.94</v>
      </c>
      <c r="BM1186">
        <v>20.69</v>
      </c>
      <c r="BN1186">
        <v>158.63</v>
      </c>
      <c r="BO1186">
        <v>158.63</v>
      </c>
      <c r="BQ1186" t="s">
        <v>987</v>
      </c>
      <c r="BR1186" t="s">
        <v>84</v>
      </c>
      <c r="BS1186" s="3">
        <v>45848</v>
      </c>
      <c r="BT1186" s="4">
        <v>0.49861111111111112</v>
      </c>
      <c r="BU1186" t="s">
        <v>1748</v>
      </c>
      <c r="BV1186" t="s">
        <v>98</v>
      </c>
      <c r="BY1186">
        <v>3192</v>
      </c>
      <c r="BZ1186" t="s">
        <v>89</v>
      </c>
      <c r="CA1186" t="s">
        <v>989</v>
      </c>
      <c r="CC1186" t="s">
        <v>146</v>
      </c>
      <c r="CD1186">
        <v>7646</v>
      </c>
      <c r="CE1186" t="s">
        <v>117</v>
      </c>
      <c r="CF1186" s="3">
        <v>45849</v>
      </c>
      <c r="CI1186">
        <v>1</v>
      </c>
      <c r="CJ1186">
        <v>1</v>
      </c>
      <c r="CK1186">
        <v>23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"080066457092"</f>
        <v>080066457092</v>
      </c>
      <c r="F1187" s="3">
        <v>45847</v>
      </c>
      <c r="G1187">
        <v>202604</v>
      </c>
      <c r="H1187" t="s">
        <v>75</v>
      </c>
      <c r="I1187" t="s">
        <v>76</v>
      </c>
      <c r="J1187" t="s">
        <v>77</v>
      </c>
      <c r="K1187" t="s">
        <v>78</v>
      </c>
      <c r="L1187" t="s">
        <v>92</v>
      </c>
      <c r="M1187" t="s">
        <v>93</v>
      </c>
      <c r="N1187" t="s">
        <v>1090</v>
      </c>
      <c r="O1187" t="s">
        <v>82</v>
      </c>
      <c r="P1187" t="str">
        <f>"4170047690                    "</f>
        <v xml:space="preserve">4170047690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73.400000000000006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4</v>
      </c>
      <c r="BJ1187">
        <v>6.4</v>
      </c>
      <c r="BK1187">
        <v>6.5</v>
      </c>
      <c r="BL1187">
        <v>231.26</v>
      </c>
      <c r="BM1187">
        <v>34.69</v>
      </c>
      <c r="BN1187">
        <v>265.95</v>
      </c>
      <c r="BO1187">
        <v>265.95</v>
      </c>
      <c r="BQ1187" t="s">
        <v>1091</v>
      </c>
      <c r="BR1187" t="s">
        <v>84</v>
      </c>
      <c r="BS1187" s="3">
        <v>45848</v>
      </c>
      <c r="BT1187" s="4">
        <v>0.42499999999999999</v>
      </c>
      <c r="BU1187" t="s">
        <v>1897</v>
      </c>
      <c r="BV1187" t="s">
        <v>98</v>
      </c>
      <c r="BY1187">
        <v>31824</v>
      </c>
      <c r="BZ1187" t="s">
        <v>89</v>
      </c>
      <c r="CA1187" t="s">
        <v>1898</v>
      </c>
      <c r="CC1187" t="s">
        <v>93</v>
      </c>
      <c r="CD1187">
        <v>4001</v>
      </c>
      <c r="CE1187" t="s">
        <v>91</v>
      </c>
      <c r="CF1187" s="3">
        <v>45849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"R080066412562"</f>
        <v>R080066412562</v>
      </c>
      <c r="F1188" s="3">
        <v>45847</v>
      </c>
      <c r="G1188">
        <v>202604</v>
      </c>
      <c r="H1188" t="s">
        <v>92</v>
      </c>
      <c r="I1188" t="s">
        <v>93</v>
      </c>
      <c r="J1188" t="s">
        <v>94</v>
      </c>
      <c r="K1188" t="s">
        <v>78</v>
      </c>
      <c r="L1188" t="s">
        <v>75</v>
      </c>
      <c r="M1188" t="s">
        <v>76</v>
      </c>
      <c r="N1188" t="s">
        <v>77</v>
      </c>
      <c r="O1188" t="s">
        <v>95</v>
      </c>
      <c r="P1188" t="str">
        <f>"4170047213                    "</f>
        <v xml:space="preserve">4170047213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45.5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16</v>
      </c>
      <c r="BJ1188">
        <v>8.1</v>
      </c>
      <c r="BK1188">
        <v>16</v>
      </c>
      <c r="BL1188">
        <v>149.22999999999999</v>
      </c>
      <c r="BM1188">
        <v>22.38</v>
      </c>
      <c r="BN1188">
        <v>171.61</v>
      </c>
      <c r="BO1188">
        <v>171.61</v>
      </c>
      <c r="BQ1188" t="s">
        <v>84</v>
      </c>
      <c r="BR1188" t="s">
        <v>96</v>
      </c>
      <c r="BS1188" s="3">
        <v>45848</v>
      </c>
      <c r="BT1188" s="4">
        <v>0.4201388888888889</v>
      </c>
      <c r="BU1188" t="s">
        <v>1899</v>
      </c>
      <c r="BV1188" t="s">
        <v>98</v>
      </c>
      <c r="BY1188">
        <v>40320</v>
      </c>
      <c r="BZ1188" t="s">
        <v>99</v>
      </c>
      <c r="CA1188" t="s">
        <v>304</v>
      </c>
      <c r="CC1188" t="s">
        <v>76</v>
      </c>
      <c r="CD1188">
        <v>1601</v>
      </c>
      <c r="CE1188" t="s">
        <v>226</v>
      </c>
      <c r="CF1188" s="3">
        <v>45848</v>
      </c>
      <c r="CI1188">
        <v>1</v>
      </c>
      <c r="CJ1188">
        <v>1</v>
      </c>
      <c r="CK1188">
        <v>41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"080011563937"</f>
        <v>080011563937</v>
      </c>
      <c r="F1189" s="3">
        <v>45848</v>
      </c>
      <c r="G1189">
        <v>202604</v>
      </c>
      <c r="H1189" t="s">
        <v>122</v>
      </c>
      <c r="I1189" t="s">
        <v>123</v>
      </c>
      <c r="J1189" t="s">
        <v>1900</v>
      </c>
      <c r="K1189" t="s">
        <v>78</v>
      </c>
      <c r="L1189" t="s">
        <v>75</v>
      </c>
      <c r="M1189" t="s">
        <v>76</v>
      </c>
      <c r="N1189" t="s">
        <v>228</v>
      </c>
      <c r="O1189" t="s">
        <v>82</v>
      </c>
      <c r="P1189" t="str">
        <f>"ZA1001396353                  "</f>
        <v xml:space="preserve">ZA1001396353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33.89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3</v>
      </c>
      <c r="BJ1189">
        <v>2.4</v>
      </c>
      <c r="BK1189">
        <v>3</v>
      </c>
      <c r="BL1189">
        <v>106.77</v>
      </c>
      <c r="BM1189">
        <v>16.02</v>
      </c>
      <c r="BN1189">
        <v>122.79</v>
      </c>
      <c r="BO1189">
        <v>122.79</v>
      </c>
      <c r="BP1189" t="s">
        <v>587</v>
      </c>
      <c r="BQ1189" t="s">
        <v>230</v>
      </c>
      <c r="BR1189" t="s">
        <v>1901</v>
      </c>
      <c r="BS1189" s="3">
        <v>45849</v>
      </c>
      <c r="BT1189" s="4">
        <v>0.39930555555555558</v>
      </c>
      <c r="BU1189" t="s">
        <v>232</v>
      </c>
      <c r="BV1189" t="s">
        <v>98</v>
      </c>
      <c r="BY1189">
        <v>12000</v>
      </c>
      <c r="BZ1189" t="s">
        <v>89</v>
      </c>
      <c r="CA1189" t="s">
        <v>304</v>
      </c>
      <c r="CC1189" t="s">
        <v>76</v>
      </c>
      <c r="CD1189">
        <v>1618</v>
      </c>
      <c r="CE1189" t="s">
        <v>233</v>
      </c>
      <c r="CF1189" s="3">
        <v>45849</v>
      </c>
      <c r="CI1189">
        <v>1</v>
      </c>
      <c r="CJ1189">
        <v>1</v>
      </c>
      <c r="CK1189">
        <v>21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"080011563974"</f>
        <v>080011563974</v>
      </c>
      <c r="F1190" s="3">
        <v>45848</v>
      </c>
      <c r="G1190">
        <v>202604</v>
      </c>
      <c r="H1190" t="s">
        <v>79</v>
      </c>
      <c r="I1190" t="s">
        <v>80</v>
      </c>
      <c r="J1190" t="s">
        <v>589</v>
      </c>
      <c r="K1190" t="s">
        <v>78</v>
      </c>
      <c r="L1190" t="s">
        <v>75</v>
      </c>
      <c r="M1190" t="s">
        <v>76</v>
      </c>
      <c r="N1190" t="s">
        <v>228</v>
      </c>
      <c r="O1190" t="s">
        <v>95</v>
      </c>
      <c r="P1190" t="str">
        <f>"ZA1001396222                  "</f>
        <v xml:space="preserve">ZA1001396222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123.09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4</v>
      </c>
      <c r="BI1190">
        <v>58.6</v>
      </c>
      <c r="BJ1190">
        <v>39.6</v>
      </c>
      <c r="BK1190">
        <v>59</v>
      </c>
      <c r="BL1190">
        <v>393.66</v>
      </c>
      <c r="BM1190">
        <v>59.05</v>
      </c>
      <c r="BN1190">
        <v>452.71</v>
      </c>
      <c r="BO1190">
        <v>452.71</v>
      </c>
      <c r="BP1190" t="s">
        <v>587</v>
      </c>
      <c r="BQ1190" t="s">
        <v>230</v>
      </c>
      <c r="BR1190" t="s">
        <v>1902</v>
      </c>
      <c r="BS1190" s="3">
        <v>45852</v>
      </c>
      <c r="BT1190" s="4">
        <v>0.36875000000000002</v>
      </c>
      <c r="BU1190" t="s">
        <v>232</v>
      </c>
      <c r="BV1190" t="s">
        <v>98</v>
      </c>
      <c r="BY1190">
        <v>198064.18</v>
      </c>
      <c r="BZ1190" t="s">
        <v>99</v>
      </c>
      <c r="CA1190" t="s">
        <v>304</v>
      </c>
      <c r="CC1190" t="s">
        <v>76</v>
      </c>
      <c r="CD1190">
        <v>1619</v>
      </c>
      <c r="CE1190" t="s">
        <v>1903</v>
      </c>
      <c r="CF1190" s="3">
        <v>45853</v>
      </c>
      <c r="CI1190">
        <v>3</v>
      </c>
      <c r="CJ1190">
        <v>2</v>
      </c>
      <c r="CK1190">
        <v>41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"080011563991"</f>
        <v>080011563991</v>
      </c>
      <c r="F1191" s="3">
        <v>45848</v>
      </c>
      <c r="G1191">
        <v>202604</v>
      </c>
      <c r="H1191" t="s">
        <v>197</v>
      </c>
      <c r="I1191" t="s">
        <v>198</v>
      </c>
      <c r="J1191" t="s">
        <v>1432</v>
      </c>
      <c r="K1191" t="s">
        <v>78</v>
      </c>
      <c r="L1191" t="s">
        <v>75</v>
      </c>
      <c r="M1191" t="s">
        <v>76</v>
      </c>
      <c r="N1191" t="s">
        <v>228</v>
      </c>
      <c r="O1191" t="s">
        <v>82</v>
      </c>
      <c r="P1191" t="str">
        <f>"ZA1001395763                  "</f>
        <v xml:space="preserve">ZA1001395763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17.649999999999999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3.5</v>
      </c>
      <c r="BJ1191">
        <v>2.7</v>
      </c>
      <c r="BK1191">
        <v>4</v>
      </c>
      <c r="BL1191">
        <v>55.61</v>
      </c>
      <c r="BM1191">
        <v>8.34</v>
      </c>
      <c r="BN1191">
        <v>63.95</v>
      </c>
      <c r="BO1191">
        <v>63.95</v>
      </c>
      <c r="BP1191" t="s">
        <v>587</v>
      </c>
      <c r="BQ1191" t="s">
        <v>230</v>
      </c>
      <c r="BR1191" t="s">
        <v>1433</v>
      </c>
      <c r="BS1191" s="3">
        <v>45849</v>
      </c>
      <c r="BT1191" s="4">
        <v>0.39791666666666664</v>
      </c>
      <c r="BU1191" t="s">
        <v>232</v>
      </c>
      <c r="BV1191" t="s">
        <v>98</v>
      </c>
      <c r="BY1191">
        <v>13362.72</v>
      </c>
      <c r="BZ1191" t="s">
        <v>89</v>
      </c>
      <c r="CA1191" t="s">
        <v>304</v>
      </c>
      <c r="CC1191" t="s">
        <v>76</v>
      </c>
      <c r="CD1191">
        <v>1619</v>
      </c>
      <c r="CE1191" t="s">
        <v>233</v>
      </c>
      <c r="CF1191" s="3">
        <v>45849</v>
      </c>
      <c r="CI1191">
        <v>1</v>
      </c>
      <c r="CJ1191">
        <v>1</v>
      </c>
      <c r="CK1191">
        <v>22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"R080066426328"</f>
        <v>R080066426328</v>
      </c>
      <c r="F1192" s="3">
        <v>45848</v>
      </c>
      <c r="G1192">
        <v>202604</v>
      </c>
      <c r="H1192" t="s">
        <v>75</v>
      </c>
      <c r="I1192" t="s">
        <v>76</v>
      </c>
      <c r="J1192" t="s">
        <v>809</v>
      </c>
      <c r="K1192" t="s">
        <v>78</v>
      </c>
      <c r="L1192" t="s">
        <v>75</v>
      </c>
      <c r="M1192" t="s">
        <v>76</v>
      </c>
      <c r="N1192" t="s">
        <v>77</v>
      </c>
      <c r="O1192" t="s">
        <v>95</v>
      </c>
      <c r="P1192" t="str">
        <f>"4170047426                    "</f>
        <v xml:space="preserve">4170047426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33.72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5</v>
      </c>
      <c r="BJ1192">
        <v>2.1</v>
      </c>
      <c r="BK1192">
        <v>5</v>
      </c>
      <c r="BL1192">
        <v>112.11</v>
      </c>
      <c r="BM1192">
        <v>16.82</v>
      </c>
      <c r="BN1192">
        <v>128.93</v>
      </c>
      <c r="BO1192">
        <v>128.93</v>
      </c>
      <c r="BQ1192" t="s">
        <v>84</v>
      </c>
      <c r="BR1192" t="s">
        <v>810</v>
      </c>
      <c r="BS1192" s="3">
        <v>45849</v>
      </c>
      <c r="BT1192" s="4">
        <v>0.39791666666666664</v>
      </c>
      <c r="BU1192" t="s">
        <v>232</v>
      </c>
      <c r="BV1192" t="s">
        <v>98</v>
      </c>
      <c r="BY1192">
        <v>10584</v>
      </c>
      <c r="BZ1192" t="s">
        <v>99</v>
      </c>
      <c r="CA1192" t="s">
        <v>304</v>
      </c>
      <c r="CC1192" t="s">
        <v>76</v>
      </c>
      <c r="CD1192">
        <v>1601</v>
      </c>
      <c r="CE1192" t="s">
        <v>91</v>
      </c>
      <c r="CF1192" s="3">
        <v>45849</v>
      </c>
      <c r="CI1192">
        <v>1</v>
      </c>
      <c r="CJ1192">
        <v>1</v>
      </c>
      <c r="CK1192">
        <v>42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"080066471414"</f>
        <v>080066471414</v>
      </c>
      <c r="F1193" s="3">
        <v>45848</v>
      </c>
      <c r="G1193">
        <v>202604</v>
      </c>
      <c r="H1193" t="s">
        <v>75</v>
      </c>
      <c r="I1193" t="s">
        <v>76</v>
      </c>
      <c r="J1193" t="s">
        <v>77</v>
      </c>
      <c r="K1193" t="s">
        <v>78</v>
      </c>
      <c r="L1193" t="s">
        <v>168</v>
      </c>
      <c r="M1193" t="s">
        <v>169</v>
      </c>
      <c r="N1193" t="s">
        <v>924</v>
      </c>
      <c r="O1193" t="s">
        <v>82</v>
      </c>
      <c r="P1193" t="str">
        <f>"4170047808                    "</f>
        <v xml:space="preserve">4170047808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22.6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2</v>
      </c>
      <c r="BJ1193">
        <v>1</v>
      </c>
      <c r="BK1193">
        <v>2</v>
      </c>
      <c r="BL1193">
        <v>71.2</v>
      </c>
      <c r="BM1193">
        <v>10.68</v>
      </c>
      <c r="BN1193">
        <v>81.88</v>
      </c>
      <c r="BO1193">
        <v>81.88</v>
      </c>
      <c r="BQ1193" t="s">
        <v>925</v>
      </c>
      <c r="BR1193" t="s">
        <v>84</v>
      </c>
      <c r="BS1193" s="3">
        <v>45849</v>
      </c>
      <c r="BT1193" s="4">
        <v>0.43333333333333335</v>
      </c>
      <c r="BU1193" t="s">
        <v>1904</v>
      </c>
      <c r="BV1193" t="s">
        <v>98</v>
      </c>
      <c r="BY1193">
        <v>4760</v>
      </c>
      <c r="BZ1193" t="s">
        <v>89</v>
      </c>
      <c r="CA1193" t="s">
        <v>196</v>
      </c>
      <c r="CC1193" t="s">
        <v>169</v>
      </c>
      <c r="CD1193">
        <v>6056</v>
      </c>
      <c r="CE1193" t="s">
        <v>91</v>
      </c>
      <c r="CF1193" s="3">
        <v>45849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"080066471492"</f>
        <v>080066471492</v>
      </c>
      <c r="F1194" s="3">
        <v>45848</v>
      </c>
      <c r="G1194">
        <v>202604</v>
      </c>
      <c r="H1194" t="s">
        <v>75</v>
      </c>
      <c r="I1194" t="s">
        <v>76</v>
      </c>
      <c r="J1194" t="s">
        <v>77</v>
      </c>
      <c r="K1194" t="s">
        <v>78</v>
      </c>
      <c r="L1194" t="s">
        <v>240</v>
      </c>
      <c r="M1194" t="s">
        <v>241</v>
      </c>
      <c r="N1194" t="s">
        <v>403</v>
      </c>
      <c r="O1194" t="s">
        <v>82</v>
      </c>
      <c r="P1194" t="str">
        <f>"4170047803                    "</f>
        <v xml:space="preserve">4170047803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17.649999999999999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0.9</v>
      </c>
      <c r="BK1194">
        <v>1</v>
      </c>
      <c r="BL1194">
        <v>55.61</v>
      </c>
      <c r="BM1194">
        <v>8.34</v>
      </c>
      <c r="BN1194">
        <v>63.95</v>
      </c>
      <c r="BO1194">
        <v>63.95</v>
      </c>
      <c r="BQ1194" t="s">
        <v>404</v>
      </c>
      <c r="BR1194" t="s">
        <v>84</v>
      </c>
      <c r="BS1194" s="3">
        <v>45849</v>
      </c>
      <c r="BT1194" s="4">
        <v>0.41666666666666669</v>
      </c>
      <c r="BU1194" t="s">
        <v>405</v>
      </c>
      <c r="BV1194" t="s">
        <v>98</v>
      </c>
      <c r="BY1194">
        <v>4560</v>
      </c>
      <c r="BZ1194" t="s">
        <v>89</v>
      </c>
      <c r="CA1194" t="s">
        <v>245</v>
      </c>
      <c r="CC1194" t="s">
        <v>241</v>
      </c>
      <c r="CD1194">
        <v>2013</v>
      </c>
      <c r="CE1194" t="s">
        <v>266</v>
      </c>
      <c r="CF1194" s="3">
        <v>45850</v>
      </c>
      <c r="CI1194">
        <v>1</v>
      </c>
      <c r="CJ1194">
        <v>1</v>
      </c>
      <c r="CK1194">
        <v>22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"080066471739"</f>
        <v>080066471739</v>
      </c>
      <c r="F1195" s="3">
        <v>45848</v>
      </c>
      <c r="G1195">
        <v>202604</v>
      </c>
      <c r="H1195" t="s">
        <v>75</v>
      </c>
      <c r="I1195" t="s">
        <v>76</v>
      </c>
      <c r="J1195" t="s">
        <v>77</v>
      </c>
      <c r="K1195" t="s">
        <v>78</v>
      </c>
      <c r="L1195" t="s">
        <v>704</v>
      </c>
      <c r="M1195" t="s">
        <v>705</v>
      </c>
      <c r="N1195" t="s">
        <v>706</v>
      </c>
      <c r="O1195" t="s">
        <v>95</v>
      </c>
      <c r="P1195" t="str">
        <f>"4170047788                    "</f>
        <v xml:space="preserve">4170047788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71.08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4</v>
      </c>
      <c r="BJ1195">
        <v>17.7</v>
      </c>
      <c r="BK1195">
        <v>18</v>
      </c>
      <c r="BL1195">
        <v>229.81</v>
      </c>
      <c r="BM1195">
        <v>34.47</v>
      </c>
      <c r="BN1195">
        <v>264.27999999999997</v>
      </c>
      <c r="BO1195">
        <v>264.27999999999997</v>
      </c>
      <c r="BQ1195" t="s">
        <v>707</v>
      </c>
      <c r="BR1195" t="s">
        <v>84</v>
      </c>
      <c r="BS1195" s="3">
        <v>45852</v>
      </c>
      <c r="BT1195" s="4">
        <v>0.53749999999999998</v>
      </c>
      <c r="BU1195" t="s">
        <v>1905</v>
      </c>
      <c r="BV1195" t="s">
        <v>98</v>
      </c>
      <c r="BY1195">
        <v>88320</v>
      </c>
      <c r="BZ1195" t="s">
        <v>99</v>
      </c>
      <c r="CA1195" t="s">
        <v>1665</v>
      </c>
      <c r="CC1195" t="s">
        <v>705</v>
      </c>
      <c r="CD1195">
        <v>6849</v>
      </c>
      <c r="CE1195" t="s">
        <v>117</v>
      </c>
      <c r="CF1195" s="3">
        <v>45853</v>
      </c>
      <c r="CI1195">
        <v>4</v>
      </c>
      <c r="CJ1195">
        <v>2</v>
      </c>
      <c r="CK1195">
        <v>43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"080066471855"</f>
        <v>080066471855</v>
      </c>
      <c r="F1196" s="3">
        <v>45848</v>
      </c>
      <c r="G1196">
        <v>202604</v>
      </c>
      <c r="H1196" t="s">
        <v>75</v>
      </c>
      <c r="I1196" t="s">
        <v>76</v>
      </c>
      <c r="J1196" t="s">
        <v>77</v>
      </c>
      <c r="K1196" t="s">
        <v>78</v>
      </c>
      <c r="L1196" t="s">
        <v>234</v>
      </c>
      <c r="M1196" t="s">
        <v>235</v>
      </c>
      <c r="N1196" t="s">
        <v>236</v>
      </c>
      <c r="O1196" t="s">
        <v>82</v>
      </c>
      <c r="P1196" t="str">
        <f>"4170047892                    "</f>
        <v xml:space="preserve">4170047892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17.649999999999999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0.3</v>
      </c>
      <c r="BK1196">
        <v>1</v>
      </c>
      <c r="BL1196">
        <v>55.61</v>
      </c>
      <c r="BM1196">
        <v>8.34</v>
      </c>
      <c r="BN1196">
        <v>63.95</v>
      </c>
      <c r="BO1196">
        <v>63.95</v>
      </c>
      <c r="BQ1196" t="s">
        <v>237</v>
      </c>
      <c r="BR1196" t="s">
        <v>84</v>
      </c>
      <c r="BS1196" s="3">
        <v>45849</v>
      </c>
      <c r="BT1196" s="4">
        <v>0.42499999999999999</v>
      </c>
      <c r="BU1196" t="s">
        <v>631</v>
      </c>
      <c r="BV1196" t="s">
        <v>98</v>
      </c>
      <c r="BY1196">
        <v>1350</v>
      </c>
      <c r="BZ1196" t="s">
        <v>89</v>
      </c>
      <c r="CA1196" t="s">
        <v>632</v>
      </c>
      <c r="CC1196" t="s">
        <v>235</v>
      </c>
      <c r="CD1196">
        <v>1682</v>
      </c>
      <c r="CE1196" t="s">
        <v>1906</v>
      </c>
      <c r="CF1196" s="3">
        <v>45850</v>
      </c>
      <c r="CI1196">
        <v>1</v>
      </c>
      <c r="CJ1196">
        <v>1</v>
      </c>
      <c r="CK1196">
        <v>22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"080066471908"</f>
        <v>080066471908</v>
      </c>
      <c r="F1197" s="3">
        <v>45848</v>
      </c>
      <c r="G1197">
        <v>202604</v>
      </c>
      <c r="H1197" t="s">
        <v>75</v>
      </c>
      <c r="I1197" t="s">
        <v>76</v>
      </c>
      <c r="J1197" t="s">
        <v>77</v>
      </c>
      <c r="K1197" t="s">
        <v>78</v>
      </c>
      <c r="L1197" t="s">
        <v>146</v>
      </c>
      <c r="M1197" t="s">
        <v>146</v>
      </c>
      <c r="N1197" t="s">
        <v>986</v>
      </c>
      <c r="O1197" t="s">
        <v>82</v>
      </c>
      <c r="P1197" t="str">
        <f>"4170047966                    "</f>
        <v xml:space="preserve">4170047966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43.78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0.3</v>
      </c>
      <c r="BK1197">
        <v>1</v>
      </c>
      <c r="BL1197">
        <v>137.94</v>
      </c>
      <c r="BM1197">
        <v>20.69</v>
      </c>
      <c r="BN1197">
        <v>158.63</v>
      </c>
      <c r="BO1197">
        <v>158.63</v>
      </c>
      <c r="BQ1197" t="s">
        <v>987</v>
      </c>
      <c r="BR1197" t="s">
        <v>84</v>
      </c>
      <c r="BS1197" s="3">
        <v>45849</v>
      </c>
      <c r="BT1197" s="4">
        <v>0.53888888888888886</v>
      </c>
      <c r="BU1197" t="s">
        <v>1907</v>
      </c>
      <c r="BV1197" t="s">
        <v>98</v>
      </c>
      <c r="BY1197">
        <v>1350</v>
      </c>
      <c r="BZ1197" t="s">
        <v>89</v>
      </c>
      <c r="CA1197" t="s">
        <v>150</v>
      </c>
      <c r="CC1197" t="s">
        <v>146</v>
      </c>
      <c r="CD1197">
        <v>7646</v>
      </c>
      <c r="CE1197" t="s">
        <v>1906</v>
      </c>
      <c r="CF1197" s="3">
        <v>45853</v>
      </c>
      <c r="CI1197">
        <v>1</v>
      </c>
      <c r="CJ1197">
        <v>1</v>
      </c>
      <c r="CK1197">
        <v>23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"R080066329040"</f>
        <v>R080066329040</v>
      </c>
      <c r="F1198" s="3">
        <v>45848</v>
      </c>
      <c r="G1198">
        <v>202604</v>
      </c>
      <c r="H1198" t="s">
        <v>1908</v>
      </c>
      <c r="I1198" t="s">
        <v>1909</v>
      </c>
      <c r="J1198" t="s">
        <v>1910</v>
      </c>
      <c r="K1198" t="s">
        <v>78</v>
      </c>
      <c r="L1198" t="s">
        <v>75</v>
      </c>
      <c r="M1198" t="s">
        <v>76</v>
      </c>
      <c r="N1198" t="s">
        <v>1911</v>
      </c>
      <c r="O1198" t="s">
        <v>95</v>
      </c>
      <c r="P1198" t="str">
        <f>"4170046741                    "</f>
        <v xml:space="preserve">4170046741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16.739999999999998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48.26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3</v>
      </c>
      <c r="BJ1198">
        <v>5.3</v>
      </c>
      <c r="BK1198">
        <v>6</v>
      </c>
      <c r="BL1198">
        <v>174.66</v>
      </c>
      <c r="BM1198">
        <v>26.2</v>
      </c>
      <c r="BN1198">
        <v>200.86</v>
      </c>
      <c r="BO1198">
        <v>200.86</v>
      </c>
      <c r="BQ1198" t="s">
        <v>1912</v>
      </c>
      <c r="BR1198" t="s">
        <v>1913</v>
      </c>
      <c r="BS1198" s="3">
        <v>45849</v>
      </c>
      <c r="BT1198" s="4">
        <v>0.55833333333333335</v>
      </c>
      <c r="BU1198" t="s">
        <v>1914</v>
      </c>
      <c r="BV1198" t="s">
        <v>98</v>
      </c>
      <c r="BY1198">
        <v>26730</v>
      </c>
      <c r="BZ1198" t="s">
        <v>1915</v>
      </c>
      <c r="CA1198" t="s">
        <v>1916</v>
      </c>
      <c r="CC1198" t="s">
        <v>76</v>
      </c>
      <c r="CD1198">
        <v>1620</v>
      </c>
      <c r="CE1198" t="s">
        <v>91</v>
      </c>
      <c r="CF1198" s="3">
        <v>45852</v>
      </c>
      <c r="CI1198">
        <v>1</v>
      </c>
      <c r="CJ1198">
        <v>1</v>
      </c>
      <c r="CK1198">
        <v>44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"080066471992"</f>
        <v>080066471992</v>
      </c>
      <c r="F1199" s="3">
        <v>45848</v>
      </c>
      <c r="G1199">
        <v>202604</v>
      </c>
      <c r="H1199" t="s">
        <v>75</v>
      </c>
      <c r="I1199" t="s">
        <v>76</v>
      </c>
      <c r="J1199" t="s">
        <v>77</v>
      </c>
      <c r="K1199" t="s">
        <v>78</v>
      </c>
      <c r="L1199" t="s">
        <v>704</v>
      </c>
      <c r="M1199" t="s">
        <v>705</v>
      </c>
      <c r="N1199" t="s">
        <v>848</v>
      </c>
      <c r="O1199" t="s">
        <v>82</v>
      </c>
      <c r="P1199" t="str">
        <f>"4170047918                    "</f>
        <v xml:space="preserve">4170047918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43.78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0.3</v>
      </c>
      <c r="BK1199">
        <v>1</v>
      </c>
      <c r="BL1199">
        <v>137.94</v>
      </c>
      <c r="BM1199">
        <v>20.69</v>
      </c>
      <c r="BN1199">
        <v>158.63</v>
      </c>
      <c r="BO1199">
        <v>158.63</v>
      </c>
      <c r="BQ1199" t="s">
        <v>849</v>
      </c>
      <c r="BR1199" t="s">
        <v>84</v>
      </c>
      <c r="BS1199" s="3">
        <v>45849</v>
      </c>
      <c r="BT1199" s="4">
        <v>0.51388888888888884</v>
      </c>
      <c r="BU1199" t="s">
        <v>1664</v>
      </c>
      <c r="BV1199" t="s">
        <v>98</v>
      </c>
      <c r="BY1199">
        <v>1350</v>
      </c>
      <c r="BZ1199" t="s">
        <v>89</v>
      </c>
      <c r="CA1199" t="s">
        <v>1665</v>
      </c>
      <c r="CC1199" t="s">
        <v>705</v>
      </c>
      <c r="CD1199">
        <v>6850</v>
      </c>
      <c r="CE1199" t="s">
        <v>1906</v>
      </c>
      <c r="CF1199" s="3">
        <v>45852</v>
      </c>
      <c r="CI1199">
        <v>2</v>
      </c>
      <c r="CJ1199">
        <v>1</v>
      </c>
      <c r="CK1199">
        <v>23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"080066471998"</f>
        <v>080066471998</v>
      </c>
      <c r="F1200" s="3">
        <v>45848</v>
      </c>
      <c r="G1200">
        <v>202604</v>
      </c>
      <c r="H1200" t="s">
        <v>75</v>
      </c>
      <c r="I1200" t="s">
        <v>76</v>
      </c>
      <c r="J1200" t="s">
        <v>77</v>
      </c>
      <c r="K1200" t="s">
        <v>78</v>
      </c>
      <c r="L1200" t="s">
        <v>79</v>
      </c>
      <c r="M1200" t="s">
        <v>80</v>
      </c>
      <c r="N1200" t="s">
        <v>141</v>
      </c>
      <c r="O1200" t="s">
        <v>82</v>
      </c>
      <c r="P1200" t="str">
        <f>"4170047797                    "</f>
        <v xml:space="preserve">4170047797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22.6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1</v>
      </c>
      <c r="BK1200">
        <v>2</v>
      </c>
      <c r="BL1200">
        <v>71.2</v>
      </c>
      <c r="BM1200">
        <v>10.68</v>
      </c>
      <c r="BN1200">
        <v>81.88</v>
      </c>
      <c r="BO1200">
        <v>81.88</v>
      </c>
      <c r="BQ1200" t="s">
        <v>142</v>
      </c>
      <c r="BR1200" t="s">
        <v>84</v>
      </c>
      <c r="BS1200" s="3">
        <v>45849</v>
      </c>
      <c r="BT1200" s="4">
        <v>0.39861111111111114</v>
      </c>
      <c r="BU1200" t="s">
        <v>143</v>
      </c>
      <c r="BV1200" t="s">
        <v>98</v>
      </c>
      <c r="BY1200">
        <v>4760</v>
      </c>
      <c r="BZ1200" t="s">
        <v>89</v>
      </c>
      <c r="CA1200" t="s">
        <v>144</v>
      </c>
      <c r="CC1200" t="s">
        <v>80</v>
      </c>
      <c r="CD1200">
        <v>7441</v>
      </c>
      <c r="CE1200" t="s">
        <v>91</v>
      </c>
      <c r="CF1200" s="3">
        <v>45852</v>
      </c>
      <c r="CI1200">
        <v>1</v>
      </c>
      <c r="CJ1200">
        <v>1</v>
      </c>
      <c r="CK1200">
        <v>21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"080066472063"</f>
        <v>080066472063</v>
      </c>
      <c r="F1201" s="3">
        <v>45848</v>
      </c>
      <c r="G1201">
        <v>202604</v>
      </c>
      <c r="H1201" t="s">
        <v>75</v>
      </c>
      <c r="I1201" t="s">
        <v>76</v>
      </c>
      <c r="J1201" t="s">
        <v>77</v>
      </c>
      <c r="K1201" t="s">
        <v>78</v>
      </c>
      <c r="L1201" t="s">
        <v>168</v>
      </c>
      <c r="M1201" t="s">
        <v>169</v>
      </c>
      <c r="N1201" t="s">
        <v>191</v>
      </c>
      <c r="O1201" t="s">
        <v>82</v>
      </c>
      <c r="P1201" t="str">
        <f>"4170047811                    "</f>
        <v xml:space="preserve">4170047811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22.6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0.3</v>
      </c>
      <c r="BK1201">
        <v>1</v>
      </c>
      <c r="BL1201">
        <v>71.2</v>
      </c>
      <c r="BM1201">
        <v>10.68</v>
      </c>
      <c r="BN1201">
        <v>81.88</v>
      </c>
      <c r="BO1201">
        <v>81.88</v>
      </c>
      <c r="BQ1201" t="s">
        <v>192</v>
      </c>
      <c r="BR1201" t="s">
        <v>84</v>
      </c>
      <c r="BS1201" s="3">
        <v>45849</v>
      </c>
      <c r="BT1201" s="4">
        <v>0.41736111111111113</v>
      </c>
      <c r="BU1201" t="s">
        <v>193</v>
      </c>
      <c r="BV1201" t="s">
        <v>98</v>
      </c>
      <c r="BY1201">
        <v>1350</v>
      </c>
      <c r="BZ1201" t="s">
        <v>89</v>
      </c>
      <c r="CA1201" t="s">
        <v>196</v>
      </c>
      <c r="CC1201" t="s">
        <v>169</v>
      </c>
      <c r="CD1201">
        <v>6056</v>
      </c>
      <c r="CE1201" t="s">
        <v>1868</v>
      </c>
      <c r="CF1201" s="3">
        <v>45849</v>
      </c>
      <c r="CI1201">
        <v>1</v>
      </c>
      <c r="CJ1201">
        <v>1</v>
      </c>
      <c r="CK1201">
        <v>21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"080066472134"</f>
        <v>080066472134</v>
      </c>
      <c r="F1202" s="3">
        <v>45848</v>
      </c>
      <c r="G1202">
        <v>202604</v>
      </c>
      <c r="H1202" t="s">
        <v>75</v>
      </c>
      <c r="I1202" t="s">
        <v>76</v>
      </c>
      <c r="J1202" t="s">
        <v>77</v>
      </c>
      <c r="K1202" t="s">
        <v>78</v>
      </c>
      <c r="L1202" t="s">
        <v>168</v>
      </c>
      <c r="M1202" t="s">
        <v>169</v>
      </c>
      <c r="N1202" t="s">
        <v>191</v>
      </c>
      <c r="O1202" t="s">
        <v>82</v>
      </c>
      <c r="P1202" t="str">
        <f>"4170047809                    "</f>
        <v xml:space="preserve">4170047809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22.6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0.3</v>
      </c>
      <c r="BK1202">
        <v>1</v>
      </c>
      <c r="BL1202">
        <v>71.2</v>
      </c>
      <c r="BM1202">
        <v>10.68</v>
      </c>
      <c r="BN1202">
        <v>81.88</v>
      </c>
      <c r="BO1202">
        <v>81.88</v>
      </c>
      <c r="BQ1202" t="s">
        <v>192</v>
      </c>
      <c r="BR1202" t="s">
        <v>84</v>
      </c>
      <c r="BS1202" s="3">
        <v>45849</v>
      </c>
      <c r="BT1202" s="4">
        <v>0.41736111111111113</v>
      </c>
      <c r="BU1202" t="s">
        <v>193</v>
      </c>
      <c r="BV1202" t="s">
        <v>98</v>
      </c>
      <c r="BY1202">
        <v>1350</v>
      </c>
      <c r="BZ1202" t="s">
        <v>89</v>
      </c>
      <c r="CA1202" t="s">
        <v>196</v>
      </c>
      <c r="CC1202" t="s">
        <v>169</v>
      </c>
      <c r="CD1202">
        <v>6056</v>
      </c>
      <c r="CE1202" t="s">
        <v>1868</v>
      </c>
      <c r="CF1202" s="3">
        <v>45849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"080066472217"</f>
        <v>080066472217</v>
      </c>
      <c r="F1203" s="3">
        <v>45848</v>
      </c>
      <c r="G1203">
        <v>202604</v>
      </c>
      <c r="H1203" t="s">
        <v>75</v>
      </c>
      <c r="I1203" t="s">
        <v>76</v>
      </c>
      <c r="J1203" t="s">
        <v>77</v>
      </c>
      <c r="K1203" t="s">
        <v>78</v>
      </c>
      <c r="L1203" t="s">
        <v>79</v>
      </c>
      <c r="M1203" t="s">
        <v>80</v>
      </c>
      <c r="N1203" t="s">
        <v>689</v>
      </c>
      <c r="O1203" t="s">
        <v>82</v>
      </c>
      <c r="P1203" t="str">
        <f>"4170047840                    "</f>
        <v xml:space="preserve">4170047840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22.6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71.2</v>
      </c>
      <c r="BM1203">
        <v>10.68</v>
      </c>
      <c r="BN1203">
        <v>81.88</v>
      </c>
      <c r="BO1203">
        <v>81.88</v>
      </c>
      <c r="BQ1203" t="s">
        <v>690</v>
      </c>
      <c r="BR1203" t="s">
        <v>84</v>
      </c>
      <c r="BS1203" s="3">
        <v>45849</v>
      </c>
      <c r="BT1203" s="4">
        <v>0.45763888888888887</v>
      </c>
      <c r="BU1203" t="s">
        <v>1917</v>
      </c>
      <c r="BV1203" t="s">
        <v>86</v>
      </c>
      <c r="BW1203" t="s">
        <v>219</v>
      </c>
      <c r="BX1203" t="s">
        <v>1054</v>
      </c>
      <c r="BY1203">
        <v>1200</v>
      </c>
      <c r="BZ1203" t="s">
        <v>89</v>
      </c>
      <c r="CC1203" t="s">
        <v>80</v>
      </c>
      <c r="CD1203">
        <v>7800</v>
      </c>
      <c r="CE1203" t="s">
        <v>239</v>
      </c>
      <c r="CF1203" s="3">
        <v>45852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"080066472283"</f>
        <v>080066472283</v>
      </c>
      <c r="F1204" s="3">
        <v>45848</v>
      </c>
      <c r="G1204">
        <v>202604</v>
      </c>
      <c r="H1204" t="s">
        <v>75</v>
      </c>
      <c r="I1204" t="s">
        <v>76</v>
      </c>
      <c r="J1204" t="s">
        <v>77</v>
      </c>
      <c r="K1204" t="s">
        <v>78</v>
      </c>
      <c r="L1204" t="s">
        <v>221</v>
      </c>
      <c r="M1204" t="s">
        <v>222</v>
      </c>
      <c r="N1204" t="s">
        <v>223</v>
      </c>
      <c r="O1204" t="s">
        <v>82</v>
      </c>
      <c r="P1204" t="str">
        <f>"4170047887                    "</f>
        <v xml:space="preserve">4170047887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43.78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137.94</v>
      </c>
      <c r="BM1204">
        <v>20.69</v>
      </c>
      <c r="BN1204">
        <v>158.63</v>
      </c>
      <c r="BO1204">
        <v>158.63</v>
      </c>
      <c r="BQ1204" t="s">
        <v>224</v>
      </c>
      <c r="BR1204" t="s">
        <v>84</v>
      </c>
      <c r="BS1204" s="3">
        <v>45849</v>
      </c>
      <c r="BT1204" s="4">
        <v>0.37638888888888888</v>
      </c>
      <c r="BU1204" t="s">
        <v>1494</v>
      </c>
      <c r="BV1204" t="s">
        <v>98</v>
      </c>
      <c r="BY1204">
        <v>1200</v>
      </c>
      <c r="BZ1204" t="s">
        <v>89</v>
      </c>
      <c r="CC1204" t="s">
        <v>222</v>
      </c>
      <c r="CD1204">
        <v>2740</v>
      </c>
      <c r="CE1204" t="s">
        <v>239</v>
      </c>
      <c r="CF1204" s="3">
        <v>45852</v>
      </c>
      <c r="CI1204">
        <v>1</v>
      </c>
      <c r="CJ1204">
        <v>1</v>
      </c>
      <c r="CK1204">
        <v>23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"080066472328"</f>
        <v>080066472328</v>
      </c>
      <c r="F1205" s="3">
        <v>45848</v>
      </c>
      <c r="G1205">
        <v>202604</v>
      </c>
      <c r="H1205" t="s">
        <v>75</v>
      </c>
      <c r="I1205" t="s">
        <v>76</v>
      </c>
      <c r="J1205" t="s">
        <v>77</v>
      </c>
      <c r="K1205" t="s">
        <v>78</v>
      </c>
      <c r="L1205" t="s">
        <v>146</v>
      </c>
      <c r="M1205" t="s">
        <v>146</v>
      </c>
      <c r="N1205" t="s">
        <v>1134</v>
      </c>
      <c r="O1205" t="s">
        <v>82</v>
      </c>
      <c r="P1205" t="str">
        <f>"4170047785                    "</f>
        <v xml:space="preserve">4170047785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43.78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</v>
      </c>
      <c r="BJ1205">
        <v>1</v>
      </c>
      <c r="BK1205">
        <v>2</v>
      </c>
      <c r="BL1205">
        <v>137.94</v>
      </c>
      <c r="BM1205">
        <v>20.69</v>
      </c>
      <c r="BN1205">
        <v>158.63</v>
      </c>
      <c r="BO1205">
        <v>158.63</v>
      </c>
      <c r="BQ1205" t="s">
        <v>1135</v>
      </c>
      <c r="BR1205" t="s">
        <v>84</v>
      </c>
      <c r="BS1205" s="3">
        <v>45849</v>
      </c>
      <c r="BT1205" s="4">
        <v>0.5395833333333333</v>
      </c>
      <c r="BU1205" t="s">
        <v>1136</v>
      </c>
      <c r="BV1205" t="s">
        <v>98</v>
      </c>
      <c r="BY1205">
        <v>5040</v>
      </c>
      <c r="BZ1205" t="s">
        <v>89</v>
      </c>
      <c r="CA1205" t="s">
        <v>150</v>
      </c>
      <c r="CC1205" t="s">
        <v>146</v>
      </c>
      <c r="CD1205">
        <v>7646</v>
      </c>
      <c r="CE1205" t="s">
        <v>91</v>
      </c>
      <c r="CF1205" s="3">
        <v>45853</v>
      </c>
      <c r="CI1205">
        <v>1</v>
      </c>
      <c r="CJ1205">
        <v>1</v>
      </c>
      <c r="CK1205">
        <v>23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"080066472416"</f>
        <v>080066472416</v>
      </c>
      <c r="F1206" s="3">
        <v>45848</v>
      </c>
      <c r="G1206">
        <v>202604</v>
      </c>
      <c r="H1206" t="s">
        <v>75</v>
      </c>
      <c r="I1206" t="s">
        <v>76</v>
      </c>
      <c r="J1206" t="s">
        <v>77</v>
      </c>
      <c r="K1206" t="s">
        <v>78</v>
      </c>
      <c r="L1206" t="s">
        <v>670</v>
      </c>
      <c r="M1206" t="s">
        <v>671</v>
      </c>
      <c r="N1206" t="s">
        <v>1609</v>
      </c>
      <c r="O1206" t="s">
        <v>311</v>
      </c>
      <c r="P1206" t="str">
        <f>"4170047816                    "</f>
        <v xml:space="preserve">4170047816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23.6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2</v>
      </c>
      <c r="BI1206">
        <v>11</v>
      </c>
      <c r="BJ1206">
        <v>6.8</v>
      </c>
      <c r="BK1206">
        <v>11</v>
      </c>
      <c r="BL1206">
        <v>74.349999999999994</v>
      </c>
      <c r="BM1206">
        <v>11.15</v>
      </c>
      <c r="BN1206">
        <v>85.5</v>
      </c>
      <c r="BO1206">
        <v>85.5</v>
      </c>
      <c r="BQ1206" t="s">
        <v>1610</v>
      </c>
      <c r="BR1206" t="s">
        <v>84</v>
      </c>
      <c r="BS1206" s="3">
        <v>45849</v>
      </c>
      <c r="BT1206" s="4">
        <v>0.53888888888888886</v>
      </c>
      <c r="BU1206" t="s">
        <v>1611</v>
      </c>
      <c r="BV1206" t="s">
        <v>98</v>
      </c>
      <c r="BY1206">
        <v>33930</v>
      </c>
      <c r="BZ1206" t="s">
        <v>99</v>
      </c>
      <c r="CA1206" t="s">
        <v>676</v>
      </c>
      <c r="CC1206" t="s">
        <v>671</v>
      </c>
      <c r="CD1206">
        <v>2163</v>
      </c>
      <c r="CE1206" t="s">
        <v>117</v>
      </c>
      <c r="CF1206" s="3">
        <v>45849</v>
      </c>
      <c r="CI1206">
        <v>1</v>
      </c>
      <c r="CJ1206">
        <v>1</v>
      </c>
      <c r="CK1206">
        <v>32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"080066472492"</f>
        <v>080066472492</v>
      </c>
      <c r="F1207" s="3">
        <v>45848</v>
      </c>
      <c r="G1207">
        <v>202604</v>
      </c>
      <c r="H1207" t="s">
        <v>75</v>
      </c>
      <c r="I1207" t="s">
        <v>76</v>
      </c>
      <c r="J1207" t="s">
        <v>77</v>
      </c>
      <c r="K1207" t="s">
        <v>78</v>
      </c>
      <c r="L1207" t="s">
        <v>146</v>
      </c>
      <c r="M1207" t="s">
        <v>146</v>
      </c>
      <c r="N1207" t="s">
        <v>147</v>
      </c>
      <c r="O1207" t="s">
        <v>82</v>
      </c>
      <c r="P1207" t="str">
        <f>"4170047949                    "</f>
        <v xml:space="preserve">4170047949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142.63999999999999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7</v>
      </c>
      <c r="BJ1207">
        <v>3.4</v>
      </c>
      <c r="BK1207">
        <v>7</v>
      </c>
      <c r="BL1207">
        <v>449.4</v>
      </c>
      <c r="BM1207">
        <v>67.41</v>
      </c>
      <c r="BN1207">
        <v>516.80999999999995</v>
      </c>
      <c r="BO1207">
        <v>516.80999999999995</v>
      </c>
      <c r="BQ1207" t="s">
        <v>764</v>
      </c>
      <c r="BR1207" t="s">
        <v>84</v>
      </c>
      <c r="BS1207" s="3">
        <v>45849</v>
      </c>
      <c r="BT1207" s="4">
        <v>0.51944444444444449</v>
      </c>
      <c r="BU1207" t="s">
        <v>1918</v>
      </c>
      <c r="BV1207" t="s">
        <v>98</v>
      </c>
      <c r="BY1207">
        <v>16965</v>
      </c>
      <c r="BZ1207" t="s">
        <v>89</v>
      </c>
      <c r="CA1207" t="s">
        <v>150</v>
      </c>
      <c r="CC1207" t="s">
        <v>146</v>
      </c>
      <c r="CD1207">
        <v>7646</v>
      </c>
      <c r="CE1207" t="s">
        <v>117</v>
      </c>
      <c r="CF1207" s="3">
        <v>45853</v>
      </c>
      <c r="CI1207">
        <v>1</v>
      </c>
      <c r="CJ1207">
        <v>1</v>
      </c>
      <c r="CK1207">
        <v>23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"080066472543"</f>
        <v>080066472543</v>
      </c>
      <c r="F1208" s="3">
        <v>45848</v>
      </c>
      <c r="G1208">
        <v>202604</v>
      </c>
      <c r="H1208" t="s">
        <v>75</v>
      </c>
      <c r="I1208" t="s">
        <v>76</v>
      </c>
      <c r="J1208" t="s">
        <v>77</v>
      </c>
      <c r="K1208" t="s">
        <v>78</v>
      </c>
      <c r="L1208" t="s">
        <v>168</v>
      </c>
      <c r="M1208" t="s">
        <v>169</v>
      </c>
      <c r="N1208" t="s">
        <v>412</v>
      </c>
      <c r="O1208" t="s">
        <v>82</v>
      </c>
      <c r="P1208" t="str">
        <f>"4170047969                    "</f>
        <v xml:space="preserve">4170047969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45.18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4</v>
      </c>
      <c r="BJ1208">
        <v>0.6</v>
      </c>
      <c r="BK1208">
        <v>4</v>
      </c>
      <c r="BL1208">
        <v>142.34</v>
      </c>
      <c r="BM1208">
        <v>21.35</v>
      </c>
      <c r="BN1208">
        <v>163.69</v>
      </c>
      <c r="BO1208">
        <v>163.69</v>
      </c>
      <c r="BQ1208" t="s">
        <v>413</v>
      </c>
      <c r="BR1208" t="s">
        <v>84</v>
      </c>
      <c r="BS1208" s="3">
        <v>45849</v>
      </c>
      <c r="BT1208" s="4">
        <v>0.39097222222222222</v>
      </c>
      <c r="BU1208" t="s">
        <v>470</v>
      </c>
      <c r="BV1208" t="s">
        <v>98</v>
      </c>
      <c r="BY1208">
        <v>3192</v>
      </c>
      <c r="BZ1208" t="s">
        <v>89</v>
      </c>
      <c r="CA1208" t="s">
        <v>415</v>
      </c>
      <c r="CC1208" t="s">
        <v>169</v>
      </c>
      <c r="CD1208">
        <v>6001</v>
      </c>
      <c r="CE1208" t="s">
        <v>266</v>
      </c>
      <c r="CF1208" s="3">
        <v>45849</v>
      </c>
      <c r="CI1208">
        <v>1</v>
      </c>
      <c r="CJ1208">
        <v>1</v>
      </c>
      <c r="CK1208">
        <v>21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"080066472897"</f>
        <v>080066472897</v>
      </c>
      <c r="F1209" s="3">
        <v>45848</v>
      </c>
      <c r="G1209">
        <v>202604</v>
      </c>
      <c r="H1209" t="s">
        <v>75</v>
      </c>
      <c r="I1209" t="s">
        <v>76</v>
      </c>
      <c r="J1209" t="s">
        <v>77</v>
      </c>
      <c r="K1209" t="s">
        <v>78</v>
      </c>
      <c r="L1209" t="s">
        <v>295</v>
      </c>
      <c r="M1209" t="s">
        <v>296</v>
      </c>
      <c r="N1209" t="s">
        <v>539</v>
      </c>
      <c r="O1209" t="s">
        <v>82</v>
      </c>
      <c r="P1209" t="str">
        <f>"4170047992                    "</f>
        <v xml:space="preserve">4170047992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17.649999999999999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0.3</v>
      </c>
      <c r="BK1209">
        <v>1</v>
      </c>
      <c r="BL1209">
        <v>55.61</v>
      </c>
      <c r="BM1209">
        <v>8.34</v>
      </c>
      <c r="BN1209">
        <v>63.95</v>
      </c>
      <c r="BO1209">
        <v>63.95</v>
      </c>
      <c r="BQ1209" t="s">
        <v>540</v>
      </c>
      <c r="BR1209" t="s">
        <v>84</v>
      </c>
      <c r="BS1209" s="3">
        <v>45849</v>
      </c>
      <c r="BT1209" s="4">
        <v>0.34097222222222223</v>
      </c>
      <c r="BU1209" t="s">
        <v>541</v>
      </c>
      <c r="BV1209" t="s">
        <v>98</v>
      </c>
      <c r="BY1209">
        <v>1350</v>
      </c>
      <c r="BZ1209" t="s">
        <v>89</v>
      </c>
      <c r="CA1209" t="s">
        <v>300</v>
      </c>
      <c r="CC1209" t="s">
        <v>296</v>
      </c>
      <c r="CD1209">
        <v>1459</v>
      </c>
      <c r="CE1209" t="s">
        <v>1868</v>
      </c>
      <c r="CF1209" s="3">
        <v>45850</v>
      </c>
      <c r="CI1209">
        <v>1</v>
      </c>
      <c r="CJ1209">
        <v>1</v>
      </c>
      <c r="CK1209">
        <v>22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"080066472907"</f>
        <v>080066472907</v>
      </c>
      <c r="F1210" s="3">
        <v>45848</v>
      </c>
      <c r="G1210">
        <v>202604</v>
      </c>
      <c r="H1210" t="s">
        <v>75</v>
      </c>
      <c r="I1210" t="s">
        <v>76</v>
      </c>
      <c r="J1210" t="s">
        <v>77</v>
      </c>
      <c r="K1210" t="s">
        <v>78</v>
      </c>
      <c r="L1210" t="s">
        <v>305</v>
      </c>
      <c r="M1210" t="s">
        <v>306</v>
      </c>
      <c r="N1210" t="s">
        <v>1320</v>
      </c>
      <c r="O1210" t="s">
        <v>82</v>
      </c>
      <c r="P1210" t="str">
        <f>"4170047937                    "</f>
        <v xml:space="preserve">4170047937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79.05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3</v>
      </c>
      <c r="BJ1210">
        <v>6.7</v>
      </c>
      <c r="BK1210">
        <v>7</v>
      </c>
      <c r="BL1210">
        <v>249.05</v>
      </c>
      <c r="BM1210">
        <v>37.36</v>
      </c>
      <c r="BN1210">
        <v>286.41000000000003</v>
      </c>
      <c r="BO1210">
        <v>286.41000000000003</v>
      </c>
      <c r="BQ1210" t="s">
        <v>308</v>
      </c>
      <c r="BR1210" t="s">
        <v>84</v>
      </c>
      <c r="BS1210" s="3">
        <v>45849</v>
      </c>
      <c r="BT1210" s="4">
        <v>0.47986111111111113</v>
      </c>
      <c r="BU1210" t="s">
        <v>309</v>
      </c>
      <c r="BV1210" t="s">
        <v>86</v>
      </c>
      <c r="BY1210">
        <v>33600</v>
      </c>
      <c r="BZ1210" t="s">
        <v>89</v>
      </c>
      <c r="CA1210" t="s">
        <v>310</v>
      </c>
      <c r="CC1210" t="s">
        <v>306</v>
      </c>
      <c r="CD1210">
        <v>5201</v>
      </c>
      <c r="CE1210" t="s">
        <v>91</v>
      </c>
      <c r="CF1210" s="3">
        <v>45849</v>
      </c>
      <c r="CI1210">
        <v>1</v>
      </c>
      <c r="CJ1210">
        <v>1</v>
      </c>
      <c r="CK1210">
        <v>21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"080066472917"</f>
        <v>080066472917</v>
      </c>
      <c r="F1211" s="3">
        <v>45848</v>
      </c>
      <c r="G1211">
        <v>202604</v>
      </c>
      <c r="H1211" t="s">
        <v>75</v>
      </c>
      <c r="I1211" t="s">
        <v>76</v>
      </c>
      <c r="J1211" t="s">
        <v>77</v>
      </c>
      <c r="K1211" t="s">
        <v>78</v>
      </c>
      <c r="L1211" t="s">
        <v>197</v>
      </c>
      <c r="M1211" t="s">
        <v>198</v>
      </c>
      <c r="N1211" t="s">
        <v>945</v>
      </c>
      <c r="O1211" t="s">
        <v>82</v>
      </c>
      <c r="P1211" t="str">
        <f>"4170047909                    "</f>
        <v xml:space="preserve">4170047909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17.649999999999999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0.3</v>
      </c>
      <c r="BK1211">
        <v>1</v>
      </c>
      <c r="BL1211">
        <v>55.61</v>
      </c>
      <c r="BM1211">
        <v>8.34</v>
      </c>
      <c r="BN1211">
        <v>63.95</v>
      </c>
      <c r="BO1211">
        <v>63.95</v>
      </c>
      <c r="BQ1211" t="s">
        <v>946</v>
      </c>
      <c r="BR1211" t="s">
        <v>84</v>
      </c>
      <c r="BS1211" s="3">
        <v>45849</v>
      </c>
      <c r="BT1211" s="4">
        <v>0.34166666666666667</v>
      </c>
      <c r="BU1211" t="s">
        <v>975</v>
      </c>
      <c r="BV1211" t="s">
        <v>98</v>
      </c>
      <c r="BY1211">
        <v>1350</v>
      </c>
      <c r="BZ1211" t="s">
        <v>89</v>
      </c>
      <c r="CA1211" t="s">
        <v>318</v>
      </c>
      <c r="CC1211" t="s">
        <v>198</v>
      </c>
      <c r="CD1211">
        <v>1422</v>
      </c>
      <c r="CE1211" t="s">
        <v>1868</v>
      </c>
      <c r="CF1211" s="3">
        <v>45849</v>
      </c>
      <c r="CI1211">
        <v>1</v>
      </c>
      <c r="CJ1211">
        <v>1</v>
      </c>
      <c r="CK1211">
        <v>22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"080066472957"</f>
        <v>080066472957</v>
      </c>
      <c r="F1212" s="3">
        <v>45848</v>
      </c>
      <c r="G1212">
        <v>202604</v>
      </c>
      <c r="H1212" t="s">
        <v>75</v>
      </c>
      <c r="I1212" t="s">
        <v>76</v>
      </c>
      <c r="J1212" t="s">
        <v>77</v>
      </c>
      <c r="K1212" t="s">
        <v>78</v>
      </c>
      <c r="L1212" t="s">
        <v>79</v>
      </c>
      <c r="M1212" t="s">
        <v>80</v>
      </c>
      <c r="N1212" t="s">
        <v>1919</v>
      </c>
      <c r="O1212" t="s">
        <v>82</v>
      </c>
      <c r="P1212" t="str">
        <f>"4170047782                    "</f>
        <v xml:space="preserve">4170047782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56.47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5</v>
      </c>
      <c r="BJ1212">
        <v>4.5</v>
      </c>
      <c r="BK1212">
        <v>5</v>
      </c>
      <c r="BL1212">
        <v>177.91</v>
      </c>
      <c r="BM1212">
        <v>26.69</v>
      </c>
      <c r="BN1212">
        <v>204.6</v>
      </c>
      <c r="BO1212">
        <v>204.6</v>
      </c>
      <c r="BQ1212" t="s">
        <v>1920</v>
      </c>
      <c r="BR1212" t="s">
        <v>84</v>
      </c>
      <c r="BS1212" s="3">
        <v>45849</v>
      </c>
      <c r="BT1212" s="4">
        <v>0.47708333333333336</v>
      </c>
      <c r="BU1212" t="s">
        <v>1921</v>
      </c>
      <c r="BV1212" t="s">
        <v>86</v>
      </c>
      <c r="BW1212" t="s">
        <v>87</v>
      </c>
      <c r="BX1212" t="s">
        <v>88</v>
      </c>
      <c r="BY1212">
        <v>22620</v>
      </c>
      <c r="BZ1212" t="s">
        <v>89</v>
      </c>
      <c r="CA1212" t="s">
        <v>1417</v>
      </c>
      <c r="CC1212" t="s">
        <v>80</v>
      </c>
      <c r="CD1212">
        <v>7460</v>
      </c>
      <c r="CE1212" t="s">
        <v>117</v>
      </c>
      <c r="CF1212" s="3">
        <v>45852</v>
      </c>
      <c r="CI1212">
        <v>1</v>
      </c>
      <c r="CJ1212">
        <v>1</v>
      </c>
      <c r="CK1212">
        <v>21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"080066472951"</f>
        <v>080066472951</v>
      </c>
      <c r="F1213" s="3">
        <v>45848</v>
      </c>
      <c r="G1213">
        <v>202604</v>
      </c>
      <c r="H1213" t="s">
        <v>75</v>
      </c>
      <c r="I1213" t="s">
        <v>76</v>
      </c>
      <c r="J1213" t="s">
        <v>77</v>
      </c>
      <c r="K1213" t="s">
        <v>78</v>
      </c>
      <c r="L1213" t="s">
        <v>704</v>
      </c>
      <c r="M1213" t="s">
        <v>705</v>
      </c>
      <c r="N1213" t="s">
        <v>848</v>
      </c>
      <c r="O1213" t="s">
        <v>82</v>
      </c>
      <c r="P1213" t="str">
        <f>"4170047986                    "</f>
        <v xml:space="preserve">4170047986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43.78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0.3</v>
      </c>
      <c r="BK1213">
        <v>1</v>
      </c>
      <c r="BL1213">
        <v>137.94</v>
      </c>
      <c r="BM1213">
        <v>20.69</v>
      </c>
      <c r="BN1213">
        <v>158.63</v>
      </c>
      <c r="BO1213">
        <v>158.63</v>
      </c>
      <c r="BQ1213" t="s">
        <v>849</v>
      </c>
      <c r="BR1213" t="s">
        <v>84</v>
      </c>
      <c r="BS1213" s="3">
        <v>45849</v>
      </c>
      <c r="BT1213" s="4">
        <v>0.51388888888888884</v>
      </c>
      <c r="BU1213" t="s">
        <v>1664</v>
      </c>
      <c r="BV1213" t="s">
        <v>98</v>
      </c>
      <c r="BY1213">
        <v>1350</v>
      </c>
      <c r="BZ1213" t="s">
        <v>89</v>
      </c>
      <c r="CA1213" t="s">
        <v>1665</v>
      </c>
      <c r="CC1213" t="s">
        <v>705</v>
      </c>
      <c r="CD1213">
        <v>6850</v>
      </c>
      <c r="CE1213" t="s">
        <v>1868</v>
      </c>
      <c r="CF1213" s="3">
        <v>45852</v>
      </c>
      <c r="CI1213">
        <v>2</v>
      </c>
      <c r="CJ1213">
        <v>1</v>
      </c>
      <c r="CK1213">
        <v>23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"080066472991"</f>
        <v>080066472991</v>
      </c>
      <c r="F1214" s="3">
        <v>45848</v>
      </c>
      <c r="G1214">
        <v>202604</v>
      </c>
      <c r="H1214" t="s">
        <v>75</v>
      </c>
      <c r="I1214" t="s">
        <v>76</v>
      </c>
      <c r="J1214" t="s">
        <v>77</v>
      </c>
      <c r="K1214" t="s">
        <v>78</v>
      </c>
      <c r="L1214" t="s">
        <v>240</v>
      </c>
      <c r="M1214" t="s">
        <v>241</v>
      </c>
      <c r="N1214" t="s">
        <v>851</v>
      </c>
      <c r="O1214" t="s">
        <v>82</v>
      </c>
      <c r="P1214" t="str">
        <f>"4170047896                    "</f>
        <v xml:space="preserve">4170047896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17.649999999999999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0.3</v>
      </c>
      <c r="BK1214">
        <v>1</v>
      </c>
      <c r="BL1214">
        <v>55.61</v>
      </c>
      <c r="BM1214">
        <v>8.34</v>
      </c>
      <c r="BN1214">
        <v>63.95</v>
      </c>
      <c r="BO1214">
        <v>63.95</v>
      </c>
      <c r="BQ1214" t="s">
        <v>852</v>
      </c>
      <c r="BR1214" t="s">
        <v>84</v>
      </c>
      <c r="BS1214" s="3">
        <v>45849</v>
      </c>
      <c r="BT1214" s="4">
        <v>0.34305555555555556</v>
      </c>
      <c r="BU1214" t="s">
        <v>1444</v>
      </c>
      <c r="BV1214" t="s">
        <v>98</v>
      </c>
      <c r="BY1214">
        <v>1350</v>
      </c>
      <c r="BZ1214" t="s">
        <v>89</v>
      </c>
      <c r="CA1214" t="s">
        <v>451</v>
      </c>
      <c r="CC1214" t="s">
        <v>241</v>
      </c>
      <c r="CD1214">
        <v>2094</v>
      </c>
      <c r="CE1214" t="s">
        <v>1868</v>
      </c>
      <c r="CF1214" s="3">
        <v>45849</v>
      </c>
      <c r="CI1214">
        <v>1</v>
      </c>
      <c r="CJ1214">
        <v>1</v>
      </c>
      <c r="CK1214">
        <v>22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"080066473003"</f>
        <v>080066473003</v>
      </c>
      <c r="F1215" s="3">
        <v>45848</v>
      </c>
      <c r="G1215">
        <v>202604</v>
      </c>
      <c r="H1215" t="s">
        <v>75</v>
      </c>
      <c r="I1215" t="s">
        <v>76</v>
      </c>
      <c r="J1215" t="s">
        <v>77</v>
      </c>
      <c r="K1215" t="s">
        <v>78</v>
      </c>
      <c r="L1215" t="s">
        <v>168</v>
      </c>
      <c r="M1215" t="s">
        <v>169</v>
      </c>
      <c r="N1215" t="s">
        <v>726</v>
      </c>
      <c r="O1215" t="s">
        <v>82</v>
      </c>
      <c r="P1215" t="str">
        <f>"4170047968                    "</f>
        <v xml:space="preserve">4170047968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28.24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2.1</v>
      </c>
      <c r="BK1215">
        <v>2.5</v>
      </c>
      <c r="BL1215">
        <v>88.98</v>
      </c>
      <c r="BM1215">
        <v>13.35</v>
      </c>
      <c r="BN1215">
        <v>102.33</v>
      </c>
      <c r="BO1215">
        <v>102.33</v>
      </c>
      <c r="BQ1215" t="s">
        <v>727</v>
      </c>
      <c r="BR1215" t="s">
        <v>84</v>
      </c>
      <c r="BS1215" s="3">
        <v>45849</v>
      </c>
      <c r="BT1215" s="4">
        <v>0.3972222222222222</v>
      </c>
      <c r="BU1215" t="s">
        <v>1331</v>
      </c>
      <c r="BV1215" t="s">
        <v>98</v>
      </c>
      <c r="BY1215">
        <v>10640</v>
      </c>
      <c r="BZ1215" t="s">
        <v>89</v>
      </c>
      <c r="CA1215" t="s">
        <v>173</v>
      </c>
      <c r="CC1215" t="s">
        <v>169</v>
      </c>
      <c r="CD1215">
        <v>6001</v>
      </c>
      <c r="CE1215" t="s">
        <v>117</v>
      </c>
      <c r="CF1215" s="3">
        <v>45849</v>
      </c>
      <c r="CI1215">
        <v>1</v>
      </c>
      <c r="CJ1215">
        <v>1</v>
      </c>
      <c r="CK1215">
        <v>21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"080066473023"</f>
        <v>080066473023</v>
      </c>
      <c r="F1216" s="3">
        <v>45848</v>
      </c>
      <c r="G1216">
        <v>202604</v>
      </c>
      <c r="H1216" t="s">
        <v>75</v>
      </c>
      <c r="I1216" t="s">
        <v>76</v>
      </c>
      <c r="J1216" t="s">
        <v>77</v>
      </c>
      <c r="K1216" t="s">
        <v>78</v>
      </c>
      <c r="L1216" t="s">
        <v>75</v>
      </c>
      <c r="M1216" t="s">
        <v>76</v>
      </c>
      <c r="N1216" t="s">
        <v>1039</v>
      </c>
      <c r="O1216" t="s">
        <v>82</v>
      </c>
      <c r="P1216" t="str">
        <f>"4170047884                    "</f>
        <v xml:space="preserve">4170047884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17.649999999999999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0.3</v>
      </c>
      <c r="BK1216">
        <v>1</v>
      </c>
      <c r="BL1216">
        <v>55.61</v>
      </c>
      <c r="BM1216">
        <v>8.34</v>
      </c>
      <c r="BN1216">
        <v>63.95</v>
      </c>
      <c r="BO1216">
        <v>63.95</v>
      </c>
      <c r="BQ1216" t="s">
        <v>1040</v>
      </c>
      <c r="BR1216" t="s">
        <v>84</v>
      </c>
      <c r="BS1216" s="3">
        <v>45849</v>
      </c>
      <c r="BT1216" s="4">
        <v>0.30833333333333335</v>
      </c>
      <c r="BU1216" t="s">
        <v>1922</v>
      </c>
      <c r="BV1216" t="s">
        <v>98</v>
      </c>
      <c r="BY1216">
        <v>1350</v>
      </c>
      <c r="BZ1216" t="s">
        <v>89</v>
      </c>
      <c r="CA1216" t="s">
        <v>471</v>
      </c>
      <c r="CC1216" t="s">
        <v>76</v>
      </c>
      <c r="CD1216">
        <v>1609</v>
      </c>
      <c r="CE1216" t="s">
        <v>1868</v>
      </c>
      <c r="CF1216" s="3">
        <v>45849</v>
      </c>
      <c r="CI1216">
        <v>1</v>
      </c>
      <c r="CJ1216">
        <v>1</v>
      </c>
      <c r="CK1216">
        <v>22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"080066473020"</f>
        <v>080066473020</v>
      </c>
      <c r="F1217" s="3">
        <v>45848</v>
      </c>
      <c r="G1217">
        <v>202604</v>
      </c>
      <c r="H1217" t="s">
        <v>75</v>
      </c>
      <c r="I1217" t="s">
        <v>76</v>
      </c>
      <c r="J1217" t="s">
        <v>77</v>
      </c>
      <c r="K1217" t="s">
        <v>78</v>
      </c>
      <c r="L1217" t="s">
        <v>221</v>
      </c>
      <c r="M1217" t="s">
        <v>222</v>
      </c>
      <c r="N1217" t="s">
        <v>223</v>
      </c>
      <c r="O1217" t="s">
        <v>82</v>
      </c>
      <c r="P1217" t="str">
        <f>"4170047800                    "</f>
        <v xml:space="preserve">4170047800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83.33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4</v>
      </c>
      <c r="BJ1217">
        <v>1.8</v>
      </c>
      <c r="BK1217">
        <v>4</v>
      </c>
      <c r="BL1217">
        <v>262.52999999999997</v>
      </c>
      <c r="BM1217">
        <v>39.380000000000003</v>
      </c>
      <c r="BN1217">
        <v>301.91000000000003</v>
      </c>
      <c r="BO1217">
        <v>301.91000000000003</v>
      </c>
      <c r="BQ1217" t="s">
        <v>224</v>
      </c>
      <c r="BR1217" t="s">
        <v>84</v>
      </c>
      <c r="BS1217" s="3">
        <v>45849</v>
      </c>
      <c r="BT1217" s="4">
        <v>0.37638888888888888</v>
      </c>
      <c r="BU1217" t="s">
        <v>1494</v>
      </c>
      <c r="BV1217" t="s">
        <v>98</v>
      </c>
      <c r="BY1217">
        <v>9044</v>
      </c>
      <c r="BZ1217" t="s">
        <v>89</v>
      </c>
      <c r="CC1217" t="s">
        <v>222</v>
      </c>
      <c r="CD1217">
        <v>2740</v>
      </c>
      <c r="CE1217" t="s">
        <v>117</v>
      </c>
      <c r="CF1217" s="3">
        <v>45852</v>
      </c>
      <c r="CI1217">
        <v>1</v>
      </c>
      <c r="CJ1217">
        <v>1</v>
      </c>
      <c r="CK1217">
        <v>23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"080066473043"</f>
        <v>080066473043</v>
      </c>
      <c r="F1218" s="3">
        <v>45848</v>
      </c>
      <c r="G1218">
        <v>202604</v>
      </c>
      <c r="H1218" t="s">
        <v>75</v>
      </c>
      <c r="I1218" t="s">
        <v>76</v>
      </c>
      <c r="J1218" t="s">
        <v>77</v>
      </c>
      <c r="K1218" t="s">
        <v>78</v>
      </c>
      <c r="L1218" t="s">
        <v>554</v>
      </c>
      <c r="M1218" t="s">
        <v>555</v>
      </c>
      <c r="N1218" t="s">
        <v>556</v>
      </c>
      <c r="O1218" t="s">
        <v>82</v>
      </c>
      <c r="P1218" t="str">
        <f>"4170047799                    "</f>
        <v xml:space="preserve">4170047799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22.6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0.3</v>
      </c>
      <c r="BK1218">
        <v>1</v>
      </c>
      <c r="BL1218">
        <v>71.2</v>
      </c>
      <c r="BM1218">
        <v>10.68</v>
      </c>
      <c r="BN1218">
        <v>81.88</v>
      </c>
      <c r="BO1218">
        <v>81.88</v>
      </c>
      <c r="BQ1218" t="s">
        <v>557</v>
      </c>
      <c r="BR1218" t="s">
        <v>84</v>
      </c>
      <c r="BS1218" s="3">
        <v>45849</v>
      </c>
      <c r="BT1218" s="4">
        <v>0.33611111111111114</v>
      </c>
      <c r="BU1218" t="s">
        <v>1923</v>
      </c>
      <c r="BV1218" t="s">
        <v>98</v>
      </c>
      <c r="BY1218">
        <v>1350</v>
      </c>
      <c r="BZ1218" t="s">
        <v>89</v>
      </c>
      <c r="CA1218" t="s">
        <v>1599</v>
      </c>
      <c r="CC1218" t="s">
        <v>555</v>
      </c>
      <c r="CD1218" s="5" t="s">
        <v>560</v>
      </c>
      <c r="CE1218" t="s">
        <v>1868</v>
      </c>
      <c r="CF1218" s="3">
        <v>45849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"080066473048"</f>
        <v>080066473048</v>
      </c>
      <c r="F1219" s="3">
        <v>45848</v>
      </c>
      <c r="G1219">
        <v>202604</v>
      </c>
      <c r="H1219" t="s">
        <v>75</v>
      </c>
      <c r="I1219" t="s">
        <v>76</v>
      </c>
      <c r="J1219" t="s">
        <v>77</v>
      </c>
      <c r="K1219" t="s">
        <v>78</v>
      </c>
      <c r="L1219" t="s">
        <v>135</v>
      </c>
      <c r="M1219" t="s">
        <v>136</v>
      </c>
      <c r="N1219" t="s">
        <v>1924</v>
      </c>
      <c r="O1219" t="s">
        <v>82</v>
      </c>
      <c r="P1219" t="str">
        <f>"4170047807                    "</f>
        <v xml:space="preserve">4170047807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22.6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1.7</v>
      </c>
      <c r="BK1219">
        <v>2</v>
      </c>
      <c r="BL1219">
        <v>71.2</v>
      </c>
      <c r="BM1219">
        <v>10.68</v>
      </c>
      <c r="BN1219">
        <v>81.88</v>
      </c>
      <c r="BO1219">
        <v>81.88</v>
      </c>
      <c r="BQ1219" t="s">
        <v>1925</v>
      </c>
      <c r="BR1219" t="s">
        <v>84</v>
      </c>
      <c r="BS1219" s="3">
        <v>45849</v>
      </c>
      <c r="BT1219" s="4">
        <v>0.41666666666666669</v>
      </c>
      <c r="BU1219" t="s">
        <v>1926</v>
      </c>
      <c r="BV1219" t="s">
        <v>98</v>
      </c>
      <c r="BY1219">
        <v>8550</v>
      </c>
      <c r="BZ1219" t="s">
        <v>89</v>
      </c>
      <c r="CA1219" t="s">
        <v>349</v>
      </c>
      <c r="CC1219" t="s">
        <v>136</v>
      </c>
      <c r="CD1219">
        <v>3201</v>
      </c>
      <c r="CE1219" t="s">
        <v>266</v>
      </c>
      <c r="CF1219" s="3">
        <v>45850</v>
      </c>
      <c r="CI1219">
        <v>1</v>
      </c>
      <c r="CJ1219">
        <v>1</v>
      </c>
      <c r="CK1219">
        <v>21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"080066473064"</f>
        <v>080066473064</v>
      </c>
      <c r="F1220" s="3">
        <v>45848</v>
      </c>
      <c r="G1220">
        <v>202604</v>
      </c>
      <c r="H1220" t="s">
        <v>75</v>
      </c>
      <c r="I1220" t="s">
        <v>76</v>
      </c>
      <c r="J1220" t="s">
        <v>77</v>
      </c>
      <c r="K1220" t="s">
        <v>78</v>
      </c>
      <c r="L1220" t="s">
        <v>102</v>
      </c>
      <c r="M1220" t="s">
        <v>103</v>
      </c>
      <c r="N1220" t="s">
        <v>104</v>
      </c>
      <c r="O1220" t="s">
        <v>82</v>
      </c>
      <c r="P1220" t="str">
        <f>"4170047908                    "</f>
        <v xml:space="preserve">4170047908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31.78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0.3</v>
      </c>
      <c r="BK1220">
        <v>1</v>
      </c>
      <c r="BL1220">
        <v>100.13</v>
      </c>
      <c r="BM1220">
        <v>15.02</v>
      </c>
      <c r="BN1220">
        <v>115.15</v>
      </c>
      <c r="BO1220">
        <v>115.15</v>
      </c>
      <c r="BQ1220" t="s">
        <v>833</v>
      </c>
      <c r="BR1220" t="s">
        <v>84</v>
      </c>
      <c r="BS1220" s="3">
        <v>45849</v>
      </c>
      <c r="BT1220" s="4">
        <v>0.35416666666666669</v>
      </c>
      <c r="BU1220" t="s">
        <v>1927</v>
      </c>
      <c r="BV1220" t="s">
        <v>98</v>
      </c>
      <c r="BY1220">
        <v>1350</v>
      </c>
      <c r="BZ1220" t="s">
        <v>89</v>
      </c>
      <c r="CA1220" t="s">
        <v>109</v>
      </c>
      <c r="CC1220" t="s">
        <v>103</v>
      </c>
      <c r="CD1220">
        <v>1748</v>
      </c>
      <c r="CE1220" t="s">
        <v>1868</v>
      </c>
      <c r="CF1220" s="3">
        <v>45850</v>
      </c>
      <c r="CI1220">
        <v>1</v>
      </c>
      <c r="CJ1220">
        <v>1</v>
      </c>
      <c r="CK1220">
        <v>24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"080066473072"</f>
        <v>080066473072</v>
      </c>
      <c r="F1221" s="3">
        <v>45848</v>
      </c>
      <c r="G1221">
        <v>202604</v>
      </c>
      <c r="H1221" t="s">
        <v>75</v>
      </c>
      <c r="I1221" t="s">
        <v>76</v>
      </c>
      <c r="J1221" t="s">
        <v>77</v>
      </c>
      <c r="K1221" t="s">
        <v>78</v>
      </c>
      <c r="L1221" t="s">
        <v>168</v>
      </c>
      <c r="M1221" t="s">
        <v>169</v>
      </c>
      <c r="N1221" t="s">
        <v>202</v>
      </c>
      <c r="O1221" t="s">
        <v>82</v>
      </c>
      <c r="P1221" t="str">
        <f>"4170047694                    "</f>
        <v xml:space="preserve">4170047694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39.53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3.4</v>
      </c>
      <c r="BK1221">
        <v>3.5</v>
      </c>
      <c r="BL1221">
        <v>124.55</v>
      </c>
      <c r="BM1221">
        <v>18.68</v>
      </c>
      <c r="BN1221">
        <v>143.22999999999999</v>
      </c>
      <c r="BO1221">
        <v>143.22999999999999</v>
      </c>
      <c r="BQ1221" t="s">
        <v>203</v>
      </c>
      <c r="BR1221" t="s">
        <v>84</v>
      </c>
      <c r="BS1221" s="3">
        <v>45849</v>
      </c>
      <c r="BT1221" s="4">
        <v>0.40347222222222223</v>
      </c>
      <c r="BU1221" t="s">
        <v>1127</v>
      </c>
      <c r="BV1221" t="s">
        <v>98</v>
      </c>
      <c r="BY1221">
        <v>16965</v>
      </c>
      <c r="BZ1221" t="s">
        <v>89</v>
      </c>
      <c r="CA1221" t="s">
        <v>205</v>
      </c>
      <c r="CC1221" t="s">
        <v>169</v>
      </c>
      <c r="CD1221">
        <v>6001</v>
      </c>
      <c r="CE1221" t="s">
        <v>117</v>
      </c>
      <c r="CF1221" s="3">
        <v>45849</v>
      </c>
      <c r="CI1221">
        <v>1</v>
      </c>
      <c r="CJ1221">
        <v>1</v>
      </c>
      <c r="CK1221">
        <v>21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"080066473085"</f>
        <v>080066473085</v>
      </c>
      <c r="F1222" s="3">
        <v>45848</v>
      </c>
      <c r="G1222">
        <v>202604</v>
      </c>
      <c r="H1222" t="s">
        <v>75</v>
      </c>
      <c r="I1222" t="s">
        <v>76</v>
      </c>
      <c r="J1222" t="s">
        <v>77</v>
      </c>
      <c r="K1222" t="s">
        <v>78</v>
      </c>
      <c r="L1222" t="s">
        <v>240</v>
      </c>
      <c r="M1222" t="s">
        <v>241</v>
      </c>
      <c r="N1222" t="s">
        <v>1070</v>
      </c>
      <c r="O1222" t="s">
        <v>82</v>
      </c>
      <c r="P1222" t="str">
        <f>"4170047899                    "</f>
        <v xml:space="preserve">4170047899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17.649999999999999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0.3</v>
      </c>
      <c r="BK1222">
        <v>1</v>
      </c>
      <c r="BL1222">
        <v>55.61</v>
      </c>
      <c r="BM1222">
        <v>8.34</v>
      </c>
      <c r="BN1222">
        <v>63.95</v>
      </c>
      <c r="BO1222">
        <v>63.95</v>
      </c>
      <c r="BQ1222" t="s">
        <v>1071</v>
      </c>
      <c r="BR1222" t="s">
        <v>84</v>
      </c>
      <c r="BS1222" s="3">
        <v>45849</v>
      </c>
      <c r="BT1222" s="4">
        <v>0.42499999999999999</v>
      </c>
      <c r="BU1222" t="s">
        <v>1072</v>
      </c>
      <c r="BV1222" t="s">
        <v>98</v>
      </c>
      <c r="BY1222">
        <v>1350</v>
      </c>
      <c r="BZ1222" t="s">
        <v>89</v>
      </c>
      <c r="CA1222" t="s">
        <v>1073</v>
      </c>
      <c r="CC1222" t="s">
        <v>241</v>
      </c>
      <c r="CD1222">
        <v>2007</v>
      </c>
      <c r="CE1222" t="s">
        <v>1868</v>
      </c>
      <c r="CF1222" s="3">
        <v>45850</v>
      </c>
      <c r="CI1222">
        <v>1</v>
      </c>
      <c r="CJ1222">
        <v>1</v>
      </c>
      <c r="CK1222">
        <v>22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"080066473111"</f>
        <v>080066473111</v>
      </c>
      <c r="F1223" s="3">
        <v>45848</v>
      </c>
      <c r="G1223">
        <v>202604</v>
      </c>
      <c r="H1223" t="s">
        <v>75</v>
      </c>
      <c r="I1223" t="s">
        <v>76</v>
      </c>
      <c r="J1223" t="s">
        <v>77</v>
      </c>
      <c r="K1223" t="s">
        <v>78</v>
      </c>
      <c r="L1223" t="s">
        <v>168</v>
      </c>
      <c r="M1223" t="s">
        <v>169</v>
      </c>
      <c r="N1223" t="s">
        <v>202</v>
      </c>
      <c r="O1223" t="s">
        <v>82</v>
      </c>
      <c r="P1223" t="str">
        <f>"4170048121                    "</f>
        <v xml:space="preserve">4170048121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22.6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0.3</v>
      </c>
      <c r="BK1223">
        <v>1</v>
      </c>
      <c r="BL1223">
        <v>71.2</v>
      </c>
      <c r="BM1223">
        <v>10.68</v>
      </c>
      <c r="BN1223">
        <v>81.88</v>
      </c>
      <c r="BO1223">
        <v>81.88</v>
      </c>
      <c r="BQ1223" t="s">
        <v>203</v>
      </c>
      <c r="BR1223" t="s">
        <v>84</v>
      </c>
      <c r="BS1223" s="3">
        <v>45849</v>
      </c>
      <c r="BT1223" s="4">
        <v>0.40208333333333335</v>
      </c>
      <c r="BU1223" t="s">
        <v>1127</v>
      </c>
      <c r="BV1223" t="s">
        <v>98</v>
      </c>
      <c r="BY1223">
        <v>1350</v>
      </c>
      <c r="BZ1223" t="s">
        <v>89</v>
      </c>
      <c r="CA1223" t="s">
        <v>205</v>
      </c>
      <c r="CC1223" t="s">
        <v>169</v>
      </c>
      <c r="CD1223">
        <v>6001</v>
      </c>
      <c r="CE1223" t="s">
        <v>1868</v>
      </c>
      <c r="CF1223" s="3">
        <v>45849</v>
      </c>
      <c r="CI1223">
        <v>1</v>
      </c>
      <c r="CJ1223">
        <v>1</v>
      </c>
      <c r="CK1223">
        <v>21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"080066473108"</f>
        <v>080066473108</v>
      </c>
      <c r="F1224" s="3">
        <v>45848</v>
      </c>
      <c r="G1224">
        <v>202604</v>
      </c>
      <c r="H1224" t="s">
        <v>75</v>
      </c>
      <c r="I1224" t="s">
        <v>76</v>
      </c>
      <c r="J1224" t="s">
        <v>77</v>
      </c>
      <c r="K1224" t="s">
        <v>78</v>
      </c>
      <c r="L1224" t="s">
        <v>808</v>
      </c>
      <c r="M1224" t="s">
        <v>808</v>
      </c>
      <c r="N1224" t="s">
        <v>809</v>
      </c>
      <c r="O1224" t="s">
        <v>311</v>
      </c>
      <c r="P1224" t="str">
        <f>"4170047841                    "</f>
        <v xml:space="preserve">4170047841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165.3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8</v>
      </c>
      <c r="BJ1224">
        <v>8.9</v>
      </c>
      <c r="BK1224">
        <v>9</v>
      </c>
      <c r="BL1224">
        <v>520.79</v>
      </c>
      <c r="BM1224">
        <v>78.12</v>
      </c>
      <c r="BN1224">
        <v>598.91</v>
      </c>
      <c r="BO1224">
        <v>598.91</v>
      </c>
      <c r="BQ1224" t="s">
        <v>810</v>
      </c>
      <c r="BR1224" t="s">
        <v>84</v>
      </c>
      <c r="BS1224" s="3">
        <v>45849</v>
      </c>
      <c r="BT1224" s="4">
        <v>0.39374999999999999</v>
      </c>
      <c r="BU1224" t="s">
        <v>811</v>
      </c>
      <c r="BV1224" t="s">
        <v>98</v>
      </c>
      <c r="BY1224">
        <v>44640</v>
      </c>
      <c r="BZ1224" t="s">
        <v>99</v>
      </c>
      <c r="CA1224" t="s">
        <v>812</v>
      </c>
      <c r="CC1224" t="s">
        <v>808</v>
      </c>
      <c r="CD1224">
        <v>1491</v>
      </c>
      <c r="CE1224" t="s">
        <v>117</v>
      </c>
      <c r="CF1224" s="3">
        <v>45850</v>
      </c>
      <c r="CI1224">
        <v>1</v>
      </c>
      <c r="CJ1224">
        <v>1</v>
      </c>
      <c r="CK1224">
        <v>34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"080066473130"</f>
        <v>080066473130</v>
      </c>
      <c r="F1225" s="3">
        <v>45848</v>
      </c>
      <c r="G1225">
        <v>202604</v>
      </c>
      <c r="H1225" t="s">
        <v>75</v>
      </c>
      <c r="I1225" t="s">
        <v>76</v>
      </c>
      <c r="J1225" t="s">
        <v>77</v>
      </c>
      <c r="K1225" t="s">
        <v>78</v>
      </c>
      <c r="L1225" t="s">
        <v>1768</v>
      </c>
      <c r="M1225" t="s">
        <v>1769</v>
      </c>
      <c r="N1225" t="s">
        <v>1928</v>
      </c>
      <c r="O1225" t="s">
        <v>82</v>
      </c>
      <c r="P1225" t="str">
        <f>"4170047927                    "</f>
        <v xml:space="preserve">4170047927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43.78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0.3</v>
      </c>
      <c r="BK1225">
        <v>1</v>
      </c>
      <c r="BL1225">
        <v>137.94</v>
      </c>
      <c r="BM1225">
        <v>20.69</v>
      </c>
      <c r="BN1225">
        <v>158.63</v>
      </c>
      <c r="BO1225">
        <v>158.63</v>
      </c>
      <c r="BQ1225" t="s">
        <v>1929</v>
      </c>
      <c r="BR1225" t="s">
        <v>84</v>
      </c>
      <c r="BS1225" s="3">
        <v>45853</v>
      </c>
      <c r="BT1225" s="4">
        <v>0.5</v>
      </c>
      <c r="BU1225" t="s">
        <v>1930</v>
      </c>
      <c r="BV1225" t="s">
        <v>86</v>
      </c>
      <c r="BY1225">
        <v>1350</v>
      </c>
      <c r="BZ1225" t="s">
        <v>89</v>
      </c>
      <c r="CC1225" t="s">
        <v>1769</v>
      </c>
      <c r="CD1225">
        <v>2302</v>
      </c>
      <c r="CE1225" t="s">
        <v>1868</v>
      </c>
      <c r="CF1225" s="3">
        <v>45853</v>
      </c>
      <c r="CI1225">
        <v>1</v>
      </c>
      <c r="CJ1225">
        <v>3</v>
      </c>
      <c r="CK1225">
        <v>23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"080066473149"</f>
        <v>080066473149</v>
      </c>
      <c r="F1226" s="3">
        <v>45848</v>
      </c>
      <c r="G1226">
        <v>202604</v>
      </c>
      <c r="H1226" t="s">
        <v>75</v>
      </c>
      <c r="I1226" t="s">
        <v>76</v>
      </c>
      <c r="J1226" t="s">
        <v>77</v>
      </c>
      <c r="K1226" t="s">
        <v>78</v>
      </c>
      <c r="L1226" t="s">
        <v>79</v>
      </c>
      <c r="M1226" t="s">
        <v>80</v>
      </c>
      <c r="N1226" t="s">
        <v>141</v>
      </c>
      <c r="O1226" t="s">
        <v>82</v>
      </c>
      <c r="P1226" t="str">
        <f>"4170047980                    "</f>
        <v xml:space="preserve">4170047980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22.6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0.3</v>
      </c>
      <c r="BK1226">
        <v>1</v>
      </c>
      <c r="BL1226">
        <v>71.2</v>
      </c>
      <c r="BM1226">
        <v>10.68</v>
      </c>
      <c r="BN1226">
        <v>81.88</v>
      </c>
      <c r="BO1226">
        <v>81.88</v>
      </c>
      <c r="BQ1226" t="s">
        <v>142</v>
      </c>
      <c r="BR1226" t="s">
        <v>84</v>
      </c>
      <c r="BS1226" s="3">
        <v>45849</v>
      </c>
      <c r="BT1226" s="4">
        <v>0.39861111111111114</v>
      </c>
      <c r="BU1226" t="s">
        <v>143</v>
      </c>
      <c r="BV1226" t="s">
        <v>98</v>
      </c>
      <c r="BY1226">
        <v>1350</v>
      </c>
      <c r="BZ1226" t="s">
        <v>89</v>
      </c>
      <c r="CA1226" t="s">
        <v>144</v>
      </c>
      <c r="CC1226" t="s">
        <v>80</v>
      </c>
      <c r="CD1226">
        <v>7441</v>
      </c>
      <c r="CE1226" t="s">
        <v>1868</v>
      </c>
      <c r="CF1226" s="3">
        <v>45852</v>
      </c>
      <c r="CI1226">
        <v>1</v>
      </c>
      <c r="CJ1226">
        <v>1</v>
      </c>
      <c r="CK1226">
        <v>21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"080066473243"</f>
        <v>080066473243</v>
      </c>
      <c r="F1227" s="3">
        <v>45848</v>
      </c>
      <c r="G1227">
        <v>202604</v>
      </c>
      <c r="H1227" t="s">
        <v>75</v>
      </c>
      <c r="I1227" t="s">
        <v>76</v>
      </c>
      <c r="J1227" t="s">
        <v>77</v>
      </c>
      <c r="K1227" t="s">
        <v>78</v>
      </c>
      <c r="L1227" t="s">
        <v>240</v>
      </c>
      <c r="M1227" t="s">
        <v>241</v>
      </c>
      <c r="N1227" t="s">
        <v>1931</v>
      </c>
      <c r="O1227" t="s">
        <v>82</v>
      </c>
      <c r="P1227" t="str">
        <f>"4170047981                    "</f>
        <v xml:space="preserve">4170047981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17.649999999999999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0.3</v>
      </c>
      <c r="BK1227">
        <v>1</v>
      </c>
      <c r="BL1227">
        <v>55.61</v>
      </c>
      <c r="BM1227">
        <v>8.34</v>
      </c>
      <c r="BN1227">
        <v>63.95</v>
      </c>
      <c r="BO1227">
        <v>63.95</v>
      </c>
      <c r="BQ1227" t="s">
        <v>1932</v>
      </c>
      <c r="BR1227" t="s">
        <v>84</v>
      </c>
      <c r="BS1227" s="3">
        <v>45849</v>
      </c>
      <c r="BT1227" s="4">
        <v>0.52916666666666667</v>
      </c>
      <c r="BU1227" t="s">
        <v>1933</v>
      </c>
      <c r="BV1227" t="s">
        <v>98</v>
      </c>
      <c r="BY1227">
        <v>1350</v>
      </c>
      <c r="BZ1227" t="s">
        <v>89</v>
      </c>
      <c r="CC1227" t="s">
        <v>241</v>
      </c>
      <c r="CD1227">
        <v>2042</v>
      </c>
      <c r="CE1227" t="s">
        <v>1868</v>
      </c>
      <c r="CF1227" s="3">
        <v>45849</v>
      </c>
      <c r="CI1227">
        <v>1</v>
      </c>
      <c r="CJ1227">
        <v>1</v>
      </c>
      <c r="CK1227">
        <v>22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"080066473253"</f>
        <v>080066473253</v>
      </c>
      <c r="F1228" s="3">
        <v>45848</v>
      </c>
      <c r="G1228">
        <v>202604</v>
      </c>
      <c r="H1228" t="s">
        <v>75</v>
      </c>
      <c r="I1228" t="s">
        <v>76</v>
      </c>
      <c r="J1228" t="s">
        <v>77</v>
      </c>
      <c r="K1228" t="s">
        <v>78</v>
      </c>
      <c r="L1228" t="s">
        <v>168</v>
      </c>
      <c r="M1228" t="s">
        <v>169</v>
      </c>
      <c r="N1228" t="s">
        <v>412</v>
      </c>
      <c r="O1228" t="s">
        <v>82</v>
      </c>
      <c r="P1228" t="str">
        <f>"4170047783                    "</f>
        <v xml:space="preserve">4170047783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22.6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0.3</v>
      </c>
      <c r="BK1228">
        <v>1</v>
      </c>
      <c r="BL1228">
        <v>71.2</v>
      </c>
      <c r="BM1228">
        <v>10.68</v>
      </c>
      <c r="BN1228">
        <v>81.88</v>
      </c>
      <c r="BO1228">
        <v>81.88</v>
      </c>
      <c r="BQ1228" t="s">
        <v>413</v>
      </c>
      <c r="BR1228" t="s">
        <v>84</v>
      </c>
      <c r="BS1228" s="3">
        <v>45849</v>
      </c>
      <c r="BT1228" s="4">
        <v>0.39166666666666666</v>
      </c>
      <c r="BU1228" t="s">
        <v>1934</v>
      </c>
      <c r="BV1228" t="s">
        <v>98</v>
      </c>
      <c r="BY1228">
        <v>1350</v>
      </c>
      <c r="BZ1228" t="s">
        <v>89</v>
      </c>
      <c r="CA1228" t="s">
        <v>415</v>
      </c>
      <c r="CC1228" t="s">
        <v>169</v>
      </c>
      <c r="CD1228">
        <v>6001</v>
      </c>
      <c r="CE1228" t="s">
        <v>1868</v>
      </c>
      <c r="CF1228" s="3">
        <v>45849</v>
      </c>
      <c r="CI1228">
        <v>1</v>
      </c>
      <c r="CJ1228">
        <v>1</v>
      </c>
      <c r="CK1228">
        <v>21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"080066473279"</f>
        <v>080066473279</v>
      </c>
      <c r="F1229" s="3">
        <v>45848</v>
      </c>
      <c r="G1229">
        <v>202604</v>
      </c>
      <c r="H1229" t="s">
        <v>75</v>
      </c>
      <c r="I1229" t="s">
        <v>76</v>
      </c>
      <c r="J1229" t="s">
        <v>77</v>
      </c>
      <c r="K1229" t="s">
        <v>78</v>
      </c>
      <c r="L1229" t="s">
        <v>128</v>
      </c>
      <c r="M1229" t="s">
        <v>129</v>
      </c>
      <c r="N1229" t="s">
        <v>636</v>
      </c>
      <c r="O1229" t="s">
        <v>82</v>
      </c>
      <c r="P1229" t="str">
        <f>"4170047897                    "</f>
        <v xml:space="preserve">4170047897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43.78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0.3</v>
      </c>
      <c r="BK1229">
        <v>1</v>
      </c>
      <c r="BL1229">
        <v>137.94</v>
      </c>
      <c r="BM1229">
        <v>20.69</v>
      </c>
      <c r="BN1229">
        <v>158.63</v>
      </c>
      <c r="BO1229">
        <v>158.63</v>
      </c>
      <c r="BQ1229" t="s">
        <v>637</v>
      </c>
      <c r="BR1229" t="s">
        <v>84</v>
      </c>
      <c r="BS1229" s="3">
        <v>45849</v>
      </c>
      <c r="BT1229" s="4">
        <v>0.41736111111111113</v>
      </c>
      <c r="BU1229" t="s">
        <v>1935</v>
      </c>
      <c r="BV1229" t="s">
        <v>98</v>
      </c>
      <c r="BY1229">
        <v>1350</v>
      </c>
      <c r="BZ1229" t="s">
        <v>89</v>
      </c>
      <c r="CC1229" t="s">
        <v>129</v>
      </c>
      <c r="CD1229" s="5" t="s">
        <v>134</v>
      </c>
      <c r="CE1229" t="s">
        <v>1868</v>
      </c>
      <c r="CF1229" s="3">
        <v>45852</v>
      </c>
      <c r="CI1229">
        <v>1</v>
      </c>
      <c r="CJ1229">
        <v>1</v>
      </c>
      <c r="CK1229">
        <v>23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"080066473294"</f>
        <v>080066473294</v>
      </c>
      <c r="F1230" s="3">
        <v>45848</v>
      </c>
      <c r="G1230">
        <v>202604</v>
      </c>
      <c r="H1230" t="s">
        <v>75</v>
      </c>
      <c r="I1230" t="s">
        <v>76</v>
      </c>
      <c r="J1230" t="s">
        <v>77</v>
      </c>
      <c r="K1230" t="s">
        <v>78</v>
      </c>
      <c r="L1230" t="s">
        <v>75</v>
      </c>
      <c r="M1230" t="s">
        <v>76</v>
      </c>
      <c r="N1230" t="s">
        <v>562</v>
      </c>
      <c r="O1230" t="s">
        <v>82</v>
      </c>
      <c r="P1230" t="str">
        <f>"4170047790                    "</f>
        <v xml:space="preserve">4170047790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17.649999999999999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0.3</v>
      </c>
      <c r="BK1230">
        <v>1</v>
      </c>
      <c r="BL1230">
        <v>55.61</v>
      </c>
      <c r="BM1230">
        <v>8.34</v>
      </c>
      <c r="BN1230">
        <v>63.95</v>
      </c>
      <c r="BO1230">
        <v>63.95</v>
      </c>
      <c r="BQ1230" t="s">
        <v>563</v>
      </c>
      <c r="BR1230" t="s">
        <v>84</v>
      </c>
      <c r="BS1230" s="3">
        <v>45849</v>
      </c>
      <c r="BT1230" s="4">
        <v>0.41319444444444442</v>
      </c>
      <c r="BU1230" t="s">
        <v>796</v>
      </c>
      <c r="BV1230" t="s">
        <v>98</v>
      </c>
      <c r="BY1230">
        <v>1350</v>
      </c>
      <c r="BZ1230" t="s">
        <v>89</v>
      </c>
      <c r="CA1230" t="s">
        <v>797</v>
      </c>
      <c r="CC1230" t="s">
        <v>76</v>
      </c>
      <c r="CD1230">
        <v>1619</v>
      </c>
      <c r="CE1230" t="s">
        <v>1868</v>
      </c>
      <c r="CF1230" s="3">
        <v>45850</v>
      </c>
      <c r="CI1230">
        <v>1</v>
      </c>
      <c r="CJ1230">
        <v>1</v>
      </c>
      <c r="CK1230">
        <v>22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"080066473296"</f>
        <v>080066473296</v>
      </c>
      <c r="F1231" s="3">
        <v>45848</v>
      </c>
      <c r="G1231">
        <v>202604</v>
      </c>
      <c r="H1231" t="s">
        <v>75</v>
      </c>
      <c r="I1231" t="s">
        <v>76</v>
      </c>
      <c r="J1231" t="s">
        <v>77</v>
      </c>
      <c r="K1231" t="s">
        <v>78</v>
      </c>
      <c r="L1231" t="s">
        <v>92</v>
      </c>
      <c r="M1231" t="s">
        <v>93</v>
      </c>
      <c r="N1231" t="s">
        <v>291</v>
      </c>
      <c r="O1231" t="s">
        <v>82</v>
      </c>
      <c r="P1231" t="str">
        <f>"4170047967                    "</f>
        <v xml:space="preserve">4170047967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22.6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71.2</v>
      </c>
      <c r="BM1231">
        <v>10.68</v>
      </c>
      <c r="BN1231">
        <v>81.88</v>
      </c>
      <c r="BO1231">
        <v>81.88</v>
      </c>
      <c r="BQ1231" t="s">
        <v>292</v>
      </c>
      <c r="BR1231" t="s">
        <v>84</v>
      </c>
      <c r="BS1231" s="3">
        <v>45849</v>
      </c>
      <c r="BT1231" s="4">
        <v>0.3347222222222222</v>
      </c>
      <c r="BU1231" t="s">
        <v>1936</v>
      </c>
      <c r="BV1231" t="s">
        <v>98</v>
      </c>
      <c r="BY1231">
        <v>1200</v>
      </c>
      <c r="BZ1231" t="s">
        <v>89</v>
      </c>
      <c r="CA1231" t="s">
        <v>294</v>
      </c>
      <c r="CC1231" t="s">
        <v>93</v>
      </c>
      <c r="CD1231">
        <v>4051</v>
      </c>
      <c r="CE1231" t="s">
        <v>239</v>
      </c>
      <c r="CF1231" s="3">
        <v>45849</v>
      </c>
      <c r="CI1231">
        <v>1</v>
      </c>
      <c r="CJ1231">
        <v>1</v>
      </c>
      <c r="CK1231">
        <v>21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"080066473316"</f>
        <v>080066473316</v>
      </c>
      <c r="F1232" s="3">
        <v>45848</v>
      </c>
      <c r="G1232">
        <v>202604</v>
      </c>
      <c r="H1232" t="s">
        <v>75</v>
      </c>
      <c r="I1232" t="s">
        <v>76</v>
      </c>
      <c r="J1232" t="s">
        <v>77</v>
      </c>
      <c r="K1232" t="s">
        <v>78</v>
      </c>
      <c r="L1232" t="s">
        <v>252</v>
      </c>
      <c r="M1232" t="s">
        <v>253</v>
      </c>
      <c r="N1232" t="s">
        <v>325</v>
      </c>
      <c r="O1232" t="s">
        <v>82</v>
      </c>
      <c r="P1232" t="str">
        <f>"4170047952                    "</f>
        <v xml:space="preserve">4170047952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43.78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0.3</v>
      </c>
      <c r="BK1232">
        <v>1</v>
      </c>
      <c r="BL1232">
        <v>137.94</v>
      </c>
      <c r="BM1232">
        <v>20.69</v>
      </c>
      <c r="BN1232">
        <v>158.63</v>
      </c>
      <c r="BO1232">
        <v>158.63</v>
      </c>
      <c r="BQ1232" t="s">
        <v>326</v>
      </c>
      <c r="BR1232" t="s">
        <v>84</v>
      </c>
      <c r="BS1232" s="3">
        <v>45849</v>
      </c>
      <c r="BT1232" s="4">
        <v>0.38333333333333336</v>
      </c>
      <c r="BU1232" t="s">
        <v>1937</v>
      </c>
      <c r="BV1232" t="s">
        <v>98</v>
      </c>
      <c r="BY1232">
        <v>1350</v>
      </c>
      <c r="BZ1232" t="s">
        <v>89</v>
      </c>
      <c r="CA1232" t="s">
        <v>328</v>
      </c>
      <c r="CC1232" t="s">
        <v>253</v>
      </c>
      <c r="CD1232">
        <v>1947</v>
      </c>
      <c r="CE1232" t="s">
        <v>1868</v>
      </c>
      <c r="CF1232" s="3">
        <v>45849</v>
      </c>
      <c r="CI1232">
        <v>1</v>
      </c>
      <c r="CJ1232">
        <v>1</v>
      </c>
      <c r="CK1232">
        <v>23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"080066473317"</f>
        <v>080066473317</v>
      </c>
      <c r="F1233" s="3">
        <v>45848</v>
      </c>
      <c r="G1233">
        <v>202604</v>
      </c>
      <c r="H1233" t="s">
        <v>75</v>
      </c>
      <c r="I1233" t="s">
        <v>76</v>
      </c>
      <c r="J1233" t="s">
        <v>77</v>
      </c>
      <c r="K1233" t="s">
        <v>78</v>
      </c>
      <c r="L1233" t="s">
        <v>79</v>
      </c>
      <c r="M1233" t="s">
        <v>80</v>
      </c>
      <c r="N1233" t="s">
        <v>81</v>
      </c>
      <c r="O1233" t="s">
        <v>82</v>
      </c>
      <c r="P1233" t="str">
        <f>"4170047901                    "</f>
        <v xml:space="preserve">4170047901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22.6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71.2</v>
      </c>
      <c r="BM1233">
        <v>10.68</v>
      </c>
      <c r="BN1233">
        <v>81.88</v>
      </c>
      <c r="BO1233">
        <v>81.88</v>
      </c>
      <c r="BQ1233" t="s">
        <v>83</v>
      </c>
      <c r="BR1233" t="s">
        <v>84</v>
      </c>
      <c r="BS1233" s="3">
        <v>45849</v>
      </c>
      <c r="BT1233" s="4">
        <v>0.52152777777777781</v>
      </c>
      <c r="BU1233" t="s">
        <v>85</v>
      </c>
      <c r="BV1233" t="s">
        <v>86</v>
      </c>
      <c r="BW1233" t="s">
        <v>87</v>
      </c>
      <c r="BX1233" t="s">
        <v>88</v>
      </c>
      <c r="BY1233">
        <v>1200</v>
      </c>
      <c r="BZ1233" t="s">
        <v>89</v>
      </c>
      <c r="CA1233" t="s">
        <v>90</v>
      </c>
      <c r="CC1233" t="s">
        <v>80</v>
      </c>
      <c r="CD1233">
        <v>7550</v>
      </c>
      <c r="CE1233" t="s">
        <v>239</v>
      </c>
      <c r="CF1233" s="3">
        <v>45852</v>
      </c>
      <c r="CI1233">
        <v>1</v>
      </c>
      <c r="CJ1233">
        <v>1</v>
      </c>
      <c r="CK1233">
        <v>21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"080066473364"</f>
        <v>080066473364</v>
      </c>
      <c r="F1234" s="3">
        <v>45848</v>
      </c>
      <c r="G1234">
        <v>202604</v>
      </c>
      <c r="H1234" t="s">
        <v>75</v>
      </c>
      <c r="I1234" t="s">
        <v>76</v>
      </c>
      <c r="J1234" t="s">
        <v>77</v>
      </c>
      <c r="K1234" t="s">
        <v>78</v>
      </c>
      <c r="L1234" t="s">
        <v>79</v>
      </c>
      <c r="M1234" t="s">
        <v>80</v>
      </c>
      <c r="N1234" t="s">
        <v>698</v>
      </c>
      <c r="O1234" t="s">
        <v>82</v>
      </c>
      <c r="P1234" t="str">
        <f>"4170047846                    "</f>
        <v xml:space="preserve">4170047846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22.6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71.2</v>
      </c>
      <c r="BM1234">
        <v>10.68</v>
      </c>
      <c r="BN1234">
        <v>81.88</v>
      </c>
      <c r="BO1234">
        <v>81.88</v>
      </c>
      <c r="BQ1234" t="s">
        <v>699</v>
      </c>
      <c r="BR1234" t="s">
        <v>84</v>
      </c>
      <c r="BS1234" s="3">
        <v>45849</v>
      </c>
      <c r="BT1234" s="4">
        <v>0.39791666666666664</v>
      </c>
      <c r="BU1234" t="s">
        <v>700</v>
      </c>
      <c r="BV1234" t="s">
        <v>98</v>
      </c>
      <c r="BY1234">
        <v>1200</v>
      </c>
      <c r="BZ1234" t="s">
        <v>89</v>
      </c>
      <c r="CA1234" t="s">
        <v>289</v>
      </c>
      <c r="CC1234" t="s">
        <v>80</v>
      </c>
      <c r="CD1234">
        <v>7561</v>
      </c>
      <c r="CE1234" t="s">
        <v>239</v>
      </c>
      <c r="CF1234" s="3">
        <v>45852</v>
      </c>
      <c r="CI1234">
        <v>1</v>
      </c>
      <c r="CJ1234">
        <v>1</v>
      </c>
      <c r="CK1234">
        <v>21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"080066473370"</f>
        <v>080066473370</v>
      </c>
      <c r="F1235" s="3">
        <v>45848</v>
      </c>
      <c r="G1235">
        <v>202604</v>
      </c>
      <c r="H1235" t="s">
        <v>75</v>
      </c>
      <c r="I1235" t="s">
        <v>76</v>
      </c>
      <c r="J1235" t="s">
        <v>77</v>
      </c>
      <c r="K1235" t="s">
        <v>78</v>
      </c>
      <c r="L1235" t="s">
        <v>427</v>
      </c>
      <c r="M1235" t="s">
        <v>428</v>
      </c>
      <c r="N1235" t="s">
        <v>429</v>
      </c>
      <c r="O1235" t="s">
        <v>82</v>
      </c>
      <c r="P1235" t="str">
        <f>"4170047779                    "</f>
        <v xml:space="preserve">4170047779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43.78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0.3</v>
      </c>
      <c r="BK1235">
        <v>1</v>
      </c>
      <c r="BL1235">
        <v>137.94</v>
      </c>
      <c r="BM1235">
        <v>20.69</v>
      </c>
      <c r="BN1235">
        <v>158.63</v>
      </c>
      <c r="BO1235">
        <v>158.63</v>
      </c>
      <c r="BQ1235" t="s">
        <v>430</v>
      </c>
      <c r="BR1235" t="s">
        <v>84</v>
      </c>
      <c r="BS1235" s="3">
        <v>45849</v>
      </c>
      <c r="BT1235" s="4">
        <v>0.65833333333333333</v>
      </c>
      <c r="BU1235" t="s">
        <v>1938</v>
      </c>
      <c r="BV1235" t="s">
        <v>98</v>
      </c>
      <c r="BY1235">
        <v>1350</v>
      </c>
      <c r="BZ1235" t="s">
        <v>89</v>
      </c>
      <c r="CA1235" t="s">
        <v>432</v>
      </c>
      <c r="CC1235" t="s">
        <v>428</v>
      </c>
      <c r="CD1235">
        <v>9880</v>
      </c>
      <c r="CE1235" t="s">
        <v>1868</v>
      </c>
      <c r="CF1235" s="3">
        <v>45849</v>
      </c>
      <c r="CI1235">
        <v>1</v>
      </c>
      <c r="CJ1235">
        <v>1</v>
      </c>
      <c r="CK1235">
        <v>23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"080066473411"</f>
        <v>080066473411</v>
      </c>
      <c r="F1236" s="3">
        <v>45848</v>
      </c>
      <c r="G1236">
        <v>202604</v>
      </c>
      <c r="H1236" t="s">
        <v>75</v>
      </c>
      <c r="I1236" t="s">
        <v>76</v>
      </c>
      <c r="J1236" t="s">
        <v>77</v>
      </c>
      <c r="K1236" t="s">
        <v>78</v>
      </c>
      <c r="L1236" t="s">
        <v>79</v>
      </c>
      <c r="M1236" t="s">
        <v>80</v>
      </c>
      <c r="N1236" t="s">
        <v>931</v>
      </c>
      <c r="O1236" t="s">
        <v>82</v>
      </c>
      <c r="P1236" t="str">
        <f>"4170047842                    "</f>
        <v xml:space="preserve">4170047842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22.6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71.2</v>
      </c>
      <c r="BM1236">
        <v>10.68</v>
      </c>
      <c r="BN1236">
        <v>81.88</v>
      </c>
      <c r="BO1236">
        <v>81.88</v>
      </c>
      <c r="BQ1236" t="s">
        <v>932</v>
      </c>
      <c r="BR1236" t="s">
        <v>84</v>
      </c>
      <c r="BS1236" s="3">
        <v>45849</v>
      </c>
      <c r="BT1236" s="4">
        <v>0.41875000000000001</v>
      </c>
      <c r="BU1236" t="s">
        <v>933</v>
      </c>
      <c r="BV1236" t="s">
        <v>98</v>
      </c>
      <c r="BY1236">
        <v>1200</v>
      </c>
      <c r="BZ1236" t="s">
        <v>89</v>
      </c>
      <c r="CA1236" t="s">
        <v>934</v>
      </c>
      <c r="CC1236" t="s">
        <v>80</v>
      </c>
      <c r="CD1236">
        <v>7535</v>
      </c>
      <c r="CE1236" t="s">
        <v>214</v>
      </c>
      <c r="CF1236" s="3">
        <v>45852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"080066473446"</f>
        <v>080066473446</v>
      </c>
      <c r="F1237" s="3">
        <v>45848</v>
      </c>
      <c r="G1237">
        <v>202604</v>
      </c>
      <c r="H1237" t="s">
        <v>75</v>
      </c>
      <c r="I1237" t="s">
        <v>76</v>
      </c>
      <c r="J1237" t="s">
        <v>77</v>
      </c>
      <c r="K1237" t="s">
        <v>78</v>
      </c>
      <c r="L1237" t="s">
        <v>305</v>
      </c>
      <c r="M1237" t="s">
        <v>306</v>
      </c>
      <c r="N1237" t="s">
        <v>1346</v>
      </c>
      <c r="O1237" t="s">
        <v>82</v>
      </c>
      <c r="P1237" t="str">
        <f>"4170047885                    "</f>
        <v xml:space="preserve">4170047885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22.6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71.2</v>
      </c>
      <c r="BM1237">
        <v>10.68</v>
      </c>
      <c r="BN1237">
        <v>81.88</v>
      </c>
      <c r="BO1237">
        <v>81.88</v>
      </c>
      <c r="BQ1237" t="s">
        <v>1347</v>
      </c>
      <c r="BR1237" t="s">
        <v>84</v>
      </c>
      <c r="BS1237" s="3">
        <v>45849</v>
      </c>
      <c r="BT1237" s="4">
        <v>0.47847222222222224</v>
      </c>
      <c r="BU1237" t="s">
        <v>1660</v>
      </c>
      <c r="BV1237" t="s">
        <v>98</v>
      </c>
      <c r="BY1237">
        <v>1200</v>
      </c>
      <c r="BZ1237" t="s">
        <v>89</v>
      </c>
      <c r="CA1237" t="s">
        <v>575</v>
      </c>
      <c r="CC1237" t="s">
        <v>306</v>
      </c>
      <c r="CD1237">
        <v>5201</v>
      </c>
      <c r="CE1237" t="s">
        <v>239</v>
      </c>
      <c r="CF1237" s="3">
        <v>45849</v>
      </c>
      <c r="CI1237">
        <v>5</v>
      </c>
      <c r="CJ1237">
        <v>1</v>
      </c>
      <c r="CK1237">
        <v>21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"080066473488"</f>
        <v>080066473488</v>
      </c>
      <c r="F1238" s="3">
        <v>45848</v>
      </c>
      <c r="G1238">
        <v>202604</v>
      </c>
      <c r="H1238" t="s">
        <v>75</v>
      </c>
      <c r="I1238" t="s">
        <v>76</v>
      </c>
      <c r="J1238" t="s">
        <v>77</v>
      </c>
      <c r="K1238" t="s">
        <v>78</v>
      </c>
      <c r="L1238" t="s">
        <v>146</v>
      </c>
      <c r="M1238" t="s">
        <v>146</v>
      </c>
      <c r="N1238" t="s">
        <v>986</v>
      </c>
      <c r="O1238" t="s">
        <v>82</v>
      </c>
      <c r="P1238" t="str">
        <f>"4170048061                    "</f>
        <v xml:space="preserve">4170048061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43.78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137.94</v>
      </c>
      <c r="BM1238">
        <v>20.69</v>
      </c>
      <c r="BN1238">
        <v>158.63</v>
      </c>
      <c r="BO1238">
        <v>158.63</v>
      </c>
      <c r="BQ1238" t="s">
        <v>987</v>
      </c>
      <c r="BR1238" t="s">
        <v>84</v>
      </c>
      <c r="BS1238" s="3">
        <v>45849</v>
      </c>
      <c r="BT1238" s="4">
        <v>0.53888888888888886</v>
      </c>
      <c r="BU1238" t="s">
        <v>1907</v>
      </c>
      <c r="BV1238" t="s">
        <v>98</v>
      </c>
      <c r="BY1238">
        <v>1200</v>
      </c>
      <c r="BZ1238" t="s">
        <v>89</v>
      </c>
      <c r="CA1238" t="s">
        <v>150</v>
      </c>
      <c r="CC1238" t="s">
        <v>146</v>
      </c>
      <c r="CD1238">
        <v>7646</v>
      </c>
      <c r="CE1238" t="s">
        <v>239</v>
      </c>
      <c r="CF1238" s="3">
        <v>45853</v>
      </c>
      <c r="CI1238">
        <v>1</v>
      </c>
      <c r="CJ1238">
        <v>1</v>
      </c>
      <c r="CK1238">
        <v>23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"080066473505"</f>
        <v>080066473505</v>
      </c>
      <c r="F1239" s="3">
        <v>45848</v>
      </c>
      <c r="G1239">
        <v>202604</v>
      </c>
      <c r="H1239" t="s">
        <v>75</v>
      </c>
      <c r="I1239" t="s">
        <v>76</v>
      </c>
      <c r="J1239" t="s">
        <v>77</v>
      </c>
      <c r="K1239" t="s">
        <v>78</v>
      </c>
      <c r="L1239" t="s">
        <v>452</v>
      </c>
      <c r="M1239" t="s">
        <v>453</v>
      </c>
      <c r="N1239" t="s">
        <v>1192</v>
      </c>
      <c r="O1239" t="s">
        <v>82</v>
      </c>
      <c r="P1239" t="str">
        <f>"4170048068                    "</f>
        <v xml:space="preserve">4170048068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17.649999999999999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55.61</v>
      </c>
      <c r="BM1239">
        <v>8.34</v>
      </c>
      <c r="BN1239">
        <v>63.95</v>
      </c>
      <c r="BO1239">
        <v>63.95</v>
      </c>
      <c r="BQ1239" t="s">
        <v>1193</v>
      </c>
      <c r="BR1239" t="s">
        <v>84</v>
      </c>
      <c r="BS1239" s="3">
        <v>45849</v>
      </c>
      <c r="BT1239" s="4">
        <v>0.4284722222222222</v>
      </c>
      <c r="BU1239" t="s">
        <v>1710</v>
      </c>
      <c r="BV1239" t="s">
        <v>98</v>
      </c>
      <c r="BY1239">
        <v>1200</v>
      </c>
      <c r="BZ1239" t="s">
        <v>89</v>
      </c>
      <c r="CA1239" t="s">
        <v>1541</v>
      </c>
      <c r="CC1239" t="s">
        <v>453</v>
      </c>
      <c r="CD1239">
        <v>1559</v>
      </c>
      <c r="CE1239" t="s">
        <v>1939</v>
      </c>
      <c r="CF1239" s="3">
        <v>45850</v>
      </c>
      <c r="CI1239">
        <v>1</v>
      </c>
      <c r="CJ1239">
        <v>1</v>
      </c>
      <c r="CK1239">
        <v>22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"080066473530"</f>
        <v>080066473530</v>
      </c>
      <c r="F1240" s="3">
        <v>45848</v>
      </c>
      <c r="G1240">
        <v>202604</v>
      </c>
      <c r="H1240" t="s">
        <v>75</v>
      </c>
      <c r="I1240" t="s">
        <v>76</v>
      </c>
      <c r="J1240" t="s">
        <v>77</v>
      </c>
      <c r="K1240" t="s">
        <v>78</v>
      </c>
      <c r="L1240" t="s">
        <v>151</v>
      </c>
      <c r="M1240" t="s">
        <v>152</v>
      </c>
      <c r="N1240" t="s">
        <v>1759</v>
      </c>
      <c r="O1240" t="s">
        <v>95</v>
      </c>
      <c r="P1240" t="str">
        <f>"4170047891                    "</f>
        <v xml:space="preserve">4170047891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43.7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7</v>
      </c>
      <c r="BJ1240">
        <v>1.9</v>
      </c>
      <c r="BK1240">
        <v>7</v>
      </c>
      <c r="BL1240">
        <v>143.55000000000001</v>
      </c>
      <c r="BM1240">
        <v>21.53</v>
      </c>
      <c r="BN1240">
        <v>165.08</v>
      </c>
      <c r="BO1240">
        <v>165.08</v>
      </c>
      <c r="BQ1240" t="s">
        <v>1760</v>
      </c>
      <c r="BR1240" t="s">
        <v>84</v>
      </c>
      <c r="BS1240" s="3">
        <v>45849</v>
      </c>
      <c r="BT1240" s="4">
        <v>0.32222222222222224</v>
      </c>
      <c r="BU1240" t="s">
        <v>1394</v>
      </c>
      <c r="BV1240" t="s">
        <v>98</v>
      </c>
      <c r="BY1240">
        <v>9600</v>
      </c>
      <c r="BZ1240" t="s">
        <v>99</v>
      </c>
      <c r="CA1240" t="s">
        <v>683</v>
      </c>
      <c r="CC1240" t="s">
        <v>152</v>
      </c>
      <c r="CD1240" s="5" t="s">
        <v>684</v>
      </c>
      <c r="CE1240" t="s">
        <v>145</v>
      </c>
      <c r="CF1240" s="3">
        <v>45849</v>
      </c>
      <c r="CI1240">
        <v>1</v>
      </c>
      <c r="CJ1240">
        <v>1</v>
      </c>
      <c r="CK1240">
        <v>41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"080066473536"</f>
        <v>080066473536</v>
      </c>
      <c r="F1241" s="3">
        <v>45848</v>
      </c>
      <c r="G1241">
        <v>202604</v>
      </c>
      <c r="H1241" t="s">
        <v>75</v>
      </c>
      <c r="I1241" t="s">
        <v>76</v>
      </c>
      <c r="J1241" t="s">
        <v>77</v>
      </c>
      <c r="K1241" t="s">
        <v>78</v>
      </c>
      <c r="L1241" t="s">
        <v>390</v>
      </c>
      <c r="M1241" t="s">
        <v>391</v>
      </c>
      <c r="N1241" t="s">
        <v>1940</v>
      </c>
      <c r="O1241" t="s">
        <v>82</v>
      </c>
      <c r="P1241" t="str">
        <f>"4170047950                    "</f>
        <v xml:space="preserve">4170047950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17.649999999999999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0.3</v>
      </c>
      <c r="BK1241">
        <v>1</v>
      </c>
      <c r="BL1241">
        <v>55.61</v>
      </c>
      <c r="BM1241">
        <v>8.34</v>
      </c>
      <c r="BN1241">
        <v>63.95</v>
      </c>
      <c r="BO1241">
        <v>63.95</v>
      </c>
      <c r="BQ1241" t="s">
        <v>1941</v>
      </c>
      <c r="BR1241" t="s">
        <v>84</v>
      </c>
      <c r="BS1241" s="3">
        <v>45852</v>
      </c>
      <c r="BT1241" s="4">
        <v>0.41041666666666665</v>
      </c>
      <c r="BU1241" t="s">
        <v>1942</v>
      </c>
      <c r="BV1241" t="s">
        <v>86</v>
      </c>
      <c r="BW1241" t="s">
        <v>395</v>
      </c>
      <c r="BX1241" t="s">
        <v>528</v>
      </c>
      <c r="BY1241">
        <v>1350</v>
      </c>
      <c r="BZ1241" t="s">
        <v>89</v>
      </c>
      <c r="CA1241" t="s">
        <v>1943</v>
      </c>
      <c r="CC1241" t="s">
        <v>391</v>
      </c>
      <c r="CD1241">
        <v>1724</v>
      </c>
      <c r="CE1241" t="s">
        <v>158</v>
      </c>
      <c r="CF1241" s="3">
        <v>45852</v>
      </c>
      <c r="CI1241">
        <v>1</v>
      </c>
      <c r="CJ1241">
        <v>2</v>
      </c>
      <c r="CK1241">
        <v>22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"080066473553"</f>
        <v>080066473553</v>
      </c>
      <c r="F1242" s="3">
        <v>45848</v>
      </c>
      <c r="G1242">
        <v>202604</v>
      </c>
      <c r="H1242" t="s">
        <v>75</v>
      </c>
      <c r="I1242" t="s">
        <v>76</v>
      </c>
      <c r="J1242" t="s">
        <v>77</v>
      </c>
      <c r="K1242" t="s">
        <v>78</v>
      </c>
      <c r="L1242" t="s">
        <v>135</v>
      </c>
      <c r="M1242" t="s">
        <v>136</v>
      </c>
      <c r="N1242" t="s">
        <v>1093</v>
      </c>
      <c r="O1242" t="s">
        <v>82</v>
      </c>
      <c r="P1242" t="str">
        <f>"4170047780                    "</f>
        <v xml:space="preserve">4170047780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22.6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0.3</v>
      </c>
      <c r="BK1242">
        <v>1</v>
      </c>
      <c r="BL1242">
        <v>71.2</v>
      </c>
      <c r="BM1242">
        <v>10.68</v>
      </c>
      <c r="BN1242">
        <v>81.88</v>
      </c>
      <c r="BO1242">
        <v>81.88</v>
      </c>
      <c r="BQ1242" t="s">
        <v>1094</v>
      </c>
      <c r="BR1242" t="s">
        <v>84</v>
      </c>
      <c r="BS1242" s="3">
        <v>45849</v>
      </c>
      <c r="BT1242" s="4">
        <v>0.41666666666666669</v>
      </c>
      <c r="BU1242" t="s">
        <v>1944</v>
      </c>
      <c r="BV1242" t="s">
        <v>98</v>
      </c>
      <c r="BY1242">
        <v>1350</v>
      </c>
      <c r="BZ1242" t="s">
        <v>89</v>
      </c>
      <c r="CA1242" t="s">
        <v>1602</v>
      </c>
      <c r="CC1242" t="s">
        <v>136</v>
      </c>
      <c r="CD1242">
        <v>3201</v>
      </c>
      <c r="CE1242" t="s">
        <v>158</v>
      </c>
      <c r="CF1242" s="3">
        <v>45850</v>
      </c>
      <c r="CI1242">
        <v>1</v>
      </c>
      <c r="CJ1242">
        <v>1</v>
      </c>
      <c r="CK1242">
        <v>21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"080066473566"</f>
        <v>080066473566</v>
      </c>
      <c r="F1243" s="3">
        <v>45848</v>
      </c>
      <c r="G1243">
        <v>202604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1469</v>
      </c>
      <c r="O1243" t="s">
        <v>311</v>
      </c>
      <c r="P1243" t="str">
        <f>"4170047767                    "</f>
        <v xml:space="preserve">4170047767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23.6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2</v>
      </c>
      <c r="BI1243">
        <v>11</v>
      </c>
      <c r="BJ1243">
        <v>10.1</v>
      </c>
      <c r="BK1243">
        <v>11</v>
      </c>
      <c r="BL1243">
        <v>74.349999999999994</v>
      </c>
      <c r="BM1243">
        <v>11.15</v>
      </c>
      <c r="BN1243">
        <v>85.5</v>
      </c>
      <c r="BO1243">
        <v>85.5</v>
      </c>
      <c r="BQ1243" t="s">
        <v>1470</v>
      </c>
      <c r="BR1243" t="s">
        <v>84</v>
      </c>
      <c r="BS1243" s="3">
        <v>45849</v>
      </c>
      <c r="BT1243" s="4">
        <v>0.3298611111111111</v>
      </c>
      <c r="BU1243" t="s">
        <v>1945</v>
      </c>
      <c r="BV1243" t="s">
        <v>98</v>
      </c>
      <c r="BY1243">
        <v>50565</v>
      </c>
      <c r="BZ1243" t="s">
        <v>99</v>
      </c>
      <c r="CA1243" t="s">
        <v>471</v>
      </c>
      <c r="CC1243" t="s">
        <v>76</v>
      </c>
      <c r="CD1243">
        <v>1609</v>
      </c>
      <c r="CE1243" t="s">
        <v>91</v>
      </c>
      <c r="CF1243" s="3">
        <v>45849</v>
      </c>
      <c r="CI1243">
        <v>1</v>
      </c>
      <c r="CJ1243">
        <v>1</v>
      </c>
      <c r="CK1243">
        <v>32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"080066473575"</f>
        <v>080066473575</v>
      </c>
      <c r="F1244" s="3">
        <v>45848</v>
      </c>
      <c r="G1244">
        <v>202604</v>
      </c>
      <c r="H1244" t="s">
        <v>75</v>
      </c>
      <c r="I1244" t="s">
        <v>76</v>
      </c>
      <c r="J1244" t="s">
        <v>77</v>
      </c>
      <c r="K1244" t="s">
        <v>78</v>
      </c>
      <c r="L1244" t="s">
        <v>240</v>
      </c>
      <c r="M1244" t="s">
        <v>241</v>
      </c>
      <c r="N1244" t="s">
        <v>686</v>
      </c>
      <c r="O1244" t="s">
        <v>82</v>
      </c>
      <c r="P1244" t="str">
        <f>"4170047889                    "</f>
        <v xml:space="preserve">4170047889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17.649999999999999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0.3</v>
      </c>
      <c r="BK1244">
        <v>1</v>
      </c>
      <c r="BL1244">
        <v>55.61</v>
      </c>
      <c r="BM1244">
        <v>8.34</v>
      </c>
      <c r="BN1244">
        <v>63.95</v>
      </c>
      <c r="BO1244">
        <v>63.95</v>
      </c>
      <c r="BQ1244" t="s">
        <v>687</v>
      </c>
      <c r="BR1244" t="s">
        <v>84</v>
      </c>
      <c r="BS1244" s="3">
        <v>45849</v>
      </c>
      <c r="BT1244" s="4">
        <v>0.31874999999999998</v>
      </c>
      <c r="BU1244" t="s">
        <v>938</v>
      </c>
      <c r="BV1244" t="s">
        <v>98</v>
      </c>
      <c r="BY1244">
        <v>1350</v>
      </c>
      <c r="BZ1244" t="s">
        <v>89</v>
      </c>
      <c r="CA1244" t="s">
        <v>451</v>
      </c>
      <c r="CC1244" t="s">
        <v>241</v>
      </c>
      <c r="CD1244">
        <v>2094</v>
      </c>
      <c r="CE1244" t="s">
        <v>158</v>
      </c>
      <c r="CF1244" s="3">
        <v>45849</v>
      </c>
      <c r="CI1244">
        <v>1</v>
      </c>
      <c r="CJ1244">
        <v>1</v>
      </c>
      <c r="CK1244">
        <v>22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"080066473600"</f>
        <v>080066473600</v>
      </c>
      <c r="F1245" s="3">
        <v>45848</v>
      </c>
      <c r="G1245">
        <v>202604</v>
      </c>
      <c r="H1245" t="s">
        <v>75</v>
      </c>
      <c r="I1245" t="s">
        <v>76</v>
      </c>
      <c r="J1245" t="s">
        <v>77</v>
      </c>
      <c r="K1245" t="s">
        <v>78</v>
      </c>
      <c r="L1245" t="s">
        <v>363</v>
      </c>
      <c r="M1245" t="s">
        <v>364</v>
      </c>
      <c r="N1245" t="s">
        <v>365</v>
      </c>
      <c r="O1245" t="s">
        <v>82</v>
      </c>
      <c r="P1245" t="str">
        <f>"4170047814                    "</f>
        <v xml:space="preserve">4170047814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43.78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0.3</v>
      </c>
      <c r="BK1245">
        <v>1</v>
      </c>
      <c r="BL1245">
        <v>137.94</v>
      </c>
      <c r="BM1245">
        <v>20.69</v>
      </c>
      <c r="BN1245">
        <v>158.63</v>
      </c>
      <c r="BO1245">
        <v>158.63</v>
      </c>
      <c r="BQ1245" t="s">
        <v>366</v>
      </c>
      <c r="BR1245" t="s">
        <v>84</v>
      </c>
      <c r="BS1245" s="3">
        <v>45849</v>
      </c>
      <c r="BT1245" s="4">
        <v>0.60972222222222228</v>
      </c>
      <c r="BU1245" t="s">
        <v>1946</v>
      </c>
      <c r="BV1245" t="s">
        <v>98</v>
      </c>
      <c r="BY1245">
        <v>1350</v>
      </c>
      <c r="BZ1245" t="s">
        <v>89</v>
      </c>
      <c r="CA1245" t="s">
        <v>522</v>
      </c>
      <c r="CC1245" t="s">
        <v>364</v>
      </c>
      <c r="CD1245">
        <v>7300</v>
      </c>
      <c r="CE1245" t="s">
        <v>158</v>
      </c>
      <c r="CF1245" s="3">
        <v>45852</v>
      </c>
      <c r="CI1245">
        <v>1</v>
      </c>
      <c r="CJ1245">
        <v>1</v>
      </c>
      <c r="CK1245">
        <v>23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"080066473609"</f>
        <v>080066473609</v>
      </c>
      <c r="F1246" s="3">
        <v>45848</v>
      </c>
      <c r="G1246">
        <v>202604</v>
      </c>
      <c r="H1246" t="s">
        <v>75</v>
      </c>
      <c r="I1246" t="s">
        <v>76</v>
      </c>
      <c r="J1246" t="s">
        <v>77</v>
      </c>
      <c r="K1246" t="s">
        <v>78</v>
      </c>
      <c r="L1246" t="s">
        <v>92</v>
      </c>
      <c r="M1246" t="s">
        <v>93</v>
      </c>
      <c r="N1246" t="s">
        <v>291</v>
      </c>
      <c r="O1246" t="s">
        <v>82</v>
      </c>
      <c r="P1246" t="str">
        <f>"4170047965                    "</f>
        <v xml:space="preserve">4170047965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22.6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0.9</v>
      </c>
      <c r="BK1246">
        <v>2</v>
      </c>
      <c r="BL1246">
        <v>71.2</v>
      </c>
      <c r="BM1246">
        <v>10.68</v>
      </c>
      <c r="BN1246">
        <v>81.88</v>
      </c>
      <c r="BO1246">
        <v>81.88</v>
      </c>
      <c r="BQ1246" t="s">
        <v>292</v>
      </c>
      <c r="BR1246" t="s">
        <v>84</v>
      </c>
      <c r="BS1246" s="3">
        <v>45849</v>
      </c>
      <c r="BT1246" s="4">
        <v>0.3347222222222222</v>
      </c>
      <c r="BU1246" t="s">
        <v>1936</v>
      </c>
      <c r="BV1246" t="s">
        <v>98</v>
      </c>
      <c r="BY1246">
        <v>4560</v>
      </c>
      <c r="BZ1246" t="s">
        <v>89</v>
      </c>
      <c r="CA1246" t="s">
        <v>294</v>
      </c>
      <c r="CC1246" t="s">
        <v>93</v>
      </c>
      <c r="CD1246">
        <v>4051</v>
      </c>
      <c r="CE1246" t="s">
        <v>259</v>
      </c>
      <c r="CF1246" s="3">
        <v>45849</v>
      </c>
      <c r="CI1246">
        <v>1</v>
      </c>
      <c r="CJ1246">
        <v>1</v>
      </c>
      <c r="CK1246">
        <v>21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"R080066423209"</f>
        <v>R080066423209</v>
      </c>
      <c r="F1247" s="3">
        <v>45848</v>
      </c>
      <c r="G1247">
        <v>202604</v>
      </c>
      <c r="H1247" t="s">
        <v>75</v>
      </c>
      <c r="I1247" t="s">
        <v>76</v>
      </c>
      <c r="J1247" t="s">
        <v>1529</v>
      </c>
      <c r="K1247" t="s">
        <v>78</v>
      </c>
      <c r="L1247" t="s">
        <v>75</v>
      </c>
      <c r="M1247" t="s">
        <v>76</v>
      </c>
      <c r="N1247" t="s">
        <v>1529</v>
      </c>
      <c r="O1247" t="s">
        <v>95</v>
      </c>
      <c r="P1247" t="str">
        <f>"4170047264                    "</f>
        <v xml:space="preserve">4170047264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33.72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0.3</v>
      </c>
      <c r="BK1247">
        <v>1</v>
      </c>
      <c r="BL1247">
        <v>112.11</v>
      </c>
      <c r="BM1247">
        <v>16.82</v>
      </c>
      <c r="BN1247">
        <v>128.93</v>
      </c>
      <c r="BO1247">
        <v>128.93</v>
      </c>
      <c r="BQ1247" t="s">
        <v>1947</v>
      </c>
      <c r="BR1247" t="s">
        <v>1530</v>
      </c>
      <c r="BS1247" s="3">
        <v>45849</v>
      </c>
      <c r="BT1247" s="4">
        <v>0.3611111111111111</v>
      </c>
      <c r="BU1247" t="s">
        <v>1948</v>
      </c>
      <c r="BV1247" t="s">
        <v>98</v>
      </c>
      <c r="BY1247">
        <v>1350</v>
      </c>
      <c r="BZ1247" t="s">
        <v>99</v>
      </c>
      <c r="CA1247" t="s">
        <v>371</v>
      </c>
      <c r="CC1247" t="s">
        <v>76</v>
      </c>
      <c r="CD1247">
        <v>1665</v>
      </c>
      <c r="CE1247" t="s">
        <v>239</v>
      </c>
      <c r="CF1247" s="3">
        <v>45849</v>
      </c>
      <c r="CI1247">
        <v>1</v>
      </c>
      <c r="CJ1247">
        <v>1</v>
      </c>
      <c r="CK1247">
        <v>42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"080066473658"</f>
        <v>080066473658</v>
      </c>
      <c r="F1248" s="3">
        <v>45848</v>
      </c>
      <c r="G1248">
        <v>202604</v>
      </c>
      <c r="H1248" t="s">
        <v>75</v>
      </c>
      <c r="I1248" t="s">
        <v>76</v>
      </c>
      <c r="J1248" t="s">
        <v>77</v>
      </c>
      <c r="K1248" t="s">
        <v>78</v>
      </c>
      <c r="L1248" t="s">
        <v>240</v>
      </c>
      <c r="M1248" t="s">
        <v>241</v>
      </c>
      <c r="N1248" t="s">
        <v>1204</v>
      </c>
      <c r="O1248" t="s">
        <v>82</v>
      </c>
      <c r="P1248" t="str">
        <f>"4170047873                    "</f>
        <v xml:space="preserve">4170047873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17.649999999999999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0.6</v>
      </c>
      <c r="BK1248">
        <v>1</v>
      </c>
      <c r="BL1248">
        <v>55.61</v>
      </c>
      <c r="BM1248">
        <v>8.34</v>
      </c>
      <c r="BN1248">
        <v>63.95</v>
      </c>
      <c r="BO1248">
        <v>63.95</v>
      </c>
      <c r="BQ1248" t="s">
        <v>1205</v>
      </c>
      <c r="BR1248" t="s">
        <v>84</v>
      </c>
      <c r="BS1248" s="3">
        <v>45849</v>
      </c>
      <c r="BT1248" s="4">
        <v>0.38750000000000001</v>
      </c>
      <c r="BU1248" t="s">
        <v>1527</v>
      </c>
      <c r="BV1248" t="s">
        <v>98</v>
      </c>
      <c r="BY1248">
        <v>3192</v>
      </c>
      <c r="BZ1248" t="s">
        <v>89</v>
      </c>
      <c r="CA1248" t="s">
        <v>617</v>
      </c>
      <c r="CC1248" t="s">
        <v>241</v>
      </c>
      <c r="CD1248">
        <v>2157</v>
      </c>
      <c r="CE1248" t="s">
        <v>266</v>
      </c>
      <c r="CF1248" s="3">
        <v>45849</v>
      </c>
      <c r="CI1248">
        <v>1</v>
      </c>
      <c r="CJ1248">
        <v>1</v>
      </c>
      <c r="CK1248">
        <v>22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"080066473907"</f>
        <v>080066473907</v>
      </c>
      <c r="F1249" s="3">
        <v>45848</v>
      </c>
      <c r="G1249">
        <v>202604</v>
      </c>
      <c r="H1249" t="s">
        <v>75</v>
      </c>
      <c r="I1249" t="s">
        <v>76</v>
      </c>
      <c r="J1249" t="s">
        <v>77</v>
      </c>
      <c r="K1249" t="s">
        <v>78</v>
      </c>
      <c r="L1249" t="s">
        <v>102</v>
      </c>
      <c r="M1249" t="s">
        <v>103</v>
      </c>
      <c r="N1249" t="s">
        <v>1949</v>
      </c>
      <c r="O1249" t="s">
        <v>82</v>
      </c>
      <c r="P1249" t="str">
        <f>"4170047845                    "</f>
        <v xml:space="preserve">4170047845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31.78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1.7</v>
      </c>
      <c r="BK1249">
        <v>2</v>
      </c>
      <c r="BL1249">
        <v>100.13</v>
      </c>
      <c r="BM1249">
        <v>15.02</v>
      </c>
      <c r="BN1249">
        <v>115.15</v>
      </c>
      <c r="BO1249">
        <v>115.15</v>
      </c>
      <c r="BQ1249" t="s">
        <v>1950</v>
      </c>
      <c r="BR1249" t="s">
        <v>84</v>
      </c>
      <c r="BS1249" s="3">
        <v>45849</v>
      </c>
      <c r="BT1249" s="4">
        <v>0.46180555555555558</v>
      </c>
      <c r="BU1249" t="s">
        <v>1951</v>
      </c>
      <c r="BV1249" t="s">
        <v>98</v>
      </c>
      <c r="BY1249">
        <v>8512</v>
      </c>
      <c r="BZ1249" t="s">
        <v>89</v>
      </c>
      <c r="CA1249" t="s">
        <v>1952</v>
      </c>
      <c r="CC1249" t="s">
        <v>103</v>
      </c>
      <c r="CD1249">
        <v>1754</v>
      </c>
      <c r="CE1249" t="s">
        <v>117</v>
      </c>
      <c r="CF1249" s="3">
        <v>45849</v>
      </c>
      <c r="CI1249">
        <v>1</v>
      </c>
      <c r="CJ1249">
        <v>1</v>
      </c>
      <c r="CK1249">
        <v>24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"080066473938"</f>
        <v>080066473938</v>
      </c>
      <c r="F1250" s="3">
        <v>45848</v>
      </c>
      <c r="G1250">
        <v>202604</v>
      </c>
      <c r="H1250" t="s">
        <v>75</v>
      </c>
      <c r="I1250" t="s">
        <v>76</v>
      </c>
      <c r="J1250" t="s">
        <v>77</v>
      </c>
      <c r="K1250" t="s">
        <v>78</v>
      </c>
      <c r="L1250" t="s">
        <v>111</v>
      </c>
      <c r="M1250" t="s">
        <v>112</v>
      </c>
      <c r="N1250" t="s">
        <v>113</v>
      </c>
      <c r="O1250" t="s">
        <v>82</v>
      </c>
      <c r="P1250" t="str">
        <f>"4170047929                    "</f>
        <v xml:space="preserve">4170047929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63.56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</v>
      </c>
      <c r="BJ1250">
        <v>1.7</v>
      </c>
      <c r="BK1250">
        <v>3</v>
      </c>
      <c r="BL1250">
        <v>200.24</v>
      </c>
      <c r="BM1250">
        <v>30.04</v>
      </c>
      <c r="BN1250">
        <v>230.28</v>
      </c>
      <c r="BO1250">
        <v>230.28</v>
      </c>
      <c r="BQ1250" t="s">
        <v>537</v>
      </c>
      <c r="BR1250" t="s">
        <v>84</v>
      </c>
      <c r="BS1250" s="3">
        <v>45849</v>
      </c>
      <c r="BT1250" s="4">
        <v>0.54166666666666663</v>
      </c>
      <c r="BU1250" t="s">
        <v>1953</v>
      </c>
      <c r="BV1250" t="s">
        <v>86</v>
      </c>
      <c r="BW1250" t="s">
        <v>219</v>
      </c>
      <c r="BX1250" t="s">
        <v>1954</v>
      </c>
      <c r="BY1250">
        <v>8512</v>
      </c>
      <c r="BZ1250" t="s">
        <v>89</v>
      </c>
      <c r="CA1250" t="s">
        <v>116</v>
      </c>
      <c r="CC1250" t="s">
        <v>112</v>
      </c>
      <c r="CD1250">
        <v>1871</v>
      </c>
      <c r="CE1250" t="s">
        <v>117</v>
      </c>
      <c r="CF1250" s="3">
        <v>45852</v>
      </c>
      <c r="CI1250">
        <v>1</v>
      </c>
      <c r="CJ1250">
        <v>1</v>
      </c>
      <c r="CK1250">
        <v>23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"080066473974"</f>
        <v>080066473974</v>
      </c>
      <c r="F1251" s="3">
        <v>45848</v>
      </c>
      <c r="G1251">
        <v>202604</v>
      </c>
      <c r="H1251" t="s">
        <v>75</v>
      </c>
      <c r="I1251" t="s">
        <v>76</v>
      </c>
      <c r="J1251" t="s">
        <v>77</v>
      </c>
      <c r="K1251" t="s">
        <v>78</v>
      </c>
      <c r="L1251" t="s">
        <v>758</v>
      </c>
      <c r="M1251" t="s">
        <v>759</v>
      </c>
      <c r="N1251" t="s">
        <v>760</v>
      </c>
      <c r="O1251" t="s">
        <v>82</v>
      </c>
      <c r="P1251" t="str">
        <f>"4170048062                    "</f>
        <v xml:space="preserve">4170048062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201.96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10</v>
      </c>
      <c r="BJ1251">
        <v>4.2</v>
      </c>
      <c r="BK1251">
        <v>10</v>
      </c>
      <c r="BL1251">
        <v>636.28</v>
      </c>
      <c r="BM1251">
        <v>95.44</v>
      </c>
      <c r="BN1251">
        <v>731.72</v>
      </c>
      <c r="BO1251">
        <v>731.72</v>
      </c>
      <c r="BQ1251" t="s">
        <v>761</v>
      </c>
      <c r="BR1251" t="s">
        <v>84</v>
      </c>
      <c r="BS1251" s="3">
        <v>45849</v>
      </c>
      <c r="BT1251" s="4">
        <v>0.43541666666666667</v>
      </c>
      <c r="BU1251" t="s">
        <v>1819</v>
      </c>
      <c r="BV1251" t="s">
        <v>98</v>
      </c>
      <c r="BY1251">
        <v>21112</v>
      </c>
      <c r="BZ1251" t="s">
        <v>89</v>
      </c>
      <c r="CA1251" t="s">
        <v>763</v>
      </c>
      <c r="CC1251" t="s">
        <v>759</v>
      </c>
      <c r="CD1251">
        <v>2531</v>
      </c>
      <c r="CE1251" t="s">
        <v>91</v>
      </c>
      <c r="CF1251" s="3">
        <v>45852</v>
      </c>
      <c r="CI1251">
        <v>1</v>
      </c>
      <c r="CJ1251">
        <v>1</v>
      </c>
      <c r="CK1251">
        <v>23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"080066473987"</f>
        <v>080066473987</v>
      </c>
      <c r="F1252" s="3">
        <v>45848</v>
      </c>
      <c r="G1252">
        <v>202604</v>
      </c>
      <c r="H1252" t="s">
        <v>75</v>
      </c>
      <c r="I1252" t="s">
        <v>76</v>
      </c>
      <c r="J1252" t="s">
        <v>77</v>
      </c>
      <c r="K1252" t="s">
        <v>78</v>
      </c>
      <c r="L1252" t="s">
        <v>197</v>
      </c>
      <c r="M1252" t="s">
        <v>198</v>
      </c>
      <c r="N1252" t="s">
        <v>1955</v>
      </c>
      <c r="O1252" t="s">
        <v>82</v>
      </c>
      <c r="P1252" t="str">
        <f>"4170047928                    "</f>
        <v xml:space="preserve">4170047928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0.3</v>
      </c>
      <c r="BK1252">
        <v>1</v>
      </c>
      <c r="BL1252">
        <v>0</v>
      </c>
      <c r="BM1252">
        <v>0</v>
      </c>
      <c r="BN1252">
        <v>0</v>
      </c>
      <c r="BO1252">
        <v>0</v>
      </c>
      <c r="BQ1252" t="s">
        <v>1956</v>
      </c>
      <c r="BR1252" t="s">
        <v>84</v>
      </c>
      <c r="BS1252" s="3">
        <v>45853</v>
      </c>
      <c r="BT1252" s="4">
        <v>0.37222222222222223</v>
      </c>
      <c r="BU1252" t="s">
        <v>534</v>
      </c>
      <c r="BV1252" t="s">
        <v>86</v>
      </c>
      <c r="BY1252">
        <v>1350</v>
      </c>
      <c r="BZ1252" t="s">
        <v>425</v>
      </c>
      <c r="CA1252" t="s">
        <v>535</v>
      </c>
      <c r="CC1252" t="s">
        <v>198</v>
      </c>
      <c r="CD1252">
        <v>1401</v>
      </c>
      <c r="CE1252" t="s">
        <v>1868</v>
      </c>
      <c r="CI1252">
        <v>1</v>
      </c>
      <c r="CJ1252">
        <v>3</v>
      </c>
      <c r="CK1252">
        <v>-1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"080066474032"</f>
        <v>080066474032</v>
      </c>
      <c r="F1253" s="3">
        <v>45848</v>
      </c>
      <c r="G1253">
        <v>202604</v>
      </c>
      <c r="H1253" t="s">
        <v>75</v>
      </c>
      <c r="I1253" t="s">
        <v>76</v>
      </c>
      <c r="J1253" t="s">
        <v>77</v>
      </c>
      <c r="K1253" t="s">
        <v>78</v>
      </c>
      <c r="L1253" t="s">
        <v>240</v>
      </c>
      <c r="M1253" t="s">
        <v>241</v>
      </c>
      <c r="N1253" t="s">
        <v>242</v>
      </c>
      <c r="O1253" t="s">
        <v>82</v>
      </c>
      <c r="P1253" t="str">
        <f>"4170047839                    "</f>
        <v xml:space="preserve">4170047839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17.649999999999999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4</v>
      </c>
      <c r="BJ1253">
        <v>3.4</v>
      </c>
      <c r="BK1253">
        <v>4</v>
      </c>
      <c r="BL1253">
        <v>55.61</v>
      </c>
      <c r="BM1253">
        <v>8.34</v>
      </c>
      <c r="BN1253">
        <v>63.95</v>
      </c>
      <c r="BO1253">
        <v>63.95</v>
      </c>
      <c r="BQ1253" t="s">
        <v>243</v>
      </c>
      <c r="BR1253" t="s">
        <v>84</v>
      </c>
      <c r="BS1253" s="3">
        <v>45849</v>
      </c>
      <c r="BT1253" s="4">
        <v>0.34027777777777779</v>
      </c>
      <c r="BU1253" t="s">
        <v>244</v>
      </c>
      <c r="BV1253" t="s">
        <v>98</v>
      </c>
      <c r="BY1253">
        <v>16965</v>
      </c>
      <c r="BZ1253" t="s">
        <v>89</v>
      </c>
      <c r="CA1253" t="s">
        <v>245</v>
      </c>
      <c r="CC1253" t="s">
        <v>241</v>
      </c>
      <c r="CD1253">
        <v>2091</v>
      </c>
      <c r="CE1253" t="s">
        <v>117</v>
      </c>
      <c r="CF1253" s="3">
        <v>45850</v>
      </c>
      <c r="CI1253">
        <v>1</v>
      </c>
      <c r="CJ1253">
        <v>1</v>
      </c>
      <c r="CK1253">
        <v>22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"080066474035"</f>
        <v>080066474035</v>
      </c>
      <c r="F1254" s="3">
        <v>45848</v>
      </c>
      <c r="G1254">
        <v>202604</v>
      </c>
      <c r="H1254" t="s">
        <v>75</v>
      </c>
      <c r="I1254" t="s">
        <v>76</v>
      </c>
      <c r="J1254" t="s">
        <v>77</v>
      </c>
      <c r="K1254" t="s">
        <v>78</v>
      </c>
      <c r="L1254" t="s">
        <v>329</v>
      </c>
      <c r="M1254" t="s">
        <v>330</v>
      </c>
      <c r="N1254" t="s">
        <v>331</v>
      </c>
      <c r="O1254" t="s">
        <v>82</v>
      </c>
      <c r="P1254" t="str">
        <f>"4170047959                    "</f>
        <v xml:space="preserve">4170047959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43.78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0.3</v>
      </c>
      <c r="BK1254">
        <v>1</v>
      </c>
      <c r="BL1254">
        <v>137.94</v>
      </c>
      <c r="BM1254">
        <v>20.69</v>
      </c>
      <c r="BN1254">
        <v>158.63</v>
      </c>
      <c r="BO1254">
        <v>158.63</v>
      </c>
      <c r="BQ1254" t="s">
        <v>332</v>
      </c>
      <c r="BR1254" t="s">
        <v>84</v>
      </c>
      <c r="BS1254" s="3">
        <v>45849</v>
      </c>
      <c r="BT1254" s="4">
        <v>0.54166666666666663</v>
      </c>
      <c r="BU1254" t="s">
        <v>333</v>
      </c>
      <c r="BV1254" t="s">
        <v>98</v>
      </c>
      <c r="BY1254">
        <v>1350</v>
      </c>
      <c r="BZ1254" t="s">
        <v>89</v>
      </c>
      <c r="CA1254" t="s">
        <v>1153</v>
      </c>
      <c r="CC1254" t="s">
        <v>330</v>
      </c>
      <c r="CD1254">
        <v>6300</v>
      </c>
      <c r="CE1254" t="s">
        <v>1868</v>
      </c>
      <c r="CF1254" s="3">
        <v>45849</v>
      </c>
      <c r="CI1254">
        <v>2</v>
      </c>
      <c r="CJ1254">
        <v>1</v>
      </c>
      <c r="CK1254">
        <v>23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"080066474063"</f>
        <v>080066474063</v>
      </c>
      <c r="F1255" s="3">
        <v>45848</v>
      </c>
      <c r="G1255">
        <v>202604</v>
      </c>
      <c r="H1255" t="s">
        <v>75</v>
      </c>
      <c r="I1255" t="s">
        <v>76</v>
      </c>
      <c r="J1255" t="s">
        <v>77</v>
      </c>
      <c r="K1255" t="s">
        <v>78</v>
      </c>
      <c r="L1255" t="s">
        <v>398</v>
      </c>
      <c r="M1255" t="s">
        <v>399</v>
      </c>
      <c r="N1255" t="s">
        <v>1621</v>
      </c>
      <c r="O1255" t="s">
        <v>82</v>
      </c>
      <c r="P1255" t="str">
        <f>"4170048040                    "</f>
        <v xml:space="preserve">4170048040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17.649999999999999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2</v>
      </c>
      <c r="BJ1255">
        <v>3.1</v>
      </c>
      <c r="BK1255">
        <v>4</v>
      </c>
      <c r="BL1255">
        <v>55.61</v>
      </c>
      <c r="BM1255">
        <v>8.34</v>
      </c>
      <c r="BN1255">
        <v>63.95</v>
      </c>
      <c r="BO1255">
        <v>63.95</v>
      </c>
      <c r="BQ1255" t="s">
        <v>1622</v>
      </c>
      <c r="BR1255" t="s">
        <v>84</v>
      </c>
      <c r="BS1255" s="3">
        <v>45849</v>
      </c>
      <c r="BT1255" s="4">
        <v>0.42916666666666664</v>
      </c>
      <c r="BU1255" t="s">
        <v>1623</v>
      </c>
      <c r="BV1255" t="s">
        <v>98</v>
      </c>
      <c r="BY1255">
        <v>15360</v>
      </c>
      <c r="BZ1255" t="s">
        <v>89</v>
      </c>
      <c r="CA1255" t="s">
        <v>1624</v>
      </c>
      <c r="CC1255" t="s">
        <v>399</v>
      </c>
      <c r="CD1255">
        <v>1501</v>
      </c>
      <c r="CE1255" t="s">
        <v>91</v>
      </c>
      <c r="CF1255" s="3">
        <v>45850</v>
      </c>
      <c r="CI1255">
        <v>1</v>
      </c>
      <c r="CJ1255">
        <v>1</v>
      </c>
      <c r="CK1255">
        <v>22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"080066474095"</f>
        <v>080066474095</v>
      </c>
      <c r="F1256" s="3">
        <v>45848</v>
      </c>
      <c r="G1256">
        <v>202604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1625</v>
      </c>
      <c r="O1256" t="s">
        <v>82</v>
      </c>
      <c r="P1256" t="str">
        <f>"4170047776                    "</f>
        <v xml:space="preserve">4170047776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17.649999999999999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0.3</v>
      </c>
      <c r="BK1256">
        <v>1</v>
      </c>
      <c r="BL1256">
        <v>55.61</v>
      </c>
      <c r="BM1256">
        <v>8.34</v>
      </c>
      <c r="BN1256">
        <v>63.95</v>
      </c>
      <c r="BO1256">
        <v>63.95</v>
      </c>
      <c r="BQ1256" t="s">
        <v>1626</v>
      </c>
      <c r="BR1256" t="s">
        <v>84</v>
      </c>
      <c r="BS1256" s="3">
        <v>45849</v>
      </c>
      <c r="BT1256" s="4">
        <v>0.34375</v>
      </c>
      <c r="BU1256" t="s">
        <v>1934</v>
      </c>
      <c r="BV1256" t="s">
        <v>98</v>
      </c>
      <c r="BY1256">
        <v>1350</v>
      </c>
      <c r="BZ1256" t="s">
        <v>89</v>
      </c>
      <c r="CA1256" t="s">
        <v>304</v>
      </c>
      <c r="CC1256" t="s">
        <v>76</v>
      </c>
      <c r="CD1256">
        <v>1600</v>
      </c>
      <c r="CE1256" t="s">
        <v>1868</v>
      </c>
      <c r="CF1256" s="3">
        <v>45849</v>
      </c>
      <c r="CI1256">
        <v>1</v>
      </c>
      <c r="CJ1256">
        <v>1</v>
      </c>
      <c r="CK1256">
        <v>22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"080066474125"</f>
        <v>080066474125</v>
      </c>
      <c r="F1257" s="3">
        <v>45848</v>
      </c>
      <c r="G1257">
        <v>202604</v>
      </c>
      <c r="H1257" t="s">
        <v>75</v>
      </c>
      <c r="I1257" t="s">
        <v>76</v>
      </c>
      <c r="J1257" t="s">
        <v>77</v>
      </c>
      <c r="K1257" t="s">
        <v>78</v>
      </c>
      <c r="L1257" t="s">
        <v>168</v>
      </c>
      <c r="M1257" t="s">
        <v>169</v>
      </c>
      <c r="N1257" t="s">
        <v>360</v>
      </c>
      <c r="O1257" t="s">
        <v>82</v>
      </c>
      <c r="P1257" t="str">
        <f>"4170047870                    "</f>
        <v xml:space="preserve">4170047870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22.6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0.3</v>
      </c>
      <c r="BK1257">
        <v>1</v>
      </c>
      <c r="BL1257">
        <v>71.2</v>
      </c>
      <c r="BM1257">
        <v>10.68</v>
      </c>
      <c r="BN1257">
        <v>81.88</v>
      </c>
      <c r="BO1257">
        <v>81.88</v>
      </c>
      <c r="BQ1257" t="s">
        <v>361</v>
      </c>
      <c r="BR1257" t="s">
        <v>84</v>
      </c>
      <c r="BS1257" s="3">
        <v>45849</v>
      </c>
      <c r="BT1257" s="4">
        <v>0.3923611111111111</v>
      </c>
      <c r="BU1257" t="s">
        <v>1439</v>
      </c>
      <c r="BV1257" t="s">
        <v>98</v>
      </c>
      <c r="BY1257">
        <v>1350</v>
      </c>
      <c r="BZ1257" t="s">
        <v>89</v>
      </c>
      <c r="CA1257" t="s">
        <v>423</v>
      </c>
      <c r="CC1257" t="s">
        <v>169</v>
      </c>
      <c r="CD1257">
        <v>6001</v>
      </c>
      <c r="CE1257" t="s">
        <v>1868</v>
      </c>
      <c r="CF1257" s="3">
        <v>45849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"080066474172"</f>
        <v>080066474172</v>
      </c>
      <c r="F1258" s="3">
        <v>45848</v>
      </c>
      <c r="G1258">
        <v>202604</v>
      </c>
      <c r="H1258" t="s">
        <v>75</v>
      </c>
      <c r="I1258" t="s">
        <v>76</v>
      </c>
      <c r="J1258" t="s">
        <v>77</v>
      </c>
      <c r="K1258" t="s">
        <v>78</v>
      </c>
      <c r="L1258" t="s">
        <v>168</v>
      </c>
      <c r="M1258" t="s">
        <v>169</v>
      </c>
      <c r="N1258" t="s">
        <v>206</v>
      </c>
      <c r="O1258" t="s">
        <v>82</v>
      </c>
      <c r="P1258" t="str">
        <f>"4170047921                    "</f>
        <v xml:space="preserve">4170047921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22.6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0.3</v>
      </c>
      <c r="BK1258">
        <v>1</v>
      </c>
      <c r="BL1258">
        <v>71.2</v>
      </c>
      <c r="BM1258">
        <v>10.68</v>
      </c>
      <c r="BN1258">
        <v>81.88</v>
      </c>
      <c r="BO1258">
        <v>81.88</v>
      </c>
      <c r="BQ1258" t="s">
        <v>207</v>
      </c>
      <c r="BR1258" t="s">
        <v>84</v>
      </c>
      <c r="BS1258" s="3">
        <v>45849</v>
      </c>
      <c r="BT1258" s="4">
        <v>0.41944444444444445</v>
      </c>
      <c r="BU1258" t="s">
        <v>208</v>
      </c>
      <c r="BV1258" t="s">
        <v>98</v>
      </c>
      <c r="BY1258">
        <v>1350</v>
      </c>
      <c r="BZ1258" t="s">
        <v>89</v>
      </c>
      <c r="CA1258" t="s">
        <v>196</v>
      </c>
      <c r="CC1258" t="s">
        <v>169</v>
      </c>
      <c r="CD1258">
        <v>6001</v>
      </c>
      <c r="CE1258" t="s">
        <v>1868</v>
      </c>
      <c r="CF1258" s="3">
        <v>45849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"080066474226"</f>
        <v>080066474226</v>
      </c>
      <c r="F1259" s="3">
        <v>45848</v>
      </c>
      <c r="G1259">
        <v>202604</v>
      </c>
      <c r="H1259" t="s">
        <v>75</v>
      </c>
      <c r="I1259" t="s">
        <v>76</v>
      </c>
      <c r="J1259" t="s">
        <v>77</v>
      </c>
      <c r="K1259" t="s">
        <v>78</v>
      </c>
      <c r="L1259" t="s">
        <v>398</v>
      </c>
      <c r="M1259" t="s">
        <v>399</v>
      </c>
      <c r="N1259" t="s">
        <v>1957</v>
      </c>
      <c r="O1259" t="s">
        <v>82</v>
      </c>
      <c r="P1259" t="str">
        <f>"4170047962                    "</f>
        <v xml:space="preserve">4170047962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17.649999999999999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0.3</v>
      </c>
      <c r="BK1259">
        <v>1</v>
      </c>
      <c r="BL1259">
        <v>55.61</v>
      </c>
      <c r="BM1259">
        <v>8.34</v>
      </c>
      <c r="BN1259">
        <v>63.95</v>
      </c>
      <c r="BO1259">
        <v>63.95</v>
      </c>
      <c r="BQ1259" t="s">
        <v>1958</v>
      </c>
      <c r="BR1259" t="s">
        <v>84</v>
      </c>
      <c r="BS1259" s="3">
        <v>45849</v>
      </c>
      <c r="BT1259" s="4">
        <v>0.41180555555555554</v>
      </c>
      <c r="BU1259" t="s">
        <v>564</v>
      </c>
      <c r="BV1259" t="s">
        <v>98</v>
      </c>
      <c r="BY1259">
        <v>1350</v>
      </c>
      <c r="BZ1259" t="s">
        <v>89</v>
      </c>
      <c r="CA1259" t="s">
        <v>1624</v>
      </c>
      <c r="CC1259" t="s">
        <v>399</v>
      </c>
      <c r="CD1259">
        <v>1502</v>
      </c>
      <c r="CE1259" t="s">
        <v>1868</v>
      </c>
      <c r="CF1259" s="3">
        <v>45850</v>
      </c>
      <c r="CI1259">
        <v>1</v>
      </c>
      <c r="CJ1259">
        <v>1</v>
      </c>
      <c r="CK1259">
        <v>22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"080066474236"</f>
        <v>080066474236</v>
      </c>
      <c r="F1260" s="3">
        <v>45848</v>
      </c>
      <c r="G1260">
        <v>202604</v>
      </c>
      <c r="H1260" t="s">
        <v>75</v>
      </c>
      <c r="I1260" t="s">
        <v>76</v>
      </c>
      <c r="J1260" t="s">
        <v>77</v>
      </c>
      <c r="K1260" t="s">
        <v>78</v>
      </c>
      <c r="L1260" t="s">
        <v>151</v>
      </c>
      <c r="M1260" t="s">
        <v>152</v>
      </c>
      <c r="N1260" t="s">
        <v>500</v>
      </c>
      <c r="O1260" t="s">
        <v>82</v>
      </c>
      <c r="P1260" t="str">
        <f>"4170047995                    "</f>
        <v xml:space="preserve">4170047995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22.6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71.2</v>
      </c>
      <c r="BM1260">
        <v>10.68</v>
      </c>
      <c r="BN1260">
        <v>81.88</v>
      </c>
      <c r="BO1260">
        <v>81.88</v>
      </c>
      <c r="BQ1260" t="s">
        <v>501</v>
      </c>
      <c r="BR1260" t="s">
        <v>84</v>
      </c>
      <c r="BS1260" s="3">
        <v>45849</v>
      </c>
      <c r="BT1260" s="4">
        <v>0.41805555555555557</v>
      </c>
      <c r="BU1260" t="s">
        <v>561</v>
      </c>
      <c r="BV1260" t="s">
        <v>98</v>
      </c>
      <c r="BY1260">
        <v>1200</v>
      </c>
      <c r="BZ1260" t="s">
        <v>89</v>
      </c>
      <c r="CA1260" t="s">
        <v>388</v>
      </c>
      <c r="CC1260" t="s">
        <v>152</v>
      </c>
      <c r="CD1260" s="5" t="s">
        <v>157</v>
      </c>
      <c r="CE1260" t="s">
        <v>239</v>
      </c>
      <c r="CF1260" s="3">
        <v>45849</v>
      </c>
      <c r="CI1260">
        <v>1</v>
      </c>
      <c r="CJ1260">
        <v>1</v>
      </c>
      <c r="CK1260">
        <v>21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"080066474301"</f>
        <v>080066474301</v>
      </c>
      <c r="F1261" s="3">
        <v>45848</v>
      </c>
      <c r="G1261">
        <v>202604</v>
      </c>
      <c r="H1261" t="s">
        <v>75</v>
      </c>
      <c r="I1261" t="s">
        <v>76</v>
      </c>
      <c r="J1261" t="s">
        <v>77</v>
      </c>
      <c r="K1261" t="s">
        <v>78</v>
      </c>
      <c r="L1261" t="s">
        <v>75</v>
      </c>
      <c r="M1261" t="s">
        <v>76</v>
      </c>
      <c r="N1261" t="s">
        <v>118</v>
      </c>
      <c r="O1261" t="s">
        <v>82</v>
      </c>
      <c r="P1261" t="str">
        <f>"4170048060                    "</f>
        <v xml:space="preserve">4170048060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17.649999999999999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55.61</v>
      </c>
      <c r="BM1261">
        <v>8.34</v>
      </c>
      <c r="BN1261">
        <v>63.95</v>
      </c>
      <c r="BO1261">
        <v>63.95</v>
      </c>
      <c r="BQ1261" t="s">
        <v>119</v>
      </c>
      <c r="BR1261" t="s">
        <v>84</v>
      </c>
      <c r="BS1261" s="3">
        <v>45849</v>
      </c>
      <c r="BT1261" s="4">
        <v>0.29652777777777778</v>
      </c>
      <c r="BU1261" t="s">
        <v>212</v>
      </c>
      <c r="BV1261" t="s">
        <v>98</v>
      </c>
      <c r="BY1261">
        <v>1200</v>
      </c>
      <c r="BZ1261" t="s">
        <v>89</v>
      </c>
      <c r="CA1261" t="s">
        <v>213</v>
      </c>
      <c r="CC1261" t="s">
        <v>76</v>
      </c>
      <c r="CD1261">
        <v>1600</v>
      </c>
      <c r="CE1261" t="s">
        <v>239</v>
      </c>
      <c r="CF1261" s="3">
        <v>45850</v>
      </c>
      <c r="CI1261">
        <v>1</v>
      </c>
      <c r="CJ1261">
        <v>1</v>
      </c>
      <c r="CK1261">
        <v>22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"080066474333"</f>
        <v>080066474333</v>
      </c>
      <c r="F1262" s="3">
        <v>45848</v>
      </c>
      <c r="G1262">
        <v>202604</v>
      </c>
      <c r="H1262" t="s">
        <v>75</v>
      </c>
      <c r="I1262" t="s">
        <v>76</v>
      </c>
      <c r="J1262" t="s">
        <v>77</v>
      </c>
      <c r="K1262" t="s">
        <v>78</v>
      </c>
      <c r="L1262" t="s">
        <v>240</v>
      </c>
      <c r="M1262" t="s">
        <v>241</v>
      </c>
      <c r="N1262" t="s">
        <v>242</v>
      </c>
      <c r="O1262" t="s">
        <v>82</v>
      </c>
      <c r="P1262" t="str">
        <f>"4170047838                    "</f>
        <v xml:space="preserve">4170047838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17.649999999999999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55.61</v>
      </c>
      <c r="BM1262">
        <v>8.34</v>
      </c>
      <c r="BN1262">
        <v>63.95</v>
      </c>
      <c r="BO1262">
        <v>63.95</v>
      </c>
      <c r="BQ1262" t="s">
        <v>243</v>
      </c>
      <c r="BR1262" t="s">
        <v>84</v>
      </c>
      <c r="BS1262" s="3">
        <v>45849</v>
      </c>
      <c r="BT1262" s="4">
        <v>0.34027777777777779</v>
      </c>
      <c r="BU1262" t="s">
        <v>244</v>
      </c>
      <c r="BV1262" t="s">
        <v>98</v>
      </c>
      <c r="BY1262">
        <v>1200</v>
      </c>
      <c r="BZ1262" t="s">
        <v>89</v>
      </c>
      <c r="CA1262" t="s">
        <v>245</v>
      </c>
      <c r="CC1262" t="s">
        <v>241</v>
      </c>
      <c r="CD1262">
        <v>2091</v>
      </c>
      <c r="CE1262" t="s">
        <v>239</v>
      </c>
      <c r="CF1262" s="3">
        <v>45850</v>
      </c>
      <c r="CI1262">
        <v>1</v>
      </c>
      <c r="CJ1262">
        <v>1</v>
      </c>
      <c r="CK1262">
        <v>22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"080066474345"</f>
        <v>080066474345</v>
      </c>
      <c r="F1263" s="3">
        <v>45848</v>
      </c>
      <c r="G1263">
        <v>202604</v>
      </c>
      <c r="H1263" t="s">
        <v>75</v>
      </c>
      <c r="I1263" t="s">
        <v>76</v>
      </c>
      <c r="J1263" t="s">
        <v>77</v>
      </c>
      <c r="K1263" t="s">
        <v>78</v>
      </c>
      <c r="L1263" t="s">
        <v>135</v>
      </c>
      <c r="M1263" t="s">
        <v>136</v>
      </c>
      <c r="N1263" t="s">
        <v>379</v>
      </c>
      <c r="O1263" t="s">
        <v>82</v>
      </c>
      <c r="P1263" t="str">
        <f>"4170047836                    "</f>
        <v xml:space="preserve">4170047836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22.6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0.3</v>
      </c>
      <c r="BK1263">
        <v>1</v>
      </c>
      <c r="BL1263">
        <v>71.2</v>
      </c>
      <c r="BM1263">
        <v>10.68</v>
      </c>
      <c r="BN1263">
        <v>81.88</v>
      </c>
      <c r="BO1263">
        <v>81.88</v>
      </c>
      <c r="BQ1263" t="s">
        <v>380</v>
      </c>
      <c r="BR1263" t="s">
        <v>84</v>
      </c>
      <c r="BS1263" s="3">
        <v>45849</v>
      </c>
      <c r="BT1263" s="4">
        <v>0.48958333333333331</v>
      </c>
      <c r="BU1263" t="s">
        <v>1959</v>
      </c>
      <c r="BV1263" t="s">
        <v>98</v>
      </c>
      <c r="BY1263">
        <v>1350</v>
      </c>
      <c r="BZ1263" t="s">
        <v>89</v>
      </c>
      <c r="CA1263" t="s">
        <v>382</v>
      </c>
      <c r="CC1263" t="s">
        <v>136</v>
      </c>
      <c r="CD1263">
        <v>3212</v>
      </c>
      <c r="CE1263" t="s">
        <v>1868</v>
      </c>
      <c r="CF1263" s="3">
        <v>45849</v>
      </c>
      <c r="CI1263">
        <v>2</v>
      </c>
      <c r="CJ1263">
        <v>1</v>
      </c>
      <c r="CK1263">
        <v>21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"080066474366"</f>
        <v>080066474366</v>
      </c>
      <c r="F1264" s="3">
        <v>45848</v>
      </c>
      <c r="G1264">
        <v>202604</v>
      </c>
      <c r="H1264" t="s">
        <v>75</v>
      </c>
      <c r="I1264" t="s">
        <v>76</v>
      </c>
      <c r="J1264" t="s">
        <v>77</v>
      </c>
      <c r="K1264" t="s">
        <v>78</v>
      </c>
      <c r="L1264" t="s">
        <v>102</v>
      </c>
      <c r="M1264" t="s">
        <v>103</v>
      </c>
      <c r="N1264" t="s">
        <v>1949</v>
      </c>
      <c r="O1264" t="s">
        <v>82</v>
      </c>
      <c r="P1264" t="str">
        <f>"4170047856                    "</f>
        <v xml:space="preserve">4170047856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31.78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0.3</v>
      </c>
      <c r="BK1264">
        <v>1</v>
      </c>
      <c r="BL1264">
        <v>100.13</v>
      </c>
      <c r="BM1264">
        <v>15.02</v>
      </c>
      <c r="BN1264">
        <v>115.15</v>
      </c>
      <c r="BO1264">
        <v>115.15</v>
      </c>
      <c r="BQ1264" t="s">
        <v>1950</v>
      </c>
      <c r="BR1264" t="s">
        <v>84</v>
      </c>
      <c r="BS1264" s="3">
        <v>45852</v>
      </c>
      <c r="BT1264" s="4">
        <v>0.59513888888888888</v>
      </c>
      <c r="BU1264" t="s">
        <v>1960</v>
      </c>
      <c r="BV1264" t="s">
        <v>86</v>
      </c>
      <c r="BW1264" t="s">
        <v>395</v>
      </c>
      <c r="BX1264" t="s">
        <v>1420</v>
      </c>
      <c r="BY1264">
        <v>1350</v>
      </c>
      <c r="BZ1264" t="s">
        <v>89</v>
      </c>
      <c r="CA1264" t="s">
        <v>522</v>
      </c>
      <c r="CC1264" t="s">
        <v>103</v>
      </c>
      <c r="CD1264">
        <v>1754</v>
      </c>
      <c r="CE1264" t="s">
        <v>1868</v>
      </c>
      <c r="CF1264" s="3">
        <v>45853</v>
      </c>
      <c r="CI1264">
        <v>1</v>
      </c>
      <c r="CJ1264">
        <v>2</v>
      </c>
      <c r="CK1264">
        <v>24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"080066474387"</f>
        <v>080066474387</v>
      </c>
      <c r="F1265" s="3">
        <v>45848</v>
      </c>
      <c r="G1265">
        <v>202604</v>
      </c>
      <c r="H1265" t="s">
        <v>75</v>
      </c>
      <c r="I1265" t="s">
        <v>76</v>
      </c>
      <c r="J1265" t="s">
        <v>77</v>
      </c>
      <c r="K1265" t="s">
        <v>78</v>
      </c>
      <c r="L1265" t="s">
        <v>92</v>
      </c>
      <c r="M1265" t="s">
        <v>93</v>
      </c>
      <c r="N1265" t="s">
        <v>1852</v>
      </c>
      <c r="O1265" t="s">
        <v>82</v>
      </c>
      <c r="P1265" t="str">
        <f>"4170047996                    "</f>
        <v xml:space="preserve">4170047996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22.6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71.2</v>
      </c>
      <c r="BM1265">
        <v>10.68</v>
      </c>
      <c r="BN1265">
        <v>81.88</v>
      </c>
      <c r="BO1265">
        <v>81.88</v>
      </c>
      <c r="BQ1265" t="s">
        <v>1853</v>
      </c>
      <c r="BR1265" t="s">
        <v>84</v>
      </c>
      <c r="BS1265" s="3">
        <v>45849</v>
      </c>
      <c r="BT1265" s="4">
        <v>0.43402777777777779</v>
      </c>
      <c r="BU1265" t="s">
        <v>1961</v>
      </c>
      <c r="BV1265" t="s">
        <v>98</v>
      </c>
      <c r="BY1265">
        <v>1200</v>
      </c>
      <c r="BZ1265" t="s">
        <v>89</v>
      </c>
      <c r="CA1265" t="s">
        <v>1175</v>
      </c>
      <c r="CC1265" t="s">
        <v>93</v>
      </c>
      <c r="CD1265">
        <v>4000</v>
      </c>
      <c r="CE1265" t="s">
        <v>239</v>
      </c>
      <c r="CF1265" s="3">
        <v>45850</v>
      </c>
      <c r="CI1265">
        <v>1</v>
      </c>
      <c r="CJ1265">
        <v>1</v>
      </c>
      <c r="CK1265">
        <v>21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"080066474405"</f>
        <v>080066474405</v>
      </c>
      <c r="F1266" s="3">
        <v>45848</v>
      </c>
      <c r="G1266">
        <v>202604</v>
      </c>
      <c r="H1266" t="s">
        <v>75</v>
      </c>
      <c r="I1266" t="s">
        <v>76</v>
      </c>
      <c r="J1266" t="s">
        <v>77</v>
      </c>
      <c r="K1266" t="s">
        <v>78</v>
      </c>
      <c r="L1266" t="s">
        <v>197</v>
      </c>
      <c r="M1266" t="s">
        <v>198</v>
      </c>
      <c r="N1266" t="s">
        <v>1962</v>
      </c>
      <c r="O1266" t="s">
        <v>82</v>
      </c>
      <c r="P1266" t="str">
        <f>"4170047919                    "</f>
        <v xml:space="preserve">4170047919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17.649999999999999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55.61</v>
      </c>
      <c r="BM1266">
        <v>8.34</v>
      </c>
      <c r="BN1266">
        <v>63.95</v>
      </c>
      <c r="BO1266">
        <v>63.95</v>
      </c>
      <c r="BQ1266" t="s">
        <v>1963</v>
      </c>
      <c r="BR1266" t="s">
        <v>84</v>
      </c>
      <c r="BS1266" s="3">
        <v>45849</v>
      </c>
      <c r="BT1266" s="4">
        <v>0.34722222222222221</v>
      </c>
      <c r="BU1266" t="s">
        <v>1964</v>
      </c>
      <c r="BV1266" t="s">
        <v>98</v>
      </c>
      <c r="BY1266">
        <v>1200</v>
      </c>
      <c r="BZ1266" t="s">
        <v>89</v>
      </c>
      <c r="CA1266" t="s">
        <v>318</v>
      </c>
      <c r="CC1266" t="s">
        <v>198</v>
      </c>
      <c r="CD1266">
        <v>1428</v>
      </c>
      <c r="CE1266" t="s">
        <v>239</v>
      </c>
      <c r="CF1266" s="3">
        <v>45849</v>
      </c>
      <c r="CI1266">
        <v>1</v>
      </c>
      <c r="CJ1266">
        <v>1</v>
      </c>
      <c r="CK1266">
        <v>22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"080066474400"</f>
        <v>080066474400</v>
      </c>
      <c r="F1267" s="3">
        <v>45848</v>
      </c>
      <c r="G1267">
        <v>202604</v>
      </c>
      <c r="H1267" t="s">
        <v>75</v>
      </c>
      <c r="I1267" t="s">
        <v>76</v>
      </c>
      <c r="J1267" t="s">
        <v>77</v>
      </c>
      <c r="K1267" t="s">
        <v>78</v>
      </c>
      <c r="L1267" t="s">
        <v>79</v>
      </c>
      <c r="M1267" t="s">
        <v>80</v>
      </c>
      <c r="N1267" t="s">
        <v>286</v>
      </c>
      <c r="O1267" t="s">
        <v>82</v>
      </c>
      <c r="P1267" t="str">
        <f>"4170047963                    "</f>
        <v xml:space="preserve">4170047963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22.6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0.3</v>
      </c>
      <c r="BK1267">
        <v>1</v>
      </c>
      <c r="BL1267">
        <v>71.2</v>
      </c>
      <c r="BM1267">
        <v>10.68</v>
      </c>
      <c r="BN1267">
        <v>81.88</v>
      </c>
      <c r="BO1267">
        <v>81.88</v>
      </c>
      <c r="BQ1267" t="s">
        <v>287</v>
      </c>
      <c r="BR1267" t="s">
        <v>84</v>
      </c>
      <c r="BS1267" s="3">
        <v>45849</v>
      </c>
      <c r="BT1267" s="4">
        <v>0.33611111111111114</v>
      </c>
      <c r="BU1267" t="s">
        <v>1965</v>
      </c>
      <c r="BV1267" t="s">
        <v>98</v>
      </c>
      <c r="BY1267">
        <v>1350</v>
      </c>
      <c r="BZ1267" t="s">
        <v>89</v>
      </c>
      <c r="CA1267" t="s">
        <v>289</v>
      </c>
      <c r="CC1267" t="s">
        <v>80</v>
      </c>
      <c r="CD1267">
        <v>7530</v>
      </c>
      <c r="CE1267" t="s">
        <v>1868</v>
      </c>
      <c r="CF1267" s="3">
        <v>45852</v>
      </c>
      <c r="CI1267">
        <v>1</v>
      </c>
      <c r="CJ1267">
        <v>1</v>
      </c>
      <c r="CK1267">
        <v>21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"080066474430"</f>
        <v>080066474430</v>
      </c>
      <c r="F1268" s="3">
        <v>45848</v>
      </c>
      <c r="G1268">
        <v>202604</v>
      </c>
      <c r="H1268" t="s">
        <v>75</v>
      </c>
      <c r="I1268" t="s">
        <v>76</v>
      </c>
      <c r="J1268" t="s">
        <v>77</v>
      </c>
      <c r="K1268" t="s">
        <v>78</v>
      </c>
      <c r="L1268" t="s">
        <v>79</v>
      </c>
      <c r="M1268" t="s">
        <v>80</v>
      </c>
      <c r="N1268" t="s">
        <v>1966</v>
      </c>
      <c r="O1268" t="s">
        <v>82</v>
      </c>
      <c r="P1268" t="str">
        <f>"4170048059                    "</f>
        <v xml:space="preserve">4170048059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22.6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71.2</v>
      </c>
      <c r="BM1268">
        <v>10.68</v>
      </c>
      <c r="BN1268">
        <v>81.88</v>
      </c>
      <c r="BO1268">
        <v>81.88</v>
      </c>
      <c r="BQ1268" t="s">
        <v>1967</v>
      </c>
      <c r="BR1268" t="s">
        <v>84</v>
      </c>
      <c r="BS1268" s="3">
        <v>45849</v>
      </c>
      <c r="BT1268" s="4">
        <v>0.4</v>
      </c>
      <c r="BU1268" t="s">
        <v>1968</v>
      </c>
      <c r="BV1268" t="s">
        <v>98</v>
      </c>
      <c r="BY1268">
        <v>1200</v>
      </c>
      <c r="BZ1268" t="s">
        <v>89</v>
      </c>
      <c r="CA1268" t="s">
        <v>1417</v>
      </c>
      <c r="CC1268" t="s">
        <v>80</v>
      </c>
      <c r="CD1268">
        <v>7480</v>
      </c>
      <c r="CE1268" t="s">
        <v>1170</v>
      </c>
      <c r="CF1268" s="3">
        <v>45852</v>
      </c>
      <c r="CI1268">
        <v>1</v>
      </c>
      <c r="CJ1268">
        <v>1</v>
      </c>
      <c r="CK1268">
        <v>21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"080066474438"</f>
        <v>080066474438</v>
      </c>
      <c r="F1269" s="3">
        <v>45848</v>
      </c>
      <c r="G1269">
        <v>202604</v>
      </c>
      <c r="H1269" t="s">
        <v>75</v>
      </c>
      <c r="I1269" t="s">
        <v>76</v>
      </c>
      <c r="J1269" t="s">
        <v>77</v>
      </c>
      <c r="K1269" t="s">
        <v>78</v>
      </c>
      <c r="L1269" t="s">
        <v>75</v>
      </c>
      <c r="M1269" t="s">
        <v>76</v>
      </c>
      <c r="N1269" t="s">
        <v>562</v>
      </c>
      <c r="O1269" t="s">
        <v>82</v>
      </c>
      <c r="P1269" t="str">
        <f>"4170048055                    "</f>
        <v xml:space="preserve">4170048055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17.649999999999999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0.3</v>
      </c>
      <c r="BK1269">
        <v>1</v>
      </c>
      <c r="BL1269">
        <v>55.61</v>
      </c>
      <c r="BM1269">
        <v>8.34</v>
      </c>
      <c r="BN1269">
        <v>63.95</v>
      </c>
      <c r="BO1269">
        <v>63.95</v>
      </c>
      <c r="BQ1269" t="s">
        <v>563</v>
      </c>
      <c r="BR1269" t="s">
        <v>84</v>
      </c>
      <c r="BS1269" s="3">
        <v>45849</v>
      </c>
      <c r="BT1269" s="4">
        <v>0.41319444444444442</v>
      </c>
      <c r="BU1269" t="s">
        <v>796</v>
      </c>
      <c r="BV1269" t="s">
        <v>98</v>
      </c>
      <c r="BY1269">
        <v>1350</v>
      </c>
      <c r="BZ1269" t="s">
        <v>89</v>
      </c>
      <c r="CA1269" t="s">
        <v>797</v>
      </c>
      <c r="CC1269" t="s">
        <v>76</v>
      </c>
      <c r="CD1269">
        <v>1619</v>
      </c>
      <c r="CE1269" t="s">
        <v>1868</v>
      </c>
      <c r="CF1269" s="3">
        <v>45850</v>
      </c>
      <c r="CI1269">
        <v>1</v>
      </c>
      <c r="CJ1269">
        <v>1</v>
      </c>
      <c r="CK1269">
        <v>22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"080066474478"</f>
        <v>080066474478</v>
      </c>
      <c r="F1270" s="3">
        <v>45848</v>
      </c>
      <c r="G1270">
        <v>202604</v>
      </c>
      <c r="H1270" t="s">
        <v>75</v>
      </c>
      <c r="I1270" t="s">
        <v>76</v>
      </c>
      <c r="J1270" t="s">
        <v>77</v>
      </c>
      <c r="K1270" t="s">
        <v>78</v>
      </c>
      <c r="L1270" t="s">
        <v>554</v>
      </c>
      <c r="M1270" t="s">
        <v>555</v>
      </c>
      <c r="N1270" t="s">
        <v>1969</v>
      </c>
      <c r="O1270" t="s">
        <v>82</v>
      </c>
      <c r="P1270" t="str">
        <f>"4170047872                    "</f>
        <v xml:space="preserve">4170047872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22.6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71.2</v>
      </c>
      <c r="BM1270">
        <v>10.68</v>
      </c>
      <c r="BN1270">
        <v>81.88</v>
      </c>
      <c r="BO1270">
        <v>81.88</v>
      </c>
      <c r="BQ1270" t="s">
        <v>1970</v>
      </c>
      <c r="BR1270" t="s">
        <v>84</v>
      </c>
      <c r="BS1270" s="3">
        <v>45860</v>
      </c>
      <c r="BT1270" s="4">
        <v>0.60833333333333328</v>
      </c>
      <c r="BU1270" t="s">
        <v>1971</v>
      </c>
      <c r="BV1270" t="s">
        <v>86</v>
      </c>
      <c r="BW1270" t="s">
        <v>395</v>
      </c>
      <c r="BX1270" t="s">
        <v>1972</v>
      </c>
      <c r="BY1270">
        <v>1200</v>
      </c>
      <c r="CC1270" t="s">
        <v>555</v>
      </c>
      <c r="CD1270" s="5" t="s">
        <v>560</v>
      </c>
      <c r="CE1270" t="s">
        <v>121</v>
      </c>
      <c r="CF1270" s="3">
        <v>45860</v>
      </c>
      <c r="CI1270">
        <v>1</v>
      </c>
      <c r="CJ1270">
        <v>8</v>
      </c>
      <c r="CK1270">
        <v>21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"080066474489"</f>
        <v>080066474489</v>
      </c>
      <c r="F1271" s="3">
        <v>45848</v>
      </c>
      <c r="G1271">
        <v>202604</v>
      </c>
      <c r="H1271" t="s">
        <v>75</v>
      </c>
      <c r="I1271" t="s">
        <v>76</v>
      </c>
      <c r="J1271" t="s">
        <v>77</v>
      </c>
      <c r="K1271" t="s">
        <v>78</v>
      </c>
      <c r="L1271" t="s">
        <v>452</v>
      </c>
      <c r="M1271" t="s">
        <v>453</v>
      </c>
      <c r="N1271" t="s">
        <v>1321</v>
      </c>
      <c r="O1271" t="s">
        <v>82</v>
      </c>
      <c r="P1271" t="str">
        <f>"4170047964                    "</f>
        <v xml:space="preserve">4170047964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17.649999999999999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0.3</v>
      </c>
      <c r="BK1271">
        <v>1</v>
      </c>
      <c r="BL1271">
        <v>55.61</v>
      </c>
      <c r="BM1271">
        <v>8.34</v>
      </c>
      <c r="BN1271">
        <v>63.95</v>
      </c>
      <c r="BO1271">
        <v>63.95</v>
      </c>
      <c r="BQ1271" t="s">
        <v>1322</v>
      </c>
      <c r="BR1271" t="s">
        <v>84</v>
      </c>
      <c r="BS1271" s="3">
        <v>45849</v>
      </c>
      <c r="BT1271" s="4">
        <v>0.35416666666666669</v>
      </c>
      <c r="BU1271" t="s">
        <v>1973</v>
      </c>
      <c r="BV1271" t="s">
        <v>98</v>
      </c>
      <c r="BY1271">
        <v>1350</v>
      </c>
      <c r="BZ1271" t="s">
        <v>89</v>
      </c>
      <c r="CA1271" t="s">
        <v>1541</v>
      </c>
      <c r="CC1271" t="s">
        <v>453</v>
      </c>
      <c r="CD1271">
        <v>1559</v>
      </c>
      <c r="CE1271" t="s">
        <v>1868</v>
      </c>
      <c r="CF1271" s="3">
        <v>45850</v>
      </c>
      <c r="CI1271">
        <v>1</v>
      </c>
      <c r="CJ1271">
        <v>1</v>
      </c>
      <c r="CK1271">
        <v>22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"080066474500"</f>
        <v>080066474500</v>
      </c>
      <c r="F1272" s="3">
        <v>45848</v>
      </c>
      <c r="G1272">
        <v>202604</v>
      </c>
      <c r="H1272" t="s">
        <v>75</v>
      </c>
      <c r="I1272" t="s">
        <v>76</v>
      </c>
      <c r="J1272" t="s">
        <v>77</v>
      </c>
      <c r="K1272" t="s">
        <v>78</v>
      </c>
      <c r="L1272" t="s">
        <v>168</v>
      </c>
      <c r="M1272" t="s">
        <v>169</v>
      </c>
      <c r="N1272" t="s">
        <v>202</v>
      </c>
      <c r="O1272" t="s">
        <v>82</v>
      </c>
      <c r="P1272" t="str">
        <f>"4170048049                    "</f>
        <v xml:space="preserve">4170048049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22.6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71.2</v>
      </c>
      <c r="BM1272">
        <v>10.68</v>
      </c>
      <c r="BN1272">
        <v>81.88</v>
      </c>
      <c r="BO1272">
        <v>81.88</v>
      </c>
      <c r="BQ1272" t="s">
        <v>203</v>
      </c>
      <c r="BR1272" t="s">
        <v>84</v>
      </c>
      <c r="BS1272" s="3">
        <v>45849</v>
      </c>
      <c r="BT1272" s="4">
        <v>0.40277777777777779</v>
      </c>
      <c r="BU1272" t="s">
        <v>1127</v>
      </c>
      <c r="BV1272" t="s">
        <v>98</v>
      </c>
      <c r="BY1272">
        <v>1200</v>
      </c>
      <c r="BZ1272" t="s">
        <v>89</v>
      </c>
      <c r="CA1272" t="s">
        <v>205</v>
      </c>
      <c r="CC1272" t="s">
        <v>169</v>
      </c>
      <c r="CD1272">
        <v>6001</v>
      </c>
      <c r="CE1272" t="s">
        <v>239</v>
      </c>
      <c r="CF1272" s="3">
        <v>45849</v>
      </c>
      <c r="CI1272">
        <v>1</v>
      </c>
      <c r="CJ1272">
        <v>1</v>
      </c>
      <c r="CK1272">
        <v>21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"080066474530"</f>
        <v>080066474530</v>
      </c>
      <c r="F1273" s="3">
        <v>45848</v>
      </c>
      <c r="G1273">
        <v>202604</v>
      </c>
      <c r="H1273" t="s">
        <v>75</v>
      </c>
      <c r="I1273" t="s">
        <v>76</v>
      </c>
      <c r="J1273" t="s">
        <v>77</v>
      </c>
      <c r="K1273" t="s">
        <v>78</v>
      </c>
      <c r="L1273" t="s">
        <v>79</v>
      </c>
      <c r="M1273" t="s">
        <v>80</v>
      </c>
      <c r="N1273" t="s">
        <v>1974</v>
      </c>
      <c r="O1273" t="s">
        <v>82</v>
      </c>
      <c r="P1273" t="str">
        <f>"4170047957                    "</f>
        <v xml:space="preserve">4170047957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22.6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71.2</v>
      </c>
      <c r="BM1273">
        <v>10.68</v>
      </c>
      <c r="BN1273">
        <v>81.88</v>
      </c>
      <c r="BO1273">
        <v>81.88</v>
      </c>
      <c r="BQ1273" t="s">
        <v>1975</v>
      </c>
      <c r="BR1273" t="s">
        <v>84</v>
      </c>
      <c r="BS1273" s="3">
        <v>45849</v>
      </c>
      <c r="BT1273" s="4">
        <v>0.40763888888888888</v>
      </c>
      <c r="BU1273" t="s">
        <v>1976</v>
      </c>
      <c r="BV1273" t="s">
        <v>98</v>
      </c>
      <c r="BY1273">
        <v>1200</v>
      </c>
      <c r="BZ1273" t="s">
        <v>89</v>
      </c>
      <c r="CA1273" t="s">
        <v>934</v>
      </c>
      <c r="CC1273" t="s">
        <v>80</v>
      </c>
      <c r="CD1273">
        <v>7535</v>
      </c>
      <c r="CE1273" t="s">
        <v>239</v>
      </c>
      <c r="CF1273" s="3">
        <v>45852</v>
      </c>
      <c r="CI1273">
        <v>1</v>
      </c>
      <c r="CJ1273">
        <v>1</v>
      </c>
      <c r="CK1273">
        <v>21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"080066474550"</f>
        <v>080066474550</v>
      </c>
      <c r="F1274" s="3">
        <v>45848</v>
      </c>
      <c r="G1274">
        <v>202604</v>
      </c>
      <c r="H1274" t="s">
        <v>75</v>
      </c>
      <c r="I1274" t="s">
        <v>76</v>
      </c>
      <c r="J1274" t="s">
        <v>77</v>
      </c>
      <c r="K1274" t="s">
        <v>78</v>
      </c>
      <c r="L1274" t="s">
        <v>79</v>
      </c>
      <c r="M1274" t="s">
        <v>80</v>
      </c>
      <c r="N1274" t="s">
        <v>141</v>
      </c>
      <c r="O1274" t="s">
        <v>82</v>
      </c>
      <c r="P1274" t="str">
        <f>"4170047973                    "</f>
        <v xml:space="preserve">4170047973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22.6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0.3</v>
      </c>
      <c r="BK1274">
        <v>1</v>
      </c>
      <c r="BL1274">
        <v>71.2</v>
      </c>
      <c r="BM1274">
        <v>10.68</v>
      </c>
      <c r="BN1274">
        <v>81.88</v>
      </c>
      <c r="BO1274">
        <v>81.88</v>
      </c>
      <c r="BQ1274" t="s">
        <v>142</v>
      </c>
      <c r="BR1274" t="s">
        <v>84</v>
      </c>
      <c r="BS1274" s="3">
        <v>45849</v>
      </c>
      <c r="BT1274" s="4">
        <v>0.39861111111111114</v>
      </c>
      <c r="BU1274" t="s">
        <v>143</v>
      </c>
      <c r="BV1274" t="s">
        <v>98</v>
      </c>
      <c r="BY1274">
        <v>1350</v>
      </c>
      <c r="BZ1274" t="s">
        <v>89</v>
      </c>
      <c r="CA1274" t="s">
        <v>144</v>
      </c>
      <c r="CC1274" t="s">
        <v>80</v>
      </c>
      <c r="CD1274">
        <v>7441</v>
      </c>
      <c r="CE1274" t="s">
        <v>1868</v>
      </c>
      <c r="CF1274" s="3">
        <v>45852</v>
      </c>
      <c r="CI1274">
        <v>1</v>
      </c>
      <c r="CJ1274">
        <v>1</v>
      </c>
      <c r="CK1274">
        <v>21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"080066474558"</f>
        <v>080066474558</v>
      </c>
      <c r="F1275" s="3">
        <v>45848</v>
      </c>
      <c r="G1275">
        <v>202604</v>
      </c>
      <c r="H1275" t="s">
        <v>75</v>
      </c>
      <c r="I1275" t="s">
        <v>76</v>
      </c>
      <c r="J1275" t="s">
        <v>77</v>
      </c>
      <c r="K1275" t="s">
        <v>78</v>
      </c>
      <c r="L1275" t="s">
        <v>92</v>
      </c>
      <c r="M1275" t="s">
        <v>93</v>
      </c>
      <c r="N1275" t="s">
        <v>1977</v>
      </c>
      <c r="O1275" t="s">
        <v>82</v>
      </c>
      <c r="P1275" t="str">
        <f>"4170047938                    "</f>
        <v xml:space="preserve">4170047938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22.6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71.2</v>
      </c>
      <c r="BM1275">
        <v>10.68</v>
      </c>
      <c r="BN1275">
        <v>81.88</v>
      </c>
      <c r="BO1275">
        <v>81.88</v>
      </c>
      <c r="BQ1275" t="s">
        <v>1978</v>
      </c>
      <c r="BR1275" t="s">
        <v>84</v>
      </c>
      <c r="BS1275" s="3">
        <v>45849</v>
      </c>
      <c r="BT1275" s="4">
        <v>0.41319444444444442</v>
      </c>
      <c r="BU1275" t="s">
        <v>1979</v>
      </c>
      <c r="BV1275" t="s">
        <v>98</v>
      </c>
      <c r="BY1275">
        <v>1200</v>
      </c>
      <c r="BZ1275" t="s">
        <v>89</v>
      </c>
      <c r="CA1275" t="s">
        <v>491</v>
      </c>
      <c r="CC1275" t="s">
        <v>93</v>
      </c>
      <c r="CD1275">
        <v>4060</v>
      </c>
      <c r="CE1275" t="s">
        <v>239</v>
      </c>
      <c r="CF1275" s="3">
        <v>45850</v>
      </c>
      <c r="CI1275">
        <v>1</v>
      </c>
      <c r="CJ1275">
        <v>1</v>
      </c>
      <c r="CK1275">
        <v>21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"080066474574"</f>
        <v>080066474574</v>
      </c>
      <c r="F1276" s="3">
        <v>45848</v>
      </c>
      <c r="G1276">
        <v>202604</v>
      </c>
      <c r="H1276" t="s">
        <v>75</v>
      </c>
      <c r="I1276" t="s">
        <v>76</v>
      </c>
      <c r="J1276" t="s">
        <v>77</v>
      </c>
      <c r="K1276" t="s">
        <v>78</v>
      </c>
      <c r="L1276" t="s">
        <v>79</v>
      </c>
      <c r="M1276" t="s">
        <v>80</v>
      </c>
      <c r="N1276" t="s">
        <v>1980</v>
      </c>
      <c r="O1276" t="s">
        <v>82</v>
      </c>
      <c r="P1276" t="str">
        <f>"4170047837                    "</f>
        <v xml:space="preserve">4170047837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22.6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16.739999999999998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87.94</v>
      </c>
      <c r="BM1276">
        <v>13.19</v>
      </c>
      <c r="BN1276">
        <v>101.13</v>
      </c>
      <c r="BO1276">
        <v>101.13</v>
      </c>
      <c r="BQ1276" t="s">
        <v>1981</v>
      </c>
      <c r="BR1276" t="s">
        <v>84</v>
      </c>
      <c r="BS1276" s="3">
        <v>45849</v>
      </c>
      <c r="BT1276" s="4">
        <v>0.56597222222222221</v>
      </c>
      <c r="BU1276" t="s">
        <v>1982</v>
      </c>
      <c r="BV1276" t="s">
        <v>98</v>
      </c>
      <c r="BY1276">
        <v>1200</v>
      </c>
      <c r="BZ1276" t="s">
        <v>460</v>
      </c>
      <c r="CA1276" t="s">
        <v>692</v>
      </c>
      <c r="CC1276" t="s">
        <v>80</v>
      </c>
      <c r="CD1276">
        <v>7781</v>
      </c>
      <c r="CE1276" t="s">
        <v>239</v>
      </c>
      <c r="CF1276" s="3">
        <v>45852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"080066474596"</f>
        <v>080066474596</v>
      </c>
      <c r="F1277" s="3">
        <v>45848</v>
      </c>
      <c r="G1277">
        <v>202604</v>
      </c>
      <c r="H1277" t="s">
        <v>75</v>
      </c>
      <c r="I1277" t="s">
        <v>76</v>
      </c>
      <c r="J1277" t="s">
        <v>77</v>
      </c>
      <c r="K1277" t="s">
        <v>78</v>
      </c>
      <c r="L1277" t="s">
        <v>151</v>
      </c>
      <c r="M1277" t="s">
        <v>152</v>
      </c>
      <c r="N1277" t="s">
        <v>1983</v>
      </c>
      <c r="O1277" t="s">
        <v>82</v>
      </c>
      <c r="P1277" t="str">
        <f>"4170047843                    "</f>
        <v xml:space="preserve">4170047843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22.6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71.2</v>
      </c>
      <c r="BM1277">
        <v>10.68</v>
      </c>
      <c r="BN1277">
        <v>81.88</v>
      </c>
      <c r="BO1277">
        <v>81.88</v>
      </c>
      <c r="BQ1277" t="s">
        <v>1984</v>
      </c>
      <c r="BR1277" t="s">
        <v>84</v>
      </c>
      <c r="BS1277" s="3">
        <v>45849</v>
      </c>
      <c r="BT1277" s="4">
        <v>0.42083333333333334</v>
      </c>
      <c r="BU1277" t="s">
        <v>1985</v>
      </c>
      <c r="BV1277" t="s">
        <v>98</v>
      </c>
      <c r="BY1277">
        <v>1200</v>
      </c>
      <c r="BZ1277" t="s">
        <v>89</v>
      </c>
      <c r="CA1277" t="s">
        <v>513</v>
      </c>
      <c r="CC1277" t="s">
        <v>152</v>
      </c>
      <c r="CD1277" s="5" t="s">
        <v>389</v>
      </c>
      <c r="CE1277" t="s">
        <v>214</v>
      </c>
      <c r="CF1277" s="3">
        <v>45849</v>
      </c>
      <c r="CI1277">
        <v>1</v>
      </c>
      <c r="CJ1277">
        <v>1</v>
      </c>
      <c r="CK1277">
        <v>21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"080066474697"</f>
        <v>080066474697</v>
      </c>
      <c r="F1278" s="3">
        <v>45848</v>
      </c>
      <c r="G1278">
        <v>202604</v>
      </c>
      <c r="H1278" t="s">
        <v>75</v>
      </c>
      <c r="I1278" t="s">
        <v>76</v>
      </c>
      <c r="J1278" t="s">
        <v>77</v>
      </c>
      <c r="K1278" t="s">
        <v>78</v>
      </c>
      <c r="L1278" t="s">
        <v>854</v>
      </c>
      <c r="M1278" t="s">
        <v>855</v>
      </c>
      <c r="N1278" t="s">
        <v>1986</v>
      </c>
      <c r="O1278" t="s">
        <v>95</v>
      </c>
      <c r="P1278" t="str">
        <f>"4170047940                    "</f>
        <v xml:space="preserve">4170047940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61.64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16.739999999999998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11</v>
      </c>
      <c r="BJ1278">
        <v>14.3</v>
      </c>
      <c r="BK1278">
        <v>15</v>
      </c>
      <c r="BL1278">
        <v>216.8</v>
      </c>
      <c r="BM1278">
        <v>32.520000000000003</v>
      </c>
      <c r="BN1278">
        <v>249.32</v>
      </c>
      <c r="BO1278">
        <v>249.32</v>
      </c>
      <c r="BQ1278" t="s">
        <v>1987</v>
      </c>
      <c r="BR1278" t="s">
        <v>84</v>
      </c>
      <c r="BS1278" s="3">
        <v>45849</v>
      </c>
      <c r="BT1278" s="4">
        <v>0.53263888888888888</v>
      </c>
      <c r="BU1278" t="s">
        <v>1988</v>
      </c>
      <c r="BV1278" t="s">
        <v>98</v>
      </c>
      <c r="BY1278">
        <v>71440</v>
      </c>
      <c r="BZ1278" t="s">
        <v>991</v>
      </c>
      <c r="CA1278" t="s">
        <v>992</v>
      </c>
      <c r="CC1278" t="s">
        <v>855</v>
      </c>
      <c r="CD1278" s="5" t="s">
        <v>1989</v>
      </c>
      <c r="CE1278" t="s">
        <v>91</v>
      </c>
      <c r="CF1278" s="3">
        <v>45849</v>
      </c>
      <c r="CI1278">
        <v>1</v>
      </c>
      <c r="CJ1278">
        <v>1</v>
      </c>
      <c r="CK1278">
        <v>43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"080066474791"</f>
        <v>080066474791</v>
      </c>
      <c r="F1279" s="3">
        <v>45848</v>
      </c>
      <c r="G1279">
        <v>202604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1990</v>
      </c>
      <c r="O1279" t="s">
        <v>82</v>
      </c>
      <c r="P1279" t="str">
        <f>"4170047958                    "</f>
        <v xml:space="preserve">4170047958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17.649999999999999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55.61</v>
      </c>
      <c r="BM1279">
        <v>8.34</v>
      </c>
      <c r="BN1279">
        <v>63.95</v>
      </c>
      <c r="BO1279">
        <v>63.95</v>
      </c>
      <c r="BQ1279" t="s">
        <v>1991</v>
      </c>
      <c r="BR1279" t="s">
        <v>84</v>
      </c>
      <c r="BS1279" s="3">
        <v>45849</v>
      </c>
      <c r="BT1279" s="4">
        <v>0.375</v>
      </c>
      <c r="BU1279" t="s">
        <v>1992</v>
      </c>
      <c r="BV1279" t="s">
        <v>98</v>
      </c>
      <c r="BY1279">
        <v>1200</v>
      </c>
      <c r="BZ1279" t="s">
        <v>89</v>
      </c>
      <c r="CA1279" t="s">
        <v>304</v>
      </c>
      <c r="CC1279" t="s">
        <v>76</v>
      </c>
      <c r="CD1279">
        <v>1601</v>
      </c>
      <c r="CE1279" t="s">
        <v>214</v>
      </c>
      <c r="CF1279" s="3">
        <v>45849</v>
      </c>
      <c r="CI1279">
        <v>1</v>
      </c>
      <c r="CJ1279">
        <v>1</v>
      </c>
      <c r="CK1279">
        <v>22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"080066474816"</f>
        <v>080066474816</v>
      </c>
      <c r="F1280" s="3">
        <v>45848</v>
      </c>
      <c r="G1280">
        <v>202604</v>
      </c>
      <c r="H1280" t="s">
        <v>75</v>
      </c>
      <c r="I1280" t="s">
        <v>76</v>
      </c>
      <c r="J1280" t="s">
        <v>77</v>
      </c>
      <c r="K1280" t="s">
        <v>78</v>
      </c>
      <c r="L1280" t="s">
        <v>252</v>
      </c>
      <c r="M1280" t="s">
        <v>253</v>
      </c>
      <c r="N1280" t="s">
        <v>254</v>
      </c>
      <c r="O1280" t="s">
        <v>82</v>
      </c>
      <c r="P1280" t="str">
        <f>"4170047979                    "</f>
        <v xml:space="preserve">4170047979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43.78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137.94</v>
      </c>
      <c r="BM1280">
        <v>20.69</v>
      </c>
      <c r="BN1280">
        <v>158.63</v>
      </c>
      <c r="BO1280">
        <v>158.63</v>
      </c>
      <c r="BQ1280" t="s">
        <v>255</v>
      </c>
      <c r="BR1280" t="s">
        <v>84</v>
      </c>
      <c r="BS1280" s="3">
        <v>45849</v>
      </c>
      <c r="BT1280" s="4">
        <v>0.35416666666666669</v>
      </c>
      <c r="BU1280" t="s">
        <v>1993</v>
      </c>
      <c r="BV1280" t="s">
        <v>98</v>
      </c>
      <c r="BY1280">
        <v>1200</v>
      </c>
      <c r="BZ1280" t="s">
        <v>89</v>
      </c>
      <c r="CC1280" t="s">
        <v>253</v>
      </c>
      <c r="CD1280">
        <v>1947</v>
      </c>
      <c r="CE1280" t="s">
        <v>239</v>
      </c>
      <c r="CF1280" s="3">
        <v>45849</v>
      </c>
      <c r="CI1280">
        <v>1</v>
      </c>
      <c r="CJ1280">
        <v>1</v>
      </c>
      <c r="CK1280">
        <v>23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"080066474843"</f>
        <v>080066474843</v>
      </c>
      <c r="F1281" s="3">
        <v>45848</v>
      </c>
      <c r="G1281">
        <v>202604</v>
      </c>
      <c r="H1281" t="s">
        <v>75</v>
      </c>
      <c r="I1281" t="s">
        <v>76</v>
      </c>
      <c r="J1281" t="s">
        <v>77</v>
      </c>
      <c r="K1281" t="s">
        <v>78</v>
      </c>
      <c r="L1281" t="s">
        <v>79</v>
      </c>
      <c r="M1281" t="s">
        <v>80</v>
      </c>
      <c r="N1281" t="s">
        <v>141</v>
      </c>
      <c r="O1281" t="s">
        <v>82</v>
      </c>
      <c r="P1281" t="str">
        <f>"4170048037                    "</f>
        <v xml:space="preserve">4170048037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22.6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71.2</v>
      </c>
      <c r="BM1281">
        <v>10.68</v>
      </c>
      <c r="BN1281">
        <v>81.88</v>
      </c>
      <c r="BO1281">
        <v>81.88</v>
      </c>
      <c r="BQ1281" t="s">
        <v>142</v>
      </c>
      <c r="BR1281" t="s">
        <v>84</v>
      </c>
      <c r="BS1281" s="3">
        <v>45849</v>
      </c>
      <c r="BT1281" s="4">
        <v>0.39861111111111114</v>
      </c>
      <c r="BU1281" t="s">
        <v>143</v>
      </c>
      <c r="BV1281" t="s">
        <v>98</v>
      </c>
      <c r="BY1281">
        <v>1200</v>
      </c>
      <c r="BZ1281" t="s">
        <v>89</v>
      </c>
      <c r="CA1281" t="s">
        <v>144</v>
      </c>
      <c r="CC1281" t="s">
        <v>80</v>
      </c>
      <c r="CD1281">
        <v>7441</v>
      </c>
      <c r="CE1281" t="s">
        <v>239</v>
      </c>
      <c r="CF1281" s="3">
        <v>45852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"080066474855"</f>
        <v>080066474855</v>
      </c>
      <c r="F1282" s="3">
        <v>45848</v>
      </c>
      <c r="G1282">
        <v>202604</v>
      </c>
      <c r="H1282" t="s">
        <v>75</v>
      </c>
      <c r="I1282" t="s">
        <v>76</v>
      </c>
      <c r="J1282" t="s">
        <v>77</v>
      </c>
      <c r="K1282" t="s">
        <v>78</v>
      </c>
      <c r="L1282" t="s">
        <v>240</v>
      </c>
      <c r="M1282" t="s">
        <v>241</v>
      </c>
      <c r="N1282" t="s">
        <v>242</v>
      </c>
      <c r="O1282" t="s">
        <v>82</v>
      </c>
      <c r="P1282" t="str">
        <f>"4170048067                    "</f>
        <v xml:space="preserve">4170048067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17.649999999999999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55.61</v>
      </c>
      <c r="BM1282">
        <v>8.34</v>
      </c>
      <c r="BN1282">
        <v>63.95</v>
      </c>
      <c r="BO1282">
        <v>63.95</v>
      </c>
      <c r="BQ1282" t="s">
        <v>243</v>
      </c>
      <c r="BR1282" t="s">
        <v>84</v>
      </c>
      <c r="BS1282" s="3">
        <v>45849</v>
      </c>
      <c r="BT1282" s="4">
        <v>0.34027777777777779</v>
      </c>
      <c r="BU1282" t="s">
        <v>244</v>
      </c>
      <c r="BV1282" t="s">
        <v>98</v>
      </c>
      <c r="BY1282">
        <v>1200</v>
      </c>
      <c r="BZ1282" t="s">
        <v>89</v>
      </c>
      <c r="CA1282" t="s">
        <v>245</v>
      </c>
      <c r="CC1282" t="s">
        <v>241</v>
      </c>
      <c r="CD1282">
        <v>2091</v>
      </c>
      <c r="CE1282" t="s">
        <v>239</v>
      </c>
      <c r="CF1282" s="3">
        <v>45850</v>
      </c>
      <c r="CI1282">
        <v>1</v>
      </c>
      <c r="CJ1282">
        <v>1</v>
      </c>
      <c r="CK1282">
        <v>22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"080066474875"</f>
        <v>080066474875</v>
      </c>
      <c r="F1283" s="3">
        <v>45848</v>
      </c>
      <c r="G1283">
        <v>202604</v>
      </c>
      <c r="H1283" t="s">
        <v>75</v>
      </c>
      <c r="I1283" t="s">
        <v>76</v>
      </c>
      <c r="J1283" t="s">
        <v>77</v>
      </c>
      <c r="K1283" t="s">
        <v>78</v>
      </c>
      <c r="L1283" t="s">
        <v>277</v>
      </c>
      <c r="M1283" t="s">
        <v>278</v>
      </c>
      <c r="N1283" t="s">
        <v>1473</v>
      </c>
      <c r="O1283" t="s">
        <v>82</v>
      </c>
      <c r="P1283" t="str">
        <f>"4170048035                    "</f>
        <v xml:space="preserve">4170048035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22.6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71.2</v>
      </c>
      <c r="BM1283">
        <v>10.68</v>
      </c>
      <c r="BN1283">
        <v>81.88</v>
      </c>
      <c r="BO1283">
        <v>81.88</v>
      </c>
      <c r="BQ1283" t="s">
        <v>1474</v>
      </c>
      <c r="BR1283" t="s">
        <v>84</v>
      </c>
      <c r="BS1283" s="3">
        <v>45849</v>
      </c>
      <c r="BT1283" s="4">
        <v>0.39930555555555558</v>
      </c>
      <c r="BU1283" t="s">
        <v>1475</v>
      </c>
      <c r="BV1283" t="s">
        <v>98</v>
      </c>
      <c r="BY1283">
        <v>1200</v>
      </c>
      <c r="BZ1283" t="s">
        <v>89</v>
      </c>
      <c r="CA1283" t="s">
        <v>282</v>
      </c>
      <c r="CC1283" t="s">
        <v>278</v>
      </c>
      <c r="CD1283">
        <v>6229</v>
      </c>
      <c r="CE1283" t="s">
        <v>239</v>
      </c>
      <c r="CF1283" s="3">
        <v>45849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"080066474886"</f>
        <v>080066474886</v>
      </c>
      <c r="F1284" s="3">
        <v>45848</v>
      </c>
      <c r="G1284">
        <v>202604</v>
      </c>
      <c r="H1284" t="s">
        <v>75</v>
      </c>
      <c r="I1284" t="s">
        <v>76</v>
      </c>
      <c r="J1284" t="s">
        <v>77</v>
      </c>
      <c r="K1284" t="s">
        <v>78</v>
      </c>
      <c r="L1284" t="s">
        <v>168</v>
      </c>
      <c r="M1284" t="s">
        <v>169</v>
      </c>
      <c r="N1284" t="s">
        <v>412</v>
      </c>
      <c r="O1284" t="s">
        <v>82</v>
      </c>
      <c r="P1284" t="str">
        <f>"4170048028                    "</f>
        <v xml:space="preserve">4170048028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22.6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71.2</v>
      </c>
      <c r="BM1284">
        <v>10.68</v>
      </c>
      <c r="BN1284">
        <v>81.88</v>
      </c>
      <c r="BO1284">
        <v>81.88</v>
      </c>
      <c r="BQ1284" t="s">
        <v>413</v>
      </c>
      <c r="BR1284" t="s">
        <v>84</v>
      </c>
      <c r="BS1284" s="3">
        <v>45849</v>
      </c>
      <c r="BT1284" s="4">
        <v>0.3923611111111111</v>
      </c>
      <c r="BU1284" t="s">
        <v>470</v>
      </c>
      <c r="BV1284" t="s">
        <v>98</v>
      </c>
      <c r="BY1284">
        <v>1200</v>
      </c>
      <c r="BZ1284" t="s">
        <v>89</v>
      </c>
      <c r="CA1284" t="s">
        <v>415</v>
      </c>
      <c r="CC1284" t="s">
        <v>169</v>
      </c>
      <c r="CD1284">
        <v>6001</v>
      </c>
      <c r="CE1284" t="s">
        <v>239</v>
      </c>
      <c r="CF1284" s="3">
        <v>45849</v>
      </c>
      <c r="CI1284">
        <v>1</v>
      </c>
      <c r="CJ1284">
        <v>1</v>
      </c>
      <c r="CK1284">
        <v>21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"080066475063"</f>
        <v>080066475063</v>
      </c>
      <c r="F1285" s="3">
        <v>45848</v>
      </c>
      <c r="G1285">
        <v>202604</v>
      </c>
      <c r="H1285" t="s">
        <v>75</v>
      </c>
      <c r="I1285" t="s">
        <v>76</v>
      </c>
      <c r="J1285" t="s">
        <v>77</v>
      </c>
      <c r="K1285" t="s">
        <v>78</v>
      </c>
      <c r="L1285" t="s">
        <v>79</v>
      </c>
      <c r="M1285" t="s">
        <v>80</v>
      </c>
      <c r="N1285" t="s">
        <v>141</v>
      </c>
      <c r="O1285" t="s">
        <v>95</v>
      </c>
      <c r="P1285" t="str">
        <f>"4170047977                    "</f>
        <v xml:space="preserve">4170047977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43.7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12</v>
      </c>
      <c r="BJ1285">
        <v>6.8</v>
      </c>
      <c r="BK1285">
        <v>12</v>
      </c>
      <c r="BL1285">
        <v>143.55000000000001</v>
      </c>
      <c r="BM1285">
        <v>21.53</v>
      </c>
      <c r="BN1285">
        <v>165.08</v>
      </c>
      <c r="BO1285">
        <v>165.08</v>
      </c>
      <c r="BQ1285" t="s">
        <v>142</v>
      </c>
      <c r="BR1285" t="s">
        <v>84</v>
      </c>
      <c r="BS1285" s="3">
        <v>45852</v>
      </c>
      <c r="BT1285" s="4">
        <v>0.38194444444444442</v>
      </c>
      <c r="BU1285" t="s">
        <v>356</v>
      </c>
      <c r="BV1285" t="s">
        <v>98</v>
      </c>
      <c r="BY1285">
        <v>33858</v>
      </c>
      <c r="BZ1285" t="s">
        <v>99</v>
      </c>
      <c r="CA1285" t="s">
        <v>144</v>
      </c>
      <c r="CC1285" t="s">
        <v>80</v>
      </c>
      <c r="CD1285">
        <v>7441</v>
      </c>
      <c r="CE1285" t="s">
        <v>1510</v>
      </c>
      <c r="CF1285" s="3">
        <v>45853</v>
      </c>
      <c r="CI1285">
        <v>3</v>
      </c>
      <c r="CJ1285">
        <v>2</v>
      </c>
      <c r="CK1285">
        <v>41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"080066475083"</f>
        <v>080066475083</v>
      </c>
      <c r="F1286" s="3">
        <v>45848</v>
      </c>
      <c r="G1286">
        <v>202604</v>
      </c>
      <c r="H1286" t="s">
        <v>75</v>
      </c>
      <c r="I1286" t="s">
        <v>76</v>
      </c>
      <c r="J1286" t="s">
        <v>77</v>
      </c>
      <c r="K1286" t="s">
        <v>78</v>
      </c>
      <c r="L1286" t="s">
        <v>92</v>
      </c>
      <c r="M1286" t="s">
        <v>93</v>
      </c>
      <c r="N1286" t="s">
        <v>749</v>
      </c>
      <c r="O1286" t="s">
        <v>82</v>
      </c>
      <c r="P1286" t="str">
        <f>"4170047772                    "</f>
        <v xml:space="preserve">4170047772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22.6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71.2</v>
      </c>
      <c r="BM1286">
        <v>10.68</v>
      </c>
      <c r="BN1286">
        <v>81.88</v>
      </c>
      <c r="BO1286">
        <v>81.88</v>
      </c>
      <c r="BQ1286" t="s">
        <v>750</v>
      </c>
      <c r="BR1286" t="s">
        <v>84</v>
      </c>
      <c r="BS1286" s="3">
        <v>45849</v>
      </c>
      <c r="BT1286" s="4">
        <v>0.37152777777777779</v>
      </c>
      <c r="BU1286" t="s">
        <v>1329</v>
      </c>
      <c r="BV1286" t="s">
        <v>98</v>
      </c>
      <c r="BY1286">
        <v>1200</v>
      </c>
      <c r="BZ1286" t="s">
        <v>89</v>
      </c>
      <c r="CA1286" t="s">
        <v>491</v>
      </c>
      <c r="CC1286" t="s">
        <v>93</v>
      </c>
      <c r="CD1286">
        <v>4001</v>
      </c>
      <c r="CE1286" t="s">
        <v>239</v>
      </c>
      <c r="CF1286" s="3">
        <v>45850</v>
      </c>
      <c r="CI1286">
        <v>1</v>
      </c>
      <c r="CJ1286">
        <v>1</v>
      </c>
      <c r="CK1286">
        <v>21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"080066475093"</f>
        <v>080066475093</v>
      </c>
      <c r="F1287" s="3">
        <v>45848</v>
      </c>
      <c r="G1287">
        <v>202604</v>
      </c>
      <c r="H1287" t="s">
        <v>75</v>
      </c>
      <c r="I1287" t="s">
        <v>76</v>
      </c>
      <c r="J1287" t="s">
        <v>77</v>
      </c>
      <c r="K1287" t="s">
        <v>78</v>
      </c>
      <c r="L1287" t="s">
        <v>174</v>
      </c>
      <c r="M1287" t="s">
        <v>175</v>
      </c>
      <c r="N1287" t="s">
        <v>352</v>
      </c>
      <c r="O1287" t="s">
        <v>82</v>
      </c>
      <c r="P1287" t="str">
        <f>"4170047934                    "</f>
        <v xml:space="preserve">4170047934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33.89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3</v>
      </c>
      <c r="BJ1287">
        <v>1.1000000000000001</v>
      </c>
      <c r="BK1287">
        <v>3</v>
      </c>
      <c r="BL1287">
        <v>106.77</v>
      </c>
      <c r="BM1287">
        <v>16.02</v>
      </c>
      <c r="BN1287">
        <v>122.79</v>
      </c>
      <c r="BO1287">
        <v>122.79</v>
      </c>
      <c r="BQ1287" t="s">
        <v>1994</v>
      </c>
      <c r="BR1287" t="s">
        <v>84</v>
      </c>
      <c r="BS1287" s="3">
        <v>45849</v>
      </c>
      <c r="BT1287" s="4">
        <v>0.43055555555555558</v>
      </c>
      <c r="BU1287" t="s">
        <v>1995</v>
      </c>
      <c r="BV1287" t="s">
        <v>98</v>
      </c>
      <c r="BY1287">
        <v>5320</v>
      </c>
      <c r="BZ1287" t="s">
        <v>89</v>
      </c>
      <c r="CA1287" t="s">
        <v>173</v>
      </c>
      <c r="CC1287" t="s">
        <v>175</v>
      </c>
      <c r="CD1287">
        <v>6220</v>
      </c>
      <c r="CE1287" t="s">
        <v>117</v>
      </c>
      <c r="CF1287" s="3">
        <v>45849</v>
      </c>
      <c r="CI1287">
        <v>1</v>
      </c>
      <c r="CJ1287">
        <v>1</v>
      </c>
      <c r="CK1287">
        <v>21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"080066475111"</f>
        <v>080066475111</v>
      </c>
      <c r="F1288" s="3">
        <v>45848</v>
      </c>
      <c r="G1288">
        <v>202604</v>
      </c>
      <c r="H1288" t="s">
        <v>75</v>
      </c>
      <c r="I1288" t="s">
        <v>76</v>
      </c>
      <c r="J1288" t="s">
        <v>77</v>
      </c>
      <c r="K1288" t="s">
        <v>78</v>
      </c>
      <c r="L1288" t="s">
        <v>79</v>
      </c>
      <c r="M1288" t="s">
        <v>80</v>
      </c>
      <c r="N1288" t="s">
        <v>1996</v>
      </c>
      <c r="O1288" t="s">
        <v>82</v>
      </c>
      <c r="P1288" t="str">
        <f>"4170047769                    "</f>
        <v xml:space="preserve">4170047769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22.6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</v>
      </c>
      <c r="BJ1288">
        <v>1.1000000000000001</v>
      </c>
      <c r="BK1288">
        <v>2</v>
      </c>
      <c r="BL1288">
        <v>71.2</v>
      </c>
      <c r="BM1288">
        <v>10.68</v>
      </c>
      <c r="BN1288">
        <v>81.88</v>
      </c>
      <c r="BO1288">
        <v>81.88</v>
      </c>
      <c r="BQ1288" t="s">
        <v>1997</v>
      </c>
      <c r="BR1288" t="s">
        <v>84</v>
      </c>
      <c r="BS1288" s="3">
        <v>45849</v>
      </c>
      <c r="BT1288" s="4">
        <v>0.40208333333333335</v>
      </c>
      <c r="BU1288" t="s">
        <v>1998</v>
      </c>
      <c r="BV1288" t="s">
        <v>98</v>
      </c>
      <c r="BY1288">
        <v>5320</v>
      </c>
      <c r="BZ1288" t="s">
        <v>89</v>
      </c>
      <c r="CC1288" t="s">
        <v>80</v>
      </c>
      <c r="CD1288">
        <v>7405</v>
      </c>
      <c r="CE1288" t="s">
        <v>117</v>
      </c>
      <c r="CF1288" s="3">
        <v>45852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"080066475129"</f>
        <v>080066475129</v>
      </c>
      <c r="F1289" s="3">
        <v>45848</v>
      </c>
      <c r="G1289">
        <v>202604</v>
      </c>
      <c r="H1289" t="s">
        <v>75</v>
      </c>
      <c r="I1289" t="s">
        <v>76</v>
      </c>
      <c r="J1289" t="s">
        <v>77</v>
      </c>
      <c r="K1289" t="s">
        <v>78</v>
      </c>
      <c r="L1289" t="s">
        <v>452</v>
      </c>
      <c r="M1289" t="s">
        <v>453</v>
      </c>
      <c r="N1289" t="s">
        <v>1999</v>
      </c>
      <c r="O1289" t="s">
        <v>311</v>
      </c>
      <c r="P1289" t="str">
        <f>"4170047764                    "</f>
        <v xml:space="preserve">4170047764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17.66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5</v>
      </c>
      <c r="BJ1289">
        <v>3.4</v>
      </c>
      <c r="BK1289">
        <v>5</v>
      </c>
      <c r="BL1289">
        <v>55.63</v>
      </c>
      <c r="BM1289">
        <v>8.34</v>
      </c>
      <c r="BN1289">
        <v>63.97</v>
      </c>
      <c r="BO1289">
        <v>63.97</v>
      </c>
      <c r="BQ1289" t="s">
        <v>2000</v>
      </c>
      <c r="BR1289" t="s">
        <v>84</v>
      </c>
      <c r="BS1289" s="3">
        <v>45849</v>
      </c>
      <c r="BT1289" s="4">
        <v>0.3659722222222222</v>
      </c>
      <c r="BU1289" t="s">
        <v>2001</v>
      </c>
      <c r="BV1289" t="s">
        <v>98</v>
      </c>
      <c r="BY1289">
        <v>16965</v>
      </c>
      <c r="BZ1289" t="s">
        <v>99</v>
      </c>
      <c r="CA1289" t="s">
        <v>1541</v>
      </c>
      <c r="CC1289" t="s">
        <v>453</v>
      </c>
      <c r="CD1289">
        <v>1559</v>
      </c>
      <c r="CE1289" t="s">
        <v>117</v>
      </c>
      <c r="CF1289" s="3">
        <v>45850</v>
      </c>
      <c r="CI1289">
        <v>1</v>
      </c>
      <c r="CJ1289">
        <v>1</v>
      </c>
      <c r="CK1289">
        <v>32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"080066475497"</f>
        <v>080066475497</v>
      </c>
      <c r="F1290" s="3">
        <v>45848</v>
      </c>
      <c r="G1290">
        <v>202604</v>
      </c>
      <c r="H1290" t="s">
        <v>75</v>
      </c>
      <c r="I1290" t="s">
        <v>76</v>
      </c>
      <c r="J1290" t="s">
        <v>77</v>
      </c>
      <c r="K1290" t="s">
        <v>78</v>
      </c>
      <c r="L1290" t="s">
        <v>135</v>
      </c>
      <c r="M1290" t="s">
        <v>136</v>
      </c>
      <c r="N1290" t="s">
        <v>694</v>
      </c>
      <c r="O1290" t="s">
        <v>82</v>
      </c>
      <c r="P1290" t="str">
        <f>"4170047985                    "</f>
        <v xml:space="preserve">4170047985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45.18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16.739999999999998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3</v>
      </c>
      <c r="BJ1290">
        <v>3.6</v>
      </c>
      <c r="BK1290">
        <v>4</v>
      </c>
      <c r="BL1290">
        <v>159.08000000000001</v>
      </c>
      <c r="BM1290">
        <v>23.86</v>
      </c>
      <c r="BN1290">
        <v>182.94</v>
      </c>
      <c r="BO1290">
        <v>182.94</v>
      </c>
      <c r="BQ1290" t="s">
        <v>695</v>
      </c>
      <c r="BR1290" t="s">
        <v>84</v>
      </c>
      <c r="BS1290" s="3">
        <v>45849</v>
      </c>
      <c r="BT1290" s="4">
        <v>0.41666666666666669</v>
      </c>
      <c r="BU1290" t="s">
        <v>2002</v>
      </c>
      <c r="BV1290" t="s">
        <v>98</v>
      </c>
      <c r="BY1290">
        <v>17920</v>
      </c>
      <c r="BZ1290" t="s">
        <v>460</v>
      </c>
      <c r="CA1290" t="s">
        <v>2003</v>
      </c>
      <c r="CC1290" t="s">
        <v>136</v>
      </c>
      <c r="CD1290">
        <v>3699</v>
      </c>
      <c r="CE1290" t="s">
        <v>91</v>
      </c>
      <c r="CF1290" s="3">
        <v>45850</v>
      </c>
      <c r="CI1290">
        <v>1</v>
      </c>
      <c r="CJ1290">
        <v>1</v>
      </c>
      <c r="CK1290">
        <v>21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"080066475529"</f>
        <v>080066475529</v>
      </c>
      <c r="F1291" s="3">
        <v>45848</v>
      </c>
      <c r="G1291">
        <v>202604</v>
      </c>
      <c r="H1291" t="s">
        <v>75</v>
      </c>
      <c r="I1291" t="s">
        <v>76</v>
      </c>
      <c r="J1291" t="s">
        <v>77</v>
      </c>
      <c r="K1291" t="s">
        <v>78</v>
      </c>
      <c r="L1291" t="s">
        <v>92</v>
      </c>
      <c r="M1291" t="s">
        <v>93</v>
      </c>
      <c r="N1291" t="s">
        <v>291</v>
      </c>
      <c r="O1291" t="s">
        <v>82</v>
      </c>
      <c r="P1291" t="str">
        <f>"4170047931                    "</f>
        <v xml:space="preserve">4170047931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56.47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5</v>
      </c>
      <c r="BJ1291">
        <v>1.7</v>
      </c>
      <c r="BK1291">
        <v>5</v>
      </c>
      <c r="BL1291">
        <v>177.91</v>
      </c>
      <c r="BM1291">
        <v>26.69</v>
      </c>
      <c r="BN1291">
        <v>204.6</v>
      </c>
      <c r="BO1291">
        <v>204.6</v>
      </c>
      <c r="BQ1291" t="s">
        <v>292</v>
      </c>
      <c r="BR1291" t="s">
        <v>84</v>
      </c>
      <c r="BS1291" s="3">
        <v>45849</v>
      </c>
      <c r="BT1291" s="4">
        <v>0.3347222222222222</v>
      </c>
      <c r="BU1291" t="s">
        <v>1936</v>
      </c>
      <c r="BV1291" t="s">
        <v>98</v>
      </c>
      <c r="BY1291">
        <v>8512</v>
      </c>
      <c r="BZ1291" t="s">
        <v>89</v>
      </c>
      <c r="CA1291" t="s">
        <v>294</v>
      </c>
      <c r="CC1291" t="s">
        <v>93</v>
      </c>
      <c r="CD1291">
        <v>4051</v>
      </c>
      <c r="CE1291" t="s">
        <v>117</v>
      </c>
      <c r="CF1291" s="3">
        <v>45849</v>
      </c>
      <c r="CI1291">
        <v>1</v>
      </c>
      <c r="CJ1291">
        <v>1</v>
      </c>
      <c r="CK1291">
        <v>21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"080066475565"</f>
        <v>080066475565</v>
      </c>
      <c r="F1292" s="3">
        <v>45848</v>
      </c>
      <c r="G1292">
        <v>202604</v>
      </c>
      <c r="H1292" t="s">
        <v>75</v>
      </c>
      <c r="I1292" t="s">
        <v>76</v>
      </c>
      <c r="J1292" t="s">
        <v>77</v>
      </c>
      <c r="K1292" t="s">
        <v>78</v>
      </c>
      <c r="L1292" t="s">
        <v>79</v>
      </c>
      <c r="M1292" t="s">
        <v>80</v>
      </c>
      <c r="N1292" t="s">
        <v>141</v>
      </c>
      <c r="O1292" t="s">
        <v>82</v>
      </c>
      <c r="P1292" t="str">
        <f>"4170047974                    "</f>
        <v xml:space="preserve">4170047974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22.6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1.1000000000000001</v>
      </c>
      <c r="BK1292">
        <v>1.5</v>
      </c>
      <c r="BL1292">
        <v>71.2</v>
      </c>
      <c r="BM1292">
        <v>10.68</v>
      </c>
      <c r="BN1292">
        <v>81.88</v>
      </c>
      <c r="BO1292">
        <v>81.88</v>
      </c>
      <c r="BQ1292" t="s">
        <v>142</v>
      </c>
      <c r="BR1292" t="s">
        <v>84</v>
      </c>
      <c r="BS1292" s="3">
        <v>45849</v>
      </c>
      <c r="BT1292" s="4">
        <v>0.39861111111111114</v>
      </c>
      <c r="BU1292" t="s">
        <v>143</v>
      </c>
      <c r="BV1292" t="s">
        <v>98</v>
      </c>
      <c r="BY1292">
        <v>5320</v>
      </c>
      <c r="BZ1292" t="s">
        <v>89</v>
      </c>
      <c r="CA1292" t="s">
        <v>144</v>
      </c>
      <c r="CC1292" t="s">
        <v>80</v>
      </c>
      <c r="CD1292">
        <v>7441</v>
      </c>
      <c r="CE1292" t="s">
        <v>117</v>
      </c>
      <c r="CF1292" s="3">
        <v>45852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"080066475572"</f>
        <v>080066475572</v>
      </c>
      <c r="F1293" s="3">
        <v>45848</v>
      </c>
      <c r="G1293">
        <v>202604</v>
      </c>
      <c r="H1293" t="s">
        <v>75</v>
      </c>
      <c r="I1293" t="s">
        <v>76</v>
      </c>
      <c r="J1293" t="s">
        <v>77</v>
      </c>
      <c r="K1293" t="s">
        <v>78</v>
      </c>
      <c r="L1293" t="s">
        <v>197</v>
      </c>
      <c r="M1293" t="s">
        <v>198</v>
      </c>
      <c r="N1293" t="s">
        <v>1548</v>
      </c>
      <c r="O1293" t="s">
        <v>82</v>
      </c>
      <c r="P1293" t="str">
        <f>"4170047883                    "</f>
        <v xml:space="preserve">4170047883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17.649999999999999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0.3</v>
      </c>
      <c r="BK1293">
        <v>1</v>
      </c>
      <c r="BL1293">
        <v>55.61</v>
      </c>
      <c r="BM1293">
        <v>8.34</v>
      </c>
      <c r="BN1293">
        <v>63.95</v>
      </c>
      <c r="BO1293">
        <v>63.95</v>
      </c>
      <c r="BQ1293" t="s">
        <v>1549</v>
      </c>
      <c r="BR1293" t="s">
        <v>84</v>
      </c>
      <c r="BS1293" s="3">
        <v>45849</v>
      </c>
      <c r="BT1293" s="4">
        <v>0.4375</v>
      </c>
      <c r="BU1293" t="s">
        <v>2004</v>
      </c>
      <c r="BV1293" t="s">
        <v>98</v>
      </c>
      <c r="BY1293">
        <v>1350</v>
      </c>
      <c r="BZ1293" t="s">
        <v>89</v>
      </c>
      <c r="CC1293" t="s">
        <v>198</v>
      </c>
      <c r="CD1293">
        <v>1401</v>
      </c>
      <c r="CE1293" t="s">
        <v>1868</v>
      </c>
      <c r="CF1293" s="3">
        <v>45850</v>
      </c>
      <c r="CI1293">
        <v>1</v>
      </c>
      <c r="CJ1293">
        <v>1</v>
      </c>
      <c r="CK1293">
        <v>22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"080066475595"</f>
        <v>080066475595</v>
      </c>
      <c r="F1294" s="3">
        <v>45848</v>
      </c>
      <c r="G1294">
        <v>202604</v>
      </c>
      <c r="H1294" t="s">
        <v>75</v>
      </c>
      <c r="I1294" t="s">
        <v>76</v>
      </c>
      <c r="J1294" t="s">
        <v>77</v>
      </c>
      <c r="K1294" t="s">
        <v>78</v>
      </c>
      <c r="L1294" t="s">
        <v>79</v>
      </c>
      <c r="M1294" t="s">
        <v>80</v>
      </c>
      <c r="N1294" t="s">
        <v>141</v>
      </c>
      <c r="O1294" t="s">
        <v>82</v>
      </c>
      <c r="P1294" t="str">
        <f>"4170047976                    "</f>
        <v xml:space="preserve">4170047976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22.6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1.1000000000000001</v>
      </c>
      <c r="BK1294">
        <v>1.5</v>
      </c>
      <c r="BL1294">
        <v>71.2</v>
      </c>
      <c r="BM1294">
        <v>10.68</v>
      </c>
      <c r="BN1294">
        <v>81.88</v>
      </c>
      <c r="BO1294">
        <v>81.88</v>
      </c>
      <c r="BQ1294" t="s">
        <v>142</v>
      </c>
      <c r="BR1294" t="s">
        <v>84</v>
      </c>
      <c r="BS1294" s="3">
        <v>45849</v>
      </c>
      <c r="BT1294" s="4">
        <v>0.39861111111111114</v>
      </c>
      <c r="BU1294" t="s">
        <v>2005</v>
      </c>
      <c r="BV1294" t="s">
        <v>98</v>
      </c>
      <c r="BY1294">
        <v>5320</v>
      </c>
      <c r="BZ1294" t="s">
        <v>89</v>
      </c>
      <c r="CC1294" t="s">
        <v>80</v>
      </c>
      <c r="CD1294">
        <v>7441</v>
      </c>
      <c r="CE1294" t="s">
        <v>117</v>
      </c>
      <c r="CF1294" s="3">
        <v>45852</v>
      </c>
      <c r="CI1294">
        <v>1</v>
      </c>
      <c r="CJ1294">
        <v>1</v>
      </c>
      <c r="CK1294">
        <v>21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"080066475601"</f>
        <v>080066475601</v>
      </c>
      <c r="F1295" s="3">
        <v>45848</v>
      </c>
      <c r="G1295">
        <v>202604</v>
      </c>
      <c r="H1295" t="s">
        <v>75</v>
      </c>
      <c r="I1295" t="s">
        <v>76</v>
      </c>
      <c r="J1295" t="s">
        <v>77</v>
      </c>
      <c r="K1295" t="s">
        <v>78</v>
      </c>
      <c r="L1295" t="s">
        <v>168</v>
      </c>
      <c r="M1295" t="s">
        <v>169</v>
      </c>
      <c r="N1295" t="s">
        <v>206</v>
      </c>
      <c r="O1295" t="s">
        <v>82</v>
      </c>
      <c r="P1295" t="str">
        <f>"4170047910                    "</f>
        <v xml:space="preserve">4170047910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22.6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0.3</v>
      </c>
      <c r="BK1295">
        <v>1</v>
      </c>
      <c r="BL1295">
        <v>71.2</v>
      </c>
      <c r="BM1295">
        <v>10.68</v>
      </c>
      <c r="BN1295">
        <v>81.88</v>
      </c>
      <c r="BO1295">
        <v>81.88</v>
      </c>
      <c r="BQ1295" t="s">
        <v>207</v>
      </c>
      <c r="BR1295" t="s">
        <v>84</v>
      </c>
      <c r="BS1295" s="3">
        <v>45849</v>
      </c>
      <c r="BT1295" s="4">
        <v>0.41944444444444445</v>
      </c>
      <c r="BU1295" t="s">
        <v>208</v>
      </c>
      <c r="BV1295" t="s">
        <v>98</v>
      </c>
      <c r="BY1295">
        <v>1350</v>
      </c>
      <c r="BZ1295" t="s">
        <v>89</v>
      </c>
      <c r="CA1295" t="s">
        <v>196</v>
      </c>
      <c r="CC1295" t="s">
        <v>169</v>
      </c>
      <c r="CD1295">
        <v>6001</v>
      </c>
      <c r="CE1295" t="s">
        <v>1868</v>
      </c>
      <c r="CF1295" s="3">
        <v>45849</v>
      </c>
      <c r="CI1295">
        <v>1</v>
      </c>
      <c r="CJ1295">
        <v>1</v>
      </c>
      <c r="CK1295">
        <v>21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"080066475633"</f>
        <v>080066475633</v>
      </c>
      <c r="F1296" s="3">
        <v>45848</v>
      </c>
      <c r="G1296">
        <v>202604</v>
      </c>
      <c r="H1296" t="s">
        <v>75</v>
      </c>
      <c r="I1296" t="s">
        <v>76</v>
      </c>
      <c r="J1296" t="s">
        <v>77</v>
      </c>
      <c r="K1296" t="s">
        <v>78</v>
      </c>
      <c r="L1296" t="s">
        <v>75</v>
      </c>
      <c r="M1296" t="s">
        <v>76</v>
      </c>
      <c r="N1296" t="s">
        <v>301</v>
      </c>
      <c r="O1296" t="s">
        <v>82</v>
      </c>
      <c r="P1296" t="str">
        <f>"4170048057                    "</f>
        <v xml:space="preserve">4170048057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17.649999999999999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2</v>
      </c>
      <c r="BJ1296">
        <v>1.1000000000000001</v>
      </c>
      <c r="BK1296">
        <v>2</v>
      </c>
      <c r="BL1296">
        <v>55.61</v>
      </c>
      <c r="BM1296">
        <v>8.34</v>
      </c>
      <c r="BN1296">
        <v>63.95</v>
      </c>
      <c r="BO1296">
        <v>63.95</v>
      </c>
      <c r="BQ1296" t="s">
        <v>302</v>
      </c>
      <c r="BR1296" t="s">
        <v>84</v>
      </c>
      <c r="BS1296" s="3">
        <v>45849</v>
      </c>
      <c r="BT1296" s="4">
        <v>0.3298611111111111</v>
      </c>
      <c r="BU1296" t="s">
        <v>1881</v>
      </c>
      <c r="BV1296" t="s">
        <v>98</v>
      </c>
      <c r="BY1296">
        <v>5320</v>
      </c>
      <c r="BZ1296" t="s">
        <v>89</v>
      </c>
      <c r="CA1296" t="s">
        <v>304</v>
      </c>
      <c r="CC1296" t="s">
        <v>76</v>
      </c>
      <c r="CD1296">
        <v>1600</v>
      </c>
      <c r="CE1296" t="s">
        <v>117</v>
      </c>
      <c r="CF1296" s="3">
        <v>45849</v>
      </c>
      <c r="CI1296">
        <v>1</v>
      </c>
      <c r="CJ1296">
        <v>1</v>
      </c>
      <c r="CK1296">
        <v>22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"080066475639"</f>
        <v>080066475639</v>
      </c>
      <c r="F1297" s="3">
        <v>45848</v>
      </c>
      <c r="G1297">
        <v>202604</v>
      </c>
      <c r="H1297" t="s">
        <v>75</v>
      </c>
      <c r="I1297" t="s">
        <v>76</v>
      </c>
      <c r="J1297" t="s">
        <v>77</v>
      </c>
      <c r="K1297" t="s">
        <v>78</v>
      </c>
      <c r="L1297" t="s">
        <v>135</v>
      </c>
      <c r="M1297" t="s">
        <v>136</v>
      </c>
      <c r="N1297" t="s">
        <v>416</v>
      </c>
      <c r="O1297" t="s">
        <v>82</v>
      </c>
      <c r="P1297" t="str">
        <f>"4170047771                    "</f>
        <v xml:space="preserve">4170047771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95.99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8.1</v>
      </c>
      <c r="BK1297">
        <v>8.5</v>
      </c>
      <c r="BL1297">
        <v>302.41000000000003</v>
      </c>
      <c r="BM1297">
        <v>45.36</v>
      </c>
      <c r="BN1297">
        <v>347.77</v>
      </c>
      <c r="BO1297">
        <v>347.77</v>
      </c>
      <c r="BQ1297" t="s">
        <v>417</v>
      </c>
      <c r="BR1297" t="s">
        <v>84</v>
      </c>
      <c r="BS1297" s="3">
        <v>45849</v>
      </c>
      <c r="BT1297" s="4">
        <v>0.41666666666666669</v>
      </c>
      <c r="BU1297" t="s">
        <v>650</v>
      </c>
      <c r="BV1297" t="s">
        <v>98</v>
      </c>
      <c r="BY1297">
        <v>40500</v>
      </c>
      <c r="BZ1297" t="s">
        <v>89</v>
      </c>
      <c r="CC1297" t="s">
        <v>136</v>
      </c>
      <c r="CD1297">
        <v>3201</v>
      </c>
      <c r="CE1297" t="s">
        <v>1868</v>
      </c>
      <c r="CF1297" s="3">
        <v>45850</v>
      </c>
      <c r="CI1297">
        <v>1</v>
      </c>
      <c r="CJ1297">
        <v>1</v>
      </c>
      <c r="CK1297">
        <v>21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"080066475687"</f>
        <v>080066475687</v>
      </c>
      <c r="F1298" s="3">
        <v>45848</v>
      </c>
      <c r="G1298">
        <v>202604</v>
      </c>
      <c r="H1298" t="s">
        <v>75</v>
      </c>
      <c r="I1298" t="s">
        <v>76</v>
      </c>
      <c r="J1298" t="s">
        <v>77</v>
      </c>
      <c r="K1298" t="s">
        <v>78</v>
      </c>
      <c r="L1298" t="s">
        <v>221</v>
      </c>
      <c r="M1298" t="s">
        <v>222</v>
      </c>
      <c r="N1298" t="s">
        <v>223</v>
      </c>
      <c r="O1298" t="s">
        <v>82</v>
      </c>
      <c r="P1298" t="str">
        <f>"4170047946                    "</f>
        <v xml:space="preserve">4170047946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63.56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1.3</v>
      </c>
      <c r="BK1298">
        <v>3</v>
      </c>
      <c r="BL1298">
        <v>200.24</v>
      </c>
      <c r="BM1298">
        <v>30.04</v>
      </c>
      <c r="BN1298">
        <v>230.28</v>
      </c>
      <c r="BO1298">
        <v>230.28</v>
      </c>
      <c r="BQ1298" t="s">
        <v>224</v>
      </c>
      <c r="BR1298" t="s">
        <v>84</v>
      </c>
      <c r="BS1298" s="3">
        <v>45849</v>
      </c>
      <c r="BT1298" s="4">
        <v>0.37638888888888888</v>
      </c>
      <c r="BU1298" t="s">
        <v>1494</v>
      </c>
      <c r="BV1298" t="s">
        <v>98</v>
      </c>
      <c r="BY1298">
        <v>6480</v>
      </c>
      <c r="BZ1298" t="s">
        <v>89</v>
      </c>
      <c r="CC1298" t="s">
        <v>222</v>
      </c>
      <c r="CD1298">
        <v>2740</v>
      </c>
      <c r="CE1298" t="s">
        <v>266</v>
      </c>
      <c r="CF1298" s="3">
        <v>45852</v>
      </c>
      <c r="CI1298">
        <v>1</v>
      </c>
      <c r="CJ1298">
        <v>1</v>
      </c>
      <c r="CK1298">
        <v>23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"080066475712"</f>
        <v>080066475712</v>
      </c>
      <c r="F1299" s="3">
        <v>45848</v>
      </c>
      <c r="G1299">
        <v>202604</v>
      </c>
      <c r="H1299" t="s">
        <v>75</v>
      </c>
      <c r="I1299" t="s">
        <v>76</v>
      </c>
      <c r="J1299" t="s">
        <v>77</v>
      </c>
      <c r="K1299" t="s">
        <v>78</v>
      </c>
      <c r="L1299" t="s">
        <v>92</v>
      </c>
      <c r="M1299" t="s">
        <v>93</v>
      </c>
      <c r="N1299" t="s">
        <v>723</v>
      </c>
      <c r="O1299" t="s">
        <v>82</v>
      </c>
      <c r="P1299" t="str">
        <f>"4170047775                    "</f>
        <v xml:space="preserve">4170047775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79.05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7</v>
      </c>
      <c r="BJ1299">
        <v>3.4</v>
      </c>
      <c r="BK1299">
        <v>7</v>
      </c>
      <c r="BL1299">
        <v>249.05</v>
      </c>
      <c r="BM1299">
        <v>37.36</v>
      </c>
      <c r="BN1299">
        <v>286.41000000000003</v>
      </c>
      <c r="BO1299">
        <v>286.41000000000003</v>
      </c>
      <c r="BQ1299" t="s">
        <v>724</v>
      </c>
      <c r="BR1299" t="s">
        <v>84</v>
      </c>
      <c r="BS1299" s="3">
        <v>45849</v>
      </c>
      <c r="BT1299" s="4">
        <v>0.46041666666666664</v>
      </c>
      <c r="BU1299" t="s">
        <v>2006</v>
      </c>
      <c r="BV1299" t="s">
        <v>86</v>
      </c>
      <c r="BW1299" t="s">
        <v>219</v>
      </c>
      <c r="BX1299" t="s">
        <v>220</v>
      </c>
      <c r="BY1299">
        <v>16965</v>
      </c>
      <c r="BZ1299" t="s">
        <v>89</v>
      </c>
      <c r="CA1299" t="s">
        <v>166</v>
      </c>
      <c r="CC1299" t="s">
        <v>93</v>
      </c>
      <c r="CD1299">
        <v>4000</v>
      </c>
      <c r="CE1299" t="s">
        <v>117</v>
      </c>
      <c r="CF1299" s="3">
        <v>45849</v>
      </c>
      <c r="CI1299">
        <v>1</v>
      </c>
      <c r="CJ1299">
        <v>1</v>
      </c>
      <c r="CK1299">
        <v>21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"080066475733"</f>
        <v>080066475733</v>
      </c>
      <c r="F1300" s="3">
        <v>45848</v>
      </c>
      <c r="G1300">
        <v>202604</v>
      </c>
      <c r="H1300" t="s">
        <v>75</v>
      </c>
      <c r="I1300" t="s">
        <v>76</v>
      </c>
      <c r="J1300" t="s">
        <v>77</v>
      </c>
      <c r="K1300" t="s">
        <v>78</v>
      </c>
      <c r="L1300" t="s">
        <v>1332</v>
      </c>
      <c r="M1300" t="s">
        <v>1333</v>
      </c>
      <c r="N1300" t="s">
        <v>1334</v>
      </c>
      <c r="O1300" t="s">
        <v>82</v>
      </c>
      <c r="P1300" t="str">
        <f>"4170047882                    "</f>
        <v xml:space="preserve">4170047882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43.78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0.3</v>
      </c>
      <c r="BK1300">
        <v>1</v>
      </c>
      <c r="BL1300">
        <v>137.94</v>
      </c>
      <c r="BM1300">
        <v>20.69</v>
      </c>
      <c r="BN1300">
        <v>158.63</v>
      </c>
      <c r="BO1300">
        <v>158.63</v>
      </c>
      <c r="BQ1300" t="s">
        <v>1335</v>
      </c>
      <c r="BR1300" t="s">
        <v>84</v>
      </c>
      <c r="BS1300" s="3">
        <v>45849</v>
      </c>
      <c r="BT1300" s="4">
        <v>0.43194444444444446</v>
      </c>
      <c r="BU1300" t="s">
        <v>2007</v>
      </c>
      <c r="BV1300" t="s">
        <v>98</v>
      </c>
      <c r="BY1300">
        <v>1350</v>
      </c>
      <c r="BZ1300" t="s">
        <v>89</v>
      </c>
      <c r="CA1300" t="s">
        <v>1337</v>
      </c>
      <c r="CC1300" t="s">
        <v>1333</v>
      </c>
      <c r="CD1300">
        <v>2571</v>
      </c>
      <c r="CE1300" t="s">
        <v>1868</v>
      </c>
      <c r="CF1300" s="3">
        <v>45852</v>
      </c>
      <c r="CI1300">
        <v>1</v>
      </c>
      <c r="CJ1300">
        <v>1</v>
      </c>
      <c r="CK1300">
        <v>23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"080066475767"</f>
        <v>080066475767</v>
      </c>
      <c r="F1301" s="3">
        <v>45848</v>
      </c>
      <c r="G1301">
        <v>202604</v>
      </c>
      <c r="H1301" t="s">
        <v>75</v>
      </c>
      <c r="I1301" t="s">
        <v>76</v>
      </c>
      <c r="J1301" t="s">
        <v>77</v>
      </c>
      <c r="K1301" t="s">
        <v>78</v>
      </c>
      <c r="L1301" t="s">
        <v>79</v>
      </c>
      <c r="M1301" t="s">
        <v>80</v>
      </c>
      <c r="N1301" t="s">
        <v>141</v>
      </c>
      <c r="O1301" t="s">
        <v>82</v>
      </c>
      <c r="P1301" t="str">
        <f>"4170047975                    "</f>
        <v xml:space="preserve">4170047975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22.6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0.3</v>
      </c>
      <c r="BK1301">
        <v>1</v>
      </c>
      <c r="BL1301">
        <v>71.2</v>
      </c>
      <c r="BM1301">
        <v>10.68</v>
      </c>
      <c r="BN1301">
        <v>81.88</v>
      </c>
      <c r="BO1301">
        <v>81.88</v>
      </c>
      <c r="BQ1301" t="s">
        <v>142</v>
      </c>
      <c r="BR1301" t="s">
        <v>84</v>
      </c>
      <c r="BS1301" s="3">
        <v>45849</v>
      </c>
      <c r="BT1301" s="4">
        <v>0.39861111111111114</v>
      </c>
      <c r="BU1301" t="s">
        <v>143</v>
      </c>
      <c r="BV1301" t="s">
        <v>98</v>
      </c>
      <c r="BY1301">
        <v>1350</v>
      </c>
      <c r="BZ1301" t="s">
        <v>89</v>
      </c>
      <c r="CA1301" t="s">
        <v>144</v>
      </c>
      <c r="CC1301" t="s">
        <v>80</v>
      </c>
      <c r="CD1301">
        <v>7441</v>
      </c>
      <c r="CE1301" t="s">
        <v>1868</v>
      </c>
      <c r="CF1301" s="3">
        <v>45852</v>
      </c>
      <c r="CI1301">
        <v>1</v>
      </c>
      <c r="CJ1301">
        <v>1</v>
      </c>
      <c r="CK1301">
        <v>21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"080066475810"</f>
        <v>080066475810</v>
      </c>
      <c r="F1302" s="3">
        <v>45848</v>
      </c>
      <c r="G1302">
        <v>202604</v>
      </c>
      <c r="H1302" t="s">
        <v>75</v>
      </c>
      <c r="I1302" t="s">
        <v>76</v>
      </c>
      <c r="J1302" t="s">
        <v>77</v>
      </c>
      <c r="K1302" t="s">
        <v>78</v>
      </c>
      <c r="L1302" t="s">
        <v>135</v>
      </c>
      <c r="M1302" t="s">
        <v>136</v>
      </c>
      <c r="N1302" t="s">
        <v>416</v>
      </c>
      <c r="O1302" t="s">
        <v>82</v>
      </c>
      <c r="P1302" t="str">
        <f>"4170047851                    "</f>
        <v xml:space="preserve">4170047851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22.6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0.3</v>
      </c>
      <c r="BK1302">
        <v>1</v>
      </c>
      <c r="BL1302">
        <v>71.2</v>
      </c>
      <c r="BM1302">
        <v>10.68</v>
      </c>
      <c r="BN1302">
        <v>81.88</v>
      </c>
      <c r="BO1302">
        <v>81.88</v>
      </c>
      <c r="BQ1302" t="s">
        <v>417</v>
      </c>
      <c r="BR1302" t="s">
        <v>84</v>
      </c>
      <c r="BS1302" s="3">
        <v>45849</v>
      </c>
      <c r="BT1302" s="4">
        <v>0.41666666666666669</v>
      </c>
      <c r="BU1302" t="s">
        <v>650</v>
      </c>
      <c r="BV1302" t="s">
        <v>98</v>
      </c>
      <c r="BY1302">
        <v>1350</v>
      </c>
      <c r="BZ1302" t="s">
        <v>89</v>
      </c>
      <c r="CC1302" t="s">
        <v>136</v>
      </c>
      <c r="CD1302">
        <v>3201</v>
      </c>
      <c r="CE1302" t="s">
        <v>1868</v>
      </c>
      <c r="CF1302" s="3">
        <v>45850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"080066475887"</f>
        <v>080066475887</v>
      </c>
      <c r="F1303" s="3">
        <v>45848</v>
      </c>
      <c r="G1303">
        <v>202604</v>
      </c>
      <c r="H1303" t="s">
        <v>75</v>
      </c>
      <c r="I1303" t="s">
        <v>76</v>
      </c>
      <c r="J1303" t="s">
        <v>77</v>
      </c>
      <c r="K1303" t="s">
        <v>78</v>
      </c>
      <c r="L1303" t="s">
        <v>92</v>
      </c>
      <c r="M1303" t="s">
        <v>93</v>
      </c>
      <c r="N1303" t="s">
        <v>1090</v>
      </c>
      <c r="O1303" t="s">
        <v>82</v>
      </c>
      <c r="P1303" t="str">
        <f>"4170047987                    "</f>
        <v xml:space="preserve">4170047987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22.6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0.3</v>
      </c>
      <c r="BK1303">
        <v>1</v>
      </c>
      <c r="BL1303">
        <v>71.2</v>
      </c>
      <c r="BM1303">
        <v>10.68</v>
      </c>
      <c r="BN1303">
        <v>81.88</v>
      </c>
      <c r="BO1303">
        <v>81.88</v>
      </c>
      <c r="BQ1303" t="s">
        <v>1091</v>
      </c>
      <c r="BR1303" t="s">
        <v>84</v>
      </c>
      <c r="BS1303" s="3">
        <v>45849</v>
      </c>
      <c r="BT1303" s="4">
        <v>0.37152777777777779</v>
      </c>
      <c r="BU1303" t="s">
        <v>1329</v>
      </c>
      <c r="BV1303" t="s">
        <v>98</v>
      </c>
      <c r="BY1303">
        <v>1350</v>
      </c>
      <c r="BZ1303" t="s">
        <v>89</v>
      </c>
      <c r="CA1303" t="s">
        <v>491</v>
      </c>
      <c r="CC1303" t="s">
        <v>93</v>
      </c>
      <c r="CD1303">
        <v>4001</v>
      </c>
      <c r="CE1303" t="s">
        <v>1868</v>
      </c>
      <c r="CF1303" s="3">
        <v>45850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"080066475899"</f>
        <v>080066475899</v>
      </c>
      <c r="F1304" s="3">
        <v>45848</v>
      </c>
      <c r="G1304">
        <v>202604</v>
      </c>
      <c r="H1304" t="s">
        <v>75</v>
      </c>
      <c r="I1304" t="s">
        <v>76</v>
      </c>
      <c r="J1304" t="s">
        <v>77</v>
      </c>
      <c r="K1304" t="s">
        <v>78</v>
      </c>
      <c r="L1304" t="s">
        <v>221</v>
      </c>
      <c r="M1304" t="s">
        <v>222</v>
      </c>
      <c r="N1304" t="s">
        <v>223</v>
      </c>
      <c r="O1304" t="s">
        <v>82</v>
      </c>
      <c r="P1304" t="str">
        <f>"4170048070                    "</f>
        <v xml:space="preserve">4170048070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43.78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0.3</v>
      </c>
      <c r="BK1304">
        <v>1</v>
      </c>
      <c r="BL1304">
        <v>137.94</v>
      </c>
      <c r="BM1304">
        <v>20.69</v>
      </c>
      <c r="BN1304">
        <v>158.63</v>
      </c>
      <c r="BO1304">
        <v>158.63</v>
      </c>
      <c r="BQ1304" t="s">
        <v>224</v>
      </c>
      <c r="BR1304" t="s">
        <v>84</v>
      </c>
      <c r="BS1304" s="3">
        <v>45849</v>
      </c>
      <c r="BT1304" s="4">
        <v>0.4513888888888889</v>
      </c>
      <c r="BU1304" t="s">
        <v>2008</v>
      </c>
      <c r="BV1304" t="s">
        <v>98</v>
      </c>
      <c r="BY1304">
        <v>1350</v>
      </c>
      <c r="BZ1304" t="s">
        <v>89</v>
      </c>
      <c r="CA1304" t="s">
        <v>522</v>
      </c>
      <c r="CC1304" t="s">
        <v>222</v>
      </c>
      <c r="CD1304">
        <v>2740</v>
      </c>
      <c r="CE1304" t="s">
        <v>1868</v>
      </c>
      <c r="CF1304" s="3">
        <v>45852</v>
      </c>
      <c r="CI1304">
        <v>1</v>
      </c>
      <c r="CJ1304">
        <v>1</v>
      </c>
      <c r="CK1304">
        <v>23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"080066475978"</f>
        <v>080066475978</v>
      </c>
      <c r="F1305" s="3">
        <v>45848</v>
      </c>
      <c r="G1305">
        <v>202604</v>
      </c>
      <c r="H1305" t="s">
        <v>75</v>
      </c>
      <c r="I1305" t="s">
        <v>76</v>
      </c>
      <c r="J1305" t="s">
        <v>77</v>
      </c>
      <c r="K1305" t="s">
        <v>78</v>
      </c>
      <c r="L1305" t="s">
        <v>92</v>
      </c>
      <c r="M1305" t="s">
        <v>93</v>
      </c>
      <c r="N1305" t="s">
        <v>1805</v>
      </c>
      <c r="O1305" t="s">
        <v>82</v>
      </c>
      <c r="P1305" t="str">
        <f>"4170047923                    "</f>
        <v xml:space="preserve">4170047923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22.6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0.3</v>
      </c>
      <c r="BK1305">
        <v>1</v>
      </c>
      <c r="BL1305">
        <v>71.2</v>
      </c>
      <c r="BM1305">
        <v>10.68</v>
      </c>
      <c r="BN1305">
        <v>81.88</v>
      </c>
      <c r="BO1305">
        <v>81.88</v>
      </c>
      <c r="BQ1305" t="s">
        <v>1806</v>
      </c>
      <c r="BR1305" t="s">
        <v>84</v>
      </c>
      <c r="BS1305" s="3">
        <v>45849</v>
      </c>
      <c r="BT1305" s="4">
        <v>0.35138888888888886</v>
      </c>
      <c r="BU1305" t="s">
        <v>2009</v>
      </c>
      <c r="BV1305" t="s">
        <v>98</v>
      </c>
      <c r="BY1305">
        <v>1350</v>
      </c>
      <c r="BZ1305" t="s">
        <v>89</v>
      </c>
      <c r="CA1305" t="s">
        <v>100</v>
      </c>
      <c r="CC1305" t="s">
        <v>93</v>
      </c>
      <c r="CD1305">
        <v>4060</v>
      </c>
      <c r="CE1305" t="s">
        <v>1868</v>
      </c>
      <c r="CF1305" s="3">
        <v>45853</v>
      </c>
      <c r="CI1305">
        <v>1</v>
      </c>
      <c r="CJ1305">
        <v>1</v>
      </c>
      <c r="CK1305">
        <v>21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"080066475992"</f>
        <v>080066475992</v>
      </c>
      <c r="F1306" s="3">
        <v>45848</v>
      </c>
      <c r="G1306">
        <v>202604</v>
      </c>
      <c r="H1306" t="s">
        <v>75</v>
      </c>
      <c r="I1306" t="s">
        <v>76</v>
      </c>
      <c r="J1306" t="s">
        <v>77</v>
      </c>
      <c r="K1306" t="s">
        <v>78</v>
      </c>
      <c r="L1306" t="s">
        <v>168</v>
      </c>
      <c r="M1306" t="s">
        <v>169</v>
      </c>
      <c r="N1306" t="s">
        <v>202</v>
      </c>
      <c r="O1306" t="s">
        <v>82</v>
      </c>
      <c r="P1306" t="str">
        <f>"4170048020                    "</f>
        <v xml:space="preserve">4170048020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22.6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71.2</v>
      </c>
      <c r="BM1306">
        <v>10.68</v>
      </c>
      <c r="BN1306">
        <v>81.88</v>
      </c>
      <c r="BO1306">
        <v>81.88</v>
      </c>
      <c r="BQ1306" t="s">
        <v>203</v>
      </c>
      <c r="BR1306" t="s">
        <v>84</v>
      </c>
      <c r="BS1306" s="3">
        <v>45849</v>
      </c>
      <c r="BT1306" s="4">
        <v>0.40138888888888891</v>
      </c>
      <c r="BU1306" t="s">
        <v>1127</v>
      </c>
      <c r="BV1306" t="s">
        <v>98</v>
      </c>
      <c r="BY1306">
        <v>1200</v>
      </c>
      <c r="BZ1306" t="s">
        <v>89</v>
      </c>
      <c r="CA1306" t="s">
        <v>205</v>
      </c>
      <c r="CC1306" t="s">
        <v>169</v>
      </c>
      <c r="CD1306">
        <v>6001</v>
      </c>
      <c r="CE1306" t="s">
        <v>214</v>
      </c>
      <c r="CF1306" s="3">
        <v>45849</v>
      </c>
      <c r="CI1306">
        <v>1</v>
      </c>
      <c r="CJ1306">
        <v>1</v>
      </c>
      <c r="CK1306">
        <v>21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"080066476014"</f>
        <v>080066476014</v>
      </c>
      <c r="F1307" s="3">
        <v>45848</v>
      </c>
      <c r="G1307">
        <v>202604</v>
      </c>
      <c r="H1307" t="s">
        <v>75</v>
      </c>
      <c r="I1307" t="s">
        <v>76</v>
      </c>
      <c r="J1307" t="s">
        <v>77</v>
      </c>
      <c r="K1307" t="s">
        <v>78</v>
      </c>
      <c r="L1307" t="s">
        <v>92</v>
      </c>
      <c r="M1307" t="s">
        <v>93</v>
      </c>
      <c r="N1307" t="s">
        <v>94</v>
      </c>
      <c r="O1307" t="s">
        <v>82</v>
      </c>
      <c r="P1307" t="str">
        <f>"4170047881                    "</f>
        <v xml:space="preserve">4170047881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22.6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71.2</v>
      </c>
      <c r="BM1307">
        <v>10.68</v>
      </c>
      <c r="BN1307">
        <v>81.88</v>
      </c>
      <c r="BO1307">
        <v>81.88</v>
      </c>
      <c r="BQ1307" t="s">
        <v>96</v>
      </c>
      <c r="BR1307" t="s">
        <v>84</v>
      </c>
      <c r="BS1307" s="3">
        <v>45849</v>
      </c>
      <c r="BT1307" s="4">
        <v>0.37291666666666667</v>
      </c>
      <c r="BU1307" t="s">
        <v>97</v>
      </c>
      <c r="BV1307" t="s">
        <v>98</v>
      </c>
      <c r="BY1307">
        <v>1200</v>
      </c>
      <c r="BZ1307" t="s">
        <v>89</v>
      </c>
      <c r="CA1307" t="s">
        <v>100</v>
      </c>
      <c r="CC1307" t="s">
        <v>93</v>
      </c>
      <c r="CD1307">
        <v>4052</v>
      </c>
      <c r="CE1307" t="s">
        <v>239</v>
      </c>
      <c r="CF1307" s="3">
        <v>45849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"080066476034"</f>
        <v>080066476034</v>
      </c>
      <c r="F1308" s="3">
        <v>45848</v>
      </c>
      <c r="G1308">
        <v>202604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701</v>
      </c>
      <c r="O1308" t="s">
        <v>82</v>
      </c>
      <c r="P1308" t="str">
        <f>"4170047983                    "</f>
        <v xml:space="preserve">4170047983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17.649999999999999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55.61</v>
      </c>
      <c r="BM1308">
        <v>8.34</v>
      </c>
      <c r="BN1308">
        <v>63.95</v>
      </c>
      <c r="BO1308">
        <v>63.95</v>
      </c>
      <c r="BQ1308" t="s">
        <v>702</v>
      </c>
      <c r="BR1308" t="s">
        <v>84</v>
      </c>
      <c r="BS1308" s="3">
        <v>45849</v>
      </c>
      <c r="BT1308" s="4">
        <v>0.39583333333333331</v>
      </c>
      <c r="BU1308" t="s">
        <v>703</v>
      </c>
      <c r="BV1308" t="s">
        <v>98</v>
      </c>
      <c r="BY1308">
        <v>1200</v>
      </c>
      <c r="BZ1308" t="s">
        <v>89</v>
      </c>
      <c r="CA1308" t="s">
        <v>617</v>
      </c>
      <c r="CC1308" t="s">
        <v>76</v>
      </c>
      <c r="CD1308">
        <v>1645</v>
      </c>
      <c r="CE1308" t="s">
        <v>2010</v>
      </c>
      <c r="CF1308" s="3">
        <v>45849</v>
      </c>
      <c r="CI1308">
        <v>1</v>
      </c>
      <c r="CJ1308">
        <v>1</v>
      </c>
      <c r="CK1308">
        <v>22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"R080066426762"</f>
        <v>R080066426762</v>
      </c>
      <c r="F1309" s="3">
        <v>45848</v>
      </c>
      <c r="G1309">
        <v>202604</v>
      </c>
      <c r="H1309" t="s">
        <v>240</v>
      </c>
      <c r="I1309" t="s">
        <v>241</v>
      </c>
      <c r="J1309" t="s">
        <v>568</v>
      </c>
      <c r="K1309" t="s">
        <v>78</v>
      </c>
      <c r="L1309" t="s">
        <v>452</v>
      </c>
      <c r="M1309" t="s">
        <v>453</v>
      </c>
      <c r="N1309" t="s">
        <v>2011</v>
      </c>
      <c r="O1309" t="s">
        <v>95</v>
      </c>
      <c r="P1309" t="str">
        <f>"4170047461                    "</f>
        <v xml:space="preserve">4170047461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33.72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112.11</v>
      </c>
      <c r="BM1309">
        <v>16.82</v>
      </c>
      <c r="BN1309">
        <v>128.93</v>
      </c>
      <c r="BO1309">
        <v>128.93</v>
      </c>
      <c r="BQ1309" s="5" t="s">
        <v>2012</v>
      </c>
      <c r="BR1309" t="s">
        <v>569</v>
      </c>
      <c r="BS1309" s="3">
        <v>45853</v>
      </c>
      <c r="BT1309" s="4">
        <v>0.40972222222222221</v>
      </c>
      <c r="BU1309" t="s">
        <v>2013</v>
      </c>
      <c r="BV1309" t="s">
        <v>86</v>
      </c>
      <c r="BY1309">
        <v>1200</v>
      </c>
      <c r="BZ1309" t="s">
        <v>99</v>
      </c>
      <c r="CA1309" t="s">
        <v>522</v>
      </c>
      <c r="CC1309" t="s">
        <v>453</v>
      </c>
      <c r="CD1309">
        <v>1559</v>
      </c>
      <c r="CE1309" t="s">
        <v>239</v>
      </c>
      <c r="CF1309" s="3">
        <v>45855</v>
      </c>
      <c r="CI1309">
        <v>1</v>
      </c>
      <c r="CJ1309">
        <v>3</v>
      </c>
      <c r="CK1309">
        <v>42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"080066476067"</f>
        <v>080066476067</v>
      </c>
      <c r="F1310" s="3">
        <v>45848</v>
      </c>
      <c r="G1310">
        <v>202604</v>
      </c>
      <c r="H1310" t="s">
        <v>75</v>
      </c>
      <c r="I1310" t="s">
        <v>76</v>
      </c>
      <c r="J1310" t="s">
        <v>77</v>
      </c>
      <c r="K1310" t="s">
        <v>78</v>
      </c>
      <c r="L1310" t="s">
        <v>554</v>
      </c>
      <c r="M1310" t="s">
        <v>555</v>
      </c>
      <c r="N1310" t="s">
        <v>556</v>
      </c>
      <c r="O1310" t="s">
        <v>82</v>
      </c>
      <c r="P1310" t="str">
        <f>"4170047863                    "</f>
        <v xml:space="preserve">4170047863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22.6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71.2</v>
      </c>
      <c r="BM1310">
        <v>10.68</v>
      </c>
      <c r="BN1310">
        <v>81.88</v>
      </c>
      <c r="BO1310">
        <v>81.88</v>
      </c>
      <c r="BQ1310" t="s">
        <v>557</v>
      </c>
      <c r="BR1310" t="s">
        <v>84</v>
      </c>
      <c r="BS1310" s="3">
        <v>45849</v>
      </c>
      <c r="BT1310" s="4">
        <v>0.33611111111111114</v>
      </c>
      <c r="BU1310" t="s">
        <v>1923</v>
      </c>
      <c r="BV1310" t="s">
        <v>98</v>
      </c>
      <c r="BY1310">
        <v>1200</v>
      </c>
      <c r="BZ1310" t="s">
        <v>89</v>
      </c>
      <c r="CA1310" t="s">
        <v>1599</v>
      </c>
      <c r="CC1310" t="s">
        <v>555</v>
      </c>
      <c r="CD1310" s="5" t="s">
        <v>560</v>
      </c>
      <c r="CE1310" t="s">
        <v>121</v>
      </c>
      <c r="CF1310" s="3">
        <v>45849</v>
      </c>
      <c r="CI1310">
        <v>1</v>
      </c>
      <c r="CJ1310">
        <v>1</v>
      </c>
      <c r="CK1310">
        <v>21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"080066476089"</f>
        <v>080066476089</v>
      </c>
      <c r="F1311" s="3">
        <v>45848</v>
      </c>
      <c r="G1311">
        <v>202604</v>
      </c>
      <c r="H1311" t="s">
        <v>75</v>
      </c>
      <c r="I1311" t="s">
        <v>76</v>
      </c>
      <c r="J1311" t="s">
        <v>77</v>
      </c>
      <c r="K1311" t="s">
        <v>78</v>
      </c>
      <c r="L1311" t="s">
        <v>295</v>
      </c>
      <c r="M1311" t="s">
        <v>296</v>
      </c>
      <c r="N1311" t="s">
        <v>539</v>
      </c>
      <c r="O1311" t="s">
        <v>82</v>
      </c>
      <c r="P1311" t="str">
        <f>"4170047993                    "</f>
        <v xml:space="preserve">4170047993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17.649999999999999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55.61</v>
      </c>
      <c r="BM1311">
        <v>8.34</v>
      </c>
      <c r="BN1311">
        <v>63.95</v>
      </c>
      <c r="BO1311">
        <v>63.95</v>
      </c>
      <c r="BQ1311" t="s">
        <v>540</v>
      </c>
      <c r="BR1311" t="s">
        <v>84</v>
      </c>
      <c r="BS1311" s="3">
        <v>45849</v>
      </c>
      <c r="BT1311" s="4">
        <v>0.38472222222222224</v>
      </c>
      <c r="BU1311" t="s">
        <v>541</v>
      </c>
      <c r="BV1311" t="s">
        <v>98</v>
      </c>
      <c r="BY1311">
        <v>1200</v>
      </c>
      <c r="BZ1311" t="s">
        <v>89</v>
      </c>
      <c r="CA1311" t="s">
        <v>300</v>
      </c>
      <c r="CC1311" t="s">
        <v>296</v>
      </c>
      <c r="CD1311">
        <v>1459</v>
      </c>
      <c r="CE1311" t="s">
        <v>121</v>
      </c>
      <c r="CF1311" s="3">
        <v>45850</v>
      </c>
      <c r="CI1311">
        <v>1</v>
      </c>
      <c r="CJ1311">
        <v>1</v>
      </c>
      <c r="CK1311">
        <v>22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"080066476127"</f>
        <v>080066476127</v>
      </c>
      <c r="F1312" s="3">
        <v>45848</v>
      </c>
      <c r="G1312">
        <v>202604</v>
      </c>
      <c r="H1312" t="s">
        <v>75</v>
      </c>
      <c r="I1312" t="s">
        <v>76</v>
      </c>
      <c r="J1312" t="s">
        <v>77</v>
      </c>
      <c r="K1312" t="s">
        <v>78</v>
      </c>
      <c r="L1312" t="s">
        <v>92</v>
      </c>
      <c r="M1312" t="s">
        <v>93</v>
      </c>
      <c r="N1312" t="s">
        <v>94</v>
      </c>
      <c r="O1312" t="s">
        <v>82</v>
      </c>
      <c r="P1312" t="str">
        <f>"4170047990                    "</f>
        <v xml:space="preserve">4170047990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22.6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71.2</v>
      </c>
      <c r="BM1312">
        <v>10.68</v>
      </c>
      <c r="BN1312">
        <v>81.88</v>
      </c>
      <c r="BO1312">
        <v>81.88</v>
      </c>
      <c r="BQ1312" t="s">
        <v>96</v>
      </c>
      <c r="BR1312" t="s">
        <v>84</v>
      </c>
      <c r="BS1312" s="3">
        <v>45849</v>
      </c>
      <c r="BT1312" s="4">
        <v>0.37291666666666667</v>
      </c>
      <c r="BU1312" t="s">
        <v>97</v>
      </c>
      <c r="BV1312" t="s">
        <v>98</v>
      </c>
      <c r="BY1312">
        <v>1200</v>
      </c>
      <c r="BZ1312" t="s">
        <v>89</v>
      </c>
      <c r="CA1312" t="s">
        <v>100</v>
      </c>
      <c r="CC1312" t="s">
        <v>93</v>
      </c>
      <c r="CD1312">
        <v>4052</v>
      </c>
      <c r="CE1312" t="s">
        <v>121</v>
      </c>
      <c r="CF1312" s="3">
        <v>45849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"080066476151"</f>
        <v>080066476151</v>
      </c>
      <c r="F1313" s="3">
        <v>45848</v>
      </c>
      <c r="G1313">
        <v>202604</v>
      </c>
      <c r="H1313" t="s">
        <v>75</v>
      </c>
      <c r="I1313" t="s">
        <v>76</v>
      </c>
      <c r="J1313" t="s">
        <v>77</v>
      </c>
      <c r="K1313" t="s">
        <v>78</v>
      </c>
      <c r="L1313" t="s">
        <v>704</v>
      </c>
      <c r="M1313" t="s">
        <v>705</v>
      </c>
      <c r="N1313" t="s">
        <v>848</v>
      </c>
      <c r="O1313" t="s">
        <v>82</v>
      </c>
      <c r="P1313" t="str">
        <f>"4170047989                    "</f>
        <v xml:space="preserve">4170047989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43.78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137.94</v>
      </c>
      <c r="BM1313">
        <v>20.69</v>
      </c>
      <c r="BN1313">
        <v>158.63</v>
      </c>
      <c r="BO1313">
        <v>158.63</v>
      </c>
      <c r="BQ1313" t="s">
        <v>849</v>
      </c>
      <c r="BR1313" t="s">
        <v>84</v>
      </c>
      <c r="BS1313" s="3">
        <v>45849</v>
      </c>
      <c r="BT1313" s="4">
        <v>0.51458333333333328</v>
      </c>
      <c r="BU1313" t="s">
        <v>1664</v>
      </c>
      <c r="BV1313" t="s">
        <v>98</v>
      </c>
      <c r="BY1313">
        <v>1200</v>
      </c>
      <c r="BZ1313" t="s">
        <v>89</v>
      </c>
      <c r="CA1313" t="s">
        <v>1665</v>
      </c>
      <c r="CC1313" t="s">
        <v>705</v>
      </c>
      <c r="CD1313">
        <v>6850</v>
      </c>
      <c r="CE1313" t="s">
        <v>258</v>
      </c>
      <c r="CF1313" s="3">
        <v>45852</v>
      </c>
      <c r="CI1313">
        <v>2</v>
      </c>
      <c r="CJ1313">
        <v>1</v>
      </c>
      <c r="CK1313">
        <v>23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"080066476175"</f>
        <v>080066476175</v>
      </c>
      <c r="F1314" s="3">
        <v>45848</v>
      </c>
      <c r="G1314">
        <v>202604</v>
      </c>
      <c r="H1314" t="s">
        <v>75</v>
      </c>
      <c r="I1314" t="s">
        <v>76</v>
      </c>
      <c r="J1314" t="s">
        <v>77</v>
      </c>
      <c r="K1314" t="s">
        <v>78</v>
      </c>
      <c r="L1314" t="s">
        <v>329</v>
      </c>
      <c r="M1314" t="s">
        <v>330</v>
      </c>
      <c r="N1314" t="s">
        <v>331</v>
      </c>
      <c r="O1314" t="s">
        <v>82</v>
      </c>
      <c r="P1314" t="str">
        <f>"4170047954                    "</f>
        <v xml:space="preserve">4170047954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43.78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137.94</v>
      </c>
      <c r="BM1314">
        <v>20.69</v>
      </c>
      <c r="BN1314">
        <v>158.63</v>
      </c>
      <c r="BO1314">
        <v>158.63</v>
      </c>
      <c r="BQ1314" t="s">
        <v>332</v>
      </c>
      <c r="BR1314" t="s">
        <v>84</v>
      </c>
      <c r="BS1314" s="3">
        <v>45849</v>
      </c>
      <c r="BT1314" s="4">
        <v>0.54166666666666663</v>
      </c>
      <c r="BU1314" t="s">
        <v>333</v>
      </c>
      <c r="BV1314" t="s">
        <v>98</v>
      </c>
      <c r="BY1314">
        <v>1200</v>
      </c>
      <c r="BZ1314" t="s">
        <v>89</v>
      </c>
      <c r="CA1314" t="s">
        <v>1153</v>
      </c>
      <c r="CC1314" t="s">
        <v>330</v>
      </c>
      <c r="CD1314">
        <v>6300</v>
      </c>
      <c r="CE1314" t="s">
        <v>214</v>
      </c>
      <c r="CF1314" s="3">
        <v>45849</v>
      </c>
      <c r="CI1314">
        <v>2</v>
      </c>
      <c r="CJ1314">
        <v>1</v>
      </c>
      <c r="CK1314">
        <v>23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"080066476206"</f>
        <v>080066476206</v>
      </c>
      <c r="F1315" s="3">
        <v>45848</v>
      </c>
      <c r="G1315">
        <v>202604</v>
      </c>
      <c r="H1315" t="s">
        <v>75</v>
      </c>
      <c r="I1315" t="s">
        <v>76</v>
      </c>
      <c r="J1315" t="s">
        <v>77</v>
      </c>
      <c r="K1315" t="s">
        <v>78</v>
      </c>
      <c r="L1315" t="s">
        <v>1462</v>
      </c>
      <c r="M1315" t="s">
        <v>1463</v>
      </c>
      <c r="N1315" t="s">
        <v>1464</v>
      </c>
      <c r="O1315" t="s">
        <v>82</v>
      </c>
      <c r="P1315" t="str">
        <f>"4170047911                    "</f>
        <v xml:space="preserve">4170047911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43.78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137.94</v>
      </c>
      <c r="BM1315">
        <v>20.69</v>
      </c>
      <c r="BN1315">
        <v>158.63</v>
      </c>
      <c r="BO1315">
        <v>158.63</v>
      </c>
      <c r="BQ1315" t="s">
        <v>1465</v>
      </c>
      <c r="BR1315" t="s">
        <v>84</v>
      </c>
      <c r="BS1315" s="3">
        <v>45849</v>
      </c>
      <c r="BT1315" s="4">
        <v>0.7319444444444444</v>
      </c>
      <c r="BU1315" t="s">
        <v>2014</v>
      </c>
      <c r="BV1315" t="s">
        <v>86</v>
      </c>
      <c r="BY1315">
        <v>1200</v>
      </c>
      <c r="BZ1315" t="s">
        <v>89</v>
      </c>
      <c r="CA1315" t="s">
        <v>2015</v>
      </c>
      <c r="CC1315" t="s">
        <v>1463</v>
      </c>
      <c r="CD1315">
        <v>3290</v>
      </c>
      <c r="CE1315" t="s">
        <v>239</v>
      </c>
      <c r="CF1315" s="3">
        <v>45850</v>
      </c>
      <c r="CI1315">
        <v>1</v>
      </c>
      <c r="CJ1315">
        <v>1</v>
      </c>
      <c r="CK1315">
        <v>23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"080066476218"</f>
        <v>080066476218</v>
      </c>
      <c r="F1316" s="3">
        <v>45848</v>
      </c>
      <c r="G1316">
        <v>202604</v>
      </c>
      <c r="H1316" t="s">
        <v>75</v>
      </c>
      <c r="I1316" t="s">
        <v>76</v>
      </c>
      <c r="J1316" t="s">
        <v>77</v>
      </c>
      <c r="K1316" t="s">
        <v>78</v>
      </c>
      <c r="L1316" t="s">
        <v>92</v>
      </c>
      <c r="M1316" t="s">
        <v>93</v>
      </c>
      <c r="N1316" t="s">
        <v>479</v>
      </c>
      <c r="O1316" t="s">
        <v>82</v>
      </c>
      <c r="P1316" t="str">
        <f>"4170047956                    "</f>
        <v xml:space="preserve">4170047956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22.6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0.3</v>
      </c>
      <c r="BK1316">
        <v>1</v>
      </c>
      <c r="BL1316">
        <v>71.2</v>
      </c>
      <c r="BM1316">
        <v>10.68</v>
      </c>
      <c r="BN1316">
        <v>81.88</v>
      </c>
      <c r="BO1316">
        <v>81.88</v>
      </c>
      <c r="BQ1316" t="s">
        <v>480</v>
      </c>
      <c r="BR1316" t="s">
        <v>84</v>
      </c>
      <c r="BS1316" s="3">
        <v>45849</v>
      </c>
      <c r="BT1316" s="4">
        <v>0.40486111111111112</v>
      </c>
      <c r="BU1316" t="s">
        <v>2016</v>
      </c>
      <c r="BV1316" t="s">
        <v>98</v>
      </c>
      <c r="BY1316">
        <v>1350</v>
      </c>
      <c r="BZ1316" t="s">
        <v>89</v>
      </c>
      <c r="CA1316" t="s">
        <v>1428</v>
      </c>
      <c r="CC1316" t="s">
        <v>93</v>
      </c>
      <c r="CD1316">
        <v>4052</v>
      </c>
      <c r="CE1316" t="s">
        <v>1868</v>
      </c>
      <c r="CF1316" s="3">
        <v>45849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"080066476219"</f>
        <v>080066476219</v>
      </c>
      <c r="F1317" s="3">
        <v>45848</v>
      </c>
      <c r="G1317">
        <v>202604</v>
      </c>
      <c r="H1317" t="s">
        <v>75</v>
      </c>
      <c r="I1317" t="s">
        <v>76</v>
      </c>
      <c r="J1317" t="s">
        <v>77</v>
      </c>
      <c r="K1317" t="s">
        <v>78</v>
      </c>
      <c r="L1317" t="s">
        <v>135</v>
      </c>
      <c r="M1317" t="s">
        <v>136</v>
      </c>
      <c r="N1317" t="s">
        <v>379</v>
      </c>
      <c r="O1317" t="s">
        <v>82</v>
      </c>
      <c r="P1317" t="str">
        <f>"4170047902                    "</f>
        <v xml:space="preserve">4170047902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22.6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71.2</v>
      </c>
      <c r="BM1317">
        <v>10.68</v>
      </c>
      <c r="BN1317">
        <v>81.88</v>
      </c>
      <c r="BO1317">
        <v>81.88</v>
      </c>
      <c r="BQ1317" t="s">
        <v>380</v>
      </c>
      <c r="BR1317" t="s">
        <v>84</v>
      </c>
      <c r="BS1317" s="3">
        <v>45849</v>
      </c>
      <c r="BT1317" s="4">
        <v>0.48958333333333331</v>
      </c>
      <c r="BU1317" t="s">
        <v>1701</v>
      </c>
      <c r="BV1317" t="s">
        <v>98</v>
      </c>
      <c r="BY1317">
        <v>1200</v>
      </c>
      <c r="BZ1317" t="s">
        <v>89</v>
      </c>
      <c r="CA1317" t="s">
        <v>382</v>
      </c>
      <c r="CC1317" t="s">
        <v>136</v>
      </c>
      <c r="CD1317">
        <v>3212</v>
      </c>
      <c r="CE1317" t="s">
        <v>239</v>
      </c>
      <c r="CF1317" s="3">
        <v>45849</v>
      </c>
      <c r="CI1317">
        <v>2</v>
      </c>
      <c r="CJ1317">
        <v>1</v>
      </c>
      <c r="CK1317">
        <v>21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"080066476236"</f>
        <v>080066476236</v>
      </c>
      <c r="F1318" s="3">
        <v>45848</v>
      </c>
      <c r="G1318">
        <v>202604</v>
      </c>
      <c r="H1318" t="s">
        <v>75</v>
      </c>
      <c r="I1318" t="s">
        <v>76</v>
      </c>
      <c r="J1318" t="s">
        <v>77</v>
      </c>
      <c r="K1318" t="s">
        <v>78</v>
      </c>
      <c r="L1318" t="s">
        <v>174</v>
      </c>
      <c r="M1318" t="s">
        <v>175</v>
      </c>
      <c r="N1318" t="s">
        <v>659</v>
      </c>
      <c r="O1318" t="s">
        <v>82</v>
      </c>
      <c r="P1318" t="str">
        <f>"4170047741                    "</f>
        <v xml:space="preserve">4170047741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22.6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</v>
      </c>
      <c r="BJ1318">
        <v>1.7</v>
      </c>
      <c r="BK1318">
        <v>2</v>
      </c>
      <c r="BL1318">
        <v>71.2</v>
      </c>
      <c r="BM1318">
        <v>10.68</v>
      </c>
      <c r="BN1318">
        <v>81.88</v>
      </c>
      <c r="BO1318">
        <v>81.88</v>
      </c>
      <c r="BQ1318" t="s">
        <v>660</v>
      </c>
      <c r="BR1318" t="s">
        <v>84</v>
      </c>
      <c r="BS1318" s="3">
        <v>45849</v>
      </c>
      <c r="BT1318" s="4">
        <v>0.42222222222222222</v>
      </c>
      <c r="BU1318" t="s">
        <v>661</v>
      </c>
      <c r="BV1318" t="s">
        <v>98</v>
      </c>
      <c r="BY1318">
        <v>8512</v>
      </c>
      <c r="BZ1318" t="s">
        <v>89</v>
      </c>
      <c r="CA1318" t="s">
        <v>173</v>
      </c>
      <c r="CC1318" t="s">
        <v>175</v>
      </c>
      <c r="CD1318">
        <v>6220</v>
      </c>
      <c r="CE1318" t="s">
        <v>117</v>
      </c>
      <c r="CF1318" s="3">
        <v>45849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"080066476246"</f>
        <v>080066476246</v>
      </c>
      <c r="F1319" s="3">
        <v>45848</v>
      </c>
      <c r="G1319">
        <v>202604</v>
      </c>
      <c r="H1319" t="s">
        <v>75</v>
      </c>
      <c r="I1319" t="s">
        <v>76</v>
      </c>
      <c r="J1319" t="s">
        <v>77</v>
      </c>
      <c r="K1319" t="s">
        <v>78</v>
      </c>
      <c r="L1319" t="s">
        <v>122</v>
      </c>
      <c r="M1319" t="s">
        <v>123</v>
      </c>
      <c r="N1319" t="s">
        <v>972</v>
      </c>
      <c r="O1319" t="s">
        <v>82</v>
      </c>
      <c r="P1319" t="str">
        <f>"4170047900                    "</f>
        <v xml:space="preserve">4170047900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22.6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0.3</v>
      </c>
      <c r="BK1319">
        <v>1</v>
      </c>
      <c r="BL1319">
        <v>71.2</v>
      </c>
      <c r="BM1319">
        <v>10.68</v>
      </c>
      <c r="BN1319">
        <v>81.88</v>
      </c>
      <c r="BO1319">
        <v>81.88</v>
      </c>
      <c r="BQ1319" t="s">
        <v>973</v>
      </c>
      <c r="BR1319" t="s">
        <v>84</v>
      </c>
      <c r="BS1319" s="3">
        <v>45849</v>
      </c>
      <c r="BT1319" s="4">
        <v>0.50555555555555554</v>
      </c>
      <c r="BU1319" t="s">
        <v>2017</v>
      </c>
      <c r="BV1319" t="s">
        <v>98</v>
      </c>
      <c r="BY1319">
        <v>1350</v>
      </c>
      <c r="BZ1319" t="s">
        <v>89</v>
      </c>
      <c r="CA1319" t="s">
        <v>166</v>
      </c>
      <c r="CC1319" t="s">
        <v>123</v>
      </c>
      <c r="CD1319">
        <v>3610</v>
      </c>
      <c r="CE1319" t="s">
        <v>1868</v>
      </c>
      <c r="CF1319" s="3">
        <v>45849</v>
      </c>
      <c r="CI1319">
        <v>1</v>
      </c>
      <c r="CJ1319">
        <v>1</v>
      </c>
      <c r="CK1319">
        <v>21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"080066476251"</f>
        <v>080066476251</v>
      </c>
      <c r="F1320" s="3">
        <v>45848</v>
      </c>
      <c r="G1320">
        <v>202604</v>
      </c>
      <c r="H1320" t="s">
        <v>75</v>
      </c>
      <c r="I1320" t="s">
        <v>76</v>
      </c>
      <c r="J1320" t="s">
        <v>77</v>
      </c>
      <c r="K1320" t="s">
        <v>78</v>
      </c>
      <c r="L1320" t="s">
        <v>75</v>
      </c>
      <c r="M1320" t="s">
        <v>76</v>
      </c>
      <c r="N1320" t="s">
        <v>118</v>
      </c>
      <c r="O1320" t="s">
        <v>82</v>
      </c>
      <c r="P1320" t="str">
        <f>"4170047960                    "</f>
        <v xml:space="preserve">4170047960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17.649999999999999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2</v>
      </c>
      <c r="BJ1320">
        <v>3.2</v>
      </c>
      <c r="BK1320">
        <v>4</v>
      </c>
      <c r="BL1320">
        <v>55.61</v>
      </c>
      <c r="BM1320">
        <v>8.34</v>
      </c>
      <c r="BN1320">
        <v>63.95</v>
      </c>
      <c r="BO1320">
        <v>63.95</v>
      </c>
      <c r="BQ1320" t="s">
        <v>119</v>
      </c>
      <c r="BR1320" t="s">
        <v>84</v>
      </c>
      <c r="BS1320" s="3">
        <v>45849</v>
      </c>
      <c r="BT1320" s="4">
        <v>0.32291666666666669</v>
      </c>
      <c r="BU1320" t="s">
        <v>212</v>
      </c>
      <c r="BV1320" t="s">
        <v>98</v>
      </c>
      <c r="BY1320">
        <v>16184</v>
      </c>
      <c r="BZ1320" t="s">
        <v>89</v>
      </c>
      <c r="CA1320" t="s">
        <v>213</v>
      </c>
      <c r="CC1320" t="s">
        <v>76</v>
      </c>
      <c r="CD1320">
        <v>1600</v>
      </c>
      <c r="CE1320" t="s">
        <v>91</v>
      </c>
      <c r="CF1320" s="3">
        <v>45850</v>
      </c>
      <c r="CI1320">
        <v>1</v>
      </c>
      <c r="CJ1320">
        <v>1</v>
      </c>
      <c r="CK1320">
        <v>22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"080066476275"</f>
        <v>080066476275</v>
      </c>
      <c r="F1321" s="3">
        <v>45848</v>
      </c>
      <c r="G1321">
        <v>202604</v>
      </c>
      <c r="H1321" t="s">
        <v>75</v>
      </c>
      <c r="I1321" t="s">
        <v>76</v>
      </c>
      <c r="J1321" t="s">
        <v>77</v>
      </c>
      <c r="K1321" t="s">
        <v>78</v>
      </c>
      <c r="L1321" t="s">
        <v>79</v>
      </c>
      <c r="M1321" t="s">
        <v>80</v>
      </c>
      <c r="N1321" t="s">
        <v>931</v>
      </c>
      <c r="O1321" t="s">
        <v>82</v>
      </c>
      <c r="P1321" t="str">
        <f>"4170047903                    "</f>
        <v xml:space="preserve">4170047903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22.6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71.2</v>
      </c>
      <c r="BM1321">
        <v>10.68</v>
      </c>
      <c r="BN1321">
        <v>81.88</v>
      </c>
      <c r="BO1321">
        <v>81.88</v>
      </c>
      <c r="BQ1321" t="s">
        <v>932</v>
      </c>
      <c r="BR1321" t="s">
        <v>84</v>
      </c>
      <c r="BS1321" s="3">
        <v>45849</v>
      </c>
      <c r="BT1321" s="4">
        <v>0.41875000000000001</v>
      </c>
      <c r="BU1321" t="s">
        <v>933</v>
      </c>
      <c r="BV1321" t="s">
        <v>98</v>
      </c>
      <c r="BY1321">
        <v>1200</v>
      </c>
      <c r="BZ1321" t="s">
        <v>89</v>
      </c>
      <c r="CA1321" t="s">
        <v>934</v>
      </c>
      <c r="CC1321" t="s">
        <v>80</v>
      </c>
      <c r="CD1321">
        <v>7535</v>
      </c>
      <c r="CE1321" t="s">
        <v>1868</v>
      </c>
      <c r="CF1321" s="3">
        <v>45852</v>
      </c>
      <c r="CI1321">
        <v>1</v>
      </c>
      <c r="CJ1321">
        <v>1</v>
      </c>
      <c r="CK1321">
        <v>21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"080066476287"</f>
        <v>080066476287</v>
      </c>
      <c r="F1322" s="3">
        <v>45848</v>
      </c>
      <c r="G1322">
        <v>202604</v>
      </c>
      <c r="H1322" t="s">
        <v>75</v>
      </c>
      <c r="I1322" t="s">
        <v>76</v>
      </c>
      <c r="J1322" t="s">
        <v>77</v>
      </c>
      <c r="K1322" t="s">
        <v>78</v>
      </c>
      <c r="L1322" t="s">
        <v>350</v>
      </c>
      <c r="M1322" t="s">
        <v>351</v>
      </c>
      <c r="N1322" t="s">
        <v>752</v>
      </c>
      <c r="O1322" t="s">
        <v>82</v>
      </c>
      <c r="P1322" t="str">
        <f>"4170048065                    "</f>
        <v xml:space="preserve">4170048065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33.89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1.7</v>
      </c>
      <c r="BK1322">
        <v>3</v>
      </c>
      <c r="BL1322">
        <v>106.77</v>
      </c>
      <c r="BM1322">
        <v>16.02</v>
      </c>
      <c r="BN1322">
        <v>122.79</v>
      </c>
      <c r="BO1322">
        <v>122.79</v>
      </c>
      <c r="BQ1322" t="s">
        <v>753</v>
      </c>
      <c r="BR1322" t="s">
        <v>84</v>
      </c>
      <c r="BS1322" s="3">
        <v>45852</v>
      </c>
      <c r="BT1322" s="4">
        <v>0.41666666666666669</v>
      </c>
      <c r="BU1322" t="s">
        <v>754</v>
      </c>
      <c r="BV1322" t="s">
        <v>86</v>
      </c>
      <c r="BW1322" t="s">
        <v>194</v>
      </c>
      <c r="BX1322" t="s">
        <v>220</v>
      </c>
      <c r="BY1322">
        <v>8736</v>
      </c>
      <c r="BZ1322" t="s">
        <v>89</v>
      </c>
      <c r="CA1322" t="s">
        <v>337</v>
      </c>
      <c r="CC1322" t="s">
        <v>351</v>
      </c>
      <c r="CD1322">
        <v>4113</v>
      </c>
      <c r="CE1322" t="s">
        <v>91</v>
      </c>
      <c r="CF1322" s="3">
        <v>45853</v>
      </c>
      <c r="CI1322">
        <v>1</v>
      </c>
      <c r="CJ1322">
        <v>2</v>
      </c>
      <c r="CK1322">
        <v>21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"080066476320"</f>
        <v>080066476320</v>
      </c>
      <c r="F1323" s="3">
        <v>45848</v>
      </c>
      <c r="G1323">
        <v>202604</v>
      </c>
      <c r="H1323" t="s">
        <v>75</v>
      </c>
      <c r="I1323" t="s">
        <v>76</v>
      </c>
      <c r="J1323" t="s">
        <v>77</v>
      </c>
      <c r="K1323" t="s">
        <v>78</v>
      </c>
      <c r="L1323" t="s">
        <v>151</v>
      </c>
      <c r="M1323" t="s">
        <v>152</v>
      </c>
      <c r="N1323" t="s">
        <v>1212</v>
      </c>
      <c r="O1323" t="s">
        <v>95</v>
      </c>
      <c r="P1323" t="str">
        <f>"4170048053                    "</f>
        <v xml:space="preserve">4170048053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43.7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8</v>
      </c>
      <c r="BJ1323">
        <v>4.7</v>
      </c>
      <c r="BK1323">
        <v>8</v>
      </c>
      <c r="BL1323">
        <v>143.55000000000001</v>
      </c>
      <c r="BM1323">
        <v>21.53</v>
      </c>
      <c r="BN1323">
        <v>165.08</v>
      </c>
      <c r="BO1323">
        <v>165.08</v>
      </c>
      <c r="BQ1323" t="s">
        <v>1213</v>
      </c>
      <c r="BR1323" t="s">
        <v>84</v>
      </c>
      <c r="BS1323" s="3">
        <v>45849</v>
      </c>
      <c r="BT1323" s="4">
        <v>0.50208333333333333</v>
      </c>
      <c r="BU1323" t="s">
        <v>2018</v>
      </c>
      <c r="BV1323" t="s">
        <v>98</v>
      </c>
      <c r="BY1323">
        <v>23712</v>
      </c>
      <c r="BZ1323" t="s">
        <v>99</v>
      </c>
      <c r="CA1323" t="s">
        <v>716</v>
      </c>
      <c r="CC1323" t="s">
        <v>152</v>
      </c>
      <c r="CD1323" s="5" t="s">
        <v>717</v>
      </c>
      <c r="CE1323" t="s">
        <v>91</v>
      </c>
      <c r="CF1323" s="3">
        <v>45849</v>
      </c>
      <c r="CI1323">
        <v>1</v>
      </c>
      <c r="CJ1323">
        <v>1</v>
      </c>
      <c r="CK1323">
        <v>41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"080066476353"</f>
        <v>080066476353</v>
      </c>
      <c r="F1324" s="3">
        <v>45848</v>
      </c>
      <c r="G1324">
        <v>202604</v>
      </c>
      <c r="H1324" t="s">
        <v>75</v>
      </c>
      <c r="I1324" t="s">
        <v>76</v>
      </c>
      <c r="J1324" t="s">
        <v>77</v>
      </c>
      <c r="K1324" t="s">
        <v>78</v>
      </c>
      <c r="L1324" t="s">
        <v>135</v>
      </c>
      <c r="M1324" t="s">
        <v>136</v>
      </c>
      <c r="N1324" t="s">
        <v>379</v>
      </c>
      <c r="O1324" t="s">
        <v>82</v>
      </c>
      <c r="P1324" t="str">
        <f>"4170048063                    "</f>
        <v xml:space="preserve">4170048063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124.21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11</v>
      </c>
      <c r="BJ1324">
        <v>9.6999999999999993</v>
      </c>
      <c r="BK1324">
        <v>11</v>
      </c>
      <c r="BL1324">
        <v>391.33</v>
      </c>
      <c r="BM1324">
        <v>58.7</v>
      </c>
      <c r="BN1324">
        <v>450.03</v>
      </c>
      <c r="BO1324">
        <v>450.03</v>
      </c>
      <c r="BQ1324" t="s">
        <v>380</v>
      </c>
      <c r="BR1324" t="s">
        <v>84</v>
      </c>
      <c r="BS1324" s="3">
        <v>45849</v>
      </c>
      <c r="BT1324" s="4">
        <v>0.48958333333333331</v>
      </c>
      <c r="BU1324" t="s">
        <v>2019</v>
      </c>
      <c r="BV1324" t="s">
        <v>98</v>
      </c>
      <c r="BY1324">
        <v>48576</v>
      </c>
      <c r="BZ1324" t="s">
        <v>89</v>
      </c>
      <c r="CA1324" t="s">
        <v>382</v>
      </c>
      <c r="CC1324" t="s">
        <v>136</v>
      </c>
      <c r="CD1324">
        <v>3212</v>
      </c>
      <c r="CE1324" t="s">
        <v>117</v>
      </c>
      <c r="CF1324" s="3">
        <v>45849</v>
      </c>
      <c r="CI1324">
        <v>2</v>
      </c>
      <c r="CJ1324">
        <v>1</v>
      </c>
      <c r="CK1324">
        <v>21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"080066476468"</f>
        <v>080066476468</v>
      </c>
      <c r="F1325" s="3">
        <v>45848</v>
      </c>
      <c r="G1325">
        <v>202604</v>
      </c>
      <c r="H1325" t="s">
        <v>75</v>
      </c>
      <c r="I1325" t="s">
        <v>76</v>
      </c>
      <c r="J1325" t="s">
        <v>77</v>
      </c>
      <c r="K1325" t="s">
        <v>78</v>
      </c>
      <c r="L1325" t="s">
        <v>240</v>
      </c>
      <c r="M1325" t="s">
        <v>241</v>
      </c>
      <c r="N1325" t="s">
        <v>242</v>
      </c>
      <c r="O1325" t="s">
        <v>82</v>
      </c>
      <c r="P1325" t="str">
        <f>"4170047991                    "</f>
        <v xml:space="preserve">4170047991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17.649999999999999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1.1000000000000001</v>
      </c>
      <c r="BK1325">
        <v>2</v>
      </c>
      <c r="BL1325">
        <v>55.61</v>
      </c>
      <c r="BM1325">
        <v>8.34</v>
      </c>
      <c r="BN1325">
        <v>63.95</v>
      </c>
      <c r="BO1325">
        <v>63.95</v>
      </c>
      <c r="BQ1325" t="s">
        <v>243</v>
      </c>
      <c r="BR1325" t="s">
        <v>84</v>
      </c>
      <c r="BS1325" s="3">
        <v>45849</v>
      </c>
      <c r="BT1325" s="4">
        <v>0.35138888888888886</v>
      </c>
      <c r="BU1325" t="s">
        <v>244</v>
      </c>
      <c r="BV1325" t="s">
        <v>98</v>
      </c>
      <c r="BY1325">
        <v>5320</v>
      </c>
      <c r="BZ1325" t="s">
        <v>89</v>
      </c>
      <c r="CA1325" t="s">
        <v>245</v>
      </c>
      <c r="CC1325" t="s">
        <v>241</v>
      </c>
      <c r="CD1325">
        <v>2091</v>
      </c>
      <c r="CE1325" t="s">
        <v>117</v>
      </c>
      <c r="CF1325" s="3">
        <v>45850</v>
      </c>
      <c r="CI1325">
        <v>1</v>
      </c>
      <c r="CJ1325">
        <v>1</v>
      </c>
      <c r="CK1325">
        <v>22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"080066476396"</f>
        <v>080066476396</v>
      </c>
      <c r="F1326" s="3">
        <v>45848</v>
      </c>
      <c r="G1326">
        <v>202604</v>
      </c>
      <c r="H1326" t="s">
        <v>75</v>
      </c>
      <c r="I1326" t="s">
        <v>76</v>
      </c>
      <c r="J1326" t="s">
        <v>77</v>
      </c>
      <c r="K1326" t="s">
        <v>78</v>
      </c>
      <c r="L1326" t="s">
        <v>503</v>
      </c>
      <c r="M1326" t="s">
        <v>504</v>
      </c>
      <c r="N1326" t="s">
        <v>2020</v>
      </c>
      <c r="O1326" t="s">
        <v>82</v>
      </c>
      <c r="P1326" t="str">
        <f>"4170048066                    "</f>
        <v xml:space="preserve">4170048066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43.78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1.9</v>
      </c>
      <c r="BK1326">
        <v>2</v>
      </c>
      <c r="BL1326">
        <v>137.94</v>
      </c>
      <c r="BM1326">
        <v>20.69</v>
      </c>
      <c r="BN1326">
        <v>158.63</v>
      </c>
      <c r="BO1326">
        <v>158.63</v>
      </c>
      <c r="BQ1326" t="s">
        <v>2021</v>
      </c>
      <c r="BR1326" t="s">
        <v>84</v>
      </c>
      <c r="BS1326" s="3">
        <v>45849</v>
      </c>
      <c r="BT1326" s="4">
        <v>0.42430555555555555</v>
      </c>
      <c r="BU1326" t="s">
        <v>2022</v>
      </c>
      <c r="BV1326" t="s">
        <v>98</v>
      </c>
      <c r="BY1326">
        <v>9600</v>
      </c>
      <c r="BZ1326" t="s">
        <v>89</v>
      </c>
      <c r="CA1326" t="s">
        <v>508</v>
      </c>
      <c r="CC1326" t="s">
        <v>504</v>
      </c>
      <c r="CD1326">
        <v>7130</v>
      </c>
      <c r="CE1326" t="s">
        <v>117</v>
      </c>
      <c r="CF1326" s="3">
        <v>45852</v>
      </c>
      <c r="CI1326">
        <v>1</v>
      </c>
      <c r="CJ1326">
        <v>1</v>
      </c>
      <c r="CK1326">
        <v>23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"080066476436"</f>
        <v>080066476436</v>
      </c>
      <c r="F1327" s="3">
        <v>45848</v>
      </c>
      <c r="G1327">
        <v>202604</v>
      </c>
      <c r="H1327" t="s">
        <v>75</v>
      </c>
      <c r="I1327" t="s">
        <v>76</v>
      </c>
      <c r="J1327" t="s">
        <v>77</v>
      </c>
      <c r="K1327" t="s">
        <v>78</v>
      </c>
      <c r="L1327" t="s">
        <v>135</v>
      </c>
      <c r="M1327" t="s">
        <v>136</v>
      </c>
      <c r="N1327" t="s">
        <v>379</v>
      </c>
      <c r="O1327" t="s">
        <v>82</v>
      </c>
      <c r="P1327" t="str">
        <f>"4170048017                    "</f>
        <v xml:space="preserve">4170048017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22.6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1.7</v>
      </c>
      <c r="BK1327">
        <v>2</v>
      </c>
      <c r="BL1327">
        <v>71.2</v>
      </c>
      <c r="BM1327">
        <v>10.68</v>
      </c>
      <c r="BN1327">
        <v>81.88</v>
      </c>
      <c r="BO1327">
        <v>81.88</v>
      </c>
      <c r="BQ1327" t="s">
        <v>380</v>
      </c>
      <c r="BR1327" t="s">
        <v>84</v>
      </c>
      <c r="BS1327" s="3">
        <v>45849</v>
      </c>
      <c r="BT1327" s="4">
        <v>0.48958333333333331</v>
      </c>
      <c r="BU1327" t="s">
        <v>2019</v>
      </c>
      <c r="BV1327" t="s">
        <v>98</v>
      </c>
      <c r="BY1327">
        <v>8512</v>
      </c>
      <c r="BZ1327" t="s">
        <v>89</v>
      </c>
      <c r="CA1327" t="s">
        <v>382</v>
      </c>
      <c r="CC1327" t="s">
        <v>136</v>
      </c>
      <c r="CD1327">
        <v>3212</v>
      </c>
      <c r="CE1327" t="s">
        <v>117</v>
      </c>
      <c r="CF1327" s="3">
        <v>45849</v>
      </c>
      <c r="CI1327">
        <v>2</v>
      </c>
      <c r="CJ1327">
        <v>1</v>
      </c>
      <c r="CK1327">
        <v>21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"080066476489"</f>
        <v>080066476489</v>
      </c>
      <c r="F1328" s="3">
        <v>45848</v>
      </c>
      <c r="G1328">
        <v>202604</v>
      </c>
      <c r="H1328" t="s">
        <v>75</v>
      </c>
      <c r="I1328" t="s">
        <v>76</v>
      </c>
      <c r="J1328" t="s">
        <v>77</v>
      </c>
      <c r="K1328" t="s">
        <v>78</v>
      </c>
      <c r="L1328" t="s">
        <v>580</v>
      </c>
      <c r="M1328" t="s">
        <v>581</v>
      </c>
      <c r="N1328" t="s">
        <v>582</v>
      </c>
      <c r="O1328" t="s">
        <v>82</v>
      </c>
      <c r="P1328" t="str">
        <f>"4170047955                    "</f>
        <v xml:space="preserve">4170047955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79.05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7</v>
      </c>
      <c r="BJ1328">
        <v>3.4</v>
      </c>
      <c r="BK1328">
        <v>7</v>
      </c>
      <c r="BL1328">
        <v>249.05</v>
      </c>
      <c r="BM1328">
        <v>37.36</v>
      </c>
      <c r="BN1328">
        <v>286.41000000000003</v>
      </c>
      <c r="BO1328">
        <v>286.41000000000003</v>
      </c>
      <c r="BQ1328" t="s">
        <v>583</v>
      </c>
      <c r="BR1328" t="s">
        <v>84</v>
      </c>
      <c r="BS1328" s="3">
        <v>45849</v>
      </c>
      <c r="BT1328" s="4">
        <v>0.38333333333333336</v>
      </c>
      <c r="BU1328" t="s">
        <v>584</v>
      </c>
      <c r="BV1328" t="s">
        <v>98</v>
      </c>
      <c r="BY1328">
        <v>16965</v>
      </c>
      <c r="BZ1328" t="s">
        <v>89</v>
      </c>
      <c r="CA1328" t="s">
        <v>585</v>
      </c>
      <c r="CC1328" t="s">
        <v>581</v>
      </c>
      <c r="CD1328">
        <v>4302</v>
      </c>
      <c r="CE1328" t="s">
        <v>117</v>
      </c>
      <c r="CF1328" s="3">
        <v>45849</v>
      </c>
      <c r="CI1328">
        <v>1</v>
      </c>
      <c r="CJ1328">
        <v>1</v>
      </c>
      <c r="CK1328">
        <v>21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"080066476627"</f>
        <v>080066476627</v>
      </c>
      <c r="F1329" s="3">
        <v>45848</v>
      </c>
      <c r="G1329">
        <v>202604</v>
      </c>
      <c r="H1329" t="s">
        <v>75</v>
      </c>
      <c r="I1329" t="s">
        <v>76</v>
      </c>
      <c r="J1329" t="s">
        <v>77</v>
      </c>
      <c r="K1329" t="s">
        <v>78</v>
      </c>
      <c r="L1329" t="s">
        <v>146</v>
      </c>
      <c r="M1329" t="s">
        <v>146</v>
      </c>
      <c r="N1329" t="s">
        <v>986</v>
      </c>
      <c r="O1329" t="s">
        <v>82</v>
      </c>
      <c r="P1329" t="str">
        <f>"4170047890                    "</f>
        <v xml:space="preserve">4170047890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43.78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137.94</v>
      </c>
      <c r="BM1329">
        <v>20.69</v>
      </c>
      <c r="BN1329">
        <v>158.63</v>
      </c>
      <c r="BO1329">
        <v>158.63</v>
      </c>
      <c r="BQ1329" t="s">
        <v>987</v>
      </c>
      <c r="BR1329" t="s">
        <v>84</v>
      </c>
      <c r="BS1329" s="3">
        <v>45849</v>
      </c>
      <c r="BT1329" s="4">
        <v>0.53888888888888886</v>
      </c>
      <c r="BU1329" t="s">
        <v>1907</v>
      </c>
      <c r="BV1329" t="s">
        <v>98</v>
      </c>
      <c r="BY1329">
        <v>1200</v>
      </c>
      <c r="BZ1329" t="s">
        <v>89</v>
      </c>
      <c r="CA1329" t="s">
        <v>150</v>
      </c>
      <c r="CC1329" t="s">
        <v>146</v>
      </c>
      <c r="CD1329">
        <v>7646</v>
      </c>
      <c r="CE1329" t="s">
        <v>239</v>
      </c>
      <c r="CF1329" s="3">
        <v>45855</v>
      </c>
      <c r="CI1329">
        <v>1</v>
      </c>
      <c r="CJ1329">
        <v>1</v>
      </c>
      <c r="CK1329">
        <v>23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"080066476653"</f>
        <v>080066476653</v>
      </c>
      <c r="F1330" s="3">
        <v>45848</v>
      </c>
      <c r="G1330">
        <v>202604</v>
      </c>
      <c r="H1330" t="s">
        <v>75</v>
      </c>
      <c r="I1330" t="s">
        <v>76</v>
      </c>
      <c r="J1330" t="s">
        <v>77</v>
      </c>
      <c r="K1330" t="s">
        <v>78</v>
      </c>
      <c r="L1330" t="s">
        <v>92</v>
      </c>
      <c r="M1330" t="s">
        <v>93</v>
      </c>
      <c r="N1330" t="s">
        <v>749</v>
      </c>
      <c r="O1330" t="s">
        <v>82</v>
      </c>
      <c r="P1330" t="str">
        <f>"4170047913                    "</f>
        <v xml:space="preserve">4170047913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22.6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71.2</v>
      </c>
      <c r="BM1330">
        <v>10.68</v>
      </c>
      <c r="BN1330">
        <v>81.88</v>
      </c>
      <c r="BO1330">
        <v>81.88</v>
      </c>
      <c r="BQ1330" t="s">
        <v>750</v>
      </c>
      <c r="BR1330" t="s">
        <v>84</v>
      </c>
      <c r="BS1330" s="3">
        <v>45849</v>
      </c>
      <c r="BT1330" s="4">
        <v>0.37152777777777779</v>
      </c>
      <c r="BU1330" t="s">
        <v>1329</v>
      </c>
      <c r="BV1330" t="s">
        <v>98</v>
      </c>
      <c r="BY1330">
        <v>1200</v>
      </c>
      <c r="BZ1330" t="s">
        <v>89</v>
      </c>
      <c r="CA1330" t="s">
        <v>491</v>
      </c>
      <c r="CC1330" t="s">
        <v>93</v>
      </c>
      <c r="CD1330">
        <v>4001</v>
      </c>
      <c r="CE1330" t="s">
        <v>239</v>
      </c>
      <c r="CF1330" s="3">
        <v>45850</v>
      </c>
      <c r="CI1330">
        <v>1</v>
      </c>
      <c r="CJ1330">
        <v>1</v>
      </c>
      <c r="CK1330">
        <v>21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"080066476686"</f>
        <v>080066476686</v>
      </c>
      <c r="F1331" s="3">
        <v>45848</v>
      </c>
      <c r="G1331">
        <v>202604</v>
      </c>
      <c r="H1331" t="s">
        <v>75</v>
      </c>
      <c r="I1331" t="s">
        <v>76</v>
      </c>
      <c r="J1331" t="s">
        <v>77</v>
      </c>
      <c r="K1331" t="s">
        <v>78</v>
      </c>
      <c r="L1331" t="s">
        <v>79</v>
      </c>
      <c r="M1331" t="s">
        <v>80</v>
      </c>
      <c r="N1331" t="s">
        <v>141</v>
      </c>
      <c r="O1331" t="s">
        <v>82</v>
      </c>
      <c r="P1331" t="str">
        <f>"4170047978                    "</f>
        <v xml:space="preserve">4170047978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22.6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71.2</v>
      </c>
      <c r="BM1331">
        <v>10.68</v>
      </c>
      <c r="BN1331">
        <v>81.88</v>
      </c>
      <c r="BO1331">
        <v>81.88</v>
      </c>
      <c r="BQ1331" t="s">
        <v>142</v>
      </c>
      <c r="BR1331" t="s">
        <v>84</v>
      </c>
      <c r="BS1331" s="3">
        <v>45849</v>
      </c>
      <c r="BT1331" s="4">
        <v>0.39861111111111114</v>
      </c>
      <c r="BU1331" t="s">
        <v>143</v>
      </c>
      <c r="BV1331" t="s">
        <v>98</v>
      </c>
      <c r="BY1331">
        <v>1200</v>
      </c>
      <c r="BZ1331" t="s">
        <v>89</v>
      </c>
      <c r="CA1331" t="s">
        <v>144</v>
      </c>
      <c r="CC1331" t="s">
        <v>80</v>
      </c>
      <c r="CD1331">
        <v>7441</v>
      </c>
      <c r="CE1331" t="s">
        <v>1170</v>
      </c>
      <c r="CF1331" s="3">
        <v>45852</v>
      </c>
      <c r="CI1331">
        <v>1</v>
      </c>
      <c r="CJ1331">
        <v>1</v>
      </c>
      <c r="CK1331">
        <v>21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"080066476718"</f>
        <v>080066476718</v>
      </c>
      <c r="F1332" s="3">
        <v>45848</v>
      </c>
      <c r="G1332">
        <v>202604</v>
      </c>
      <c r="H1332" t="s">
        <v>75</v>
      </c>
      <c r="I1332" t="s">
        <v>76</v>
      </c>
      <c r="J1332" t="s">
        <v>77</v>
      </c>
      <c r="K1332" t="s">
        <v>78</v>
      </c>
      <c r="L1332" t="s">
        <v>146</v>
      </c>
      <c r="M1332" t="s">
        <v>146</v>
      </c>
      <c r="N1332" t="s">
        <v>986</v>
      </c>
      <c r="O1332" t="s">
        <v>82</v>
      </c>
      <c r="P1332" t="str">
        <f>"4170047922                    "</f>
        <v xml:space="preserve">4170047922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43.78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137.94</v>
      </c>
      <c r="BM1332">
        <v>20.69</v>
      </c>
      <c r="BN1332">
        <v>158.63</v>
      </c>
      <c r="BO1332">
        <v>158.63</v>
      </c>
      <c r="BQ1332" t="s">
        <v>987</v>
      </c>
      <c r="BR1332" t="s">
        <v>84</v>
      </c>
      <c r="BS1332" s="3">
        <v>45849</v>
      </c>
      <c r="BT1332" s="4">
        <v>0.53888888888888886</v>
      </c>
      <c r="BU1332" t="s">
        <v>1907</v>
      </c>
      <c r="BV1332" t="s">
        <v>98</v>
      </c>
      <c r="BY1332">
        <v>1200</v>
      </c>
      <c r="BZ1332" t="s">
        <v>89</v>
      </c>
      <c r="CA1332" t="s">
        <v>150</v>
      </c>
      <c r="CC1332" t="s">
        <v>146</v>
      </c>
      <c r="CD1332">
        <v>7646</v>
      </c>
      <c r="CE1332" t="s">
        <v>239</v>
      </c>
      <c r="CF1332" s="3">
        <v>45853</v>
      </c>
      <c r="CI1332">
        <v>1</v>
      </c>
      <c r="CJ1332">
        <v>1</v>
      </c>
      <c r="CK1332">
        <v>23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"080066476755"</f>
        <v>080066476755</v>
      </c>
      <c r="F1333" s="3">
        <v>45848</v>
      </c>
      <c r="G1333">
        <v>202604</v>
      </c>
      <c r="H1333" t="s">
        <v>75</v>
      </c>
      <c r="I1333" t="s">
        <v>76</v>
      </c>
      <c r="J1333" t="s">
        <v>77</v>
      </c>
      <c r="K1333" t="s">
        <v>78</v>
      </c>
      <c r="L1333" t="s">
        <v>146</v>
      </c>
      <c r="M1333" t="s">
        <v>146</v>
      </c>
      <c r="N1333" t="s">
        <v>986</v>
      </c>
      <c r="O1333" t="s">
        <v>82</v>
      </c>
      <c r="P1333" t="str">
        <f>"4170047876                    "</f>
        <v xml:space="preserve">4170047876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43.78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137.94</v>
      </c>
      <c r="BM1333">
        <v>20.69</v>
      </c>
      <c r="BN1333">
        <v>158.63</v>
      </c>
      <c r="BO1333">
        <v>158.63</v>
      </c>
      <c r="BQ1333" t="s">
        <v>987</v>
      </c>
      <c r="BR1333" t="s">
        <v>84</v>
      </c>
      <c r="BS1333" s="3">
        <v>45849</v>
      </c>
      <c r="BT1333" s="4">
        <v>0.53888888888888886</v>
      </c>
      <c r="BU1333" t="s">
        <v>1907</v>
      </c>
      <c r="BV1333" t="s">
        <v>98</v>
      </c>
      <c r="BY1333">
        <v>1200</v>
      </c>
      <c r="BZ1333" t="s">
        <v>89</v>
      </c>
      <c r="CA1333" t="s">
        <v>150</v>
      </c>
      <c r="CC1333" t="s">
        <v>146</v>
      </c>
      <c r="CD1333">
        <v>7646</v>
      </c>
      <c r="CE1333" t="s">
        <v>1170</v>
      </c>
      <c r="CF1333" s="3">
        <v>45853</v>
      </c>
      <c r="CI1333">
        <v>1</v>
      </c>
      <c r="CJ1333">
        <v>1</v>
      </c>
      <c r="CK1333">
        <v>23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"080066476784"</f>
        <v>080066476784</v>
      </c>
      <c r="F1334" s="3">
        <v>45848</v>
      </c>
      <c r="G1334">
        <v>202604</v>
      </c>
      <c r="H1334" t="s">
        <v>75</v>
      </c>
      <c r="I1334" t="s">
        <v>76</v>
      </c>
      <c r="J1334" t="s">
        <v>77</v>
      </c>
      <c r="K1334" t="s">
        <v>78</v>
      </c>
      <c r="L1334" t="s">
        <v>92</v>
      </c>
      <c r="M1334" t="s">
        <v>93</v>
      </c>
      <c r="N1334" t="s">
        <v>1893</v>
      </c>
      <c r="O1334" t="s">
        <v>82</v>
      </c>
      <c r="P1334" t="str">
        <f>"4170047925                    "</f>
        <v xml:space="preserve">4170047925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22.6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71.2</v>
      </c>
      <c r="BM1334">
        <v>10.68</v>
      </c>
      <c r="BN1334">
        <v>81.88</v>
      </c>
      <c r="BO1334">
        <v>81.88</v>
      </c>
      <c r="BQ1334" t="s">
        <v>1894</v>
      </c>
      <c r="BR1334" t="s">
        <v>84</v>
      </c>
      <c r="BS1334" s="3">
        <v>45849</v>
      </c>
      <c r="BT1334" s="4">
        <v>0.41666666666666669</v>
      </c>
      <c r="BU1334" t="s">
        <v>2023</v>
      </c>
      <c r="BV1334" t="s">
        <v>98</v>
      </c>
      <c r="BY1334">
        <v>1200</v>
      </c>
      <c r="BZ1334" t="s">
        <v>89</v>
      </c>
      <c r="CA1334" t="s">
        <v>2024</v>
      </c>
      <c r="CC1334" t="s">
        <v>93</v>
      </c>
      <c r="CD1334">
        <v>4001</v>
      </c>
      <c r="CE1334" t="s">
        <v>239</v>
      </c>
      <c r="CF1334" s="3">
        <v>45850</v>
      </c>
      <c r="CI1334">
        <v>1</v>
      </c>
      <c r="CJ1334">
        <v>1</v>
      </c>
      <c r="CK1334">
        <v>21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"080066476796"</f>
        <v>080066476796</v>
      </c>
      <c r="F1335" s="3">
        <v>45848</v>
      </c>
      <c r="G1335">
        <v>202604</v>
      </c>
      <c r="H1335" t="s">
        <v>75</v>
      </c>
      <c r="I1335" t="s">
        <v>76</v>
      </c>
      <c r="J1335" t="s">
        <v>77</v>
      </c>
      <c r="K1335" t="s">
        <v>78</v>
      </c>
      <c r="L1335" t="s">
        <v>168</v>
      </c>
      <c r="M1335" t="s">
        <v>169</v>
      </c>
      <c r="N1335" t="s">
        <v>1125</v>
      </c>
      <c r="O1335" t="s">
        <v>82</v>
      </c>
      <c r="P1335" t="str">
        <f>"4170047953                    "</f>
        <v xml:space="preserve">4170047953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22.6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71.2</v>
      </c>
      <c r="BM1335">
        <v>10.68</v>
      </c>
      <c r="BN1335">
        <v>81.88</v>
      </c>
      <c r="BO1335">
        <v>81.88</v>
      </c>
      <c r="BQ1335" t="s">
        <v>1126</v>
      </c>
      <c r="BR1335" t="s">
        <v>84</v>
      </c>
      <c r="BS1335" s="3">
        <v>45849</v>
      </c>
      <c r="BT1335" s="4">
        <v>0.41597222222222224</v>
      </c>
      <c r="BU1335" t="s">
        <v>1638</v>
      </c>
      <c r="BV1335" t="s">
        <v>98</v>
      </c>
      <c r="BY1335">
        <v>1200</v>
      </c>
      <c r="BZ1335" t="s">
        <v>89</v>
      </c>
      <c r="CC1335" t="s">
        <v>169</v>
      </c>
      <c r="CD1335">
        <v>6012</v>
      </c>
      <c r="CE1335" t="s">
        <v>239</v>
      </c>
      <c r="CF1335" s="3">
        <v>45849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"080066476817"</f>
        <v>080066476817</v>
      </c>
      <c r="F1336" s="3">
        <v>45848</v>
      </c>
      <c r="G1336">
        <v>202604</v>
      </c>
      <c r="H1336" t="s">
        <v>75</v>
      </c>
      <c r="I1336" t="s">
        <v>76</v>
      </c>
      <c r="J1336" t="s">
        <v>77</v>
      </c>
      <c r="K1336" t="s">
        <v>78</v>
      </c>
      <c r="L1336" t="s">
        <v>146</v>
      </c>
      <c r="M1336" t="s">
        <v>146</v>
      </c>
      <c r="N1336" t="s">
        <v>147</v>
      </c>
      <c r="O1336" t="s">
        <v>82</v>
      </c>
      <c r="P1336" t="str">
        <f>"4170048086                    "</f>
        <v xml:space="preserve">4170048086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43.78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137.94</v>
      </c>
      <c r="BM1336">
        <v>20.69</v>
      </c>
      <c r="BN1336">
        <v>158.63</v>
      </c>
      <c r="BO1336">
        <v>158.63</v>
      </c>
      <c r="BQ1336" t="s">
        <v>764</v>
      </c>
      <c r="BR1336" t="s">
        <v>84</v>
      </c>
      <c r="BS1336" s="3">
        <v>45849</v>
      </c>
      <c r="BT1336" s="4">
        <v>0.51944444444444449</v>
      </c>
      <c r="BU1336" t="s">
        <v>1918</v>
      </c>
      <c r="BV1336" t="s">
        <v>98</v>
      </c>
      <c r="BY1336">
        <v>1200</v>
      </c>
      <c r="BZ1336" t="s">
        <v>89</v>
      </c>
      <c r="CA1336" t="s">
        <v>150</v>
      </c>
      <c r="CC1336" t="s">
        <v>146</v>
      </c>
      <c r="CD1336">
        <v>7646</v>
      </c>
      <c r="CE1336" t="s">
        <v>239</v>
      </c>
      <c r="CF1336" s="3">
        <v>45853</v>
      </c>
      <c r="CI1336">
        <v>1</v>
      </c>
      <c r="CJ1336">
        <v>1</v>
      </c>
      <c r="CK1336">
        <v>23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"080066476840"</f>
        <v>080066476840</v>
      </c>
      <c r="F1337" s="3">
        <v>45848</v>
      </c>
      <c r="G1337">
        <v>202604</v>
      </c>
      <c r="H1337" t="s">
        <v>75</v>
      </c>
      <c r="I1337" t="s">
        <v>76</v>
      </c>
      <c r="J1337" t="s">
        <v>77</v>
      </c>
      <c r="K1337" t="s">
        <v>78</v>
      </c>
      <c r="L1337" t="s">
        <v>168</v>
      </c>
      <c r="M1337" t="s">
        <v>169</v>
      </c>
      <c r="N1337" t="s">
        <v>412</v>
      </c>
      <c r="O1337" t="s">
        <v>82</v>
      </c>
      <c r="P1337" t="str">
        <f>"4170047914                    "</f>
        <v xml:space="preserve">4170047914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22.6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0.9</v>
      </c>
      <c r="BK1337">
        <v>1</v>
      </c>
      <c r="BL1337">
        <v>71.2</v>
      </c>
      <c r="BM1337">
        <v>10.68</v>
      </c>
      <c r="BN1337">
        <v>81.88</v>
      </c>
      <c r="BO1337">
        <v>81.88</v>
      </c>
      <c r="BQ1337" t="s">
        <v>413</v>
      </c>
      <c r="BR1337" t="s">
        <v>84</v>
      </c>
      <c r="BS1337" s="3">
        <v>45849</v>
      </c>
      <c r="BT1337" s="4">
        <v>0.39166666666666666</v>
      </c>
      <c r="BU1337" t="s">
        <v>470</v>
      </c>
      <c r="BV1337" t="s">
        <v>98</v>
      </c>
      <c r="BY1337">
        <v>4275</v>
      </c>
      <c r="BZ1337" t="s">
        <v>89</v>
      </c>
      <c r="CA1337" t="s">
        <v>415</v>
      </c>
      <c r="CC1337" t="s">
        <v>169</v>
      </c>
      <c r="CD1337">
        <v>6001</v>
      </c>
      <c r="CE1337" t="s">
        <v>266</v>
      </c>
      <c r="CF1337" s="3">
        <v>45849</v>
      </c>
      <c r="CI1337">
        <v>1</v>
      </c>
      <c r="CJ1337">
        <v>1</v>
      </c>
      <c r="CK1337">
        <v>21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"080066476867"</f>
        <v>080066476867</v>
      </c>
      <c r="F1338" s="3">
        <v>45848</v>
      </c>
      <c r="G1338">
        <v>202604</v>
      </c>
      <c r="H1338" t="s">
        <v>75</v>
      </c>
      <c r="I1338" t="s">
        <v>76</v>
      </c>
      <c r="J1338" t="s">
        <v>77</v>
      </c>
      <c r="K1338" t="s">
        <v>78</v>
      </c>
      <c r="L1338" t="s">
        <v>92</v>
      </c>
      <c r="M1338" t="s">
        <v>93</v>
      </c>
      <c r="N1338" t="s">
        <v>1893</v>
      </c>
      <c r="O1338" t="s">
        <v>82</v>
      </c>
      <c r="P1338" t="str">
        <f>"4170047926                    "</f>
        <v xml:space="preserve">4170047926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22.6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1.1000000000000001</v>
      </c>
      <c r="BK1338">
        <v>2</v>
      </c>
      <c r="BL1338">
        <v>71.2</v>
      </c>
      <c r="BM1338">
        <v>10.68</v>
      </c>
      <c r="BN1338">
        <v>81.88</v>
      </c>
      <c r="BO1338">
        <v>81.88</v>
      </c>
      <c r="BQ1338" t="s">
        <v>1894</v>
      </c>
      <c r="BR1338" t="s">
        <v>84</v>
      </c>
      <c r="BS1338" s="3">
        <v>45849</v>
      </c>
      <c r="BT1338" s="4">
        <v>0.40347222222222223</v>
      </c>
      <c r="BU1338" t="s">
        <v>2023</v>
      </c>
      <c r="BV1338" t="s">
        <v>98</v>
      </c>
      <c r="BY1338">
        <v>5320</v>
      </c>
      <c r="BZ1338" t="s">
        <v>89</v>
      </c>
      <c r="CA1338" t="s">
        <v>491</v>
      </c>
      <c r="CC1338" t="s">
        <v>93</v>
      </c>
      <c r="CD1338">
        <v>4001</v>
      </c>
      <c r="CE1338" t="s">
        <v>117</v>
      </c>
      <c r="CF1338" s="3">
        <v>45850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"080066476961"</f>
        <v>080066476961</v>
      </c>
      <c r="F1339" s="3">
        <v>45848</v>
      </c>
      <c r="G1339">
        <v>202604</v>
      </c>
      <c r="H1339" t="s">
        <v>75</v>
      </c>
      <c r="I1339" t="s">
        <v>76</v>
      </c>
      <c r="J1339" t="s">
        <v>77</v>
      </c>
      <c r="K1339" t="s">
        <v>78</v>
      </c>
      <c r="L1339" t="s">
        <v>75</v>
      </c>
      <c r="M1339" t="s">
        <v>76</v>
      </c>
      <c r="N1339" t="s">
        <v>1158</v>
      </c>
      <c r="O1339" t="s">
        <v>311</v>
      </c>
      <c r="P1339" t="str">
        <f>"4170048050                    "</f>
        <v xml:space="preserve">4170048050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19.64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6</v>
      </c>
      <c r="BJ1339">
        <v>8.9</v>
      </c>
      <c r="BK1339">
        <v>9</v>
      </c>
      <c r="BL1339">
        <v>61.87</v>
      </c>
      <c r="BM1339">
        <v>9.2799999999999994</v>
      </c>
      <c r="BN1339">
        <v>71.150000000000006</v>
      </c>
      <c r="BO1339">
        <v>71.150000000000006</v>
      </c>
      <c r="BQ1339" t="s">
        <v>1159</v>
      </c>
      <c r="BR1339" t="s">
        <v>84</v>
      </c>
      <c r="BS1339" s="3">
        <v>45849</v>
      </c>
      <c r="BT1339" s="4">
        <v>0.40902777777777777</v>
      </c>
      <c r="BU1339" t="s">
        <v>2025</v>
      </c>
      <c r="BV1339" t="s">
        <v>98</v>
      </c>
      <c r="BY1339">
        <v>44640</v>
      </c>
      <c r="BZ1339" t="s">
        <v>99</v>
      </c>
      <c r="CA1339" t="s">
        <v>304</v>
      </c>
      <c r="CC1339" t="s">
        <v>76</v>
      </c>
      <c r="CD1339">
        <v>1619</v>
      </c>
      <c r="CE1339" t="s">
        <v>117</v>
      </c>
      <c r="CF1339" s="3">
        <v>45849</v>
      </c>
      <c r="CI1339">
        <v>1</v>
      </c>
      <c r="CJ1339">
        <v>1</v>
      </c>
      <c r="CK1339">
        <v>32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"080066476987"</f>
        <v>080066476987</v>
      </c>
      <c r="F1340" s="3">
        <v>45848</v>
      </c>
      <c r="G1340">
        <v>202604</v>
      </c>
      <c r="H1340" t="s">
        <v>75</v>
      </c>
      <c r="I1340" t="s">
        <v>76</v>
      </c>
      <c r="J1340" t="s">
        <v>77</v>
      </c>
      <c r="K1340" t="s">
        <v>78</v>
      </c>
      <c r="L1340" t="s">
        <v>168</v>
      </c>
      <c r="M1340" t="s">
        <v>169</v>
      </c>
      <c r="N1340" t="s">
        <v>206</v>
      </c>
      <c r="O1340" t="s">
        <v>82</v>
      </c>
      <c r="P1340" t="str">
        <f>"4170048024                    "</f>
        <v xml:space="preserve">4170048024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22.6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1.7</v>
      </c>
      <c r="BK1340">
        <v>2</v>
      </c>
      <c r="BL1340">
        <v>71.2</v>
      </c>
      <c r="BM1340">
        <v>10.68</v>
      </c>
      <c r="BN1340">
        <v>81.88</v>
      </c>
      <c r="BO1340">
        <v>81.88</v>
      </c>
      <c r="BQ1340" t="s">
        <v>207</v>
      </c>
      <c r="BR1340" t="s">
        <v>84</v>
      </c>
      <c r="BS1340" s="3">
        <v>45849</v>
      </c>
      <c r="BT1340" s="4">
        <v>0.41944444444444445</v>
      </c>
      <c r="BU1340" t="s">
        <v>208</v>
      </c>
      <c r="BV1340" t="s">
        <v>98</v>
      </c>
      <c r="BY1340">
        <v>8512</v>
      </c>
      <c r="BZ1340" t="s">
        <v>89</v>
      </c>
      <c r="CA1340" t="s">
        <v>196</v>
      </c>
      <c r="CC1340" t="s">
        <v>169</v>
      </c>
      <c r="CD1340">
        <v>6001</v>
      </c>
      <c r="CE1340" t="s">
        <v>117</v>
      </c>
      <c r="CF1340" s="3">
        <v>45849</v>
      </c>
      <c r="CI1340">
        <v>1</v>
      </c>
      <c r="CJ1340">
        <v>1</v>
      </c>
      <c r="CK1340">
        <v>21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"080066477008"</f>
        <v>080066477008</v>
      </c>
      <c r="F1341" s="3">
        <v>45848</v>
      </c>
      <c r="G1341">
        <v>202604</v>
      </c>
      <c r="H1341" t="s">
        <v>75</v>
      </c>
      <c r="I1341" t="s">
        <v>76</v>
      </c>
      <c r="J1341" t="s">
        <v>77</v>
      </c>
      <c r="K1341" t="s">
        <v>78</v>
      </c>
      <c r="L1341" t="s">
        <v>542</v>
      </c>
      <c r="M1341" t="s">
        <v>543</v>
      </c>
      <c r="N1341" t="s">
        <v>745</v>
      </c>
      <c r="O1341" t="s">
        <v>82</v>
      </c>
      <c r="P1341" t="str">
        <f>"4170047998                    "</f>
        <v xml:space="preserve">4170047998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17.649999999999999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1.9</v>
      </c>
      <c r="BK1341">
        <v>2</v>
      </c>
      <c r="BL1341">
        <v>55.61</v>
      </c>
      <c r="BM1341">
        <v>8.34</v>
      </c>
      <c r="BN1341">
        <v>63.95</v>
      </c>
      <c r="BO1341">
        <v>63.95</v>
      </c>
      <c r="BQ1341" t="s">
        <v>746</v>
      </c>
      <c r="BR1341" t="s">
        <v>84</v>
      </c>
      <c r="BS1341" s="3">
        <v>45849</v>
      </c>
      <c r="BT1341" s="4">
        <v>0.41805555555555557</v>
      </c>
      <c r="BU1341" t="s">
        <v>2026</v>
      </c>
      <c r="BV1341" t="s">
        <v>98</v>
      </c>
      <c r="BY1341">
        <v>9600</v>
      </c>
      <c r="BZ1341" t="s">
        <v>89</v>
      </c>
      <c r="CA1341" t="s">
        <v>748</v>
      </c>
      <c r="CC1341" t="s">
        <v>543</v>
      </c>
      <c r="CD1341">
        <v>1451</v>
      </c>
      <c r="CE1341" t="s">
        <v>117</v>
      </c>
      <c r="CF1341" s="3">
        <v>45849</v>
      </c>
      <c r="CI1341">
        <v>1</v>
      </c>
      <c r="CJ1341">
        <v>1</v>
      </c>
      <c r="CK1341">
        <v>22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"080066477034"</f>
        <v>080066477034</v>
      </c>
      <c r="F1342" s="3">
        <v>45848</v>
      </c>
      <c r="G1342">
        <v>202604</v>
      </c>
      <c r="H1342" t="s">
        <v>75</v>
      </c>
      <c r="I1342" t="s">
        <v>76</v>
      </c>
      <c r="J1342" t="s">
        <v>77</v>
      </c>
      <c r="K1342" t="s">
        <v>78</v>
      </c>
      <c r="L1342" t="s">
        <v>79</v>
      </c>
      <c r="M1342" t="s">
        <v>80</v>
      </c>
      <c r="N1342" t="s">
        <v>141</v>
      </c>
      <c r="O1342" t="s">
        <v>82</v>
      </c>
      <c r="P1342" t="str">
        <f>"4170048112                    "</f>
        <v xml:space="preserve">4170048112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22.6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0.3</v>
      </c>
      <c r="BK1342">
        <v>1</v>
      </c>
      <c r="BL1342">
        <v>71.2</v>
      </c>
      <c r="BM1342">
        <v>10.68</v>
      </c>
      <c r="BN1342">
        <v>81.88</v>
      </c>
      <c r="BO1342">
        <v>81.88</v>
      </c>
      <c r="BQ1342" t="s">
        <v>142</v>
      </c>
      <c r="BR1342" t="s">
        <v>84</v>
      </c>
      <c r="BS1342" s="3">
        <v>45849</v>
      </c>
      <c r="BT1342" s="4">
        <v>0.39861111111111114</v>
      </c>
      <c r="BU1342" t="s">
        <v>143</v>
      </c>
      <c r="BV1342" t="s">
        <v>98</v>
      </c>
      <c r="BY1342">
        <v>1350</v>
      </c>
      <c r="BZ1342" t="s">
        <v>89</v>
      </c>
      <c r="CA1342" t="s">
        <v>144</v>
      </c>
      <c r="CC1342" t="s">
        <v>80</v>
      </c>
      <c r="CD1342">
        <v>7441</v>
      </c>
      <c r="CE1342" t="s">
        <v>1868</v>
      </c>
      <c r="CF1342" s="3">
        <v>45852</v>
      </c>
      <c r="CI1342">
        <v>1</v>
      </c>
      <c r="CJ1342">
        <v>1</v>
      </c>
      <c r="CK1342">
        <v>21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"080066477052"</f>
        <v>080066477052</v>
      </c>
      <c r="F1343" s="3">
        <v>45848</v>
      </c>
      <c r="G1343">
        <v>202604</v>
      </c>
      <c r="H1343" t="s">
        <v>75</v>
      </c>
      <c r="I1343" t="s">
        <v>76</v>
      </c>
      <c r="J1343" t="s">
        <v>77</v>
      </c>
      <c r="K1343" t="s">
        <v>78</v>
      </c>
      <c r="L1343" t="s">
        <v>363</v>
      </c>
      <c r="M1343" t="s">
        <v>364</v>
      </c>
      <c r="N1343" t="s">
        <v>365</v>
      </c>
      <c r="O1343" t="s">
        <v>82</v>
      </c>
      <c r="P1343" t="str">
        <f>"4170047762                    "</f>
        <v xml:space="preserve">4170047762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63.56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3</v>
      </c>
      <c r="BJ1343">
        <v>1.1000000000000001</v>
      </c>
      <c r="BK1343">
        <v>3</v>
      </c>
      <c r="BL1343">
        <v>200.24</v>
      </c>
      <c r="BM1343">
        <v>30.04</v>
      </c>
      <c r="BN1343">
        <v>230.28</v>
      </c>
      <c r="BO1343">
        <v>230.28</v>
      </c>
      <c r="BQ1343" t="s">
        <v>366</v>
      </c>
      <c r="BR1343" t="s">
        <v>84</v>
      </c>
      <c r="BS1343" s="3">
        <v>45849</v>
      </c>
      <c r="BT1343" s="4">
        <v>0.60763888888888884</v>
      </c>
      <c r="BU1343" t="s">
        <v>1946</v>
      </c>
      <c r="BV1343" t="s">
        <v>98</v>
      </c>
      <c r="BY1343">
        <v>5320</v>
      </c>
      <c r="BZ1343" t="s">
        <v>89</v>
      </c>
      <c r="CA1343" t="s">
        <v>522</v>
      </c>
      <c r="CC1343" t="s">
        <v>364</v>
      </c>
      <c r="CD1343">
        <v>7300</v>
      </c>
      <c r="CE1343" t="s">
        <v>117</v>
      </c>
      <c r="CF1343" s="3">
        <v>45852</v>
      </c>
      <c r="CI1343">
        <v>1</v>
      </c>
      <c r="CJ1343">
        <v>1</v>
      </c>
      <c r="CK1343">
        <v>23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"080066477074"</f>
        <v>080066477074</v>
      </c>
      <c r="F1344" s="3">
        <v>45848</v>
      </c>
      <c r="G1344">
        <v>202604</v>
      </c>
      <c r="H1344" t="s">
        <v>75</v>
      </c>
      <c r="I1344" t="s">
        <v>76</v>
      </c>
      <c r="J1344" t="s">
        <v>77</v>
      </c>
      <c r="K1344" t="s">
        <v>78</v>
      </c>
      <c r="L1344" t="s">
        <v>79</v>
      </c>
      <c r="M1344" t="s">
        <v>80</v>
      </c>
      <c r="N1344" t="s">
        <v>286</v>
      </c>
      <c r="O1344" t="s">
        <v>82</v>
      </c>
      <c r="P1344" t="str">
        <f>"4170047879                    "</f>
        <v xml:space="preserve">4170047879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22.6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0.3</v>
      </c>
      <c r="BK1344">
        <v>1</v>
      </c>
      <c r="BL1344">
        <v>71.2</v>
      </c>
      <c r="BM1344">
        <v>10.68</v>
      </c>
      <c r="BN1344">
        <v>81.88</v>
      </c>
      <c r="BO1344">
        <v>81.88</v>
      </c>
      <c r="BQ1344" t="s">
        <v>287</v>
      </c>
      <c r="BR1344" t="s">
        <v>84</v>
      </c>
      <c r="BS1344" s="3">
        <v>45849</v>
      </c>
      <c r="BT1344" s="4">
        <v>0.33611111111111114</v>
      </c>
      <c r="BU1344" t="s">
        <v>1965</v>
      </c>
      <c r="BV1344" t="s">
        <v>98</v>
      </c>
      <c r="BY1344">
        <v>1350</v>
      </c>
      <c r="BZ1344" t="s">
        <v>89</v>
      </c>
      <c r="CA1344" t="s">
        <v>289</v>
      </c>
      <c r="CC1344" t="s">
        <v>80</v>
      </c>
      <c r="CD1344">
        <v>7530</v>
      </c>
      <c r="CE1344" t="s">
        <v>1868</v>
      </c>
      <c r="CF1344" s="3">
        <v>45852</v>
      </c>
      <c r="CI1344">
        <v>1</v>
      </c>
      <c r="CJ1344">
        <v>1</v>
      </c>
      <c r="CK1344">
        <v>21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"080066477123"</f>
        <v>080066477123</v>
      </c>
      <c r="F1345" s="3">
        <v>45848</v>
      </c>
      <c r="G1345">
        <v>202604</v>
      </c>
      <c r="H1345" t="s">
        <v>75</v>
      </c>
      <c r="I1345" t="s">
        <v>76</v>
      </c>
      <c r="J1345" t="s">
        <v>77</v>
      </c>
      <c r="K1345" t="s">
        <v>78</v>
      </c>
      <c r="L1345" t="s">
        <v>168</v>
      </c>
      <c r="M1345" t="s">
        <v>169</v>
      </c>
      <c r="N1345" t="s">
        <v>412</v>
      </c>
      <c r="O1345" t="s">
        <v>82</v>
      </c>
      <c r="P1345" t="str">
        <f>"4170047898                    "</f>
        <v xml:space="preserve">4170047898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22.6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0.3</v>
      </c>
      <c r="BK1345">
        <v>1</v>
      </c>
      <c r="BL1345">
        <v>71.2</v>
      </c>
      <c r="BM1345">
        <v>10.68</v>
      </c>
      <c r="BN1345">
        <v>81.88</v>
      </c>
      <c r="BO1345">
        <v>81.88</v>
      </c>
      <c r="BQ1345" t="s">
        <v>413</v>
      </c>
      <c r="BR1345" t="s">
        <v>84</v>
      </c>
      <c r="BS1345" s="3">
        <v>45849</v>
      </c>
      <c r="BT1345" s="4">
        <v>0.39513888888888887</v>
      </c>
      <c r="BU1345" t="s">
        <v>470</v>
      </c>
      <c r="BV1345" t="s">
        <v>98</v>
      </c>
      <c r="BY1345">
        <v>1350</v>
      </c>
      <c r="BZ1345" t="s">
        <v>89</v>
      </c>
      <c r="CA1345" t="s">
        <v>415</v>
      </c>
      <c r="CC1345" t="s">
        <v>169</v>
      </c>
      <c r="CD1345">
        <v>6001</v>
      </c>
      <c r="CE1345" t="s">
        <v>1868</v>
      </c>
      <c r="CF1345" s="3">
        <v>45849</v>
      </c>
      <c r="CI1345">
        <v>1</v>
      </c>
      <c r="CJ1345">
        <v>1</v>
      </c>
      <c r="CK1345">
        <v>21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"080066477189"</f>
        <v>080066477189</v>
      </c>
      <c r="F1346" s="3">
        <v>45848</v>
      </c>
      <c r="G1346">
        <v>202604</v>
      </c>
      <c r="H1346" t="s">
        <v>75</v>
      </c>
      <c r="I1346" t="s">
        <v>76</v>
      </c>
      <c r="J1346" t="s">
        <v>77</v>
      </c>
      <c r="K1346" t="s">
        <v>78</v>
      </c>
      <c r="L1346" t="s">
        <v>168</v>
      </c>
      <c r="M1346" t="s">
        <v>169</v>
      </c>
      <c r="N1346" t="s">
        <v>202</v>
      </c>
      <c r="O1346" t="s">
        <v>82</v>
      </c>
      <c r="P1346" t="str">
        <f>"4170047907                    "</f>
        <v xml:space="preserve">4170047907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22.6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0.3</v>
      </c>
      <c r="BK1346">
        <v>1</v>
      </c>
      <c r="BL1346">
        <v>71.2</v>
      </c>
      <c r="BM1346">
        <v>10.68</v>
      </c>
      <c r="BN1346">
        <v>81.88</v>
      </c>
      <c r="BO1346">
        <v>81.88</v>
      </c>
      <c r="BQ1346" t="s">
        <v>203</v>
      </c>
      <c r="BR1346" t="s">
        <v>84</v>
      </c>
      <c r="BS1346" s="3">
        <v>45849</v>
      </c>
      <c r="BT1346" s="4">
        <v>0.40069444444444446</v>
      </c>
      <c r="BU1346" t="s">
        <v>1127</v>
      </c>
      <c r="BV1346" t="s">
        <v>98</v>
      </c>
      <c r="BY1346">
        <v>1350</v>
      </c>
      <c r="BZ1346" t="s">
        <v>89</v>
      </c>
      <c r="CA1346" t="s">
        <v>205</v>
      </c>
      <c r="CC1346" t="s">
        <v>169</v>
      </c>
      <c r="CD1346">
        <v>6001</v>
      </c>
      <c r="CE1346" t="s">
        <v>1868</v>
      </c>
      <c r="CF1346" s="3">
        <v>45849</v>
      </c>
      <c r="CI1346">
        <v>1</v>
      </c>
      <c r="CJ1346">
        <v>1</v>
      </c>
      <c r="CK1346">
        <v>21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"080066477237"</f>
        <v>080066477237</v>
      </c>
      <c r="F1347" s="3">
        <v>45848</v>
      </c>
      <c r="G1347">
        <v>202604</v>
      </c>
      <c r="H1347" t="s">
        <v>75</v>
      </c>
      <c r="I1347" t="s">
        <v>76</v>
      </c>
      <c r="J1347" t="s">
        <v>77</v>
      </c>
      <c r="K1347" t="s">
        <v>78</v>
      </c>
      <c r="L1347" t="s">
        <v>240</v>
      </c>
      <c r="M1347" t="s">
        <v>241</v>
      </c>
      <c r="N1347" t="s">
        <v>610</v>
      </c>
      <c r="O1347" t="s">
        <v>82</v>
      </c>
      <c r="P1347" t="str">
        <f>"4170047867                    "</f>
        <v xml:space="preserve">4170047867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17.649999999999999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0.3</v>
      </c>
      <c r="BK1347">
        <v>1</v>
      </c>
      <c r="BL1347">
        <v>55.61</v>
      </c>
      <c r="BM1347">
        <v>8.34</v>
      </c>
      <c r="BN1347">
        <v>63.95</v>
      </c>
      <c r="BO1347">
        <v>63.95</v>
      </c>
      <c r="BQ1347" t="s">
        <v>611</v>
      </c>
      <c r="BR1347" t="s">
        <v>84</v>
      </c>
      <c r="BS1347" s="3">
        <v>45849</v>
      </c>
      <c r="BT1347" s="4">
        <v>0.42777777777777776</v>
      </c>
      <c r="BU1347" t="s">
        <v>1629</v>
      </c>
      <c r="BV1347" t="s">
        <v>98</v>
      </c>
      <c r="BY1347">
        <v>1350</v>
      </c>
      <c r="BZ1347" t="s">
        <v>89</v>
      </c>
      <c r="CA1347" t="s">
        <v>451</v>
      </c>
      <c r="CC1347" t="s">
        <v>241</v>
      </c>
      <c r="CD1347">
        <v>2197</v>
      </c>
      <c r="CE1347" t="s">
        <v>1868</v>
      </c>
      <c r="CF1347" s="3">
        <v>45849</v>
      </c>
      <c r="CI1347">
        <v>1</v>
      </c>
      <c r="CJ1347">
        <v>1</v>
      </c>
      <c r="CK1347">
        <v>22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"080066477412"</f>
        <v>080066477412</v>
      </c>
      <c r="F1348" s="3">
        <v>45848</v>
      </c>
      <c r="G1348">
        <v>202604</v>
      </c>
      <c r="H1348" t="s">
        <v>75</v>
      </c>
      <c r="I1348" t="s">
        <v>76</v>
      </c>
      <c r="J1348" t="s">
        <v>77</v>
      </c>
      <c r="K1348" t="s">
        <v>78</v>
      </c>
      <c r="L1348" t="s">
        <v>240</v>
      </c>
      <c r="M1348" t="s">
        <v>241</v>
      </c>
      <c r="N1348" t="s">
        <v>2027</v>
      </c>
      <c r="O1348" t="s">
        <v>82</v>
      </c>
      <c r="P1348" t="str">
        <f>"4170047945                    "</f>
        <v xml:space="preserve">4170047945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17.649999999999999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1.7</v>
      </c>
      <c r="BK1348">
        <v>2</v>
      </c>
      <c r="BL1348">
        <v>55.61</v>
      </c>
      <c r="BM1348">
        <v>8.34</v>
      </c>
      <c r="BN1348">
        <v>63.95</v>
      </c>
      <c r="BO1348">
        <v>63.95</v>
      </c>
      <c r="BQ1348" t="s">
        <v>2028</v>
      </c>
      <c r="BR1348" t="s">
        <v>84</v>
      </c>
      <c r="BS1348" s="3">
        <v>45849</v>
      </c>
      <c r="BT1348" s="4">
        <v>0.39374999999999999</v>
      </c>
      <c r="BU1348" t="s">
        <v>2029</v>
      </c>
      <c r="BV1348" t="s">
        <v>98</v>
      </c>
      <c r="BY1348">
        <v>8512</v>
      </c>
      <c r="BZ1348" t="s">
        <v>89</v>
      </c>
      <c r="CA1348" t="s">
        <v>451</v>
      </c>
      <c r="CC1348" t="s">
        <v>241</v>
      </c>
      <c r="CD1348">
        <v>2049</v>
      </c>
      <c r="CE1348" t="s">
        <v>117</v>
      </c>
      <c r="CF1348" s="3">
        <v>45849</v>
      </c>
      <c r="CI1348">
        <v>1</v>
      </c>
      <c r="CJ1348">
        <v>1</v>
      </c>
      <c r="CK1348">
        <v>22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"080066477448"</f>
        <v>080066477448</v>
      </c>
      <c r="F1349" s="3">
        <v>45848</v>
      </c>
      <c r="G1349">
        <v>202604</v>
      </c>
      <c r="H1349" t="s">
        <v>75</v>
      </c>
      <c r="I1349" t="s">
        <v>76</v>
      </c>
      <c r="J1349" t="s">
        <v>77</v>
      </c>
      <c r="K1349" t="s">
        <v>78</v>
      </c>
      <c r="L1349" t="s">
        <v>79</v>
      </c>
      <c r="M1349" t="s">
        <v>80</v>
      </c>
      <c r="N1349" t="s">
        <v>81</v>
      </c>
      <c r="O1349" t="s">
        <v>82</v>
      </c>
      <c r="P1349" t="str">
        <f>"4170048003                    "</f>
        <v xml:space="preserve">4170048003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67.760000000000005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6</v>
      </c>
      <c r="BJ1349">
        <v>5.0999999999999996</v>
      </c>
      <c r="BK1349">
        <v>6</v>
      </c>
      <c r="BL1349">
        <v>213.48</v>
      </c>
      <c r="BM1349">
        <v>32.020000000000003</v>
      </c>
      <c r="BN1349">
        <v>245.5</v>
      </c>
      <c r="BO1349">
        <v>245.5</v>
      </c>
      <c r="BQ1349" t="s">
        <v>83</v>
      </c>
      <c r="BR1349" t="s">
        <v>84</v>
      </c>
      <c r="BS1349" s="3">
        <v>45849</v>
      </c>
      <c r="BT1349" s="4">
        <v>0.51875000000000004</v>
      </c>
      <c r="BU1349" t="s">
        <v>85</v>
      </c>
      <c r="BV1349" t="s">
        <v>86</v>
      </c>
      <c r="BW1349" t="s">
        <v>87</v>
      </c>
      <c r="BX1349" t="s">
        <v>88</v>
      </c>
      <c r="BY1349">
        <v>25272</v>
      </c>
      <c r="BZ1349" t="s">
        <v>89</v>
      </c>
      <c r="CA1349" t="s">
        <v>90</v>
      </c>
      <c r="CC1349" t="s">
        <v>80</v>
      </c>
      <c r="CD1349">
        <v>7550</v>
      </c>
      <c r="CE1349" t="s">
        <v>91</v>
      </c>
      <c r="CF1349" s="3">
        <v>45852</v>
      </c>
      <c r="CI1349">
        <v>1</v>
      </c>
      <c r="CJ1349">
        <v>1</v>
      </c>
      <c r="CK1349">
        <v>21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"080066477480"</f>
        <v>080066477480</v>
      </c>
      <c r="F1350" s="3">
        <v>45848</v>
      </c>
      <c r="G1350">
        <v>202604</v>
      </c>
      <c r="H1350" t="s">
        <v>75</v>
      </c>
      <c r="I1350" t="s">
        <v>76</v>
      </c>
      <c r="J1350" t="s">
        <v>77</v>
      </c>
      <c r="K1350" t="s">
        <v>78</v>
      </c>
      <c r="L1350" t="s">
        <v>452</v>
      </c>
      <c r="M1350" t="s">
        <v>453</v>
      </c>
      <c r="N1350" t="s">
        <v>1321</v>
      </c>
      <c r="O1350" t="s">
        <v>82</v>
      </c>
      <c r="P1350" t="str">
        <f>"4170047984                    "</f>
        <v xml:space="preserve">4170047984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17.649999999999999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5</v>
      </c>
      <c r="BK1350">
        <v>5</v>
      </c>
      <c r="BL1350">
        <v>55.61</v>
      </c>
      <c r="BM1350">
        <v>8.34</v>
      </c>
      <c r="BN1350">
        <v>63.95</v>
      </c>
      <c r="BO1350">
        <v>63.95</v>
      </c>
      <c r="BQ1350" t="s">
        <v>1322</v>
      </c>
      <c r="BR1350" t="s">
        <v>84</v>
      </c>
      <c r="BS1350" s="3">
        <v>45849</v>
      </c>
      <c r="BT1350" s="4">
        <v>0.35416666666666669</v>
      </c>
      <c r="BU1350" t="s">
        <v>1973</v>
      </c>
      <c r="BV1350" t="s">
        <v>98</v>
      </c>
      <c r="BY1350">
        <v>25200</v>
      </c>
      <c r="BZ1350" t="s">
        <v>89</v>
      </c>
      <c r="CA1350" t="s">
        <v>1541</v>
      </c>
      <c r="CC1350" t="s">
        <v>453</v>
      </c>
      <c r="CD1350">
        <v>1559</v>
      </c>
      <c r="CE1350" t="s">
        <v>91</v>
      </c>
      <c r="CF1350" s="3">
        <v>45850</v>
      </c>
      <c r="CI1350">
        <v>1</v>
      </c>
      <c r="CJ1350">
        <v>1</v>
      </c>
      <c r="CK1350">
        <v>22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"080066477481"</f>
        <v>080066477481</v>
      </c>
      <c r="F1351" s="3">
        <v>45848</v>
      </c>
      <c r="G1351">
        <v>202604</v>
      </c>
      <c r="H1351" t="s">
        <v>75</v>
      </c>
      <c r="I1351" t="s">
        <v>76</v>
      </c>
      <c r="J1351" t="s">
        <v>77</v>
      </c>
      <c r="K1351" t="s">
        <v>78</v>
      </c>
      <c r="L1351" t="s">
        <v>79</v>
      </c>
      <c r="M1351" t="s">
        <v>80</v>
      </c>
      <c r="N1351" t="s">
        <v>188</v>
      </c>
      <c r="O1351" t="s">
        <v>82</v>
      </c>
      <c r="P1351" t="str">
        <f>"4170047936                    "</f>
        <v xml:space="preserve">4170047936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22.6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0.3</v>
      </c>
      <c r="BK1351">
        <v>1</v>
      </c>
      <c r="BL1351">
        <v>71.2</v>
      </c>
      <c r="BM1351">
        <v>10.68</v>
      </c>
      <c r="BN1351">
        <v>81.88</v>
      </c>
      <c r="BO1351">
        <v>81.88</v>
      </c>
      <c r="BQ1351" t="s">
        <v>189</v>
      </c>
      <c r="BR1351" t="s">
        <v>84</v>
      </c>
      <c r="BS1351" s="3">
        <v>45849</v>
      </c>
      <c r="BT1351" s="4">
        <v>0.36458333333333331</v>
      </c>
      <c r="BU1351" t="s">
        <v>1216</v>
      </c>
      <c r="BV1351" t="s">
        <v>98</v>
      </c>
      <c r="BY1351">
        <v>1350</v>
      </c>
      <c r="BZ1351" t="s">
        <v>89</v>
      </c>
      <c r="CA1351" t="s">
        <v>144</v>
      </c>
      <c r="CC1351" t="s">
        <v>80</v>
      </c>
      <c r="CD1351">
        <v>7441</v>
      </c>
      <c r="CE1351" t="s">
        <v>1868</v>
      </c>
      <c r="CF1351" s="3">
        <v>45852</v>
      </c>
      <c r="CI1351">
        <v>1</v>
      </c>
      <c r="CJ1351">
        <v>1</v>
      </c>
      <c r="CK1351">
        <v>21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"080066477500"</f>
        <v>080066477500</v>
      </c>
      <c r="F1352" s="3">
        <v>45848</v>
      </c>
      <c r="G1352">
        <v>202604</v>
      </c>
      <c r="H1352" t="s">
        <v>75</v>
      </c>
      <c r="I1352" t="s">
        <v>76</v>
      </c>
      <c r="J1352" t="s">
        <v>77</v>
      </c>
      <c r="K1352" t="s">
        <v>78</v>
      </c>
      <c r="L1352" t="s">
        <v>168</v>
      </c>
      <c r="M1352" t="s">
        <v>169</v>
      </c>
      <c r="N1352" t="s">
        <v>202</v>
      </c>
      <c r="O1352" t="s">
        <v>82</v>
      </c>
      <c r="P1352" t="str">
        <f>"4170047906                    "</f>
        <v xml:space="preserve">4170047906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22.6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0.3</v>
      </c>
      <c r="BK1352">
        <v>1</v>
      </c>
      <c r="BL1352">
        <v>71.2</v>
      </c>
      <c r="BM1352">
        <v>10.68</v>
      </c>
      <c r="BN1352">
        <v>81.88</v>
      </c>
      <c r="BO1352">
        <v>81.88</v>
      </c>
      <c r="BQ1352" t="s">
        <v>203</v>
      </c>
      <c r="BR1352" t="s">
        <v>84</v>
      </c>
      <c r="BS1352" s="3">
        <v>45849</v>
      </c>
      <c r="BT1352" s="4">
        <v>0.40208333333333335</v>
      </c>
      <c r="BU1352" t="s">
        <v>1127</v>
      </c>
      <c r="BV1352" t="s">
        <v>98</v>
      </c>
      <c r="BY1352">
        <v>1350</v>
      </c>
      <c r="BZ1352" t="s">
        <v>89</v>
      </c>
      <c r="CA1352" t="s">
        <v>205</v>
      </c>
      <c r="CC1352" t="s">
        <v>169</v>
      </c>
      <c r="CD1352">
        <v>6001</v>
      </c>
      <c r="CE1352" t="s">
        <v>1868</v>
      </c>
      <c r="CF1352" s="3">
        <v>45849</v>
      </c>
      <c r="CI1352">
        <v>1</v>
      </c>
      <c r="CJ1352">
        <v>1</v>
      </c>
      <c r="CK1352">
        <v>21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"080066477535"</f>
        <v>080066477535</v>
      </c>
      <c r="F1353" s="3">
        <v>45848</v>
      </c>
      <c r="G1353">
        <v>202604</v>
      </c>
      <c r="H1353" t="s">
        <v>75</v>
      </c>
      <c r="I1353" t="s">
        <v>76</v>
      </c>
      <c r="J1353" t="s">
        <v>77</v>
      </c>
      <c r="K1353" t="s">
        <v>78</v>
      </c>
      <c r="L1353" t="s">
        <v>277</v>
      </c>
      <c r="M1353" t="s">
        <v>278</v>
      </c>
      <c r="N1353" t="s">
        <v>279</v>
      </c>
      <c r="O1353" t="s">
        <v>82</v>
      </c>
      <c r="P1353" t="str">
        <f>"4170048105                    "</f>
        <v xml:space="preserve">4170048105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22.6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0.3</v>
      </c>
      <c r="BK1353">
        <v>1</v>
      </c>
      <c r="BL1353">
        <v>71.2</v>
      </c>
      <c r="BM1353">
        <v>10.68</v>
      </c>
      <c r="BN1353">
        <v>81.88</v>
      </c>
      <c r="BO1353">
        <v>81.88</v>
      </c>
      <c r="BQ1353" t="s">
        <v>280</v>
      </c>
      <c r="BR1353" t="s">
        <v>84</v>
      </c>
      <c r="BS1353" s="3">
        <v>45849</v>
      </c>
      <c r="BT1353" s="4">
        <v>0.39652777777777776</v>
      </c>
      <c r="BU1353" t="s">
        <v>1124</v>
      </c>
      <c r="BV1353" t="s">
        <v>98</v>
      </c>
      <c r="BY1353">
        <v>1350</v>
      </c>
      <c r="BZ1353" t="s">
        <v>89</v>
      </c>
      <c r="CA1353" t="s">
        <v>282</v>
      </c>
      <c r="CC1353" t="s">
        <v>278</v>
      </c>
      <c r="CD1353">
        <v>6230</v>
      </c>
      <c r="CE1353" t="s">
        <v>1868</v>
      </c>
      <c r="CF1353" s="3">
        <v>45849</v>
      </c>
      <c r="CI1353">
        <v>1</v>
      </c>
      <c r="CJ1353">
        <v>1</v>
      </c>
      <c r="CK1353">
        <v>21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"080066477606"</f>
        <v>080066477606</v>
      </c>
      <c r="F1354" s="3">
        <v>45848</v>
      </c>
      <c r="G1354">
        <v>202604</v>
      </c>
      <c r="H1354" t="s">
        <v>75</v>
      </c>
      <c r="I1354" t="s">
        <v>76</v>
      </c>
      <c r="J1354" t="s">
        <v>77</v>
      </c>
      <c r="K1354" t="s">
        <v>78</v>
      </c>
      <c r="L1354" t="s">
        <v>79</v>
      </c>
      <c r="M1354" t="s">
        <v>80</v>
      </c>
      <c r="N1354" t="s">
        <v>141</v>
      </c>
      <c r="O1354" t="s">
        <v>82</v>
      </c>
      <c r="P1354" t="str">
        <f>"4170047894                    "</f>
        <v xml:space="preserve">4170047894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22.6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0.3</v>
      </c>
      <c r="BK1354">
        <v>1</v>
      </c>
      <c r="BL1354">
        <v>71.2</v>
      </c>
      <c r="BM1354">
        <v>10.68</v>
      </c>
      <c r="BN1354">
        <v>81.88</v>
      </c>
      <c r="BO1354">
        <v>81.88</v>
      </c>
      <c r="BQ1354" t="s">
        <v>142</v>
      </c>
      <c r="BR1354" t="s">
        <v>84</v>
      </c>
      <c r="BS1354" s="3">
        <v>45849</v>
      </c>
      <c r="BT1354" s="4">
        <v>0.39861111111111114</v>
      </c>
      <c r="BU1354" t="s">
        <v>143</v>
      </c>
      <c r="BV1354" t="s">
        <v>98</v>
      </c>
      <c r="BY1354">
        <v>1350</v>
      </c>
      <c r="BZ1354" t="s">
        <v>89</v>
      </c>
      <c r="CA1354" t="s">
        <v>144</v>
      </c>
      <c r="CC1354" t="s">
        <v>80</v>
      </c>
      <c r="CD1354">
        <v>7441</v>
      </c>
      <c r="CE1354" t="s">
        <v>1868</v>
      </c>
      <c r="CF1354" s="3">
        <v>45852</v>
      </c>
      <c r="CI1354">
        <v>1</v>
      </c>
      <c r="CJ1354">
        <v>1</v>
      </c>
      <c r="CK1354">
        <v>21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"080066477698"</f>
        <v>080066477698</v>
      </c>
      <c r="F1355" s="3">
        <v>45848</v>
      </c>
      <c r="G1355">
        <v>202604</v>
      </c>
      <c r="H1355" t="s">
        <v>75</v>
      </c>
      <c r="I1355" t="s">
        <v>76</v>
      </c>
      <c r="J1355" t="s">
        <v>77</v>
      </c>
      <c r="K1355" t="s">
        <v>78</v>
      </c>
      <c r="L1355" t="s">
        <v>168</v>
      </c>
      <c r="M1355" t="s">
        <v>169</v>
      </c>
      <c r="N1355" t="s">
        <v>202</v>
      </c>
      <c r="O1355" t="s">
        <v>82</v>
      </c>
      <c r="P1355" t="str">
        <f>"4170047904                    "</f>
        <v xml:space="preserve">4170047904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22.6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0.3</v>
      </c>
      <c r="BK1355">
        <v>1</v>
      </c>
      <c r="BL1355">
        <v>71.2</v>
      </c>
      <c r="BM1355">
        <v>10.68</v>
      </c>
      <c r="BN1355">
        <v>81.88</v>
      </c>
      <c r="BO1355">
        <v>81.88</v>
      </c>
      <c r="BQ1355" t="s">
        <v>203</v>
      </c>
      <c r="BR1355" t="s">
        <v>84</v>
      </c>
      <c r="BS1355" s="3">
        <v>45849</v>
      </c>
      <c r="BT1355" s="4">
        <v>0.40277777777777779</v>
      </c>
      <c r="BU1355" t="s">
        <v>1127</v>
      </c>
      <c r="BV1355" t="s">
        <v>98</v>
      </c>
      <c r="BY1355">
        <v>1350</v>
      </c>
      <c r="BZ1355" t="s">
        <v>89</v>
      </c>
      <c r="CA1355" t="s">
        <v>205</v>
      </c>
      <c r="CC1355" t="s">
        <v>169</v>
      </c>
      <c r="CD1355">
        <v>6001</v>
      </c>
      <c r="CE1355" t="s">
        <v>1868</v>
      </c>
      <c r="CF1355" s="3">
        <v>45849</v>
      </c>
      <c r="CI1355">
        <v>1</v>
      </c>
      <c r="CJ1355">
        <v>1</v>
      </c>
      <c r="CK1355">
        <v>21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"080066477719"</f>
        <v>080066477719</v>
      </c>
      <c r="F1356" s="3">
        <v>45848</v>
      </c>
      <c r="G1356">
        <v>202604</v>
      </c>
      <c r="H1356" t="s">
        <v>75</v>
      </c>
      <c r="I1356" t="s">
        <v>76</v>
      </c>
      <c r="J1356" t="s">
        <v>77</v>
      </c>
      <c r="K1356" t="s">
        <v>78</v>
      </c>
      <c r="L1356" t="s">
        <v>168</v>
      </c>
      <c r="M1356" t="s">
        <v>169</v>
      </c>
      <c r="N1356" t="s">
        <v>487</v>
      </c>
      <c r="O1356" t="s">
        <v>82</v>
      </c>
      <c r="P1356" t="str">
        <f>"4170047948                    "</f>
        <v xml:space="preserve">4170047948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22.6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0.3</v>
      </c>
      <c r="BK1356">
        <v>1</v>
      </c>
      <c r="BL1356">
        <v>71.2</v>
      </c>
      <c r="BM1356">
        <v>10.68</v>
      </c>
      <c r="BN1356">
        <v>81.88</v>
      </c>
      <c r="BO1356">
        <v>81.88</v>
      </c>
      <c r="BQ1356" t="s">
        <v>488</v>
      </c>
      <c r="BR1356" t="s">
        <v>84</v>
      </c>
      <c r="BS1356" s="3">
        <v>45849</v>
      </c>
      <c r="BT1356" s="4">
        <v>0.4236111111111111</v>
      </c>
      <c r="BU1356" t="s">
        <v>1844</v>
      </c>
      <c r="BV1356" t="s">
        <v>98</v>
      </c>
      <c r="BY1356">
        <v>1350</v>
      </c>
      <c r="BZ1356" t="s">
        <v>89</v>
      </c>
      <c r="CA1356" t="s">
        <v>415</v>
      </c>
      <c r="CC1356" t="s">
        <v>169</v>
      </c>
      <c r="CD1356">
        <v>6012</v>
      </c>
      <c r="CE1356" t="s">
        <v>1868</v>
      </c>
      <c r="CF1356" s="3">
        <v>45849</v>
      </c>
      <c r="CI1356">
        <v>1</v>
      </c>
      <c r="CJ1356">
        <v>1</v>
      </c>
      <c r="CK1356">
        <v>21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"080066477723"</f>
        <v>080066477723</v>
      </c>
      <c r="F1357" s="3">
        <v>45848</v>
      </c>
      <c r="G1357">
        <v>202604</v>
      </c>
      <c r="H1357" t="s">
        <v>75</v>
      </c>
      <c r="I1357" t="s">
        <v>76</v>
      </c>
      <c r="J1357" t="s">
        <v>77</v>
      </c>
      <c r="K1357" t="s">
        <v>78</v>
      </c>
      <c r="L1357" t="s">
        <v>151</v>
      </c>
      <c r="M1357" t="s">
        <v>152</v>
      </c>
      <c r="N1357" t="s">
        <v>2030</v>
      </c>
      <c r="O1357" t="s">
        <v>82</v>
      </c>
      <c r="P1357" t="str">
        <f>"4170048048                    "</f>
        <v xml:space="preserve">4170048048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22.6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71.2</v>
      </c>
      <c r="BM1357">
        <v>10.68</v>
      </c>
      <c r="BN1357">
        <v>81.88</v>
      </c>
      <c r="BO1357">
        <v>81.88</v>
      </c>
      <c r="BQ1357" t="s">
        <v>2031</v>
      </c>
      <c r="BR1357" t="s">
        <v>84</v>
      </c>
      <c r="BS1357" s="3">
        <v>45849</v>
      </c>
      <c r="BT1357" s="4">
        <v>0.38819444444444445</v>
      </c>
      <c r="BU1357" t="s">
        <v>2032</v>
      </c>
      <c r="BV1357" t="s">
        <v>98</v>
      </c>
      <c r="BY1357">
        <v>1200</v>
      </c>
      <c r="BZ1357" t="s">
        <v>89</v>
      </c>
      <c r="CA1357" t="s">
        <v>275</v>
      </c>
      <c r="CC1357" t="s">
        <v>152</v>
      </c>
      <c r="CD1357" s="5" t="s">
        <v>1141</v>
      </c>
      <c r="CE1357" t="s">
        <v>239</v>
      </c>
      <c r="CF1357" s="3">
        <v>45849</v>
      </c>
      <c r="CI1357">
        <v>1</v>
      </c>
      <c r="CJ1357">
        <v>1</v>
      </c>
      <c r="CK1357">
        <v>21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"080066477758"</f>
        <v>080066477758</v>
      </c>
      <c r="F1358" s="3">
        <v>45848</v>
      </c>
      <c r="G1358">
        <v>202604</v>
      </c>
      <c r="H1358" t="s">
        <v>75</v>
      </c>
      <c r="I1358" t="s">
        <v>76</v>
      </c>
      <c r="J1358" t="s">
        <v>77</v>
      </c>
      <c r="K1358" t="s">
        <v>78</v>
      </c>
      <c r="L1358" t="s">
        <v>240</v>
      </c>
      <c r="M1358" t="s">
        <v>241</v>
      </c>
      <c r="N1358" t="s">
        <v>447</v>
      </c>
      <c r="O1358" t="s">
        <v>82</v>
      </c>
      <c r="P1358" t="str">
        <f>"4170047895                    "</f>
        <v xml:space="preserve">4170047895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17.649999999999999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55.61</v>
      </c>
      <c r="BM1358">
        <v>8.34</v>
      </c>
      <c r="BN1358">
        <v>63.95</v>
      </c>
      <c r="BO1358">
        <v>63.95</v>
      </c>
      <c r="BQ1358" t="s">
        <v>448</v>
      </c>
      <c r="BR1358" t="s">
        <v>84</v>
      </c>
      <c r="BS1358" s="3">
        <v>45849</v>
      </c>
      <c r="BT1358" s="4">
        <v>0.38263888888888886</v>
      </c>
      <c r="BU1358" t="s">
        <v>449</v>
      </c>
      <c r="BV1358" t="s">
        <v>98</v>
      </c>
      <c r="BY1358">
        <v>1200</v>
      </c>
      <c r="BZ1358" t="s">
        <v>89</v>
      </c>
      <c r="CA1358" t="s">
        <v>451</v>
      </c>
      <c r="CC1358" t="s">
        <v>241</v>
      </c>
      <c r="CD1358">
        <v>2094</v>
      </c>
      <c r="CE1358" t="s">
        <v>239</v>
      </c>
      <c r="CF1358" s="3">
        <v>45849</v>
      </c>
      <c r="CI1358">
        <v>1</v>
      </c>
      <c r="CJ1358">
        <v>1</v>
      </c>
      <c r="CK1358">
        <v>22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"080066477761"</f>
        <v>080066477761</v>
      </c>
      <c r="F1359" s="3">
        <v>45848</v>
      </c>
      <c r="G1359">
        <v>202604</v>
      </c>
      <c r="H1359" t="s">
        <v>75</v>
      </c>
      <c r="I1359" t="s">
        <v>76</v>
      </c>
      <c r="J1359" t="s">
        <v>77</v>
      </c>
      <c r="K1359" t="s">
        <v>78</v>
      </c>
      <c r="L1359" t="s">
        <v>240</v>
      </c>
      <c r="M1359" t="s">
        <v>241</v>
      </c>
      <c r="N1359" t="s">
        <v>242</v>
      </c>
      <c r="O1359" t="s">
        <v>82</v>
      </c>
      <c r="P1359" t="str">
        <f>"4170047915                    "</f>
        <v xml:space="preserve">4170047915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17.649999999999999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0.3</v>
      </c>
      <c r="BK1359">
        <v>1</v>
      </c>
      <c r="BL1359">
        <v>55.61</v>
      </c>
      <c r="BM1359">
        <v>8.34</v>
      </c>
      <c r="BN1359">
        <v>63.95</v>
      </c>
      <c r="BO1359">
        <v>63.95</v>
      </c>
      <c r="BQ1359" t="s">
        <v>243</v>
      </c>
      <c r="BR1359" t="s">
        <v>84</v>
      </c>
      <c r="BS1359" s="3">
        <v>45849</v>
      </c>
      <c r="BT1359" s="4">
        <v>0.34027777777777779</v>
      </c>
      <c r="BU1359" t="s">
        <v>244</v>
      </c>
      <c r="BV1359" t="s">
        <v>98</v>
      </c>
      <c r="BY1359">
        <v>1350</v>
      </c>
      <c r="BZ1359" t="s">
        <v>89</v>
      </c>
      <c r="CA1359" t="s">
        <v>245</v>
      </c>
      <c r="CC1359" t="s">
        <v>241</v>
      </c>
      <c r="CD1359">
        <v>2091</v>
      </c>
      <c r="CE1359" t="s">
        <v>1868</v>
      </c>
      <c r="CF1359" s="3">
        <v>45850</v>
      </c>
      <c r="CI1359">
        <v>1</v>
      </c>
      <c r="CJ1359">
        <v>1</v>
      </c>
      <c r="CK1359">
        <v>22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"080066477796"</f>
        <v>080066477796</v>
      </c>
      <c r="F1360" s="3">
        <v>45848</v>
      </c>
      <c r="G1360">
        <v>202604</v>
      </c>
      <c r="H1360" t="s">
        <v>75</v>
      </c>
      <c r="I1360" t="s">
        <v>76</v>
      </c>
      <c r="J1360" t="s">
        <v>77</v>
      </c>
      <c r="K1360" t="s">
        <v>78</v>
      </c>
      <c r="L1360" t="s">
        <v>135</v>
      </c>
      <c r="M1360" t="s">
        <v>136</v>
      </c>
      <c r="N1360" t="s">
        <v>482</v>
      </c>
      <c r="O1360" t="s">
        <v>82</v>
      </c>
      <c r="P1360" t="str">
        <f>"4170047947                    "</f>
        <v xml:space="preserve">4170047947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0.3</v>
      </c>
      <c r="BK1360">
        <v>1</v>
      </c>
      <c r="BL1360">
        <v>71.2</v>
      </c>
      <c r="BM1360">
        <v>10.68</v>
      </c>
      <c r="BN1360">
        <v>81.88</v>
      </c>
      <c r="BO1360">
        <v>81.88</v>
      </c>
      <c r="BQ1360" t="s">
        <v>483</v>
      </c>
      <c r="BR1360" t="s">
        <v>84</v>
      </c>
      <c r="BS1360" s="3">
        <v>45852</v>
      </c>
      <c r="BT1360" s="4">
        <v>0.49305555555555558</v>
      </c>
      <c r="BU1360" t="s">
        <v>2033</v>
      </c>
      <c r="BV1360" t="s">
        <v>86</v>
      </c>
      <c r="BY1360">
        <v>1350</v>
      </c>
      <c r="BZ1360" t="s">
        <v>89</v>
      </c>
      <c r="CA1360" t="s">
        <v>522</v>
      </c>
      <c r="CC1360" t="s">
        <v>136</v>
      </c>
      <c r="CD1360">
        <v>3201</v>
      </c>
      <c r="CE1360" t="s">
        <v>1868</v>
      </c>
      <c r="CF1360" s="3">
        <v>45853</v>
      </c>
      <c r="CI1360">
        <v>1</v>
      </c>
      <c r="CJ1360">
        <v>2</v>
      </c>
      <c r="CK1360">
        <v>21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"080066477795"</f>
        <v>080066477795</v>
      </c>
      <c r="F1361" s="3">
        <v>45848</v>
      </c>
      <c r="G1361">
        <v>202604</v>
      </c>
      <c r="H1361" t="s">
        <v>75</v>
      </c>
      <c r="I1361" t="s">
        <v>76</v>
      </c>
      <c r="J1361" t="s">
        <v>77</v>
      </c>
      <c r="K1361" t="s">
        <v>78</v>
      </c>
      <c r="L1361" t="s">
        <v>79</v>
      </c>
      <c r="M1361" t="s">
        <v>80</v>
      </c>
      <c r="N1361" t="s">
        <v>286</v>
      </c>
      <c r="O1361" t="s">
        <v>82</v>
      </c>
      <c r="P1361" t="str">
        <f>"4170048018                    "</f>
        <v xml:space="preserve">4170048018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22.6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71.2</v>
      </c>
      <c r="BM1361">
        <v>10.68</v>
      </c>
      <c r="BN1361">
        <v>81.88</v>
      </c>
      <c r="BO1361">
        <v>81.88</v>
      </c>
      <c r="BQ1361" t="s">
        <v>287</v>
      </c>
      <c r="BR1361" t="s">
        <v>84</v>
      </c>
      <c r="BS1361" s="3">
        <v>45849</v>
      </c>
      <c r="BT1361" s="4">
        <v>0.33611111111111114</v>
      </c>
      <c r="BU1361" t="s">
        <v>1965</v>
      </c>
      <c r="BV1361" t="s">
        <v>98</v>
      </c>
      <c r="BY1361">
        <v>1200</v>
      </c>
      <c r="BZ1361" t="s">
        <v>89</v>
      </c>
      <c r="CA1361" t="s">
        <v>289</v>
      </c>
      <c r="CC1361" t="s">
        <v>80</v>
      </c>
      <c r="CD1361">
        <v>7530</v>
      </c>
      <c r="CE1361" t="s">
        <v>239</v>
      </c>
      <c r="CF1361" s="3">
        <v>45852</v>
      </c>
      <c r="CI1361">
        <v>1</v>
      </c>
      <c r="CJ1361">
        <v>1</v>
      </c>
      <c r="CK1361">
        <v>21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"080066477814"</f>
        <v>080066477814</v>
      </c>
      <c r="F1362" s="3">
        <v>45848</v>
      </c>
      <c r="G1362">
        <v>202604</v>
      </c>
      <c r="H1362" t="s">
        <v>75</v>
      </c>
      <c r="I1362" t="s">
        <v>76</v>
      </c>
      <c r="J1362" t="s">
        <v>77</v>
      </c>
      <c r="K1362" t="s">
        <v>78</v>
      </c>
      <c r="L1362" t="s">
        <v>79</v>
      </c>
      <c r="M1362" t="s">
        <v>80</v>
      </c>
      <c r="N1362" t="s">
        <v>141</v>
      </c>
      <c r="O1362" t="s">
        <v>82</v>
      </c>
      <c r="P1362" t="str">
        <f>"4170047765                    "</f>
        <v xml:space="preserve">4170047765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22.6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71.2</v>
      </c>
      <c r="BM1362">
        <v>10.68</v>
      </c>
      <c r="BN1362">
        <v>81.88</v>
      </c>
      <c r="BO1362">
        <v>81.88</v>
      </c>
      <c r="BQ1362" t="s">
        <v>142</v>
      </c>
      <c r="BR1362" t="s">
        <v>84</v>
      </c>
      <c r="BS1362" s="3">
        <v>45849</v>
      </c>
      <c r="BT1362" s="4">
        <v>0.39861111111111114</v>
      </c>
      <c r="BU1362" t="s">
        <v>143</v>
      </c>
      <c r="BV1362" t="s">
        <v>98</v>
      </c>
      <c r="BY1362">
        <v>1200</v>
      </c>
      <c r="BZ1362" t="s">
        <v>89</v>
      </c>
      <c r="CA1362" t="s">
        <v>144</v>
      </c>
      <c r="CC1362" t="s">
        <v>80</v>
      </c>
      <c r="CD1362">
        <v>7441</v>
      </c>
      <c r="CE1362" t="s">
        <v>239</v>
      </c>
      <c r="CF1362" s="3">
        <v>45852</v>
      </c>
      <c r="CI1362">
        <v>1</v>
      </c>
      <c r="CJ1362">
        <v>1</v>
      </c>
      <c r="CK1362">
        <v>21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"080066477818"</f>
        <v>080066477818</v>
      </c>
      <c r="F1363" s="3">
        <v>45848</v>
      </c>
      <c r="G1363">
        <v>202604</v>
      </c>
      <c r="H1363" t="s">
        <v>75</v>
      </c>
      <c r="I1363" t="s">
        <v>76</v>
      </c>
      <c r="J1363" t="s">
        <v>77</v>
      </c>
      <c r="K1363" t="s">
        <v>78</v>
      </c>
      <c r="L1363" t="s">
        <v>197</v>
      </c>
      <c r="M1363" t="s">
        <v>198</v>
      </c>
      <c r="N1363" t="s">
        <v>1209</v>
      </c>
      <c r="O1363" t="s">
        <v>82</v>
      </c>
      <c r="P1363" t="str">
        <f>"4170047886                    "</f>
        <v xml:space="preserve">4170047886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17.649999999999999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0.3</v>
      </c>
      <c r="BK1363">
        <v>1</v>
      </c>
      <c r="BL1363">
        <v>55.61</v>
      </c>
      <c r="BM1363">
        <v>8.34</v>
      </c>
      <c r="BN1363">
        <v>63.95</v>
      </c>
      <c r="BO1363">
        <v>63.95</v>
      </c>
      <c r="BQ1363" t="s">
        <v>1210</v>
      </c>
      <c r="BR1363" t="s">
        <v>84</v>
      </c>
      <c r="BS1363" s="3">
        <v>45849</v>
      </c>
      <c r="BT1363" s="4">
        <v>0.38194444444444442</v>
      </c>
      <c r="BU1363" t="s">
        <v>2034</v>
      </c>
      <c r="BV1363" t="s">
        <v>98</v>
      </c>
      <c r="BY1363">
        <v>1350</v>
      </c>
      <c r="BZ1363" t="s">
        <v>89</v>
      </c>
      <c r="CA1363" t="s">
        <v>1799</v>
      </c>
      <c r="CC1363" t="s">
        <v>198</v>
      </c>
      <c r="CD1363">
        <v>1406</v>
      </c>
      <c r="CE1363" t="s">
        <v>1868</v>
      </c>
      <c r="CF1363" s="3">
        <v>45850</v>
      </c>
      <c r="CI1363">
        <v>1</v>
      </c>
      <c r="CJ1363">
        <v>1</v>
      </c>
      <c r="CK1363">
        <v>22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"080066477834"</f>
        <v>080066477834</v>
      </c>
      <c r="F1364" s="3">
        <v>45848</v>
      </c>
      <c r="G1364">
        <v>202604</v>
      </c>
      <c r="H1364" t="s">
        <v>75</v>
      </c>
      <c r="I1364" t="s">
        <v>76</v>
      </c>
      <c r="J1364" t="s">
        <v>77</v>
      </c>
      <c r="K1364" t="s">
        <v>78</v>
      </c>
      <c r="L1364" t="s">
        <v>146</v>
      </c>
      <c r="M1364" t="s">
        <v>146</v>
      </c>
      <c r="N1364" t="s">
        <v>633</v>
      </c>
      <c r="O1364" t="s">
        <v>82</v>
      </c>
      <c r="P1364" t="str">
        <f>"4170047875                    "</f>
        <v xml:space="preserve">4170047875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43.78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0.3</v>
      </c>
      <c r="BK1364">
        <v>1</v>
      </c>
      <c r="BL1364">
        <v>137.94</v>
      </c>
      <c r="BM1364">
        <v>20.69</v>
      </c>
      <c r="BN1364">
        <v>158.63</v>
      </c>
      <c r="BO1364">
        <v>158.63</v>
      </c>
      <c r="BQ1364" t="s">
        <v>634</v>
      </c>
      <c r="BR1364" t="s">
        <v>84</v>
      </c>
      <c r="BS1364" s="3">
        <v>45849</v>
      </c>
      <c r="BT1364" s="4">
        <v>0.53888888888888886</v>
      </c>
      <c r="BU1364" t="s">
        <v>1907</v>
      </c>
      <c r="BV1364" t="s">
        <v>98</v>
      </c>
      <c r="BY1364">
        <v>1350</v>
      </c>
      <c r="BZ1364" t="s">
        <v>89</v>
      </c>
      <c r="CA1364" t="s">
        <v>150</v>
      </c>
      <c r="CC1364" t="s">
        <v>146</v>
      </c>
      <c r="CD1364">
        <v>7646</v>
      </c>
      <c r="CE1364" t="s">
        <v>1868</v>
      </c>
      <c r="CF1364" s="3">
        <v>45853</v>
      </c>
      <c r="CI1364">
        <v>1</v>
      </c>
      <c r="CJ1364">
        <v>1</v>
      </c>
      <c r="CK1364">
        <v>23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"080066477838"</f>
        <v>080066477838</v>
      </c>
      <c r="F1365" s="3">
        <v>45848</v>
      </c>
      <c r="G1365">
        <v>202604</v>
      </c>
      <c r="H1365" t="s">
        <v>75</v>
      </c>
      <c r="I1365" t="s">
        <v>76</v>
      </c>
      <c r="J1365" t="s">
        <v>77</v>
      </c>
      <c r="K1365" t="s">
        <v>78</v>
      </c>
      <c r="L1365" t="s">
        <v>295</v>
      </c>
      <c r="M1365" t="s">
        <v>296</v>
      </c>
      <c r="N1365" t="s">
        <v>1837</v>
      </c>
      <c r="O1365" t="s">
        <v>82</v>
      </c>
      <c r="P1365" t="str">
        <f>"4170047905                    "</f>
        <v xml:space="preserve">4170047905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17.649999999999999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55.61</v>
      </c>
      <c r="BM1365">
        <v>8.34</v>
      </c>
      <c r="BN1365">
        <v>63.95</v>
      </c>
      <c r="BO1365">
        <v>63.95</v>
      </c>
      <c r="BQ1365" t="s">
        <v>1838</v>
      </c>
      <c r="BR1365" t="s">
        <v>84</v>
      </c>
      <c r="BS1365" s="3">
        <v>45849</v>
      </c>
      <c r="BT1365" s="4">
        <v>0.34861111111111109</v>
      </c>
      <c r="BU1365" t="s">
        <v>1707</v>
      </c>
      <c r="BV1365" t="s">
        <v>98</v>
      </c>
      <c r="BY1365">
        <v>1200</v>
      </c>
      <c r="BZ1365" t="s">
        <v>89</v>
      </c>
      <c r="CA1365" t="s">
        <v>300</v>
      </c>
      <c r="CC1365" t="s">
        <v>296</v>
      </c>
      <c r="CD1365">
        <v>1459</v>
      </c>
      <c r="CE1365" t="s">
        <v>239</v>
      </c>
      <c r="CF1365" s="3">
        <v>45850</v>
      </c>
      <c r="CI1365">
        <v>1</v>
      </c>
      <c r="CJ1365">
        <v>1</v>
      </c>
      <c r="CK1365">
        <v>22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"080066477909"</f>
        <v>080066477909</v>
      </c>
      <c r="F1366" s="3">
        <v>45848</v>
      </c>
      <c r="G1366">
        <v>202604</v>
      </c>
      <c r="H1366" t="s">
        <v>75</v>
      </c>
      <c r="I1366" t="s">
        <v>76</v>
      </c>
      <c r="J1366" t="s">
        <v>77</v>
      </c>
      <c r="K1366" t="s">
        <v>78</v>
      </c>
      <c r="L1366" t="s">
        <v>2035</v>
      </c>
      <c r="M1366" t="s">
        <v>2036</v>
      </c>
      <c r="N1366" t="s">
        <v>848</v>
      </c>
      <c r="O1366" t="s">
        <v>82</v>
      </c>
      <c r="P1366" t="str">
        <f>"4170047933                    "</f>
        <v xml:space="preserve">4170047933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22.6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71.2</v>
      </c>
      <c r="BM1366">
        <v>10.68</v>
      </c>
      <c r="BN1366">
        <v>81.88</v>
      </c>
      <c r="BO1366">
        <v>81.88</v>
      </c>
      <c r="BQ1366" t="s">
        <v>849</v>
      </c>
      <c r="BR1366" t="s">
        <v>84</v>
      </c>
      <c r="BS1366" s="3">
        <v>45853</v>
      </c>
      <c r="BT1366" s="4">
        <v>0.56041666666666667</v>
      </c>
      <c r="BU1366" t="s">
        <v>534</v>
      </c>
      <c r="BV1366" t="s">
        <v>86</v>
      </c>
      <c r="BY1366">
        <v>1200</v>
      </c>
      <c r="BZ1366" t="s">
        <v>89</v>
      </c>
      <c r="CA1366" t="s">
        <v>535</v>
      </c>
      <c r="CC1366" t="s">
        <v>2036</v>
      </c>
      <c r="CD1366">
        <v>3720</v>
      </c>
      <c r="CE1366" t="s">
        <v>239</v>
      </c>
      <c r="CF1366" s="3">
        <v>45855</v>
      </c>
      <c r="CI1366">
        <v>1</v>
      </c>
      <c r="CJ1366">
        <v>3</v>
      </c>
      <c r="CK1366">
        <v>21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"080066477937"</f>
        <v>080066477937</v>
      </c>
      <c r="F1367" s="3">
        <v>45848</v>
      </c>
      <c r="G1367">
        <v>202604</v>
      </c>
      <c r="H1367" t="s">
        <v>75</v>
      </c>
      <c r="I1367" t="s">
        <v>76</v>
      </c>
      <c r="J1367" t="s">
        <v>77</v>
      </c>
      <c r="K1367" t="s">
        <v>78</v>
      </c>
      <c r="L1367" t="s">
        <v>79</v>
      </c>
      <c r="M1367" t="s">
        <v>80</v>
      </c>
      <c r="N1367" t="s">
        <v>81</v>
      </c>
      <c r="O1367" t="s">
        <v>95</v>
      </c>
      <c r="P1367" t="str">
        <f>"4170048004                    "</f>
        <v xml:space="preserve">4170048004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67.16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4</v>
      </c>
      <c r="BI1367">
        <v>28</v>
      </c>
      <c r="BJ1367">
        <v>15</v>
      </c>
      <c r="BK1367">
        <v>28</v>
      </c>
      <c r="BL1367">
        <v>217.45</v>
      </c>
      <c r="BM1367">
        <v>32.619999999999997</v>
      </c>
      <c r="BN1367">
        <v>250.07</v>
      </c>
      <c r="BO1367">
        <v>250.07</v>
      </c>
      <c r="BQ1367" t="s">
        <v>83</v>
      </c>
      <c r="BR1367" t="s">
        <v>84</v>
      </c>
      <c r="BS1367" s="3">
        <v>45852</v>
      </c>
      <c r="BT1367" s="4">
        <v>0.62847222222222221</v>
      </c>
      <c r="BU1367" t="s">
        <v>2037</v>
      </c>
      <c r="BV1367" t="s">
        <v>98</v>
      </c>
      <c r="BY1367">
        <v>18688</v>
      </c>
      <c r="BZ1367" t="s">
        <v>99</v>
      </c>
      <c r="CA1367" t="s">
        <v>90</v>
      </c>
      <c r="CC1367" t="s">
        <v>80</v>
      </c>
      <c r="CD1367">
        <v>7550</v>
      </c>
      <c r="CE1367" t="s">
        <v>1495</v>
      </c>
      <c r="CF1367" s="3">
        <v>45853</v>
      </c>
      <c r="CI1367">
        <v>3</v>
      </c>
      <c r="CJ1367">
        <v>2</v>
      </c>
      <c r="CK1367">
        <v>41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"080066478041"</f>
        <v>080066478041</v>
      </c>
      <c r="F1368" s="3">
        <v>45848</v>
      </c>
      <c r="G1368">
        <v>202604</v>
      </c>
      <c r="H1368" t="s">
        <v>75</v>
      </c>
      <c r="I1368" t="s">
        <v>76</v>
      </c>
      <c r="J1368" t="s">
        <v>77</v>
      </c>
      <c r="K1368" t="s">
        <v>78</v>
      </c>
      <c r="L1368" t="s">
        <v>135</v>
      </c>
      <c r="M1368" t="s">
        <v>136</v>
      </c>
      <c r="N1368" t="s">
        <v>379</v>
      </c>
      <c r="O1368" t="s">
        <v>82</v>
      </c>
      <c r="P1368" t="str">
        <f>"4170047997                    "</f>
        <v xml:space="preserve">4170047997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67.760000000000005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6</v>
      </c>
      <c r="BJ1368">
        <v>5.2</v>
      </c>
      <c r="BK1368">
        <v>6</v>
      </c>
      <c r="BL1368">
        <v>213.48</v>
      </c>
      <c r="BM1368">
        <v>32.020000000000003</v>
      </c>
      <c r="BN1368">
        <v>245.5</v>
      </c>
      <c r="BO1368">
        <v>245.5</v>
      </c>
      <c r="BQ1368" t="s">
        <v>380</v>
      </c>
      <c r="BR1368" t="s">
        <v>84</v>
      </c>
      <c r="BS1368" s="3">
        <v>45849</v>
      </c>
      <c r="BT1368" s="4">
        <v>0.48958333333333331</v>
      </c>
      <c r="BU1368" t="s">
        <v>2019</v>
      </c>
      <c r="BV1368" t="s">
        <v>98</v>
      </c>
      <c r="BY1368">
        <v>26013</v>
      </c>
      <c r="BZ1368" t="s">
        <v>89</v>
      </c>
      <c r="CA1368" t="s">
        <v>382</v>
      </c>
      <c r="CC1368" t="s">
        <v>136</v>
      </c>
      <c r="CD1368">
        <v>3212</v>
      </c>
      <c r="CE1368" t="s">
        <v>117</v>
      </c>
      <c r="CF1368" s="3">
        <v>45849</v>
      </c>
      <c r="CI1368">
        <v>2</v>
      </c>
      <c r="CJ1368">
        <v>1</v>
      </c>
      <c r="CK1368">
        <v>21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"080066478075"</f>
        <v>080066478075</v>
      </c>
      <c r="F1369" s="3">
        <v>45848</v>
      </c>
      <c r="G1369">
        <v>202604</v>
      </c>
      <c r="H1369" t="s">
        <v>75</v>
      </c>
      <c r="I1369" t="s">
        <v>76</v>
      </c>
      <c r="J1369" t="s">
        <v>77</v>
      </c>
      <c r="K1369" t="s">
        <v>78</v>
      </c>
      <c r="L1369" t="s">
        <v>135</v>
      </c>
      <c r="M1369" t="s">
        <v>136</v>
      </c>
      <c r="N1369" t="s">
        <v>379</v>
      </c>
      <c r="O1369" t="s">
        <v>82</v>
      </c>
      <c r="P1369" t="str">
        <f>"4170047972                    "</f>
        <v xml:space="preserve">4170047972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22.6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2</v>
      </c>
      <c r="BJ1369">
        <v>1.1000000000000001</v>
      </c>
      <c r="BK1369">
        <v>2</v>
      </c>
      <c r="BL1369">
        <v>71.2</v>
      </c>
      <c r="BM1369">
        <v>10.68</v>
      </c>
      <c r="BN1369">
        <v>81.88</v>
      </c>
      <c r="BO1369">
        <v>81.88</v>
      </c>
      <c r="BQ1369" t="s">
        <v>380</v>
      </c>
      <c r="BR1369" t="s">
        <v>84</v>
      </c>
      <c r="BS1369" s="3">
        <v>45849</v>
      </c>
      <c r="BT1369" s="4">
        <v>0.48958333333333331</v>
      </c>
      <c r="BU1369" t="s">
        <v>2019</v>
      </c>
      <c r="BV1369" t="s">
        <v>98</v>
      </c>
      <c r="BY1369">
        <v>5320</v>
      </c>
      <c r="BZ1369" t="s">
        <v>89</v>
      </c>
      <c r="CA1369" t="s">
        <v>382</v>
      </c>
      <c r="CC1369" t="s">
        <v>136</v>
      </c>
      <c r="CD1369">
        <v>3212</v>
      </c>
      <c r="CE1369" t="s">
        <v>117</v>
      </c>
      <c r="CF1369" s="3">
        <v>45849</v>
      </c>
      <c r="CI1369">
        <v>2</v>
      </c>
      <c r="CJ1369">
        <v>1</v>
      </c>
      <c r="CK1369">
        <v>21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"080066478098"</f>
        <v>080066478098</v>
      </c>
      <c r="F1370" s="3">
        <v>45848</v>
      </c>
      <c r="G1370">
        <v>202604</v>
      </c>
      <c r="H1370" t="s">
        <v>75</v>
      </c>
      <c r="I1370" t="s">
        <v>76</v>
      </c>
      <c r="J1370" t="s">
        <v>77</v>
      </c>
      <c r="K1370" t="s">
        <v>78</v>
      </c>
      <c r="L1370" t="s">
        <v>111</v>
      </c>
      <c r="M1370" t="s">
        <v>112</v>
      </c>
      <c r="N1370" t="s">
        <v>113</v>
      </c>
      <c r="O1370" t="s">
        <v>311</v>
      </c>
      <c r="P1370" t="str">
        <f>"4170047930                    "</f>
        <v xml:space="preserve">4170047930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135.59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6</v>
      </c>
      <c r="BJ1370">
        <v>3.4</v>
      </c>
      <c r="BK1370">
        <v>6</v>
      </c>
      <c r="BL1370">
        <v>427.19</v>
      </c>
      <c r="BM1370">
        <v>64.08</v>
      </c>
      <c r="BN1370">
        <v>491.27</v>
      </c>
      <c r="BO1370">
        <v>491.27</v>
      </c>
      <c r="BQ1370" t="s">
        <v>537</v>
      </c>
      <c r="BR1370" t="s">
        <v>84</v>
      </c>
      <c r="BS1370" s="3">
        <v>45849</v>
      </c>
      <c r="BT1370" s="4">
        <v>0.54166666666666663</v>
      </c>
      <c r="BU1370" t="s">
        <v>1953</v>
      </c>
      <c r="BV1370" t="s">
        <v>98</v>
      </c>
      <c r="BY1370">
        <v>16965</v>
      </c>
      <c r="BZ1370" t="s">
        <v>99</v>
      </c>
      <c r="CA1370" t="s">
        <v>116</v>
      </c>
      <c r="CC1370" t="s">
        <v>112</v>
      </c>
      <c r="CD1370">
        <v>1871</v>
      </c>
      <c r="CE1370" t="s">
        <v>117</v>
      </c>
      <c r="CF1370" s="3">
        <v>45853</v>
      </c>
      <c r="CI1370">
        <v>1</v>
      </c>
      <c r="CJ1370">
        <v>1</v>
      </c>
      <c r="CK1370">
        <v>33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"080066478147"</f>
        <v>080066478147</v>
      </c>
      <c r="F1371" s="3">
        <v>45848</v>
      </c>
      <c r="G1371">
        <v>202604</v>
      </c>
      <c r="H1371" t="s">
        <v>75</v>
      </c>
      <c r="I1371" t="s">
        <v>76</v>
      </c>
      <c r="J1371" t="s">
        <v>77</v>
      </c>
      <c r="K1371" t="s">
        <v>78</v>
      </c>
      <c r="L1371" t="s">
        <v>79</v>
      </c>
      <c r="M1371" t="s">
        <v>80</v>
      </c>
      <c r="N1371" t="s">
        <v>931</v>
      </c>
      <c r="O1371" t="s">
        <v>82</v>
      </c>
      <c r="P1371" t="str">
        <f>"4170048071                    "</f>
        <v xml:space="preserve">4170048071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22.6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0.3</v>
      </c>
      <c r="BK1371">
        <v>1</v>
      </c>
      <c r="BL1371">
        <v>71.2</v>
      </c>
      <c r="BM1371">
        <v>10.68</v>
      </c>
      <c r="BN1371">
        <v>81.88</v>
      </c>
      <c r="BO1371">
        <v>81.88</v>
      </c>
      <c r="BQ1371" t="s">
        <v>932</v>
      </c>
      <c r="BR1371" t="s">
        <v>84</v>
      </c>
      <c r="BS1371" s="3">
        <v>45849</v>
      </c>
      <c r="BT1371" s="4">
        <v>0.41875000000000001</v>
      </c>
      <c r="BU1371" t="s">
        <v>933</v>
      </c>
      <c r="BV1371" t="s">
        <v>98</v>
      </c>
      <c r="BY1371">
        <v>1350</v>
      </c>
      <c r="BZ1371" t="s">
        <v>89</v>
      </c>
      <c r="CA1371" t="s">
        <v>934</v>
      </c>
      <c r="CC1371" t="s">
        <v>80</v>
      </c>
      <c r="CD1371">
        <v>7535</v>
      </c>
      <c r="CE1371" t="s">
        <v>1868</v>
      </c>
      <c r="CF1371" s="3">
        <v>45852</v>
      </c>
      <c r="CI1371">
        <v>1</v>
      </c>
      <c r="CJ1371">
        <v>1</v>
      </c>
      <c r="CK1371">
        <v>21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"080066478150"</f>
        <v>080066478150</v>
      </c>
      <c r="F1372" s="3">
        <v>45848</v>
      </c>
      <c r="G1372">
        <v>202604</v>
      </c>
      <c r="H1372" t="s">
        <v>75</v>
      </c>
      <c r="I1372" t="s">
        <v>76</v>
      </c>
      <c r="J1372" t="s">
        <v>77</v>
      </c>
      <c r="K1372" t="s">
        <v>78</v>
      </c>
      <c r="L1372" t="s">
        <v>128</v>
      </c>
      <c r="M1372" t="s">
        <v>129</v>
      </c>
      <c r="N1372" t="s">
        <v>2038</v>
      </c>
      <c r="O1372" t="s">
        <v>82</v>
      </c>
      <c r="P1372" t="str">
        <f>"4170047847                    "</f>
        <v xml:space="preserve">4170047847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43.78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</v>
      </c>
      <c r="BJ1372">
        <v>1.1000000000000001</v>
      </c>
      <c r="BK1372">
        <v>2</v>
      </c>
      <c r="BL1372">
        <v>137.94</v>
      </c>
      <c r="BM1372">
        <v>20.69</v>
      </c>
      <c r="BN1372">
        <v>158.63</v>
      </c>
      <c r="BO1372">
        <v>158.63</v>
      </c>
      <c r="BQ1372" t="s">
        <v>2039</v>
      </c>
      <c r="BR1372" t="s">
        <v>84</v>
      </c>
      <c r="BS1372" s="3">
        <v>45849</v>
      </c>
      <c r="BT1372" s="4">
        <v>0.4861111111111111</v>
      </c>
      <c r="BU1372" t="s">
        <v>2040</v>
      </c>
      <c r="BV1372" t="s">
        <v>86</v>
      </c>
      <c r="BW1372" t="s">
        <v>818</v>
      </c>
      <c r="BX1372" t="s">
        <v>819</v>
      </c>
      <c r="BY1372">
        <v>5320</v>
      </c>
      <c r="BZ1372" t="s">
        <v>89</v>
      </c>
      <c r="CC1372" t="s">
        <v>129</v>
      </c>
      <c r="CD1372" s="5" t="s">
        <v>134</v>
      </c>
      <c r="CE1372" t="s">
        <v>117</v>
      </c>
      <c r="CF1372" s="3">
        <v>45852</v>
      </c>
      <c r="CI1372">
        <v>1</v>
      </c>
      <c r="CJ1372">
        <v>1</v>
      </c>
      <c r="CK1372">
        <v>23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"080066478166"</f>
        <v>080066478166</v>
      </c>
      <c r="F1373" s="3">
        <v>45848</v>
      </c>
      <c r="G1373">
        <v>202604</v>
      </c>
      <c r="H1373" t="s">
        <v>75</v>
      </c>
      <c r="I1373" t="s">
        <v>76</v>
      </c>
      <c r="J1373" t="s">
        <v>77</v>
      </c>
      <c r="K1373" t="s">
        <v>78</v>
      </c>
      <c r="L1373" t="s">
        <v>75</v>
      </c>
      <c r="M1373" t="s">
        <v>76</v>
      </c>
      <c r="N1373" t="s">
        <v>701</v>
      </c>
      <c r="O1373" t="s">
        <v>82</v>
      </c>
      <c r="P1373" t="str">
        <f>"4170048092                    "</f>
        <v xml:space="preserve">4170048092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17.649999999999999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0.3</v>
      </c>
      <c r="BK1373">
        <v>1</v>
      </c>
      <c r="BL1373">
        <v>55.61</v>
      </c>
      <c r="BM1373">
        <v>8.34</v>
      </c>
      <c r="BN1373">
        <v>63.95</v>
      </c>
      <c r="BO1373">
        <v>63.95</v>
      </c>
      <c r="BQ1373" t="s">
        <v>702</v>
      </c>
      <c r="BR1373" t="s">
        <v>84</v>
      </c>
      <c r="BS1373" s="3">
        <v>45849</v>
      </c>
      <c r="BT1373" s="4">
        <v>0.39583333333333331</v>
      </c>
      <c r="BU1373" t="s">
        <v>703</v>
      </c>
      <c r="BV1373" t="s">
        <v>98</v>
      </c>
      <c r="BY1373">
        <v>1350</v>
      </c>
      <c r="BZ1373" t="s">
        <v>89</v>
      </c>
      <c r="CA1373" t="s">
        <v>617</v>
      </c>
      <c r="CC1373" t="s">
        <v>76</v>
      </c>
      <c r="CD1373">
        <v>1645</v>
      </c>
      <c r="CE1373" t="s">
        <v>1868</v>
      </c>
      <c r="CF1373" s="3">
        <v>45849</v>
      </c>
      <c r="CI1373">
        <v>1</v>
      </c>
      <c r="CJ1373">
        <v>1</v>
      </c>
      <c r="CK1373">
        <v>22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"080066478184"</f>
        <v>080066478184</v>
      </c>
      <c r="F1374" s="3">
        <v>45848</v>
      </c>
      <c r="G1374">
        <v>202604</v>
      </c>
      <c r="H1374" t="s">
        <v>75</v>
      </c>
      <c r="I1374" t="s">
        <v>76</v>
      </c>
      <c r="J1374" t="s">
        <v>77</v>
      </c>
      <c r="K1374" t="s">
        <v>78</v>
      </c>
      <c r="L1374" t="s">
        <v>168</v>
      </c>
      <c r="M1374" t="s">
        <v>169</v>
      </c>
      <c r="N1374" t="s">
        <v>1111</v>
      </c>
      <c r="O1374" t="s">
        <v>82</v>
      </c>
      <c r="P1374" t="str">
        <f>"4170048118                    "</f>
        <v xml:space="preserve">4170048118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22.6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0.3</v>
      </c>
      <c r="BK1374">
        <v>1</v>
      </c>
      <c r="BL1374">
        <v>71.2</v>
      </c>
      <c r="BM1374">
        <v>10.68</v>
      </c>
      <c r="BN1374">
        <v>81.88</v>
      </c>
      <c r="BO1374">
        <v>81.88</v>
      </c>
      <c r="BQ1374" t="s">
        <v>1112</v>
      </c>
      <c r="BR1374" t="s">
        <v>84</v>
      </c>
      <c r="BS1374" s="3">
        <v>45849</v>
      </c>
      <c r="BT1374" s="4">
        <v>0.40277777777777779</v>
      </c>
      <c r="BU1374" t="s">
        <v>2041</v>
      </c>
      <c r="BV1374" t="s">
        <v>98</v>
      </c>
      <c r="BY1374">
        <v>1350</v>
      </c>
      <c r="BZ1374" t="s">
        <v>89</v>
      </c>
      <c r="CA1374" t="s">
        <v>423</v>
      </c>
      <c r="CC1374" t="s">
        <v>169</v>
      </c>
      <c r="CD1374">
        <v>6001</v>
      </c>
      <c r="CE1374" t="s">
        <v>1868</v>
      </c>
      <c r="CF1374" s="3">
        <v>45849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"080066478189"</f>
        <v>080066478189</v>
      </c>
      <c r="F1375" s="3">
        <v>45848</v>
      </c>
      <c r="G1375">
        <v>202604</v>
      </c>
      <c r="H1375" t="s">
        <v>75</v>
      </c>
      <c r="I1375" t="s">
        <v>76</v>
      </c>
      <c r="J1375" t="s">
        <v>77</v>
      </c>
      <c r="K1375" t="s">
        <v>78</v>
      </c>
      <c r="L1375" t="s">
        <v>503</v>
      </c>
      <c r="M1375" t="s">
        <v>504</v>
      </c>
      <c r="N1375" t="s">
        <v>505</v>
      </c>
      <c r="O1375" t="s">
        <v>82</v>
      </c>
      <c r="P1375" t="str">
        <f>"4170047961                    "</f>
        <v xml:space="preserve">4170047961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182.19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6</v>
      </c>
      <c r="BJ1375">
        <v>8.9</v>
      </c>
      <c r="BK1375">
        <v>9</v>
      </c>
      <c r="BL1375">
        <v>573.99</v>
      </c>
      <c r="BM1375">
        <v>86.1</v>
      </c>
      <c r="BN1375">
        <v>660.09</v>
      </c>
      <c r="BO1375">
        <v>660.09</v>
      </c>
      <c r="BQ1375" t="s">
        <v>506</v>
      </c>
      <c r="BR1375" t="s">
        <v>84</v>
      </c>
      <c r="BS1375" s="3">
        <v>45849</v>
      </c>
      <c r="BT1375" s="4">
        <v>0.41666666666666669</v>
      </c>
      <c r="BU1375" t="s">
        <v>1235</v>
      </c>
      <c r="BV1375" t="s">
        <v>98</v>
      </c>
      <c r="BY1375">
        <v>44640</v>
      </c>
      <c r="BZ1375" t="s">
        <v>89</v>
      </c>
      <c r="CA1375" t="s">
        <v>508</v>
      </c>
      <c r="CC1375" t="s">
        <v>504</v>
      </c>
      <c r="CD1375">
        <v>7130</v>
      </c>
      <c r="CE1375" t="s">
        <v>117</v>
      </c>
      <c r="CF1375" s="3">
        <v>45852</v>
      </c>
      <c r="CI1375">
        <v>1</v>
      </c>
      <c r="CJ1375">
        <v>1</v>
      </c>
      <c r="CK1375">
        <v>23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"080066478229"</f>
        <v>080066478229</v>
      </c>
      <c r="F1376" s="3">
        <v>45848</v>
      </c>
      <c r="G1376">
        <v>202604</v>
      </c>
      <c r="H1376" t="s">
        <v>75</v>
      </c>
      <c r="I1376" t="s">
        <v>76</v>
      </c>
      <c r="J1376" t="s">
        <v>77</v>
      </c>
      <c r="K1376" t="s">
        <v>78</v>
      </c>
      <c r="L1376" t="s">
        <v>252</v>
      </c>
      <c r="M1376" t="s">
        <v>253</v>
      </c>
      <c r="N1376" t="s">
        <v>2042</v>
      </c>
      <c r="O1376" t="s">
        <v>82</v>
      </c>
      <c r="P1376" t="str">
        <f>"4170048107                    "</f>
        <v xml:space="preserve">4170048107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43.78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0.3</v>
      </c>
      <c r="BK1376">
        <v>1</v>
      </c>
      <c r="BL1376">
        <v>137.94</v>
      </c>
      <c r="BM1376">
        <v>20.69</v>
      </c>
      <c r="BN1376">
        <v>158.63</v>
      </c>
      <c r="BO1376">
        <v>158.63</v>
      </c>
      <c r="BQ1376" t="s">
        <v>2043</v>
      </c>
      <c r="BR1376" t="s">
        <v>84</v>
      </c>
      <c r="BS1376" s="3">
        <v>45849</v>
      </c>
      <c r="BT1376" s="4">
        <v>0.37013888888888891</v>
      </c>
      <c r="BU1376" t="s">
        <v>2044</v>
      </c>
      <c r="BV1376" t="s">
        <v>98</v>
      </c>
      <c r="BY1376">
        <v>1350</v>
      </c>
      <c r="BZ1376" t="s">
        <v>89</v>
      </c>
      <c r="CA1376" t="s">
        <v>328</v>
      </c>
      <c r="CC1376" t="s">
        <v>253</v>
      </c>
      <c r="CD1376">
        <v>1947</v>
      </c>
      <c r="CE1376" t="s">
        <v>1868</v>
      </c>
      <c r="CF1376" s="3">
        <v>45849</v>
      </c>
      <c r="CI1376">
        <v>1</v>
      </c>
      <c r="CJ1376">
        <v>1</v>
      </c>
      <c r="CK1376">
        <v>23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"080066478246"</f>
        <v>080066478246</v>
      </c>
      <c r="F1377" s="3">
        <v>45848</v>
      </c>
      <c r="G1377">
        <v>202604</v>
      </c>
      <c r="H1377" t="s">
        <v>75</v>
      </c>
      <c r="I1377" t="s">
        <v>76</v>
      </c>
      <c r="J1377" t="s">
        <v>77</v>
      </c>
      <c r="K1377" t="s">
        <v>78</v>
      </c>
      <c r="L1377" t="s">
        <v>2045</v>
      </c>
      <c r="M1377" t="s">
        <v>2046</v>
      </c>
      <c r="N1377" t="s">
        <v>1304</v>
      </c>
      <c r="O1377" t="s">
        <v>82</v>
      </c>
      <c r="P1377" t="str">
        <f>"4170047951                    "</f>
        <v xml:space="preserve">4170047951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67.760000000000005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6</v>
      </c>
      <c r="BJ1377">
        <v>2.8</v>
      </c>
      <c r="BK1377">
        <v>6</v>
      </c>
      <c r="BL1377">
        <v>213.48</v>
      </c>
      <c r="BM1377">
        <v>32.020000000000003</v>
      </c>
      <c r="BN1377">
        <v>245.5</v>
      </c>
      <c r="BO1377">
        <v>245.5</v>
      </c>
      <c r="BQ1377" t="s">
        <v>1305</v>
      </c>
      <c r="BR1377" t="s">
        <v>84</v>
      </c>
      <c r="BS1377" s="3">
        <v>45849</v>
      </c>
      <c r="BT1377" s="4">
        <v>0.42152777777777778</v>
      </c>
      <c r="BU1377" t="s">
        <v>2047</v>
      </c>
      <c r="BV1377" t="s">
        <v>98</v>
      </c>
      <c r="BY1377">
        <v>14076</v>
      </c>
      <c r="BZ1377" t="s">
        <v>89</v>
      </c>
      <c r="CA1377" t="s">
        <v>2048</v>
      </c>
      <c r="CC1377" t="s">
        <v>2046</v>
      </c>
      <c r="CD1377">
        <v>4126</v>
      </c>
      <c r="CE1377" t="s">
        <v>117</v>
      </c>
      <c r="CF1377" s="3">
        <v>45850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"080066478276"</f>
        <v>080066478276</v>
      </c>
      <c r="F1378" s="3">
        <v>45848</v>
      </c>
      <c r="G1378">
        <v>202604</v>
      </c>
      <c r="H1378" t="s">
        <v>75</v>
      </c>
      <c r="I1378" t="s">
        <v>76</v>
      </c>
      <c r="J1378" t="s">
        <v>77</v>
      </c>
      <c r="K1378" t="s">
        <v>78</v>
      </c>
      <c r="L1378" t="s">
        <v>350</v>
      </c>
      <c r="M1378" t="s">
        <v>351</v>
      </c>
      <c r="N1378" t="s">
        <v>752</v>
      </c>
      <c r="O1378" t="s">
        <v>82</v>
      </c>
      <c r="P1378" t="str">
        <f>"4170048102                    "</f>
        <v xml:space="preserve">4170048102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22.6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0.3</v>
      </c>
      <c r="BK1378">
        <v>1</v>
      </c>
      <c r="BL1378">
        <v>71.2</v>
      </c>
      <c r="BM1378">
        <v>10.68</v>
      </c>
      <c r="BN1378">
        <v>81.88</v>
      </c>
      <c r="BO1378">
        <v>81.88</v>
      </c>
      <c r="BQ1378" t="s">
        <v>753</v>
      </c>
      <c r="BR1378" t="s">
        <v>84</v>
      </c>
      <c r="BS1378" s="3">
        <v>45852</v>
      </c>
      <c r="BT1378" s="4">
        <v>0.625</v>
      </c>
      <c r="BU1378" t="s">
        <v>754</v>
      </c>
      <c r="BV1378" t="s">
        <v>86</v>
      </c>
      <c r="BW1378" t="s">
        <v>194</v>
      </c>
      <c r="BX1378" t="s">
        <v>220</v>
      </c>
      <c r="BY1378">
        <v>1350</v>
      </c>
      <c r="BZ1378" t="s">
        <v>89</v>
      </c>
      <c r="CA1378" t="s">
        <v>337</v>
      </c>
      <c r="CC1378" t="s">
        <v>351</v>
      </c>
      <c r="CD1378">
        <v>4113</v>
      </c>
      <c r="CE1378" t="s">
        <v>1868</v>
      </c>
      <c r="CF1378" s="3">
        <v>45853</v>
      </c>
      <c r="CI1378">
        <v>1</v>
      </c>
      <c r="CJ1378">
        <v>2</v>
      </c>
      <c r="CK1378">
        <v>21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"080066478322"</f>
        <v>080066478322</v>
      </c>
      <c r="F1379" s="3">
        <v>45848</v>
      </c>
      <c r="G1379">
        <v>202604</v>
      </c>
      <c r="H1379" t="s">
        <v>75</v>
      </c>
      <c r="I1379" t="s">
        <v>76</v>
      </c>
      <c r="J1379" t="s">
        <v>77</v>
      </c>
      <c r="K1379" t="s">
        <v>78</v>
      </c>
      <c r="L1379" t="s">
        <v>75</v>
      </c>
      <c r="M1379" t="s">
        <v>76</v>
      </c>
      <c r="N1379" t="s">
        <v>701</v>
      </c>
      <c r="O1379" t="s">
        <v>82</v>
      </c>
      <c r="P1379" t="str">
        <f>"4170047868                    "</f>
        <v xml:space="preserve">4170047868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17.649999999999999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0.3</v>
      </c>
      <c r="BK1379">
        <v>1</v>
      </c>
      <c r="BL1379">
        <v>55.61</v>
      </c>
      <c r="BM1379">
        <v>8.34</v>
      </c>
      <c r="BN1379">
        <v>63.95</v>
      </c>
      <c r="BO1379">
        <v>63.95</v>
      </c>
      <c r="BQ1379" t="s">
        <v>702</v>
      </c>
      <c r="BR1379" t="s">
        <v>84</v>
      </c>
      <c r="BS1379" s="3">
        <v>45849</v>
      </c>
      <c r="BT1379" s="4">
        <v>0.39583333333333331</v>
      </c>
      <c r="BU1379" t="s">
        <v>703</v>
      </c>
      <c r="BV1379" t="s">
        <v>98</v>
      </c>
      <c r="BY1379">
        <v>1350</v>
      </c>
      <c r="BZ1379" t="s">
        <v>89</v>
      </c>
      <c r="CA1379" t="s">
        <v>617</v>
      </c>
      <c r="CC1379" t="s">
        <v>76</v>
      </c>
      <c r="CD1379">
        <v>1645</v>
      </c>
      <c r="CE1379" t="s">
        <v>1868</v>
      </c>
      <c r="CF1379" s="3">
        <v>45849</v>
      </c>
      <c r="CI1379">
        <v>1</v>
      </c>
      <c r="CJ1379">
        <v>1</v>
      </c>
      <c r="CK1379">
        <v>22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"080066478371"</f>
        <v>080066478371</v>
      </c>
      <c r="F1380" s="3">
        <v>45848</v>
      </c>
      <c r="G1380">
        <v>202604</v>
      </c>
      <c r="H1380" t="s">
        <v>75</v>
      </c>
      <c r="I1380" t="s">
        <v>76</v>
      </c>
      <c r="J1380" t="s">
        <v>77</v>
      </c>
      <c r="K1380" t="s">
        <v>78</v>
      </c>
      <c r="L1380" t="s">
        <v>295</v>
      </c>
      <c r="M1380" t="s">
        <v>296</v>
      </c>
      <c r="N1380" t="s">
        <v>297</v>
      </c>
      <c r="O1380" t="s">
        <v>82</v>
      </c>
      <c r="P1380" t="str">
        <f>"4170047877                    "</f>
        <v xml:space="preserve">4170047877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17.649999999999999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0.3</v>
      </c>
      <c r="BK1380">
        <v>1</v>
      </c>
      <c r="BL1380">
        <v>55.61</v>
      </c>
      <c r="BM1380">
        <v>8.34</v>
      </c>
      <c r="BN1380">
        <v>63.95</v>
      </c>
      <c r="BO1380">
        <v>63.95</v>
      </c>
      <c r="BQ1380" t="s">
        <v>298</v>
      </c>
      <c r="BR1380" t="s">
        <v>84</v>
      </c>
      <c r="BS1380" s="3">
        <v>45849</v>
      </c>
      <c r="BT1380" s="4">
        <v>0.34791666666666665</v>
      </c>
      <c r="BU1380" t="s">
        <v>2049</v>
      </c>
      <c r="BV1380" t="s">
        <v>98</v>
      </c>
      <c r="BY1380">
        <v>1350</v>
      </c>
      <c r="BZ1380" t="s">
        <v>89</v>
      </c>
      <c r="CA1380" t="s">
        <v>300</v>
      </c>
      <c r="CC1380" t="s">
        <v>296</v>
      </c>
      <c r="CD1380">
        <v>1459</v>
      </c>
      <c r="CE1380" t="s">
        <v>1868</v>
      </c>
      <c r="CF1380" s="3">
        <v>45850</v>
      </c>
      <c r="CI1380">
        <v>1</v>
      </c>
      <c r="CJ1380">
        <v>1</v>
      </c>
      <c r="CK1380">
        <v>22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"080066478428"</f>
        <v>080066478428</v>
      </c>
      <c r="F1381" s="3">
        <v>45848</v>
      </c>
      <c r="G1381">
        <v>202604</v>
      </c>
      <c r="H1381" t="s">
        <v>75</v>
      </c>
      <c r="I1381" t="s">
        <v>76</v>
      </c>
      <c r="J1381" t="s">
        <v>77</v>
      </c>
      <c r="K1381" t="s">
        <v>78</v>
      </c>
      <c r="L1381" t="s">
        <v>92</v>
      </c>
      <c r="M1381" t="s">
        <v>93</v>
      </c>
      <c r="N1381" t="s">
        <v>291</v>
      </c>
      <c r="O1381" t="s">
        <v>82</v>
      </c>
      <c r="P1381" t="str">
        <f>"4170047935                    "</f>
        <v xml:space="preserve">4170047935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22.6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0.3</v>
      </c>
      <c r="BK1381">
        <v>1</v>
      </c>
      <c r="BL1381">
        <v>71.2</v>
      </c>
      <c r="BM1381">
        <v>10.68</v>
      </c>
      <c r="BN1381">
        <v>81.88</v>
      </c>
      <c r="BO1381">
        <v>81.88</v>
      </c>
      <c r="BQ1381" t="s">
        <v>292</v>
      </c>
      <c r="BR1381" t="s">
        <v>84</v>
      </c>
      <c r="BS1381" s="3">
        <v>45849</v>
      </c>
      <c r="BT1381" s="4">
        <v>0.3347222222222222</v>
      </c>
      <c r="BU1381" t="s">
        <v>1936</v>
      </c>
      <c r="BV1381" t="s">
        <v>98</v>
      </c>
      <c r="BY1381">
        <v>1410</v>
      </c>
      <c r="BZ1381" t="s">
        <v>89</v>
      </c>
      <c r="CA1381" t="s">
        <v>294</v>
      </c>
      <c r="CC1381" t="s">
        <v>93</v>
      </c>
      <c r="CD1381">
        <v>4051</v>
      </c>
      <c r="CE1381" t="s">
        <v>1868</v>
      </c>
      <c r="CF1381" s="3">
        <v>45849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"080066478507"</f>
        <v>080066478507</v>
      </c>
      <c r="F1382" s="3">
        <v>45848</v>
      </c>
      <c r="G1382">
        <v>202604</v>
      </c>
      <c r="H1382" t="s">
        <v>75</v>
      </c>
      <c r="I1382" t="s">
        <v>76</v>
      </c>
      <c r="J1382" t="s">
        <v>77</v>
      </c>
      <c r="K1382" t="s">
        <v>78</v>
      </c>
      <c r="L1382" t="s">
        <v>75</v>
      </c>
      <c r="M1382" t="s">
        <v>76</v>
      </c>
      <c r="N1382" t="s">
        <v>622</v>
      </c>
      <c r="O1382" t="s">
        <v>82</v>
      </c>
      <c r="P1382" t="str">
        <f>"4170047874                    "</f>
        <v xml:space="preserve">4170047874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17.649999999999999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0.3</v>
      </c>
      <c r="BK1382">
        <v>1</v>
      </c>
      <c r="BL1382">
        <v>55.61</v>
      </c>
      <c r="BM1382">
        <v>8.34</v>
      </c>
      <c r="BN1382">
        <v>63.95</v>
      </c>
      <c r="BO1382">
        <v>63.95</v>
      </c>
      <c r="BQ1382" t="s">
        <v>623</v>
      </c>
      <c r="BR1382" t="s">
        <v>84</v>
      </c>
      <c r="BS1382" s="3">
        <v>45849</v>
      </c>
      <c r="BT1382" s="4">
        <v>0.34861111111111109</v>
      </c>
      <c r="BU1382" t="s">
        <v>2050</v>
      </c>
      <c r="BV1382" t="s">
        <v>98</v>
      </c>
      <c r="BY1382">
        <v>1350</v>
      </c>
      <c r="BZ1382" t="s">
        <v>89</v>
      </c>
      <c r="CC1382" t="s">
        <v>76</v>
      </c>
      <c r="CD1382">
        <v>1601</v>
      </c>
      <c r="CE1382" t="s">
        <v>1868</v>
      </c>
      <c r="CF1382" s="3">
        <v>45849</v>
      </c>
      <c r="CI1382">
        <v>1</v>
      </c>
      <c r="CJ1382">
        <v>1</v>
      </c>
      <c r="CK1382">
        <v>22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"080066478938"</f>
        <v>080066478938</v>
      </c>
      <c r="F1383" s="3">
        <v>45848</v>
      </c>
      <c r="G1383">
        <v>202604</v>
      </c>
      <c r="H1383" t="s">
        <v>75</v>
      </c>
      <c r="I1383" t="s">
        <v>76</v>
      </c>
      <c r="J1383" t="s">
        <v>77</v>
      </c>
      <c r="K1383" t="s">
        <v>78</v>
      </c>
      <c r="L1383" t="s">
        <v>295</v>
      </c>
      <c r="M1383" t="s">
        <v>296</v>
      </c>
      <c r="N1383" t="s">
        <v>297</v>
      </c>
      <c r="O1383" t="s">
        <v>82</v>
      </c>
      <c r="P1383" t="str">
        <f>"4170047855                    "</f>
        <v xml:space="preserve">4170047855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17.649999999999999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0.3</v>
      </c>
      <c r="BK1383">
        <v>1</v>
      </c>
      <c r="BL1383">
        <v>55.61</v>
      </c>
      <c r="BM1383">
        <v>8.34</v>
      </c>
      <c r="BN1383">
        <v>63.95</v>
      </c>
      <c r="BO1383">
        <v>63.95</v>
      </c>
      <c r="BQ1383" t="s">
        <v>298</v>
      </c>
      <c r="BR1383" t="s">
        <v>84</v>
      </c>
      <c r="BS1383" s="3">
        <v>45849</v>
      </c>
      <c r="BT1383" s="4">
        <v>0.34722222222222221</v>
      </c>
      <c r="BU1383" t="s">
        <v>299</v>
      </c>
      <c r="BV1383" t="s">
        <v>98</v>
      </c>
      <c r="BY1383">
        <v>1350</v>
      </c>
      <c r="BZ1383" t="s">
        <v>89</v>
      </c>
      <c r="CA1383" t="s">
        <v>300</v>
      </c>
      <c r="CC1383" t="s">
        <v>296</v>
      </c>
      <c r="CD1383">
        <v>1459</v>
      </c>
      <c r="CE1383" t="s">
        <v>1868</v>
      </c>
      <c r="CF1383" s="3">
        <v>45850</v>
      </c>
      <c r="CI1383">
        <v>1</v>
      </c>
      <c r="CJ1383">
        <v>1</v>
      </c>
      <c r="CK1383">
        <v>22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"080066479009"</f>
        <v>080066479009</v>
      </c>
      <c r="F1384" s="3">
        <v>45848</v>
      </c>
      <c r="G1384">
        <v>202604</v>
      </c>
      <c r="H1384" t="s">
        <v>75</v>
      </c>
      <c r="I1384" t="s">
        <v>76</v>
      </c>
      <c r="J1384" t="s">
        <v>77</v>
      </c>
      <c r="K1384" t="s">
        <v>78</v>
      </c>
      <c r="L1384" t="s">
        <v>79</v>
      </c>
      <c r="M1384" t="s">
        <v>80</v>
      </c>
      <c r="N1384" t="s">
        <v>662</v>
      </c>
      <c r="O1384" t="s">
        <v>82</v>
      </c>
      <c r="P1384" t="str">
        <f>"4170048045                    "</f>
        <v xml:space="preserve">4170048045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22.6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71.2</v>
      </c>
      <c r="BM1384">
        <v>10.68</v>
      </c>
      <c r="BN1384">
        <v>81.88</v>
      </c>
      <c r="BO1384">
        <v>81.88</v>
      </c>
      <c r="BQ1384" t="s">
        <v>663</v>
      </c>
      <c r="BR1384" t="s">
        <v>84</v>
      </c>
      <c r="BS1384" s="3">
        <v>45849</v>
      </c>
      <c r="BT1384" s="4">
        <v>0.41111111111111109</v>
      </c>
      <c r="BU1384" t="s">
        <v>2051</v>
      </c>
      <c r="BV1384" t="s">
        <v>98</v>
      </c>
      <c r="BY1384">
        <v>1200</v>
      </c>
      <c r="BZ1384" t="s">
        <v>89</v>
      </c>
      <c r="CA1384" t="s">
        <v>665</v>
      </c>
      <c r="CC1384" t="s">
        <v>80</v>
      </c>
      <c r="CD1384">
        <v>7945</v>
      </c>
      <c r="CE1384" t="s">
        <v>239</v>
      </c>
      <c r="CF1384" s="3">
        <v>45852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"080066479065"</f>
        <v>080066479065</v>
      </c>
      <c r="F1385" s="3">
        <v>45848</v>
      </c>
      <c r="G1385">
        <v>202604</v>
      </c>
      <c r="H1385" t="s">
        <v>75</v>
      </c>
      <c r="I1385" t="s">
        <v>76</v>
      </c>
      <c r="J1385" t="s">
        <v>77</v>
      </c>
      <c r="K1385" t="s">
        <v>78</v>
      </c>
      <c r="L1385" t="s">
        <v>240</v>
      </c>
      <c r="M1385" t="s">
        <v>241</v>
      </c>
      <c r="N1385" t="s">
        <v>2052</v>
      </c>
      <c r="O1385" t="s">
        <v>82</v>
      </c>
      <c r="P1385" t="str">
        <f>"4170047857                    "</f>
        <v xml:space="preserve">4170047857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17.649999999999999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0.3</v>
      </c>
      <c r="BK1385">
        <v>1</v>
      </c>
      <c r="BL1385">
        <v>55.61</v>
      </c>
      <c r="BM1385">
        <v>8.34</v>
      </c>
      <c r="BN1385">
        <v>63.95</v>
      </c>
      <c r="BO1385">
        <v>63.95</v>
      </c>
      <c r="BQ1385" t="s">
        <v>2053</v>
      </c>
      <c r="BR1385" t="s">
        <v>84</v>
      </c>
      <c r="BS1385" s="3">
        <v>45849</v>
      </c>
      <c r="BT1385" s="4">
        <v>0.41944444444444445</v>
      </c>
      <c r="BU1385" t="s">
        <v>2054</v>
      </c>
      <c r="BV1385" t="s">
        <v>98</v>
      </c>
      <c r="BY1385">
        <v>1350</v>
      </c>
      <c r="BZ1385" t="s">
        <v>89</v>
      </c>
      <c r="CA1385" t="s">
        <v>2055</v>
      </c>
      <c r="CC1385" t="s">
        <v>241</v>
      </c>
      <c r="CD1385">
        <v>2090</v>
      </c>
      <c r="CE1385" t="s">
        <v>1868</v>
      </c>
      <c r="CF1385" s="3">
        <v>45850</v>
      </c>
      <c r="CI1385">
        <v>1</v>
      </c>
      <c r="CJ1385">
        <v>1</v>
      </c>
      <c r="CK1385">
        <v>22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"080066479066"</f>
        <v>080066479066</v>
      </c>
      <c r="F1386" s="3">
        <v>45848</v>
      </c>
      <c r="G1386">
        <v>202604</v>
      </c>
      <c r="H1386" t="s">
        <v>75</v>
      </c>
      <c r="I1386" t="s">
        <v>76</v>
      </c>
      <c r="J1386" t="s">
        <v>77</v>
      </c>
      <c r="K1386" t="s">
        <v>78</v>
      </c>
      <c r="L1386" t="s">
        <v>146</v>
      </c>
      <c r="M1386" t="s">
        <v>146</v>
      </c>
      <c r="N1386" t="s">
        <v>147</v>
      </c>
      <c r="O1386" t="s">
        <v>82</v>
      </c>
      <c r="P1386" t="str">
        <f>"4170048042                    "</f>
        <v xml:space="preserve">4170048042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43.78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137.94</v>
      </c>
      <c r="BM1386">
        <v>20.69</v>
      </c>
      <c r="BN1386">
        <v>158.63</v>
      </c>
      <c r="BO1386">
        <v>158.63</v>
      </c>
      <c r="BQ1386" t="s">
        <v>764</v>
      </c>
      <c r="BR1386" t="s">
        <v>84</v>
      </c>
      <c r="BS1386" s="3">
        <v>45849</v>
      </c>
      <c r="BT1386" s="4">
        <v>0.51944444444444449</v>
      </c>
      <c r="BU1386" t="s">
        <v>1918</v>
      </c>
      <c r="BV1386" t="s">
        <v>98</v>
      </c>
      <c r="BY1386">
        <v>1200</v>
      </c>
      <c r="BZ1386" t="s">
        <v>89</v>
      </c>
      <c r="CA1386" t="s">
        <v>150</v>
      </c>
      <c r="CC1386" t="s">
        <v>146</v>
      </c>
      <c r="CD1386">
        <v>7646</v>
      </c>
      <c r="CE1386" t="s">
        <v>239</v>
      </c>
      <c r="CF1386" s="3">
        <v>45853</v>
      </c>
      <c r="CI1386">
        <v>1</v>
      </c>
      <c r="CJ1386">
        <v>1</v>
      </c>
      <c r="CK1386">
        <v>23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"080066479128"</f>
        <v>080066479128</v>
      </c>
      <c r="F1387" s="3">
        <v>45848</v>
      </c>
      <c r="G1387">
        <v>202604</v>
      </c>
      <c r="H1387" t="s">
        <v>75</v>
      </c>
      <c r="I1387" t="s">
        <v>76</v>
      </c>
      <c r="J1387" t="s">
        <v>77</v>
      </c>
      <c r="K1387" t="s">
        <v>78</v>
      </c>
      <c r="L1387" t="s">
        <v>305</v>
      </c>
      <c r="M1387" t="s">
        <v>306</v>
      </c>
      <c r="N1387" t="s">
        <v>640</v>
      </c>
      <c r="O1387" t="s">
        <v>82</v>
      </c>
      <c r="P1387" t="str">
        <f>"4170047865                    "</f>
        <v xml:space="preserve">4170047865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22.6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71.2</v>
      </c>
      <c r="BM1387">
        <v>10.68</v>
      </c>
      <c r="BN1387">
        <v>81.88</v>
      </c>
      <c r="BO1387">
        <v>81.88</v>
      </c>
      <c r="BQ1387" t="s">
        <v>641</v>
      </c>
      <c r="BR1387" t="s">
        <v>84</v>
      </c>
      <c r="BS1387" s="3">
        <v>45849</v>
      </c>
      <c r="BT1387" s="4">
        <v>0.5</v>
      </c>
      <c r="BU1387" t="s">
        <v>975</v>
      </c>
      <c r="BV1387" t="s">
        <v>86</v>
      </c>
      <c r="BY1387">
        <v>1200</v>
      </c>
      <c r="BZ1387" t="s">
        <v>89</v>
      </c>
      <c r="CA1387" t="s">
        <v>310</v>
      </c>
      <c r="CC1387" t="s">
        <v>306</v>
      </c>
      <c r="CD1387">
        <v>5201</v>
      </c>
      <c r="CE1387" t="s">
        <v>239</v>
      </c>
      <c r="CF1387" s="3">
        <v>45849</v>
      </c>
      <c r="CI1387">
        <v>1</v>
      </c>
      <c r="CJ1387">
        <v>1</v>
      </c>
      <c r="CK1387">
        <v>21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"080066479155"</f>
        <v>080066479155</v>
      </c>
      <c r="F1388" s="3">
        <v>45848</v>
      </c>
      <c r="G1388">
        <v>202604</v>
      </c>
      <c r="H1388" t="s">
        <v>75</v>
      </c>
      <c r="I1388" t="s">
        <v>76</v>
      </c>
      <c r="J1388" t="s">
        <v>77</v>
      </c>
      <c r="K1388" t="s">
        <v>78</v>
      </c>
      <c r="L1388" t="s">
        <v>197</v>
      </c>
      <c r="M1388" t="s">
        <v>198</v>
      </c>
      <c r="N1388" t="s">
        <v>890</v>
      </c>
      <c r="O1388" t="s">
        <v>82</v>
      </c>
      <c r="P1388" t="str">
        <f>"4170048103                    "</f>
        <v xml:space="preserve">4170048103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17.649999999999999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55.61</v>
      </c>
      <c r="BM1388">
        <v>8.34</v>
      </c>
      <c r="BN1388">
        <v>63.95</v>
      </c>
      <c r="BO1388">
        <v>63.95</v>
      </c>
      <c r="BQ1388" t="s">
        <v>891</v>
      </c>
      <c r="BR1388" t="s">
        <v>84</v>
      </c>
      <c r="BS1388" s="3">
        <v>45849</v>
      </c>
      <c r="BT1388" s="4">
        <v>0.41875000000000001</v>
      </c>
      <c r="BU1388" t="s">
        <v>2056</v>
      </c>
      <c r="BV1388" t="s">
        <v>98</v>
      </c>
      <c r="BY1388">
        <v>1200</v>
      </c>
      <c r="BZ1388" t="s">
        <v>89</v>
      </c>
      <c r="CA1388" t="s">
        <v>2057</v>
      </c>
      <c r="CC1388" t="s">
        <v>198</v>
      </c>
      <c r="CD1388">
        <v>1401</v>
      </c>
      <c r="CE1388" t="s">
        <v>239</v>
      </c>
      <c r="CF1388" s="3">
        <v>45849</v>
      </c>
      <c r="CI1388">
        <v>1</v>
      </c>
      <c r="CJ1388">
        <v>1</v>
      </c>
      <c r="CK1388">
        <v>22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"080066479180"</f>
        <v>080066479180</v>
      </c>
      <c r="F1389" s="3">
        <v>45848</v>
      </c>
      <c r="G1389">
        <v>202604</v>
      </c>
      <c r="H1389" t="s">
        <v>75</v>
      </c>
      <c r="I1389" t="s">
        <v>76</v>
      </c>
      <c r="J1389" t="s">
        <v>77</v>
      </c>
      <c r="K1389" t="s">
        <v>78</v>
      </c>
      <c r="L1389" t="s">
        <v>168</v>
      </c>
      <c r="M1389" t="s">
        <v>169</v>
      </c>
      <c r="N1389" t="s">
        <v>2058</v>
      </c>
      <c r="O1389" t="s">
        <v>82</v>
      </c>
      <c r="P1389" t="str">
        <f>"4170048014                    "</f>
        <v xml:space="preserve">4170048014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22.6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71.2</v>
      </c>
      <c r="BM1389">
        <v>10.68</v>
      </c>
      <c r="BN1389">
        <v>81.88</v>
      </c>
      <c r="BO1389">
        <v>81.88</v>
      </c>
      <c r="BQ1389" t="s">
        <v>2059</v>
      </c>
      <c r="BR1389" t="s">
        <v>84</v>
      </c>
      <c r="BS1389" s="3">
        <v>45849</v>
      </c>
      <c r="BT1389" s="4">
        <v>0.39027777777777778</v>
      </c>
      <c r="BU1389" t="s">
        <v>2060</v>
      </c>
      <c r="BV1389" t="s">
        <v>98</v>
      </c>
      <c r="BY1389">
        <v>1200</v>
      </c>
      <c r="BZ1389" t="s">
        <v>89</v>
      </c>
      <c r="CA1389" t="s">
        <v>196</v>
      </c>
      <c r="CC1389" t="s">
        <v>169</v>
      </c>
      <c r="CD1389">
        <v>6001</v>
      </c>
      <c r="CE1389" t="s">
        <v>214</v>
      </c>
      <c r="CF1389" s="3">
        <v>45849</v>
      </c>
      <c r="CI1389">
        <v>1</v>
      </c>
      <c r="CJ1389">
        <v>1</v>
      </c>
      <c r="CK1389">
        <v>21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"080066479199"</f>
        <v>080066479199</v>
      </c>
      <c r="F1390" s="3">
        <v>45848</v>
      </c>
      <c r="G1390">
        <v>202604</v>
      </c>
      <c r="H1390" t="s">
        <v>75</v>
      </c>
      <c r="I1390" t="s">
        <v>76</v>
      </c>
      <c r="J1390" t="s">
        <v>77</v>
      </c>
      <c r="K1390" t="s">
        <v>78</v>
      </c>
      <c r="L1390" t="s">
        <v>168</v>
      </c>
      <c r="M1390" t="s">
        <v>169</v>
      </c>
      <c r="N1390" t="s">
        <v>412</v>
      </c>
      <c r="O1390" t="s">
        <v>82</v>
      </c>
      <c r="P1390" t="str">
        <f>"4170047932                    "</f>
        <v xml:space="preserve">4170047932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50.82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3</v>
      </c>
      <c r="BJ1390">
        <v>4.3</v>
      </c>
      <c r="BK1390">
        <v>4.5</v>
      </c>
      <c r="BL1390">
        <v>160.12</v>
      </c>
      <c r="BM1390">
        <v>24.02</v>
      </c>
      <c r="BN1390">
        <v>184.14</v>
      </c>
      <c r="BO1390">
        <v>184.14</v>
      </c>
      <c r="BQ1390" t="s">
        <v>413</v>
      </c>
      <c r="BR1390" t="s">
        <v>84</v>
      </c>
      <c r="BS1390" s="3">
        <v>45849</v>
      </c>
      <c r="BT1390" s="4">
        <v>0.39444444444444443</v>
      </c>
      <c r="BU1390" t="s">
        <v>470</v>
      </c>
      <c r="BV1390" t="s">
        <v>98</v>
      </c>
      <c r="BY1390">
        <v>21280</v>
      </c>
      <c r="BZ1390" t="s">
        <v>89</v>
      </c>
      <c r="CA1390" t="s">
        <v>415</v>
      </c>
      <c r="CC1390" t="s">
        <v>169</v>
      </c>
      <c r="CD1390">
        <v>6001</v>
      </c>
      <c r="CE1390" t="s">
        <v>91</v>
      </c>
      <c r="CF1390" s="3">
        <v>45849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"080066479222"</f>
        <v>080066479222</v>
      </c>
      <c r="F1391" s="3">
        <v>45848</v>
      </c>
      <c r="G1391">
        <v>202604</v>
      </c>
      <c r="H1391" t="s">
        <v>75</v>
      </c>
      <c r="I1391" t="s">
        <v>76</v>
      </c>
      <c r="J1391" t="s">
        <v>77</v>
      </c>
      <c r="K1391" t="s">
        <v>78</v>
      </c>
      <c r="L1391" t="s">
        <v>277</v>
      </c>
      <c r="M1391" t="s">
        <v>278</v>
      </c>
      <c r="N1391" t="s">
        <v>279</v>
      </c>
      <c r="O1391" t="s">
        <v>82</v>
      </c>
      <c r="P1391" t="str">
        <f>"4170048104                    "</f>
        <v xml:space="preserve">4170048104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50.82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4.3</v>
      </c>
      <c r="BK1391">
        <v>4.5</v>
      </c>
      <c r="BL1391">
        <v>160.12</v>
      </c>
      <c r="BM1391">
        <v>24.02</v>
      </c>
      <c r="BN1391">
        <v>184.14</v>
      </c>
      <c r="BO1391">
        <v>184.14</v>
      </c>
      <c r="BQ1391" t="s">
        <v>280</v>
      </c>
      <c r="BR1391" t="s">
        <v>84</v>
      </c>
      <c r="BS1391" s="3">
        <v>45849</v>
      </c>
      <c r="BT1391" s="4">
        <v>0.39444444444444443</v>
      </c>
      <c r="BU1391" t="s">
        <v>1124</v>
      </c>
      <c r="BV1391" t="s">
        <v>98</v>
      </c>
      <c r="BY1391">
        <v>21280</v>
      </c>
      <c r="BZ1391" t="s">
        <v>89</v>
      </c>
      <c r="CA1391" t="s">
        <v>282</v>
      </c>
      <c r="CC1391" t="s">
        <v>278</v>
      </c>
      <c r="CD1391">
        <v>6230</v>
      </c>
      <c r="CE1391" t="s">
        <v>91</v>
      </c>
      <c r="CF1391" s="3">
        <v>45849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"080066479270"</f>
        <v>080066479270</v>
      </c>
      <c r="F1392" s="3">
        <v>45848</v>
      </c>
      <c r="G1392">
        <v>202604</v>
      </c>
      <c r="H1392" t="s">
        <v>75</v>
      </c>
      <c r="I1392" t="s">
        <v>76</v>
      </c>
      <c r="J1392" t="s">
        <v>77</v>
      </c>
      <c r="K1392" t="s">
        <v>78</v>
      </c>
      <c r="L1392" t="s">
        <v>452</v>
      </c>
      <c r="M1392" t="s">
        <v>453</v>
      </c>
      <c r="N1392" t="s">
        <v>968</v>
      </c>
      <c r="O1392" t="s">
        <v>82</v>
      </c>
      <c r="P1392" t="str">
        <f>"4170047848                    "</f>
        <v xml:space="preserve">4170047848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17.649999999999999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</v>
      </c>
      <c r="BJ1392">
        <v>0.9</v>
      </c>
      <c r="BK1392">
        <v>2</v>
      </c>
      <c r="BL1392">
        <v>55.61</v>
      </c>
      <c r="BM1392">
        <v>8.34</v>
      </c>
      <c r="BN1392">
        <v>63.95</v>
      </c>
      <c r="BO1392">
        <v>63.95</v>
      </c>
      <c r="BQ1392" t="s">
        <v>1098</v>
      </c>
      <c r="BR1392" t="s">
        <v>84</v>
      </c>
      <c r="BS1392" s="3">
        <v>45849</v>
      </c>
      <c r="BT1392" s="4">
        <v>0.42222222222222222</v>
      </c>
      <c r="BU1392" t="s">
        <v>2061</v>
      </c>
      <c r="BV1392" t="s">
        <v>98</v>
      </c>
      <c r="BY1392">
        <v>4560</v>
      </c>
      <c r="BZ1392" t="s">
        <v>89</v>
      </c>
      <c r="CA1392" t="s">
        <v>1541</v>
      </c>
      <c r="CC1392" t="s">
        <v>453</v>
      </c>
      <c r="CD1392">
        <v>1559</v>
      </c>
      <c r="CE1392" t="s">
        <v>266</v>
      </c>
      <c r="CF1392" s="3">
        <v>45850</v>
      </c>
      <c r="CI1392">
        <v>1</v>
      </c>
      <c r="CJ1392">
        <v>1</v>
      </c>
      <c r="CK1392">
        <v>22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"080066480145"</f>
        <v>080066480145</v>
      </c>
      <c r="F1393" s="3">
        <v>45848</v>
      </c>
      <c r="G1393">
        <v>202604</v>
      </c>
      <c r="H1393" t="s">
        <v>75</v>
      </c>
      <c r="I1393" t="s">
        <v>76</v>
      </c>
      <c r="J1393" t="s">
        <v>77</v>
      </c>
      <c r="K1393" t="s">
        <v>78</v>
      </c>
      <c r="L1393" t="s">
        <v>92</v>
      </c>
      <c r="M1393" t="s">
        <v>93</v>
      </c>
      <c r="N1393" t="s">
        <v>334</v>
      </c>
      <c r="O1393" t="s">
        <v>82</v>
      </c>
      <c r="P1393" t="str">
        <f>"4170047866                    "</f>
        <v xml:space="preserve">4170047866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22.6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71.2</v>
      </c>
      <c r="BM1393">
        <v>10.68</v>
      </c>
      <c r="BN1393">
        <v>81.88</v>
      </c>
      <c r="BO1393">
        <v>81.88</v>
      </c>
      <c r="BQ1393" t="s">
        <v>335</v>
      </c>
      <c r="BR1393" t="s">
        <v>84</v>
      </c>
      <c r="BS1393" s="3">
        <v>45849</v>
      </c>
      <c r="BT1393" s="4">
        <v>0.41458333333333336</v>
      </c>
      <c r="BU1393" t="s">
        <v>2062</v>
      </c>
      <c r="BV1393" t="s">
        <v>98</v>
      </c>
      <c r="BY1393">
        <v>1200</v>
      </c>
      <c r="BZ1393" t="s">
        <v>89</v>
      </c>
      <c r="CA1393" t="s">
        <v>1428</v>
      </c>
      <c r="CC1393" t="s">
        <v>93</v>
      </c>
      <c r="CD1393">
        <v>4052</v>
      </c>
      <c r="CE1393" t="s">
        <v>239</v>
      </c>
      <c r="CF1393" s="3">
        <v>45849</v>
      </c>
      <c r="CI1393">
        <v>1</v>
      </c>
      <c r="CJ1393">
        <v>1</v>
      </c>
      <c r="CK1393">
        <v>21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"080066480204"</f>
        <v>080066480204</v>
      </c>
      <c r="F1394" s="3">
        <v>45848</v>
      </c>
      <c r="G1394">
        <v>202604</v>
      </c>
      <c r="H1394" t="s">
        <v>75</v>
      </c>
      <c r="I1394" t="s">
        <v>76</v>
      </c>
      <c r="J1394" t="s">
        <v>77</v>
      </c>
      <c r="K1394" t="s">
        <v>78</v>
      </c>
      <c r="L1394" t="s">
        <v>135</v>
      </c>
      <c r="M1394" t="s">
        <v>136</v>
      </c>
      <c r="N1394" t="s">
        <v>379</v>
      </c>
      <c r="O1394" t="s">
        <v>82</v>
      </c>
      <c r="P1394" t="str">
        <f>"4170048025                    "</f>
        <v xml:space="preserve">4170048025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158.08000000000001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14</v>
      </c>
      <c r="BJ1394">
        <v>13.8</v>
      </c>
      <c r="BK1394">
        <v>14</v>
      </c>
      <c r="BL1394">
        <v>498.04</v>
      </c>
      <c r="BM1394">
        <v>74.709999999999994</v>
      </c>
      <c r="BN1394">
        <v>572.75</v>
      </c>
      <c r="BO1394">
        <v>572.75</v>
      </c>
      <c r="BQ1394" t="s">
        <v>380</v>
      </c>
      <c r="BR1394" t="s">
        <v>84</v>
      </c>
      <c r="BS1394" s="3">
        <v>45849</v>
      </c>
      <c r="BT1394" s="4">
        <v>0.48958333333333331</v>
      </c>
      <c r="BU1394" t="s">
        <v>2019</v>
      </c>
      <c r="BV1394" t="s">
        <v>98</v>
      </c>
      <c r="BY1394">
        <v>69120</v>
      </c>
      <c r="BZ1394" t="s">
        <v>89</v>
      </c>
      <c r="CA1394" t="s">
        <v>382</v>
      </c>
      <c r="CC1394" t="s">
        <v>136</v>
      </c>
      <c r="CD1394">
        <v>3212</v>
      </c>
      <c r="CE1394" t="s">
        <v>117</v>
      </c>
      <c r="CF1394" s="3">
        <v>45849</v>
      </c>
      <c r="CI1394">
        <v>2</v>
      </c>
      <c r="CJ1394">
        <v>1</v>
      </c>
      <c r="CK1394">
        <v>21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"080066480298"</f>
        <v>080066480298</v>
      </c>
      <c r="F1395" s="3">
        <v>45848</v>
      </c>
      <c r="G1395">
        <v>202604</v>
      </c>
      <c r="H1395" t="s">
        <v>75</v>
      </c>
      <c r="I1395" t="s">
        <v>76</v>
      </c>
      <c r="J1395" t="s">
        <v>77</v>
      </c>
      <c r="K1395" t="s">
        <v>78</v>
      </c>
      <c r="L1395" t="s">
        <v>79</v>
      </c>
      <c r="M1395" t="s">
        <v>80</v>
      </c>
      <c r="N1395" t="s">
        <v>2063</v>
      </c>
      <c r="O1395" t="s">
        <v>82</v>
      </c>
      <c r="P1395" t="str">
        <f>"4170047852                    "</f>
        <v xml:space="preserve">4170047852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39.53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3.4</v>
      </c>
      <c r="BK1395">
        <v>3.5</v>
      </c>
      <c r="BL1395">
        <v>124.55</v>
      </c>
      <c r="BM1395">
        <v>18.68</v>
      </c>
      <c r="BN1395">
        <v>143.22999999999999</v>
      </c>
      <c r="BO1395">
        <v>143.22999999999999</v>
      </c>
      <c r="BQ1395" t="s">
        <v>2064</v>
      </c>
      <c r="BR1395" t="s">
        <v>84</v>
      </c>
      <c r="BS1395" s="3">
        <v>45849</v>
      </c>
      <c r="BT1395" s="4">
        <v>0.375</v>
      </c>
      <c r="BU1395" t="s">
        <v>1748</v>
      </c>
      <c r="BV1395" t="s">
        <v>98</v>
      </c>
      <c r="BY1395">
        <v>16965</v>
      </c>
      <c r="BZ1395" t="s">
        <v>89</v>
      </c>
      <c r="CA1395" t="s">
        <v>1417</v>
      </c>
      <c r="CC1395" t="s">
        <v>80</v>
      </c>
      <c r="CD1395">
        <v>7480</v>
      </c>
      <c r="CE1395" t="s">
        <v>117</v>
      </c>
      <c r="CF1395" s="3">
        <v>45852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"080066480324"</f>
        <v>080066480324</v>
      </c>
      <c r="F1396" s="3">
        <v>45848</v>
      </c>
      <c r="G1396">
        <v>202604</v>
      </c>
      <c r="H1396" t="s">
        <v>75</v>
      </c>
      <c r="I1396" t="s">
        <v>76</v>
      </c>
      <c r="J1396" t="s">
        <v>77</v>
      </c>
      <c r="K1396" t="s">
        <v>78</v>
      </c>
      <c r="L1396" t="s">
        <v>79</v>
      </c>
      <c r="M1396" t="s">
        <v>80</v>
      </c>
      <c r="N1396" t="s">
        <v>698</v>
      </c>
      <c r="O1396" t="s">
        <v>82</v>
      </c>
      <c r="P1396" t="str">
        <f>"4170048039                    "</f>
        <v xml:space="preserve">4170048039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45.18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3.8</v>
      </c>
      <c r="BK1396">
        <v>4</v>
      </c>
      <c r="BL1396">
        <v>142.34</v>
      </c>
      <c r="BM1396">
        <v>21.35</v>
      </c>
      <c r="BN1396">
        <v>163.69</v>
      </c>
      <c r="BO1396">
        <v>163.69</v>
      </c>
      <c r="BQ1396" t="s">
        <v>699</v>
      </c>
      <c r="BR1396" t="s">
        <v>84</v>
      </c>
      <c r="BS1396" s="3">
        <v>45849</v>
      </c>
      <c r="BT1396" s="4">
        <v>0.39791666666666664</v>
      </c>
      <c r="BU1396" t="s">
        <v>2065</v>
      </c>
      <c r="BV1396" t="s">
        <v>98</v>
      </c>
      <c r="BY1396">
        <v>19227</v>
      </c>
      <c r="BZ1396" t="s">
        <v>89</v>
      </c>
      <c r="CC1396" t="s">
        <v>80</v>
      </c>
      <c r="CD1396">
        <v>7561</v>
      </c>
      <c r="CE1396" t="s">
        <v>117</v>
      </c>
      <c r="CF1396" s="3">
        <v>45852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"080066480343"</f>
        <v>080066480343</v>
      </c>
      <c r="F1397" s="3">
        <v>45848</v>
      </c>
      <c r="G1397">
        <v>202604</v>
      </c>
      <c r="H1397" t="s">
        <v>75</v>
      </c>
      <c r="I1397" t="s">
        <v>76</v>
      </c>
      <c r="J1397" t="s">
        <v>77</v>
      </c>
      <c r="K1397" t="s">
        <v>78</v>
      </c>
      <c r="L1397" t="s">
        <v>240</v>
      </c>
      <c r="M1397" t="s">
        <v>241</v>
      </c>
      <c r="N1397" t="s">
        <v>242</v>
      </c>
      <c r="O1397" t="s">
        <v>82</v>
      </c>
      <c r="P1397" t="str">
        <f>"4170048108                    "</f>
        <v xml:space="preserve">4170048108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17.649999999999999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2</v>
      </c>
      <c r="BJ1397">
        <v>1.1000000000000001</v>
      </c>
      <c r="BK1397">
        <v>2</v>
      </c>
      <c r="BL1397">
        <v>55.61</v>
      </c>
      <c r="BM1397">
        <v>8.34</v>
      </c>
      <c r="BN1397">
        <v>63.95</v>
      </c>
      <c r="BO1397">
        <v>63.95</v>
      </c>
      <c r="BQ1397" t="s">
        <v>243</v>
      </c>
      <c r="BR1397" t="s">
        <v>84</v>
      </c>
      <c r="BS1397" s="3">
        <v>45849</v>
      </c>
      <c r="BT1397" s="4">
        <v>0.34027777777777779</v>
      </c>
      <c r="BU1397" t="s">
        <v>244</v>
      </c>
      <c r="BV1397" t="s">
        <v>98</v>
      </c>
      <c r="BY1397">
        <v>5320</v>
      </c>
      <c r="BZ1397" t="s">
        <v>89</v>
      </c>
      <c r="CA1397" t="s">
        <v>245</v>
      </c>
      <c r="CC1397" t="s">
        <v>241</v>
      </c>
      <c r="CD1397">
        <v>2091</v>
      </c>
      <c r="CE1397" t="s">
        <v>117</v>
      </c>
      <c r="CF1397" s="3">
        <v>45850</v>
      </c>
      <c r="CI1397">
        <v>1</v>
      </c>
      <c r="CJ1397">
        <v>1</v>
      </c>
      <c r="CK1397">
        <v>22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"080066480371"</f>
        <v>080066480371</v>
      </c>
      <c r="F1398" s="3">
        <v>45848</v>
      </c>
      <c r="G1398">
        <v>202604</v>
      </c>
      <c r="H1398" t="s">
        <v>75</v>
      </c>
      <c r="I1398" t="s">
        <v>76</v>
      </c>
      <c r="J1398" t="s">
        <v>77</v>
      </c>
      <c r="K1398" t="s">
        <v>78</v>
      </c>
      <c r="L1398" t="s">
        <v>79</v>
      </c>
      <c r="M1398" t="s">
        <v>80</v>
      </c>
      <c r="N1398" t="s">
        <v>81</v>
      </c>
      <c r="O1398" t="s">
        <v>82</v>
      </c>
      <c r="P1398" t="str">
        <f>"4170048010                    "</f>
        <v xml:space="preserve">4170048010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135.5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12</v>
      </c>
      <c r="BJ1398">
        <v>7.2</v>
      </c>
      <c r="BK1398">
        <v>12</v>
      </c>
      <c r="BL1398">
        <v>426.9</v>
      </c>
      <c r="BM1398">
        <v>64.040000000000006</v>
      </c>
      <c r="BN1398">
        <v>490.94</v>
      </c>
      <c r="BO1398">
        <v>490.94</v>
      </c>
      <c r="BQ1398" t="s">
        <v>83</v>
      </c>
      <c r="BR1398" t="s">
        <v>84</v>
      </c>
      <c r="BS1398" s="3">
        <v>45849</v>
      </c>
      <c r="BT1398" s="4">
        <v>0.51597222222222228</v>
      </c>
      <c r="BU1398" t="s">
        <v>85</v>
      </c>
      <c r="BV1398" t="s">
        <v>86</v>
      </c>
      <c r="BW1398" t="s">
        <v>87</v>
      </c>
      <c r="BX1398" t="s">
        <v>88</v>
      </c>
      <c r="BY1398">
        <v>35840</v>
      </c>
      <c r="BZ1398" t="s">
        <v>89</v>
      </c>
      <c r="CA1398" t="s">
        <v>90</v>
      </c>
      <c r="CC1398" t="s">
        <v>80</v>
      </c>
      <c r="CD1398">
        <v>7550</v>
      </c>
      <c r="CE1398" t="s">
        <v>91</v>
      </c>
      <c r="CF1398" s="3">
        <v>45852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"080066480543"</f>
        <v>080066480543</v>
      </c>
      <c r="F1399" s="3">
        <v>45848</v>
      </c>
      <c r="G1399">
        <v>202604</v>
      </c>
      <c r="H1399" t="s">
        <v>75</v>
      </c>
      <c r="I1399" t="s">
        <v>76</v>
      </c>
      <c r="J1399" t="s">
        <v>77</v>
      </c>
      <c r="K1399" t="s">
        <v>78</v>
      </c>
      <c r="L1399" t="s">
        <v>135</v>
      </c>
      <c r="M1399" t="s">
        <v>136</v>
      </c>
      <c r="N1399" t="s">
        <v>137</v>
      </c>
      <c r="O1399" t="s">
        <v>82</v>
      </c>
      <c r="P1399" t="str">
        <f>"4170048032                    "</f>
        <v xml:space="preserve">4170048032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16.739999999999998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1.7</v>
      </c>
      <c r="BK1399">
        <v>2</v>
      </c>
      <c r="BL1399">
        <v>87.94</v>
      </c>
      <c r="BM1399">
        <v>13.19</v>
      </c>
      <c r="BN1399">
        <v>101.13</v>
      </c>
      <c r="BO1399">
        <v>101.13</v>
      </c>
      <c r="BQ1399" t="s">
        <v>138</v>
      </c>
      <c r="BR1399" t="s">
        <v>84</v>
      </c>
      <c r="BS1399" s="3">
        <v>45849</v>
      </c>
      <c r="BT1399" s="4">
        <v>0.41666666666666669</v>
      </c>
      <c r="BU1399" t="s">
        <v>2066</v>
      </c>
      <c r="BV1399" t="s">
        <v>98</v>
      </c>
      <c r="BY1399">
        <v>8512</v>
      </c>
      <c r="BZ1399" t="s">
        <v>460</v>
      </c>
      <c r="CA1399" t="s">
        <v>2003</v>
      </c>
      <c r="CC1399" t="s">
        <v>136</v>
      </c>
      <c r="CD1399">
        <v>3699</v>
      </c>
      <c r="CE1399" t="s">
        <v>117</v>
      </c>
      <c r="CF1399" s="3">
        <v>45850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"080066480563"</f>
        <v>080066480563</v>
      </c>
      <c r="F1400" s="3">
        <v>45848</v>
      </c>
      <c r="G1400">
        <v>202604</v>
      </c>
      <c r="H1400" t="s">
        <v>75</v>
      </c>
      <c r="I1400" t="s">
        <v>76</v>
      </c>
      <c r="J1400" t="s">
        <v>77</v>
      </c>
      <c r="K1400" t="s">
        <v>78</v>
      </c>
      <c r="L1400" t="s">
        <v>1370</v>
      </c>
      <c r="M1400" t="s">
        <v>1371</v>
      </c>
      <c r="N1400" t="s">
        <v>2067</v>
      </c>
      <c r="O1400" t="s">
        <v>82</v>
      </c>
      <c r="P1400" t="str">
        <f>"4170047853                    "</f>
        <v xml:space="preserve">4170047853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43.78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137.94</v>
      </c>
      <c r="BM1400">
        <v>20.69</v>
      </c>
      <c r="BN1400">
        <v>158.63</v>
      </c>
      <c r="BO1400">
        <v>158.63</v>
      </c>
      <c r="BQ1400" t="s">
        <v>2068</v>
      </c>
      <c r="BR1400" t="s">
        <v>84</v>
      </c>
      <c r="BS1400" s="3">
        <v>45849</v>
      </c>
      <c r="BT1400" s="4">
        <v>0.42222222222222222</v>
      </c>
      <c r="BU1400" t="s">
        <v>2069</v>
      </c>
      <c r="BV1400" t="s">
        <v>98</v>
      </c>
      <c r="BY1400">
        <v>1200</v>
      </c>
      <c r="BZ1400" t="s">
        <v>89</v>
      </c>
      <c r="CA1400" t="s">
        <v>1375</v>
      </c>
      <c r="CC1400" t="s">
        <v>1371</v>
      </c>
      <c r="CD1400" s="5" t="s">
        <v>1376</v>
      </c>
      <c r="CE1400" t="s">
        <v>239</v>
      </c>
      <c r="CF1400" s="3">
        <v>45852</v>
      </c>
      <c r="CI1400">
        <v>1</v>
      </c>
      <c r="CJ1400">
        <v>1</v>
      </c>
      <c r="CK1400">
        <v>23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"080066480734"</f>
        <v>080066480734</v>
      </c>
      <c r="F1401" s="3">
        <v>45848</v>
      </c>
      <c r="G1401">
        <v>202604</v>
      </c>
      <c r="H1401" t="s">
        <v>75</v>
      </c>
      <c r="I1401" t="s">
        <v>76</v>
      </c>
      <c r="J1401" t="s">
        <v>77</v>
      </c>
      <c r="K1401" t="s">
        <v>78</v>
      </c>
      <c r="L1401" t="s">
        <v>390</v>
      </c>
      <c r="M1401" t="s">
        <v>391</v>
      </c>
      <c r="N1401" t="s">
        <v>2070</v>
      </c>
      <c r="O1401" t="s">
        <v>82</v>
      </c>
      <c r="P1401" t="str">
        <f>"4170048093                    "</f>
        <v xml:space="preserve">4170048093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17.649999999999999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0.3</v>
      </c>
      <c r="BK1401">
        <v>1</v>
      </c>
      <c r="BL1401">
        <v>55.61</v>
      </c>
      <c r="BM1401">
        <v>8.34</v>
      </c>
      <c r="BN1401">
        <v>63.95</v>
      </c>
      <c r="BO1401">
        <v>63.95</v>
      </c>
      <c r="BQ1401" t="s">
        <v>1941</v>
      </c>
      <c r="BR1401" t="s">
        <v>84</v>
      </c>
      <c r="BS1401" s="3">
        <v>45852</v>
      </c>
      <c r="BT1401" s="4">
        <v>0.41041666666666665</v>
      </c>
      <c r="BU1401" t="s">
        <v>1942</v>
      </c>
      <c r="BV1401" t="s">
        <v>86</v>
      </c>
      <c r="BW1401" t="s">
        <v>219</v>
      </c>
      <c r="BX1401" t="s">
        <v>1420</v>
      </c>
      <c r="BY1401">
        <v>1350</v>
      </c>
      <c r="BZ1401" t="s">
        <v>89</v>
      </c>
      <c r="CA1401" t="s">
        <v>1943</v>
      </c>
      <c r="CC1401" t="s">
        <v>391</v>
      </c>
      <c r="CD1401">
        <v>1724</v>
      </c>
      <c r="CE1401" t="s">
        <v>1868</v>
      </c>
      <c r="CF1401" s="3">
        <v>45852</v>
      </c>
      <c r="CI1401">
        <v>1</v>
      </c>
      <c r="CJ1401">
        <v>2</v>
      </c>
      <c r="CK1401">
        <v>22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"080066480756"</f>
        <v>080066480756</v>
      </c>
      <c r="F1402" s="3">
        <v>45848</v>
      </c>
      <c r="G1402">
        <v>202604</v>
      </c>
      <c r="H1402" t="s">
        <v>75</v>
      </c>
      <c r="I1402" t="s">
        <v>76</v>
      </c>
      <c r="J1402" t="s">
        <v>77</v>
      </c>
      <c r="K1402" t="s">
        <v>78</v>
      </c>
      <c r="L1402" t="s">
        <v>79</v>
      </c>
      <c r="M1402" t="s">
        <v>80</v>
      </c>
      <c r="N1402" t="s">
        <v>1101</v>
      </c>
      <c r="O1402" t="s">
        <v>82</v>
      </c>
      <c r="P1402" t="str">
        <f>"4170048095                    "</f>
        <v xml:space="preserve">4170048095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22.6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71.2</v>
      </c>
      <c r="BM1402">
        <v>10.68</v>
      </c>
      <c r="BN1402">
        <v>81.88</v>
      </c>
      <c r="BO1402">
        <v>81.88</v>
      </c>
      <c r="BQ1402" t="s">
        <v>1102</v>
      </c>
      <c r="BR1402" t="s">
        <v>84</v>
      </c>
      <c r="BS1402" s="3">
        <v>45849</v>
      </c>
      <c r="BT1402" s="4">
        <v>0.34305555555555556</v>
      </c>
      <c r="BU1402" t="s">
        <v>2071</v>
      </c>
      <c r="BV1402" t="s">
        <v>98</v>
      </c>
      <c r="BY1402">
        <v>1200</v>
      </c>
      <c r="BZ1402" t="s">
        <v>89</v>
      </c>
      <c r="CA1402" t="s">
        <v>289</v>
      </c>
      <c r="CC1402" t="s">
        <v>80</v>
      </c>
      <c r="CD1402">
        <v>7530</v>
      </c>
      <c r="CE1402" t="s">
        <v>1868</v>
      </c>
      <c r="CF1402" s="3">
        <v>45852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"080066480768"</f>
        <v>080066480768</v>
      </c>
      <c r="F1403" s="3">
        <v>45848</v>
      </c>
      <c r="G1403">
        <v>202604</v>
      </c>
      <c r="H1403" t="s">
        <v>75</v>
      </c>
      <c r="I1403" t="s">
        <v>76</v>
      </c>
      <c r="J1403" t="s">
        <v>77</v>
      </c>
      <c r="K1403" t="s">
        <v>78</v>
      </c>
      <c r="L1403" t="s">
        <v>854</v>
      </c>
      <c r="M1403" t="s">
        <v>855</v>
      </c>
      <c r="N1403" t="s">
        <v>1986</v>
      </c>
      <c r="O1403" t="s">
        <v>82</v>
      </c>
      <c r="P1403" t="str">
        <f>"4170047860                    "</f>
        <v xml:space="preserve">4170047860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43.78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16.739999999999998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0.3</v>
      </c>
      <c r="BK1403">
        <v>1</v>
      </c>
      <c r="BL1403">
        <v>154.68</v>
      </c>
      <c r="BM1403">
        <v>23.2</v>
      </c>
      <c r="BN1403">
        <v>177.88</v>
      </c>
      <c r="BO1403">
        <v>177.88</v>
      </c>
      <c r="BQ1403" t="s">
        <v>1987</v>
      </c>
      <c r="BR1403" t="s">
        <v>84</v>
      </c>
      <c r="BS1403" s="3">
        <v>45849</v>
      </c>
      <c r="BT1403" s="4">
        <v>0.53125</v>
      </c>
      <c r="BU1403" t="s">
        <v>1988</v>
      </c>
      <c r="BV1403" t="s">
        <v>98</v>
      </c>
      <c r="BY1403">
        <v>1350</v>
      </c>
      <c r="BZ1403" t="s">
        <v>460</v>
      </c>
      <c r="CA1403" t="s">
        <v>992</v>
      </c>
      <c r="CC1403" t="s">
        <v>855</v>
      </c>
      <c r="CD1403" s="5" t="s">
        <v>1989</v>
      </c>
      <c r="CE1403" t="s">
        <v>1868</v>
      </c>
      <c r="CF1403" s="3">
        <v>45849</v>
      </c>
      <c r="CI1403">
        <v>1</v>
      </c>
      <c r="CJ1403">
        <v>1</v>
      </c>
      <c r="CK1403">
        <v>23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"080066480788"</f>
        <v>080066480788</v>
      </c>
      <c r="F1404" s="3">
        <v>45848</v>
      </c>
      <c r="G1404">
        <v>202604</v>
      </c>
      <c r="H1404" t="s">
        <v>75</v>
      </c>
      <c r="I1404" t="s">
        <v>76</v>
      </c>
      <c r="J1404" t="s">
        <v>77</v>
      </c>
      <c r="K1404" t="s">
        <v>78</v>
      </c>
      <c r="L1404" t="s">
        <v>441</v>
      </c>
      <c r="M1404" t="s">
        <v>442</v>
      </c>
      <c r="N1404" t="s">
        <v>443</v>
      </c>
      <c r="O1404" t="s">
        <v>82</v>
      </c>
      <c r="P1404" t="str">
        <f>"4170047770                    "</f>
        <v xml:space="preserve">4170047770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63.56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3</v>
      </c>
      <c r="BJ1404">
        <v>1.9</v>
      </c>
      <c r="BK1404">
        <v>3</v>
      </c>
      <c r="BL1404">
        <v>200.24</v>
      </c>
      <c r="BM1404">
        <v>30.04</v>
      </c>
      <c r="BN1404">
        <v>230.28</v>
      </c>
      <c r="BO1404">
        <v>230.28</v>
      </c>
      <c r="BQ1404" t="s">
        <v>444</v>
      </c>
      <c r="BR1404" t="s">
        <v>84</v>
      </c>
      <c r="BS1404" s="3">
        <v>45849</v>
      </c>
      <c r="BT1404" s="4">
        <v>0.4284722222222222</v>
      </c>
      <c r="BU1404" t="s">
        <v>2072</v>
      </c>
      <c r="BV1404" t="s">
        <v>98</v>
      </c>
      <c r="BY1404">
        <v>9600</v>
      </c>
      <c r="BZ1404" t="s">
        <v>89</v>
      </c>
      <c r="CA1404" t="s">
        <v>2073</v>
      </c>
      <c r="CC1404" t="s">
        <v>442</v>
      </c>
      <c r="CD1404">
        <v>7185</v>
      </c>
      <c r="CE1404" t="s">
        <v>117</v>
      </c>
      <c r="CF1404" s="3">
        <v>45852</v>
      </c>
      <c r="CI1404">
        <v>2</v>
      </c>
      <c r="CJ1404">
        <v>1</v>
      </c>
      <c r="CK1404">
        <v>23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"080066480797"</f>
        <v>080066480797</v>
      </c>
      <c r="F1405" s="3">
        <v>45848</v>
      </c>
      <c r="G1405">
        <v>202604</v>
      </c>
      <c r="H1405" t="s">
        <v>75</v>
      </c>
      <c r="I1405" t="s">
        <v>76</v>
      </c>
      <c r="J1405" t="s">
        <v>77</v>
      </c>
      <c r="K1405" t="s">
        <v>78</v>
      </c>
      <c r="L1405" t="s">
        <v>168</v>
      </c>
      <c r="M1405" t="s">
        <v>169</v>
      </c>
      <c r="N1405" t="s">
        <v>412</v>
      </c>
      <c r="O1405" t="s">
        <v>82</v>
      </c>
      <c r="P1405" t="str">
        <f>"4170047888                    "</f>
        <v xml:space="preserve">4170047888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22.6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0.3</v>
      </c>
      <c r="BK1405">
        <v>1</v>
      </c>
      <c r="BL1405">
        <v>71.2</v>
      </c>
      <c r="BM1405">
        <v>10.68</v>
      </c>
      <c r="BN1405">
        <v>81.88</v>
      </c>
      <c r="BO1405">
        <v>81.88</v>
      </c>
      <c r="BQ1405" t="s">
        <v>413</v>
      </c>
      <c r="BR1405" t="s">
        <v>84</v>
      </c>
      <c r="BS1405" s="3">
        <v>45849</v>
      </c>
      <c r="BT1405" s="4">
        <v>0.3923611111111111</v>
      </c>
      <c r="BU1405" t="s">
        <v>470</v>
      </c>
      <c r="BV1405" t="s">
        <v>98</v>
      </c>
      <c r="BY1405">
        <v>1350</v>
      </c>
      <c r="BZ1405" t="s">
        <v>89</v>
      </c>
      <c r="CA1405" t="s">
        <v>415</v>
      </c>
      <c r="CC1405" t="s">
        <v>169</v>
      </c>
      <c r="CD1405">
        <v>6001</v>
      </c>
      <c r="CE1405" t="s">
        <v>1868</v>
      </c>
      <c r="CF1405" s="3">
        <v>45849</v>
      </c>
      <c r="CI1405">
        <v>1</v>
      </c>
      <c r="CJ1405">
        <v>1</v>
      </c>
      <c r="CK1405">
        <v>21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"080066480800"</f>
        <v>080066480800</v>
      </c>
      <c r="F1406" s="3">
        <v>45848</v>
      </c>
      <c r="G1406">
        <v>202604</v>
      </c>
      <c r="H1406" t="s">
        <v>75</v>
      </c>
      <c r="I1406" t="s">
        <v>76</v>
      </c>
      <c r="J1406" t="s">
        <v>77</v>
      </c>
      <c r="K1406" t="s">
        <v>78</v>
      </c>
      <c r="L1406" t="s">
        <v>295</v>
      </c>
      <c r="M1406" t="s">
        <v>296</v>
      </c>
      <c r="N1406" t="s">
        <v>1145</v>
      </c>
      <c r="O1406" t="s">
        <v>82</v>
      </c>
      <c r="P1406" t="str">
        <f>"4170048180                    "</f>
        <v xml:space="preserve">4170048180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17.649999999999999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6</v>
      </c>
      <c r="BJ1406">
        <v>1.1000000000000001</v>
      </c>
      <c r="BK1406">
        <v>6</v>
      </c>
      <c r="BL1406">
        <v>55.61</v>
      </c>
      <c r="BM1406">
        <v>8.34</v>
      </c>
      <c r="BN1406">
        <v>63.95</v>
      </c>
      <c r="BO1406">
        <v>63.95</v>
      </c>
      <c r="BQ1406" t="s">
        <v>1146</v>
      </c>
      <c r="BR1406" t="s">
        <v>84</v>
      </c>
      <c r="BS1406" s="3">
        <v>45849</v>
      </c>
      <c r="BT1406" s="4">
        <v>0.4</v>
      </c>
      <c r="BU1406" t="s">
        <v>2074</v>
      </c>
      <c r="BV1406" t="s">
        <v>98</v>
      </c>
      <c r="BY1406">
        <v>5320</v>
      </c>
      <c r="BZ1406" t="s">
        <v>89</v>
      </c>
      <c r="CA1406" t="s">
        <v>2075</v>
      </c>
      <c r="CC1406" t="s">
        <v>296</v>
      </c>
      <c r="CD1406">
        <v>1460</v>
      </c>
      <c r="CE1406" t="s">
        <v>117</v>
      </c>
      <c r="CF1406" s="3">
        <v>45849</v>
      </c>
      <c r="CI1406">
        <v>1</v>
      </c>
      <c r="CJ1406">
        <v>1</v>
      </c>
      <c r="CK1406">
        <v>22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"080066480806"</f>
        <v>080066480806</v>
      </c>
      <c r="F1407" s="3">
        <v>45848</v>
      </c>
      <c r="G1407">
        <v>202604</v>
      </c>
      <c r="H1407" t="s">
        <v>75</v>
      </c>
      <c r="I1407" t="s">
        <v>76</v>
      </c>
      <c r="J1407" t="s">
        <v>77</v>
      </c>
      <c r="K1407" t="s">
        <v>78</v>
      </c>
      <c r="L1407" t="s">
        <v>240</v>
      </c>
      <c r="M1407" t="s">
        <v>241</v>
      </c>
      <c r="N1407" t="s">
        <v>1808</v>
      </c>
      <c r="O1407" t="s">
        <v>82</v>
      </c>
      <c r="P1407" t="str">
        <f>"4170048012                    "</f>
        <v xml:space="preserve">4170048012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17.649999999999999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0.3</v>
      </c>
      <c r="BK1407">
        <v>1</v>
      </c>
      <c r="BL1407">
        <v>55.61</v>
      </c>
      <c r="BM1407">
        <v>8.34</v>
      </c>
      <c r="BN1407">
        <v>63.95</v>
      </c>
      <c r="BO1407">
        <v>63.95</v>
      </c>
      <c r="BQ1407" t="s">
        <v>1809</v>
      </c>
      <c r="BR1407" t="s">
        <v>84</v>
      </c>
      <c r="BS1407" s="3">
        <v>45849</v>
      </c>
      <c r="BT1407" s="4">
        <v>0.41666666666666669</v>
      </c>
      <c r="BU1407" t="s">
        <v>405</v>
      </c>
      <c r="BV1407" t="s">
        <v>98</v>
      </c>
      <c r="BY1407">
        <v>1350</v>
      </c>
      <c r="BZ1407" t="s">
        <v>89</v>
      </c>
      <c r="CA1407" t="s">
        <v>245</v>
      </c>
      <c r="CC1407" t="s">
        <v>241</v>
      </c>
      <c r="CD1407">
        <v>2013</v>
      </c>
      <c r="CE1407" t="s">
        <v>1868</v>
      </c>
      <c r="CF1407" s="3">
        <v>45850</v>
      </c>
      <c r="CI1407">
        <v>1</v>
      </c>
      <c r="CJ1407">
        <v>1</v>
      </c>
      <c r="CK1407">
        <v>22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"080066480815"</f>
        <v>080066480815</v>
      </c>
      <c r="F1408" s="3">
        <v>45848</v>
      </c>
      <c r="G1408">
        <v>202604</v>
      </c>
      <c r="H1408" t="s">
        <v>75</v>
      </c>
      <c r="I1408" t="s">
        <v>76</v>
      </c>
      <c r="J1408" t="s">
        <v>77</v>
      </c>
      <c r="K1408" t="s">
        <v>78</v>
      </c>
      <c r="L1408" t="s">
        <v>260</v>
      </c>
      <c r="M1408" t="s">
        <v>261</v>
      </c>
      <c r="N1408" t="s">
        <v>2076</v>
      </c>
      <c r="O1408" t="s">
        <v>82</v>
      </c>
      <c r="P1408" t="str">
        <f>"4170048036                    "</f>
        <v xml:space="preserve">4170048036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43.78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0.3</v>
      </c>
      <c r="BK1408">
        <v>1</v>
      </c>
      <c r="BL1408">
        <v>137.94</v>
      </c>
      <c r="BM1408">
        <v>20.69</v>
      </c>
      <c r="BN1408">
        <v>158.63</v>
      </c>
      <c r="BO1408">
        <v>158.63</v>
      </c>
      <c r="BQ1408" t="s">
        <v>2077</v>
      </c>
      <c r="BR1408" t="s">
        <v>84</v>
      </c>
      <c r="BS1408" s="3">
        <v>45849</v>
      </c>
      <c r="BT1408" s="4">
        <v>0.38472222222222224</v>
      </c>
      <c r="BU1408" t="s">
        <v>323</v>
      </c>
      <c r="BV1408" t="s">
        <v>98</v>
      </c>
      <c r="BY1408">
        <v>1350</v>
      </c>
      <c r="BZ1408" t="s">
        <v>89</v>
      </c>
      <c r="CA1408" t="s">
        <v>265</v>
      </c>
      <c r="CC1408" t="s">
        <v>261</v>
      </c>
      <c r="CD1408">
        <v>1939</v>
      </c>
      <c r="CE1408" t="s">
        <v>1868</v>
      </c>
      <c r="CF1408" s="3">
        <v>45849</v>
      </c>
      <c r="CI1408">
        <v>1</v>
      </c>
      <c r="CJ1408">
        <v>1</v>
      </c>
      <c r="CK1408">
        <v>23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"080066480828"</f>
        <v>080066480828</v>
      </c>
      <c r="F1409" s="3">
        <v>45848</v>
      </c>
      <c r="G1409">
        <v>202604</v>
      </c>
      <c r="H1409" t="s">
        <v>75</v>
      </c>
      <c r="I1409" t="s">
        <v>76</v>
      </c>
      <c r="J1409" t="s">
        <v>77</v>
      </c>
      <c r="K1409" t="s">
        <v>78</v>
      </c>
      <c r="L1409" t="s">
        <v>295</v>
      </c>
      <c r="M1409" t="s">
        <v>296</v>
      </c>
      <c r="N1409" t="s">
        <v>2078</v>
      </c>
      <c r="O1409" t="s">
        <v>95</v>
      </c>
      <c r="P1409" t="str">
        <f>"4170047878                    "</f>
        <v xml:space="preserve">4170047878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68.22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50</v>
      </c>
      <c r="BJ1409">
        <v>21.2</v>
      </c>
      <c r="BK1409">
        <v>50</v>
      </c>
      <c r="BL1409">
        <v>220.81</v>
      </c>
      <c r="BM1409">
        <v>33.119999999999997</v>
      </c>
      <c r="BN1409">
        <v>253.93</v>
      </c>
      <c r="BO1409">
        <v>253.93</v>
      </c>
      <c r="BQ1409" t="s">
        <v>2079</v>
      </c>
      <c r="BR1409" t="s">
        <v>84</v>
      </c>
      <c r="BS1409" s="3">
        <v>45849</v>
      </c>
      <c r="BT1409" s="4">
        <v>0.41180555555555554</v>
      </c>
      <c r="BU1409" t="s">
        <v>2080</v>
      </c>
      <c r="BV1409" t="s">
        <v>98</v>
      </c>
      <c r="BY1409">
        <v>105840</v>
      </c>
      <c r="BZ1409" t="s">
        <v>99</v>
      </c>
      <c r="CA1409" t="s">
        <v>2081</v>
      </c>
      <c r="CC1409" t="s">
        <v>296</v>
      </c>
      <c r="CD1409">
        <v>1459</v>
      </c>
      <c r="CE1409" t="s">
        <v>2082</v>
      </c>
      <c r="CF1409" s="3">
        <v>45850</v>
      </c>
      <c r="CI1409">
        <v>1</v>
      </c>
      <c r="CJ1409">
        <v>1</v>
      </c>
      <c r="CK1409">
        <v>42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"080066480830"</f>
        <v>080066480830</v>
      </c>
      <c r="F1410" s="3">
        <v>45848</v>
      </c>
      <c r="G1410">
        <v>202604</v>
      </c>
      <c r="H1410" t="s">
        <v>75</v>
      </c>
      <c r="I1410" t="s">
        <v>76</v>
      </c>
      <c r="J1410" t="s">
        <v>77</v>
      </c>
      <c r="K1410" t="s">
        <v>78</v>
      </c>
      <c r="L1410" t="s">
        <v>75</v>
      </c>
      <c r="M1410" t="s">
        <v>76</v>
      </c>
      <c r="N1410" t="s">
        <v>701</v>
      </c>
      <c r="O1410" t="s">
        <v>82</v>
      </c>
      <c r="P1410" t="str">
        <f>"4170048099                    "</f>
        <v xml:space="preserve">4170048099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17.649999999999999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0.3</v>
      </c>
      <c r="BK1410">
        <v>1</v>
      </c>
      <c r="BL1410">
        <v>55.61</v>
      </c>
      <c r="BM1410">
        <v>8.34</v>
      </c>
      <c r="BN1410">
        <v>63.95</v>
      </c>
      <c r="BO1410">
        <v>63.95</v>
      </c>
      <c r="BQ1410" t="s">
        <v>702</v>
      </c>
      <c r="BR1410" t="s">
        <v>84</v>
      </c>
      <c r="BS1410" s="3">
        <v>45849</v>
      </c>
      <c r="BT1410" s="4">
        <v>0.39583333333333331</v>
      </c>
      <c r="BU1410" t="s">
        <v>703</v>
      </c>
      <c r="BV1410" t="s">
        <v>98</v>
      </c>
      <c r="BY1410">
        <v>1350</v>
      </c>
      <c r="BZ1410" t="s">
        <v>89</v>
      </c>
      <c r="CA1410" t="s">
        <v>617</v>
      </c>
      <c r="CC1410" t="s">
        <v>76</v>
      </c>
      <c r="CD1410">
        <v>1645</v>
      </c>
      <c r="CE1410" t="s">
        <v>1868</v>
      </c>
      <c r="CF1410" s="3">
        <v>45849</v>
      </c>
      <c r="CI1410">
        <v>1</v>
      </c>
      <c r="CJ1410">
        <v>1</v>
      </c>
      <c r="CK1410">
        <v>22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"080066480851"</f>
        <v>080066480851</v>
      </c>
      <c r="F1411" s="3">
        <v>45848</v>
      </c>
      <c r="G1411">
        <v>202604</v>
      </c>
      <c r="H1411" t="s">
        <v>75</v>
      </c>
      <c r="I1411" t="s">
        <v>76</v>
      </c>
      <c r="J1411" t="s">
        <v>77</v>
      </c>
      <c r="K1411" t="s">
        <v>78</v>
      </c>
      <c r="L1411" t="s">
        <v>1128</v>
      </c>
      <c r="M1411" t="s">
        <v>1129</v>
      </c>
      <c r="N1411" t="s">
        <v>2083</v>
      </c>
      <c r="O1411" t="s">
        <v>95</v>
      </c>
      <c r="P1411" t="str">
        <f>"4170048106                    "</f>
        <v xml:space="preserve">4170048106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49.11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10</v>
      </c>
      <c r="BJ1411">
        <v>17.7</v>
      </c>
      <c r="BK1411">
        <v>18</v>
      </c>
      <c r="BL1411">
        <v>160.6</v>
      </c>
      <c r="BM1411">
        <v>24.09</v>
      </c>
      <c r="BN1411">
        <v>184.69</v>
      </c>
      <c r="BO1411">
        <v>184.69</v>
      </c>
      <c r="BQ1411" t="s">
        <v>2084</v>
      </c>
      <c r="BR1411" t="s">
        <v>84</v>
      </c>
      <c r="BS1411" s="3">
        <v>45852</v>
      </c>
      <c r="BT1411" s="4">
        <v>0.34444444444444444</v>
      </c>
      <c r="BU1411" t="s">
        <v>2085</v>
      </c>
      <c r="BV1411" t="s">
        <v>98</v>
      </c>
      <c r="BY1411">
        <v>88320</v>
      </c>
      <c r="BZ1411" t="s">
        <v>99</v>
      </c>
      <c r="CA1411" t="s">
        <v>1133</v>
      </c>
      <c r="CC1411" t="s">
        <v>1129</v>
      </c>
      <c r="CD1411">
        <v>7600</v>
      </c>
      <c r="CE1411" t="s">
        <v>117</v>
      </c>
      <c r="CF1411" s="3">
        <v>45853</v>
      </c>
      <c r="CI1411">
        <v>3</v>
      </c>
      <c r="CJ1411">
        <v>2</v>
      </c>
      <c r="CK1411">
        <v>41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"080066480863"</f>
        <v>080066480863</v>
      </c>
      <c r="F1412" s="3">
        <v>45848</v>
      </c>
      <c r="G1412">
        <v>202604</v>
      </c>
      <c r="H1412" t="s">
        <v>75</v>
      </c>
      <c r="I1412" t="s">
        <v>76</v>
      </c>
      <c r="J1412" t="s">
        <v>77</v>
      </c>
      <c r="K1412" t="s">
        <v>78</v>
      </c>
      <c r="L1412" t="s">
        <v>168</v>
      </c>
      <c r="M1412" t="s">
        <v>169</v>
      </c>
      <c r="N1412" t="s">
        <v>1871</v>
      </c>
      <c r="O1412" t="s">
        <v>82</v>
      </c>
      <c r="P1412" t="str">
        <f>"4170048098                    "</f>
        <v xml:space="preserve">4170048098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1.1000000000000001</v>
      </c>
      <c r="BK1412">
        <v>1.5</v>
      </c>
      <c r="BL1412">
        <v>71.2</v>
      </c>
      <c r="BM1412">
        <v>10.68</v>
      </c>
      <c r="BN1412">
        <v>81.88</v>
      </c>
      <c r="BO1412">
        <v>81.88</v>
      </c>
      <c r="BQ1412" t="s">
        <v>1872</v>
      </c>
      <c r="BR1412" t="s">
        <v>84</v>
      </c>
      <c r="BS1412" s="3">
        <v>45849</v>
      </c>
      <c r="BT1412" s="4">
        <v>0.42986111111111114</v>
      </c>
      <c r="BU1412" t="s">
        <v>2086</v>
      </c>
      <c r="BV1412" t="s">
        <v>98</v>
      </c>
      <c r="BY1412">
        <v>5320</v>
      </c>
      <c r="BZ1412" t="s">
        <v>89</v>
      </c>
      <c r="CA1412" t="s">
        <v>415</v>
      </c>
      <c r="CC1412" t="s">
        <v>169</v>
      </c>
      <c r="CD1412">
        <v>6012</v>
      </c>
      <c r="CE1412" t="s">
        <v>117</v>
      </c>
      <c r="CF1412" s="3">
        <v>45849</v>
      </c>
      <c r="CI1412">
        <v>1</v>
      </c>
      <c r="CJ1412">
        <v>1</v>
      </c>
      <c r="CK1412">
        <v>21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"080066480905"</f>
        <v>080066480905</v>
      </c>
      <c r="F1413" s="3">
        <v>45848</v>
      </c>
      <c r="G1413">
        <v>202604</v>
      </c>
      <c r="H1413" t="s">
        <v>75</v>
      </c>
      <c r="I1413" t="s">
        <v>76</v>
      </c>
      <c r="J1413" t="s">
        <v>77</v>
      </c>
      <c r="K1413" t="s">
        <v>78</v>
      </c>
      <c r="L1413" t="s">
        <v>122</v>
      </c>
      <c r="M1413" t="s">
        <v>123</v>
      </c>
      <c r="N1413" t="s">
        <v>184</v>
      </c>
      <c r="O1413" t="s">
        <v>82</v>
      </c>
      <c r="P1413" t="str">
        <f>"4170048115                    "</f>
        <v xml:space="preserve">4170048115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62.11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3</v>
      </c>
      <c r="BJ1413">
        <v>5.0999999999999996</v>
      </c>
      <c r="BK1413">
        <v>5.5</v>
      </c>
      <c r="BL1413">
        <v>195.69</v>
      </c>
      <c r="BM1413">
        <v>29.35</v>
      </c>
      <c r="BN1413">
        <v>225.04</v>
      </c>
      <c r="BO1413">
        <v>225.04</v>
      </c>
      <c r="BQ1413" t="s">
        <v>185</v>
      </c>
      <c r="BR1413" t="s">
        <v>84</v>
      </c>
      <c r="BS1413" s="3">
        <v>45849</v>
      </c>
      <c r="BT1413" s="4">
        <v>0.42152777777777778</v>
      </c>
      <c r="BU1413" t="s">
        <v>186</v>
      </c>
      <c r="BV1413" t="s">
        <v>98</v>
      </c>
      <c r="BY1413">
        <v>25536</v>
      </c>
      <c r="BZ1413" t="s">
        <v>89</v>
      </c>
      <c r="CA1413" t="s">
        <v>187</v>
      </c>
      <c r="CC1413" t="s">
        <v>123</v>
      </c>
      <c r="CD1413">
        <v>3610</v>
      </c>
      <c r="CE1413" t="s">
        <v>91</v>
      </c>
      <c r="CF1413" s="3">
        <v>45849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"080066480914"</f>
        <v>080066480914</v>
      </c>
      <c r="F1414" s="3">
        <v>45848</v>
      </c>
      <c r="G1414">
        <v>202604</v>
      </c>
      <c r="H1414" t="s">
        <v>75</v>
      </c>
      <c r="I1414" t="s">
        <v>76</v>
      </c>
      <c r="J1414" t="s">
        <v>77</v>
      </c>
      <c r="K1414" t="s">
        <v>78</v>
      </c>
      <c r="L1414" t="s">
        <v>295</v>
      </c>
      <c r="M1414" t="s">
        <v>296</v>
      </c>
      <c r="N1414" t="s">
        <v>1262</v>
      </c>
      <c r="O1414" t="s">
        <v>82</v>
      </c>
      <c r="P1414" t="str">
        <f>"4170047864                    "</f>
        <v xml:space="preserve">4170047864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17.649999999999999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0.3</v>
      </c>
      <c r="BK1414">
        <v>1</v>
      </c>
      <c r="BL1414">
        <v>55.61</v>
      </c>
      <c r="BM1414">
        <v>8.34</v>
      </c>
      <c r="BN1414">
        <v>63.95</v>
      </c>
      <c r="BO1414">
        <v>63.95</v>
      </c>
      <c r="BQ1414" t="s">
        <v>1263</v>
      </c>
      <c r="BR1414" t="s">
        <v>84</v>
      </c>
      <c r="BS1414" s="3">
        <v>45849</v>
      </c>
      <c r="BT1414" s="4">
        <v>0.3888888888888889</v>
      </c>
      <c r="BU1414" t="s">
        <v>2087</v>
      </c>
      <c r="BV1414" t="s">
        <v>98</v>
      </c>
      <c r="BY1414">
        <v>1350</v>
      </c>
      <c r="BZ1414" t="s">
        <v>89</v>
      </c>
      <c r="CC1414" t="s">
        <v>296</v>
      </c>
      <c r="CD1414">
        <v>1459</v>
      </c>
      <c r="CE1414" t="s">
        <v>1868</v>
      </c>
      <c r="CF1414" s="3">
        <v>45850</v>
      </c>
      <c r="CI1414">
        <v>1</v>
      </c>
      <c r="CJ1414">
        <v>1</v>
      </c>
      <c r="CK1414">
        <v>22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"080066480924"</f>
        <v>080066480924</v>
      </c>
      <c r="F1415" s="3">
        <v>45848</v>
      </c>
      <c r="G1415">
        <v>202604</v>
      </c>
      <c r="H1415" t="s">
        <v>75</v>
      </c>
      <c r="I1415" t="s">
        <v>76</v>
      </c>
      <c r="J1415" t="s">
        <v>77</v>
      </c>
      <c r="K1415" t="s">
        <v>78</v>
      </c>
      <c r="L1415" t="s">
        <v>168</v>
      </c>
      <c r="M1415" t="s">
        <v>169</v>
      </c>
      <c r="N1415" t="s">
        <v>206</v>
      </c>
      <c r="O1415" t="s">
        <v>82</v>
      </c>
      <c r="P1415" t="str">
        <f>"4170048000                    "</f>
        <v xml:space="preserve">4170048000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101.63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4</v>
      </c>
      <c r="BJ1415">
        <v>8.9</v>
      </c>
      <c r="BK1415">
        <v>9</v>
      </c>
      <c r="BL1415">
        <v>320.19</v>
      </c>
      <c r="BM1415">
        <v>48.03</v>
      </c>
      <c r="BN1415">
        <v>368.22</v>
      </c>
      <c r="BO1415">
        <v>368.22</v>
      </c>
      <c r="BQ1415" t="s">
        <v>207</v>
      </c>
      <c r="BR1415" t="s">
        <v>84</v>
      </c>
      <c r="BS1415" s="3">
        <v>45849</v>
      </c>
      <c r="BT1415" s="4">
        <v>0.41944444444444445</v>
      </c>
      <c r="BU1415" t="s">
        <v>208</v>
      </c>
      <c r="BV1415" t="s">
        <v>98</v>
      </c>
      <c r="BY1415">
        <v>44640</v>
      </c>
      <c r="BZ1415" t="s">
        <v>89</v>
      </c>
      <c r="CA1415" t="s">
        <v>196</v>
      </c>
      <c r="CC1415" t="s">
        <v>169</v>
      </c>
      <c r="CD1415">
        <v>6001</v>
      </c>
      <c r="CE1415" t="s">
        <v>117</v>
      </c>
      <c r="CF1415" s="3">
        <v>45849</v>
      </c>
      <c r="CI1415">
        <v>1</v>
      </c>
      <c r="CJ1415">
        <v>1</v>
      </c>
      <c r="CK1415">
        <v>21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"080066480932"</f>
        <v>080066480932</v>
      </c>
      <c r="F1416" s="3">
        <v>45848</v>
      </c>
      <c r="G1416">
        <v>202604</v>
      </c>
      <c r="H1416" t="s">
        <v>75</v>
      </c>
      <c r="I1416" t="s">
        <v>76</v>
      </c>
      <c r="J1416" t="s">
        <v>77</v>
      </c>
      <c r="K1416" t="s">
        <v>78</v>
      </c>
      <c r="L1416" t="s">
        <v>168</v>
      </c>
      <c r="M1416" t="s">
        <v>169</v>
      </c>
      <c r="N1416" t="s">
        <v>202</v>
      </c>
      <c r="O1416" t="s">
        <v>82</v>
      </c>
      <c r="P1416" t="str">
        <f>"4170047869                    "</f>
        <v xml:space="preserve">4170047869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22.6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0.3</v>
      </c>
      <c r="BK1416">
        <v>1</v>
      </c>
      <c r="BL1416">
        <v>71.2</v>
      </c>
      <c r="BM1416">
        <v>10.68</v>
      </c>
      <c r="BN1416">
        <v>81.88</v>
      </c>
      <c r="BO1416">
        <v>81.88</v>
      </c>
      <c r="BQ1416" t="s">
        <v>203</v>
      </c>
      <c r="BR1416" t="s">
        <v>84</v>
      </c>
      <c r="BS1416" s="3">
        <v>45849</v>
      </c>
      <c r="BT1416" s="4">
        <v>0.40347222222222223</v>
      </c>
      <c r="BU1416" t="s">
        <v>1127</v>
      </c>
      <c r="BV1416" t="s">
        <v>98</v>
      </c>
      <c r="BY1416">
        <v>1350</v>
      </c>
      <c r="BZ1416" t="s">
        <v>89</v>
      </c>
      <c r="CA1416" t="s">
        <v>205</v>
      </c>
      <c r="CC1416" t="s">
        <v>169</v>
      </c>
      <c r="CD1416">
        <v>6001</v>
      </c>
      <c r="CE1416" t="s">
        <v>1868</v>
      </c>
      <c r="CF1416" s="3">
        <v>45849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"080066480970"</f>
        <v>080066480970</v>
      </c>
      <c r="F1417" s="3">
        <v>45848</v>
      </c>
      <c r="G1417">
        <v>202604</v>
      </c>
      <c r="H1417" t="s">
        <v>75</v>
      </c>
      <c r="I1417" t="s">
        <v>76</v>
      </c>
      <c r="J1417" t="s">
        <v>77</v>
      </c>
      <c r="K1417" t="s">
        <v>78</v>
      </c>
      <c r="L1417" t="s">
        <v>240</v>
      </c>
      <c r="M1417" t="s">
        <v>241</v>
      </c>
      <c r="N1417" t="s">
        <v>2088</v>
      </c>
      <c r="O1417" t="s">
        <v>82</v>
      </c>
      <c r="P1417" t="str">
        <f>"4170048113                    "</f>
        <v xml:space="preserve">4170048113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17.649999999999999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0.3</v>
      </c>
      <c r="BK1417">
        <v>1</v>
      </c>
      <c r="BL1417">
        <v>55.61</v>
      </c>
      <c r="BM1417">
        <v>8.34</v>
      </c>
      <c r="BN1417">
        <v>63.95</v>
      </c>
      <c r="BO1417">
        <v>63.95</v>
      </c>
      <c r="BQ1417" t="s">
        <v>2089</v>
      </c>
      <c r="BR1417" t="s">
        <v>84</v>
      </c>
      <c r="BS1417" s="3">
        <v>45849</v>
      </c>
      <c r="BT1417" s="4">
        <v>0.4236111111111111</v>
      </c>
      <c r="BU1417" t="s">
        <v>2090</v>
      </c>
      <c r="BV1417" t="s">
        <v>98</v>
      </c>
      <c r="BY1417">
        <v>1350</v>
      </c>
      <c r="BZ1417" t="s">
        <v>89</v>
      </c>
      <c r="CA1417" t="s">
        <v>617</v>
      </c>
      <c r="CC1417" t="s">
        <v>241</v>
      </c>
      <c r="CD1417">
        <v>2065</v>
      </c>
      <c r="CE1417" t="s">
        <v>1868</v>
      </c>
      <c r="CF1417" s="3">
        <v>45849</v>
      </c>
      <c r="CI1417">
        <v>1</v>
      </c>
      <c r="CJ1417">
        <v>1</v>
      </c>
      <c r="CK1417">
        <v>22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"080066480993"</f>
        <v>080066480993</v>
      </c>
      <c r="F1418" s="3">
        <v>45848</v>
      </c>
      <c r="G1418">
        <v>202604</v>
      </c>
      <c r="H1418" t="s">
        <v>75</v>
      </c>
      <c r="I1418" t="s">
        <v>76</v>
      </c>
      <c r="J1418" t="s">
        <v>77</v>
      </c>
      <c r="K1418" t="s">
        <v>78</v>
      </c>
      <c r="L1418" t="s">
        <v>168</v>
      </c>
      <c r="M1418" t="s">
        <v>169</v>
      </c>
      <c r="N1418" t="s">
        <v>206</v>
      </c>
      <c r="O1418" t="s">
        <v>82</v>
      </c>
      <c r="P1418" t="str">
        <f>"4170048072                    "</f>
        <v xml:space="preserve">4170048072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22.6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0.3</v>
      </c>
      <c r="BK1418">
        <v>1</v>
      </c>
      <c r="BL1418">
        <v>71.2</v>
      </c>
      <c r="BM1418">
        <v>10.68</v>
      </c>
      <c r="BN1418">
        <v>81.88</v>
      </c>
      <c r="BO1418">
        <v>81.88</v>
      </c>
      <c r="BQ1418" t="s">
        <v>207</v>
      </c>
      <c r="BR1418" t="s">
        <v>84</v>
      </c>
      <c r="BS1418" s="3">
        <v>45849</v>
      </c>
      <c r="BT1418" s="4">
        <v>0.41944444444444445</v>
      </c>
      <c r="BU1418" t="s">
        <v>208</v>
      </c>
      <c r="BV1418" t="s">
        <v>98</v>
      </c>
      <c r="BY1418">
        <v>1350</v>
      </c>
      <c r="BZ1418" t="s">
        <v>89</v>
      </c>
      <c r="CA1418" t="s">
        <v>196</v>
      </c>
      <c r="CC1418" t="s">
        <v>169</v>
      </c>
      <c r="CD1418">
        <v>6001</v>
      </c>
      <c r="CE1418" t="s">
        <v>1868</v>
      </c>
      <c r="CF1418" s="3">
        <v>45849</v>
      </c>
      <c r="CI1418">
        <v>1</v>
      </c>
      <c r="CJ1418">
        <v>1</v>
      </c>
      <c r="CK1418">
        <v>21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"080066481061"</f>
        <v>080066481061</v>
      </c>
      <c r="F1419" s="3">
        <v>45848</v>
      </c>
      <c r="G1419">
        <v>202604</v>
      </c>
      <c r="H1419" t="s">
        <v>75</v>
      </c>
      <c r="I1419" t="s">
        <v>76</v>
      </c>
      <c r="J1419" t="s">
        <v>77</v>
      </c>
      <c r="K1419" t="s">
        <v>78</v>
      </c>
      <c r="L1419" t="s">
        <v>79</v>
      </c>
      <c r="M1419" t="s">
        <v>80</v>
      </c>
      <c r="N1419" t="s">
        <v>376</v>
      </c>
      <c r="O1419" t="s">
        <v>82</v>
      </c>
      <c r="P1419" t="str">
        <f>"4170048163                    "</f>
        <v xml:space="preserve">4170048163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22.6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0.3</v>
      </c>
      <c r="BK1419">
        <v>1</v>
      </c>
      <c r="BL1419">
        <v>71.2</v>
      </c>
      <c r="BM1419">
        <v>10.68</v>
      </c>
      <c r="BN1419">
        <v>81.88</v>
      </c>
      <c r="BO1419">
        <v>81.88</v>
      </c>
      <c r="BQ1419" t="s">
        <v>377</v>
      </c>
      <c r="BR1419" t="s">
        <v>84</v>
      </c>
      <c r="BS1419" s="3">
        <v>45849</v>
      </c>
      <c r="BT1419" s="4">
        <v>0.4284722222222222</v>
      </c>
      <c r="BU1419" t="s">
        <v>1184</v>
      </c>
      <c r="BV1419" t="s">
        <v>98</v>
      </c>
      <c r="BY1419">
        <v>1350</v>
      </c>
      <c r="BZ1419" t="s">
        <v>89</v>
      </c>
      <c r="CA1419" t="s">
        <v>144</v>
      </c>
      <c r="CC1419" t="s">
        <v>80</v>
      </c>
      <c r="CD1419">
        <v>8001</v>
      </c>
      <c r="CE1419" t="s">
        <v>1868</v>
      </c>
      <c r="CF1419" s="3">
        <v>45852</v>
      </c>
      <c r="CI1419">
        <v>1</v>
      </c>
      <c r="CJ1419">
        <v>1</v>
      </c>
      <c r="CK1419">
        <v>21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"080066481069"</f>
        <v>080066481069</v>
      </c>
      <c r="F1420" s="3">
        <v>45848</v>
      </c>
      <c r="G1420">
        <v>202604</v>
      </c>
      <c r="H1420" t="s">
        <v>75</v>
      </c>
      <c r="I1420" t="s">
        <v>76</v>
      </c>
      <c r="J1420" t="s">
        <v>77</v>
      </c>
      <c r="K1420" t="s">
        <v>78</v>
      </c>
      <c r="L1420" t="s">
        <v>79</v>
      </c>
      <c r="M1420" t="s">
        <v>80</v>
      </c>
      <c r="N1420" t="s">
        <v>81</v>
      </c>
      <c r="O1420" t="s">
        <v>82</v>
      </c>
      <c r="P1420" t="str">
        <f>"4170048008                    "</f>
        <v xml:space="preserve">4170048008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135.5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12</v>
      </c>
      <c r="BJ1420">
        <v>9.8000000000000007</v>
      </c>
      <c r="BK1420">
        <v>12</v>
      </c>
      <c r="BL1420">
        <v>426.9</v>
      </c>
      <c r="BM1420">
        <v>64.040000000000006</v>
      </c>
      <c r="BN1420">
        <v>490.94</v>
      </c>
      <c r="BO1420">
        <v>490.94</v>
      </c>
      <c r="BQ1420" t="s">
        <v>83</v>
      </c>
      <c r="BR1420" t="s">
        <v>84</v>
      </c>
      <c r="BS1420" s="3">
        <v>45849</v>
      </c>
      <c r="BT1420" s="4">
        <v>0.51666666666666672</v>
      </c>
      <c r="BU1420" t="s">
        <v>85</v>
      </c>
      <c r="BV1420" t="s">
        <v>86</v>
      </c>
      <c r="BY1420">
        <v>48840</v>
      </c>
      <c r="BZ1420" t="s">
        <v>89</v>
      </c>
      <c r="CA1420" t="s">
        <v>90</v>
      </c>
      <c r="CC1420" t="s">
        <v>80</v>
      </c>
      <c r="CD1420">
        <v>7550</v>
      </c>
      <c r="CE1420" t="s">
        <v>91</v>
      </c>
      <c r="CF1420" s="3">
        <v>45852</v>
      </c>
      <c r="CI1420">
        <v>1</v>
      </c>
      <c r="CJ1420">
        <v>1</v>
      </c>
      <c r="CK1420">
        <v>21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"080066481072"</f>
        <v>080066481072</v>
      </c>
      <c r="F1421" s="3">
        <v>45848</v>
      </c>
      <c r="G1421">
        <v>202604</v>
      </c>
      <c r="H1421" t="s">
        <v>75</v>
      </c>
      <c r="I1421" t="s">
        <v>76</v>
      </c>
      <c r="J1421" t="s">
        <v>77</v>
      </c>
      <c r="K1421" t="s">
        <v>78</v>
      </c>
      <c r="L1421" t="s">
        <v>168</v>
      </c>
      <c r="M1421" t="s">
        <v>169</v>
      </c>
      <c r="N1421" t="s">
        <v>202</v>
      </c>
      <c r="O1421" t="s">
        <v>82</v>
      </c>
      <c r="P1421" t="str">
        <f>"4170048078                    "</f>
        <v xml:space="preserve">4170048078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22.6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0.3</v>
      </c>
      <c r="BK1421">
        <v>1</v>
      </c>
      <c r="BL1421">
        <v>71.2</v>
      </c>
      <c r="BM1421">
        <v>10.68</v>
      </c>
      <c r="BN1421">
        <v>81.88</v>
      </c>
      <c r="BO1421">
        <v>81.88</v>
      </c>
      <c r="BQ1421" t="s">
        <v>203</v>
      </c>
      <c r="BR1421" t="s">
        <v>84</v>
      </c>
      <c r="BS1421" s="3">
        <v>45849</v>
      </c>
      <c r="BT1421" s="4">
        <v>0.40138888888888891</v>
      </c>
      <c r="BU1421" t="s">
        <v>1127</v>
      </c>
      <c r="BV1421" t="s">
        <v>98</v>
      </c>
      <c r="BY1421">
        <v>1350</v>
      </c>
      <c r="BZ1421" t="s">
        <v>89</v>
      </c>
      <c r="CA1421" t="s">
        <v>205</v>
      </c>
      <c r="CC1421" t="s">
        <v>169</v>
      </c>
      <c r="CD1421">
        <v>6001</v>
      </c>
      <c r="CE1421" t="s">
        <v>1868</v>
      </c>
      <c r="CF1421" s="3">
        <v>45849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"080066481085"</f>
        <v>080066481085</v>
      </c>
      <c r="F1422" s="3">
        <v>45848</v>
      </c>
      <c r="G1422">
        <v>202604</v>
      </c>
      <c r="H1422" t="s">
        <v>75</v>
      </c>
      <c r="I1422" t="s">
        <v>76</v>
      </c>
      <c r="J1422" t="s">
        <v>77</v>
      </c>
      <c r="K1422" t="s">
        <v>78</v>
      </c>
      <c r="L1422" t="s">
        <v>135</v>
      </c>
      <c r="M1422" t="s">
        <v>136</v>
      </c>
      <c r="N1422" t="s">
        <v>379</v>
      </c>
      <c r="O1422" t="s">
        <v>82</v>
      </c>
      <c r="P1422" t="str">
        <f>"4170048029                    "</f>
        <v xml:space="preserve">4170048029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90.34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8</v>
      </c>
      <c r="BJ1422">
        <v>3.4</v>
      </c>
      <c r="BK1422">
        <v>8</v>
      </c>
      <c r="BL1422">
        <v>284.62</v>
      </c>
      <c r="BM1422">
        <v>42.69</v>
      </c>
      <c r="BN1422">
        <v>327.31</v>
      </c>
      <c r="BO1422">
        <v>327.31</v>
      </c>
      <c r="BQ1422" t="s">
        <v>380</v>
      </c>
      <c r="BR1422" t="s">
        <v>84</v>
      </c>
      <c r="BS1422" s="3">
        <v>45849</v>
      </c>
      <c r="BT1422" s="4">
        <v>0.48958333333333331</v>
      </c>
      <c r="BU1422" t="s">
        <v>2019</v>
      </c>
      <c r="BV1422" t="s">
        <v>98</v>
      </c>
      <c r="BY1422">
        <v>16965</v>
      </c>
      <c r="BZ1422" t="s">
        <v>89</v>
      </c>
      <c r="CA1422" t="s">
        <v>382</v>
      </c>
      <c r="CC1422" t="s">
        <v>136</v>
      </c>
      <c r="CD1422">
        <v>3212</v>
      </c>
      <c r="CE1422" t="s">
        <v>117</v>
      </c>
      <c r="CF1422" s="3">
        <v>45849</v>
      </c>
      <c r="CI1422">
        <v>2</v>
      </c>
      <c r="CJ1422">
        <v>1</v>
      </c>
      <c r="CK1422">
        <v>21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"080066481086"</f>
        <v>080066481086</v>
      </c>
      <c r="F1423" s="3">
        <v>45848</v>
      </c>
      <c r="G1423">
        <v>202604</v>
      </c>
      <c r="H1423" t="s">
        <v>75</v>
      </c>
      <c r="I1423" t="s">
        <v>76</v>
      </c>
      <c r="J1423" t="s">
        <v>77</v>
      </c>
      <c r="K1423" t="s">
        <v>78</v>
      </c>
      <c r="L1423" t="s">
        <v>135</v>
      </c>
      <c r="M1423" t="s">
        <v>136</v>
      </c>
      <c r="N1423" t="s">
        <v>2091</v>
      </c>
      <c r="O1423" t="s">
        <v>82</v>
      </c>
      <c r="P1423" t="str">
        <f>"4170048077                    "</f>
        <v xml:space="preserve">4170048077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22.6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0.3</v>
      </c>
      <c r="BK1423">
        <v>1</v>
      </c>
      <c r="BL1423">
        <v>71.2</v>
      </c>
      <c r="BM1423">
        <v>10.68</v>
      </c>
      <c r="BN1423">
        <v>81.88</v>
      </c>
      <c r="BO1423">
        <v>81.88</v>
      </c>
      <c r="BQ1423" t="s">
        <v>2092</v>
      </c>
      <c r="BR1423" t="s">
        <v>84</v>
      </c>
      <c r="BS1423" s="3">
        <v>45849</v>
      </c>
      <c r="BT1423" s="4">
        <v>0.41666666666666669</v>
      </c>
      <c r="BU1423" t="s">
        <v>2093</v>
      </c>
      <c r="BV1423" t="s">
        <v>98</v>
      </c>
      <c r="BY1423">
        <v>1350</v>
      </c>
      <c r="BZ1423" t="s">
        <v>89</v>
      </c>
      <c r="CA1423" t="s">
        <v>349</v>
      </c>
      <c r="CC1423" t="s">
        <v>136</v>
      </c>
      <c r="CD1423">
        <v>3201</v>
      </c>
      <c r="CE1423" t="s">
        <v>1868</v>
      </c>
      <c r="CF1423" s="3">
        <v>45850</v>
      </c>
      <c r="CI1423">
        <v>1</v>
      </c>
      <c r="CJ1423">
        <v>1</v>
      </c>
      <c r="CK1423">
        <v>21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"080066481097"</f>
        <v>080066481097</v>
      </c>
      <c r="F1424" s="3">
        <v>45848</v>
      </c>
      <c r="G1424">
        <v>202604</v>
      </c>
      <c r="H1424" t="s">
        <v>75</v>
      </c>
      <c r="I1424" t="s">
        <v>76</v>
      </c>
      <c r="J1424" t="s">
        <v>77</v>
      </c>
      <c r="K1424" t="s">
        <v>78</v>
      </c>
      <c r="L1424" t="s">
        <v>295</v>
      </c>
      <c r="M1424" t="s">
        <v>296</v>
      </c>
      <c r="N1424" t="s">
        <v>2094</v>
      </c>
      <c r="O1424" t="s">
        <v>82</v>
      </c>
      <c r="P1424" t="str">
        <f>"4170048127                    "</f>
        <v xml:space="preserve">4170048127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17.649999999999999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0.3</v>
      </c>
      <c r="BK1424">
        <v>1</v>
      </c>
      <c r="BL1424">
        <v>55.61</v>
      </c>
      <c r="BM1424">
        <v>8.34</v>
      </c>
      <c r="BN1424">
        <v>63.95</v>
      </c>
      <c r="BO1424">
        <v>63.95</v>
      </c>
      <c r="BQ1424" t="s">
        <v>2095</v>
      </c>
      <c r="BR1424" t="s">
        <v>84</v>
      </c>
      <c r="BS1424" s="3">
        <v>45849</v>
      </c>
      <c r="BT1424" s="4">
        <v>0.39513888888888887</v>
      </c>
      <c r="BU1424" t="s">
        <v>1726</v>
      </c>
      <c r="BV1424" t="s">
        <v>98</v>
      </c>
      <c r="BY1424">
        <v>1350</v>
      </c>
      <c r="BZ1424" t="s">
        <v>89</v>
      </c>
      <c r="CA1424" t="s">
        <v>300</v>
      </c>
      <c r="CC1424" t="s">
        <v>296</v>
      </c>
      <c r="CD1424">
        <v>1459</v>
      </c>
      <c r="CE1424" t="s">
        <v>1868</v>
      </c>
      <c r="CF1424" s="3">
        <v>45850</v>
      </c>
      <c r="CI1424">
        <v>1</v>
      </c>
      <c r="CJ1424">
        <v>1</v>
      </c>
      <c r="CK1424">
        <v>22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"080066481107"</f>
        <v>080066481107</v>
      </c>
      <c r="F1425" s="3">
        <v>45848</v>
      </c>
      <c r="G1425">
        <v>202604</v>
      </c>
      <c r="H1425" t="s">
        <v>75</v>
      </c>
      <c r="I1425" t="s">
        <v>76</v>
      </c>
      <c r="J1425" t="s">
        <v>77</v>
      </c>
      <c r="K1425" t="s">
        <v>78</v>
      </c>
      <c r="L1425" t="s">
        <v>295</v>
      </c>
      <c r="M1425" t="s">
        <v>296</v>
      </c>
      <c r="N1425" t="s">
        <v>962</v>
      </c>
      <c r="O1425" t="s">
        <v>82</v>
      </c>
      <c r="P1425" t="str">
        <f>"4170048160                    "</f>
        <v xml:space="preserve">4170048160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17.649999999999999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7</v>
      </c>
      <c r="BJ1425">
        <v>2.5</v>
      </c>
      <c r="BK1425">
        <v>7</v>
      </c>
      <c r="BL1425">
        <v>55.61</v>
      </c>
      <c r="BM1425">
        <v>8.34</v>
      </c>
      <c r="BN1425">
        <v>63.95</v>
      </c>
      <c r="BO1425">
        <v>63.95</v>
      </c>
      <c r="BQ1425" t="s">
        <v>963</v>
      </c>
      <c r="BR1425" t="s">
        <v>84</v>
      </c>
      <c r="BS1425" s="3">
        <v>45849</v>
      </c>
      <c r="BT1425" s="4">
        <v>0.42222222222222222</v>
      </c>
      <c r="BU1425" t="s">
        <v>1317</v>
      </c>
      <c r="BV1425" t="s">
        <v>98</v>
      </c>
      <c r="BY1425">
        <v>12540</v>
      </c>
      <c r="BZ1425" t="s">
        <v>89</v>
      </c>
      <c r="CA1425" t="s">
        <v>529</v>
      </c>
      <c r="CC1425" t="s">
        <v>296</v>
      </c>
      <c r="CD1425">
        <v>1459</v>
      </c>
      <c r="CE1425" t="s">
        <v>91</v>
      </c>
      <c r="CF1425" s="3">
        <v>45850</v>
      </c>
      <c r="CI1425">
        <v>1</v>
      </c>
      <c r="CJ1425">
        <v>1</v>
      </c>
      <c r="CK1425">
        <v>22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"080066481113"</f>
        <v>080066481113</v>
      </c>
      <c r="F1426" s="3">
        <v>45848</v>
      </c>
      <c r="G1426">
        <v>202604</v>
      </c>
      <c r="H1426" t="s">
        <v>75</v>
      </c>
      <c r="I1426" t="s">
        <v>76</v>
      </c>
      <c r="J1426" t="s">
        <v>77</v>
      </c>
      <c r="K1426" t="s">
        <v>78</v>
      </c>
      <c r="L1426" t="s">
        <v>305</v>
      </c>
      <c r="M1426" t="s">
        <v>306</v>
      </c>
      <c r="N1426" t="s">
        <v>1320</v>
      </c>
      <c r="O1426" t="s">
        <v>82</v>
      </c>
      <c r="P1426" t="str">
        <f>"4170048047                    "</f>
        <v xml:space="preserve">4170048047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22.6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0.3</v>
      </c>
      <c r="BK1426">
        <v>1</v>
      </c>
      <c r="BL1426">
        <v>71.2</v>
      </c>
      <c r="BM1426">
        <v>10.68</v>
      </c>
      <c r="BN1426">
        <v>81.88</v>
      </c>
      <c r="BO1426">
        <v>81.88</v>
      </c>
      <c r="BQ1426" t="s">
        <v>308</v>
      </c>
      <c r="BR1426" t="s">
        <v>84</v>
      </c>
      <c r="BS1426" s="3">
        <v>45849</v>
      </c>
      <c r="BT1426" s="4">
        <v>0.48055555555555557</v>
      </c>
      <c r="BU1426" t="s">
        <v>1378</v>
      </c>
      <c r="BV1426" t="s">
        <v>86</v>
      </c>
      <c r="BY1426">
        <v>1350</v>
      </c>
      <c r="BZ1426" t="s">
        <v>89</v>
      </c>
      <c r="CA1426" t="s">
        <v>310</v>
      </c>
      <c r="CC1426" t="s">
        <v>306</v>
      </c>
      <c r="CD1426">
        <v>5201</v>
      </c>
      <c r="CE1426" t="s">
        <v>1868</v>
      </c>
      <c r="CF1426" s="3">
        <v>45849</v>
      </c>
      <c r="CI1426">
        <v>1</v>
      </c>
      <c r="CJ1426">
        <v>1</v>
      </c>
      <c r="CK1426">
        <v>21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"080066481122"</f>
        <v>080066481122</v>
      </c>
      <c r="F1427" s="3">
        <v>45848</v>
      </c>
      <c r="G1427">
        <v>202604</v>
      </c>
      <c r="H1427" t="s">
        <v>75</v>
      </c>
      <c r="I1427" t="s">
        <v>76</v>
      </c>
      <c r="J1427" t="s">
        <v>77</v>
      </c>
      <c r="K1427" t="s">
        <v>78</v>
      </c>
      <c r="L1427" t="s">
        <v>79</v>
      </c>
      <c r="M1427" t="s">
        <v>80</v>
      </c>
      <c r="N1427" t="s">
        <v>1566</v>
      </c>
      <c r="O1427" t="s">
        <v>82</v>
      </c>
      <c r="P1427" t="str">
        <f>"4170047850                    "</f>
        <v xml:space="preserve">4170047850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22.6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2</v>
      </c>
      <c r="BJ1427">
        <v>0.6</v>
      </c>
      <c r="BK1427">
        <v>2</v>
      </c>
      <c r="BL1427">
        <v>71.2</v>
      </c>
      <c r="BM1427">
        <v>10.68</v>
      </c>
      <c r="BN1427">
        <v>81.88</v>
      </c>
      <c r="BO1427">
        <v>81.88</v>
      </c>
      <c r="BQ1427" t="s">
        <v>1567</v>
      </c>
      <c r="BR1427" t="s">
        <v>84</v>
      </c>
      <c r="BS1427" s="3">
        <v>45849</v>
      </c>
      <c r="BT1427" s="4">
        <v>0.42499999999999999</v>
      </c>
      <c r="BU1427" t="s">
        <v>2096</v>
      </c>
      <c r="BV1427" t="s">
        <v>98</v>
      </c>
      <c r="BY1427">
        <v>3192</v>
      </c>
      <c r="BZ1427" t="s">
        <v>89</v>
      </c>
      <c r="CA1427" t="s">
        <v>495</v>
      </c>
      <c r="CC1427" t="s">
        <v>80</v>
      </c>
      <c r="CD1427">
        <v>7800</v>
      </c>
      <c r="CE1427" t="s">
        <v>117</v>
      </c>
      <c r="CF1427" s="3">
        <v>45852</v>
      </c>
      <c r="CI1427">
        <v>1</v>
      </c>
      <c r="CJ1427">
        <v>1</v>
      </c>
      <c r="CK1427">
        <v>21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"080066481124"</f>
        <v>080066481124</v>
      </c>
      <c r="F1428" s="3">
        <v>45848</v>
      </c>
      <c r="G1428">
        <v>202604</v>
      </c>
      <c r="H1428" t="s">
        <v>75</v>
      </c>
      <c r="I1428" t="s">
        <v>76</v>
      </c>
      <c r="J1428" t="s">
        <v>77</v>
      </c>
      <c r="K1428" t="s">
        <v>78</v>
      </c>
      <c r="L1428" t="s">
        <v>122</v>
      </c>
      <c r="M1428" t="s">
        <v>123</v>
      </c>
      <c r="N1428" t="s">
        <v>2097</v>
      </c>
      <c r="O1428" t="s">
        <v>82</v>
      </c>
      <c r="P1428" t="str">
        <f>"4170048153                    "</f>
        <v xml:space="preserve">4170048153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22.6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0.3</v>
      </c>
      <c r="BK1428">
        <v>1</v>
      </c>
      <c r="BL1428">
        <v>71.2</v>
      </c>
      <c r="BM1428">
        <v>10.68</v>
      </c>
      <c r="BN1428">
        <v>81.88</v>
      </c>
      <c r="BO1428">
        <v>81.88</v>
      </c>
      <c r="BQ1428" t="s">
        <v>2098</v>
      </c>
      <c r="BR1428" t="s">
        <v>84</v>
      </c>
      <c r="BS1428" s="3">
        <v>45849</v>
      </c>
      <c r="BT1428" s="4">
        <v>0.42569444444444443</v>
      </c>
      <c r="BU1428" t="s">
        <v>2099</v>
      </c>
      <c r="BV1428" t="s">
        <v>98</v>
      </c>
      <c r="BY1428">
        <v>1350</v>
      </c>
      <c r="BZ1428" t="s">
        <v>89</v>
      </c>
      <c r="CA1428" t="s">
        <v>187</v>
      </c>
      <c r="CC1428" t="s">
        <v>123</v>
      </c>
      <c r="CD1428">
        <v>3600</v>
      </c>
      <c r="CE1428" t="s">
        <v>1868</v>
      </c>
      <c r="CF1428" s="3">
        <v>45849</v>
      </c>
      <c r="CI1428">
        <v>1</v>
      </c>
      <c r="CJ1428">
        <v>1</v>
      </c>
      <c r="CK1428">
        <v>21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"080066481138"</f>
        <v>080066481138</v>
      </c>
      <c r="F1429" s="3">
        <v>45848</v>
      </c>
      <c r="G1429">
        <v>202604</v>
      </c>
      <c r="H1429" t="s">
        <v>75</v>
      </c>
      <c r="I1429" t="s">
        <v>76</v>
      </c>
      <c r="J1429" t="s">
        <v>77</v>
      </c>
      <c r="K1429" t="s">
        <v>78</v>
      </c>
      <c r="L1429" t="s">
        <v>168</v>
      </c>
      <c r="M1429" t="s">
        <v>169</v>
      </c>
      <c r="N1429" t="s">
        <v>924</v>
      </c>
      <c r="O1429" t="s">
        <v>82</v>
      </c>
      <c r="P1429" t="str">
        <f>"4170048076                    "</f>
        <v xml:space="preserve">4170048076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22.6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0.3</v>
      </c>
      <c r="BK1429">
        <v>1</v>
      </c>
      <c r="BL1429">
        <v>71.2</v>
      </c>
      <c r="BM1429">
        <v>10.68</v>
      </c>
      <c r="BN1429">
        <v>81.88</v>
      </c>
      <c r="BO1429">
        <v>81.88</v>
      </c>
      <c r="BQ1429" t="s">
        <v>925</v>
      </c>
      <c r="BR1429" t="s">
        <v>84</v>
      </c>
      <c r="BS1429" s="3">
        <v>45849</v>
      </c>
      <c r="BT1429" s="4">
        <v>0.44722222222222224</v>
      </c>
      <c r="BU1429" t="s">
        <v>1904</v>
      </c>
      <c r="BV1429" t="s">
        <v>86</v>
      </c>
      <c r="BY1429">
        <v>1350</v>
      </c>
      <c r="BZ1429" t="s">
        <v>89</v>
      </c>
      <c r="CA1429" t="s">
        <v>196</v>
      </c>
      <c r="CC1429" t="s">
        <v>169</v>
      </c>
      <c r="CD1429">
        <v>6056</v>
      </c>
      <c r="CE1429" t="s">
        <v>1868</v>
      </c>
      <c r="CF1429" s="3">
        <v>45849</v>
      </c>
      <c r="CI1429">
        <v>1</v>
      </c>
      <c r="CJ1429">
        <v>1</v>
      </c>
      <c r="CK1429">
        <v>21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"080066481144"</f>
        <v>080066481144</v>
      </c>
      <c r="F1430" s="3">
        <v>45848</v>
      </c>
      <c r="G1430">
        <v>202604</v>
      </c>
      <c r="H1430" t="s">
        <v>75</v>
      </c>
      <c r="I1430" t="s">
        <v>76</v>
      </c>
      <c r="J1430" t="s">
        <v>77</v>
      </c>
      <c r="K1430" t="s">
        <v>78</v>
      </c>
      <c r="L1430" t="s">
        <v>168</v>
      </c>
      <c r="M1430" t="s">
        <v>169</v>
      </c>
      <c r="N1430" t="s">
        <v>202</v>
      </c>
      <c r="O1430" t="s">
        <v>82</v>
      </c>
      <c r="P1430" t="str">
        <f>"4170048074                    "</f>
        <v xml:space="preserve">4170048074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22.6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0.3</v>
      </c>
      <c r="BK1430">
        <v>1</v>
      </c>
      <c r="BL1430">
        <v>71.2</v>
      </c>
      <c r="BM1430">
        <v>10.68</v>
      </c>
      <c r="BN1430">
        <v>81.88</v>
      </c>
      <c r="BO1430">
        <v>81.88</v>
      </c>
      <c r="BQ1430" t="s">
        <v>203</v>
      </c>
      <c r="BR1430" t="s">
        <v>84</v>
      </c>
      <c r="BS1430" s="3">
        <v>45849</v>
      </c>
      <c r="BT1430" s="4">
        <v>0.40208333333333335</v>
      </c>
      <c r="BU1430" t="s">
        <v>1127</v>
      </c>
      <c r="BV1430" t="s">
        <v>98</v>
      </c>
      <c r="BY1430">
        <v>1350</v>
      </c>
      <c r="BZ1430" t="s">
        <v>89</v>
      </c>
      <c r="CA1430" t="s">
        <v>205</v>
      </c>
      <c r="CC1430" t="s">
        <v>169</v>
      </c>
      <c r="CD1430">
        <v>6001</v>
      </c>
      <c r="CE1430" t="s">
        <v>1868</v>
      </c>
      <c r="CF1430" s="3">
        <v>45849</v>
      </c>
      <c r="CI1430">
        <v>1</v>
      </c>
      <c r="CJ1430">
        <v>1</v>
      </c>
      <c r="CK1430">
        <v>21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"080066481175"</f>
        <v>080066481175</v>
      </c>
      <c r="F1431" s="3">
        <v>45848</v>
      </c>
      <c r="G1431">
        <v>202604</v>
      </c>
      <c r="H1431" t="s">
        <v>75</v>
      </c>
      <c r="I1431" t="s">
        <v>76</v>
      </c>
      <c r="J1431" t="s">
        <v>77</v>
      </c>
      <c r="K1431" t="s">
        <v>78</v>
      </c>
      <c r="L1431" t="s">
        <v>122</v>
      </c>
      <c r="M1431" t="s">
        <v>123</v>
      </c>
      <c r="N1431" t="s">
        <v>2097</v>
      </c>
      <c r="O1431" t="s">
        <v>82</v>
      </c>
      <c r="P1431" t="str">
        <f>"4170048151                    "</f>
        <v xml:space="preserve">4170048151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22.6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0.3</v>
      </c>
      <c r="BK1431">
        <v>1</v>
      </c>
      <c r="BL1431">
        <v>71.2</v>
      </c>
      <c r="BM1431">
        <v>10.68</v>
      </c>
      <c r="BN1431">
        <v>81.88</v>
      </c>
      <c r="BO1431">
        <v>81.88</v>
      </c>
      <c r="BQ1431" t="s">
        <v>2098</v>
      </c>
      <c r="BR1431" t="s">
        <v>84</v>
      </c>
      <c r="BS1431" s="3">
        <v>45849</v>
      </c>
      <c r="BT1431" s="4">
        <v>0.42430555555555555</v>
      </c>
      <c r="BU1431" t="s">
        <v>2099</v>
      </c>
      <c r="BV1431" t="s">
        <v>98</v>
      </c>
      <c r="BY1431">
        <v>1350</v>
      </c>
      <c r="BZ1431" t="s">
        <v>89</v>
      </c>
      <c r="CA1431" t="s">
        <v>187</v>
      </c>
      <c r="CC1431" t="s">
        <v>123</v>
      </c>
      <c r="CD1431">
        <v>3600</v>
      </c>
      <c r="CE1431" t="s">
        <v>1868</v>
      </c>
      <c r="CF1431" s="3">
        <v>45849</v>
      </c>
      <c r="CI1431">
        <v>1</v>
      </c>
      <c r="CJ1431">
        <v>1</v>
      </c>
      <c r="CK1431">
        <v>21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"080066481176"</f>
        <v>080066481176</v>
      </c>
      <c r="F1432" s="3">
        <v>45848</v>
      </c>
      <c r="G1432">
        <v>202604</v>
      </c>
      <c r="H1432" t="s">
        <v>75</v>
      </c>
      <c r="I1432" t="s">
        <v>76</v>
      </c>
      <c r="J1432" t="s">
        <v>77</v>
      </c>
      <c r="K1432" t="s">
        <v>78</v>
      </c>
      <c r="L1432" t="s">
        <v>168</v>
      </c>
      <c r="M1432" t="s">
        <v>169</v>
      </c>
      <c r="N1432" t="s">
        <v>206</v>
      </c>
      <c r="O1432" t="s">
        <v>82</v>
      </c>
      <c r="P1432" t="str">
        <f>"4170048116                    "</f>
        <v xml:space="preserve">4170048116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22.6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1.1000000000000001</v>
      </c>
      <c r="BK1432">
        <v>1.5</v>
      </c>
      <c r="BL1432">
        <v>71.2</v>
      </c>
      <c r="BM1432">
        <v>10.68</v>
      </c>
      <c r="BN1432">
        <v>81.88</v>
      </c>
      <c r="BO1432">
        <v>81.88</v>
      </c>
      <c r="BQ1432" t="s">
        <v>207</v>
      </c>
      <c r="BR1432" t="s">
        <v>84</v>
      </c>
      <c r="BS1432" s="3">
        <v>45849</v>
      </c>
      <c r="BT1432" s="4">
        <v>0.41944444444444445</v>
      </c>
      <c r="BU1432" t="s">
        <v>208</v>
      </c>
      <c r="BV1432" t="s">
        <v>98</v>
      </c>
      <c r="BY1432">
        <v>5320</v>
      </c>
      <c r="BZ1432" t="s">
        <v>89</v>
      </c>
      <c r="CA1432" t="s">
        <v>196</v>
      </c>
      <c r="CC1432" t="s">
        <v>169</v>
      </c>
      <c r="CD1432">
        <v>6001</v>
      </c>
      <c r="CE1432" t="s">
        <v>117</v>
      </c>
      <c r="CF1432" s="3">
        <v>45849</v>
      </c>
      <c r="CI1432">
        <v>1</v>
      </c>
      <c r="CJ1432">
        <v>1</v>
      </c>
      <c r="CK1432">
        <v>21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"080066481181"</f>
        <v>080066481181</v>
      </c>
      <c r="F1433" s="3">
        <v>45848</v>
      </c>
      <c r="G1433">
        <v>202604</v>
      </c>
      <c r="H1433" t="s">
        <v>75</v>
      </c>
      <c r="I1433" t="s">
        <v>76</v>
      </c>
      <c r="J1433" t="s">
        <v>77</v>
      </c>
      <c r="K1433" t="s">
        <v>78</v>
      </c>
      <c r="L1433" t="s">
        <v>168</v>
      </c>
      <c r="M1433" t="s">
        <v>169</v>
      </c>
      <c r="N1433" t="s">
        <v>202</v>
      </c>
      <c r="O1433" t="s">
        <v>82</v>
      </c>
      <c r="P1433" t="str">
        <f>"4170048129                    "</f>
        <v xml:space="preserve">4170048129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22.6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0.3</v>
      </c>
      <c r="BK1433">
        <v>1</v>
      </c>
      <c r="BL1433">
        <v>71.2</v>
      </c>
      <c r="BM1433">
        <v>10.68</v>
      </c>
      <c r="BN1433">
        <v>81.88</v>
      </c>
      <c r="BO1433">
        <v>81.88</v>
      </c>
      <c r="BQ1433" t="s">
        <v>203</v>
      </c>
      <c r="BR1433" t="s">
        <v>84</v>
      </c>
      <c r="BS1433" s="3">
        <v>45849</v>
      </c>
      <c r="BT1433" s="4">
        <v>0.4</v>
      </c>
      <c r="BU1433" t="s">
        <v>1127</v>
      </c>
      <c r="BV1433" t="s">
        <v>98</v>
      </c>
      <c r="BY1433">
        <v>1350</v>
      </c>
      <c r="BZ1433" t="s">
        <v>89</v>
      </c>
      <c r="CA1433" t="s">
        <v>205</v>
      </c>
      <c r="CC1433" t="s">
        <v>169</v>
      </c>
      <c r="CD1433">
        <v>6001</v>
      </c>
      <c r="CE1433" t="s">
        <v>1868</v>
      </c>
      <c r="CF1433" s="3">
        <v>45849</v>
      </c>
      <c r="CI1433">
        <v>1</v>
      </c>
      <c r="CJ1433">
        <v>1</v>
      </c>
      <c r="CK1433">
        <v>21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"080066481187"</f>
        <v>080066481187</v>
      </c>
      <c r="F1434" s="3">
        <v>45848</v>
      </c>
      <c r="G1434">
        <v>202604</v>
      </c>
      <c r="H1434" t="s">
        <v>75</v>
      </c>
      <c r="I1434" t="s">
        <v>76</v>
      </c>
      <c r="J1434" t="s">
        <v>77</v>
      </c>
      <c r="K1434" t="s">
        <v>78</v>
      </c>
      <c r="L1434" t="s">
        <v>758</v>
      </c>
      <c r="M1434" t="s">
        <v>759</v>
      </c>
      <c r="N1434" t="s">
        <v>760</v>
      </c>
      <c r="O1434" t="s">
        <v>82</v>
      </c>
      <c r="P1434" t="str">
        <f>"4170047826                    "</f>
        <v xml:space="preserve">4170047826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43.78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</v>
      </c>
      <c r="BJ1434">
        <v>1.5</v>
      </c>
      <c r="BK1434">
        <v>2</v>
      </c>
      <c r="BL1434">
        <v>137.94</v>
      </c>
      <c r="BM1434">
        <v>20.69</v>
      </c>
      <c r="BN1434">
        <v>158.63</v>
      </c>
      <c r="BO1434">
        <v>158.63</v>
      </c>
      <c r="BQ1434" t="s">
        <v>761</v>
      </c>
      <c r="BR1434" t="s">
        <v>84</v>
      </c>
      <c r="BS1434" s="3">
        <v>45849</v>
      </c>
      <c r="BT1434" s="4">
        <v>0.43611111111111112</v>
      </c>
      <c r="BU1434" t="s">
        <v>1819</v>
      </c>
      <c r="BV1434" t="s">
        <v>98</v>
      </c>
      <c r="BY1434">
        <v>7296</v>
      </c>
      <c r="BZ1434" t="s">
        <v>89</v>
      </c>
      <c r="CA1434" t="s">
        <v>763</v>
      </c>
      <c r="CC1434" t="s">
        <v>759</v>
      </c>
      <c r="CD1434">
        <v>2531</v>
      </c>
      <c r="CE1434" t="s">
        <v>91</v>
      </c>
      <c r="CF1434" s="3">
        <v>45852</v>
      </c>
      <c r="CI1434">
        <v>1</v>
      </c>
      <c r="CJ1434">
        <v>1</v>
      </c>
      <c r="CK1434">
        <v>23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"080066481205"</f>
        <v>080066481205</v>
      </c>
      <c r="F1435" s="3">
        <v>45848</v>
      </c>
      <c r="G1435">
        <v>202604</v>
      </c>
      <c r="H1435" t="s">
        <v>75</v>
      </c>
      <c r="I1435" t="s">
        <v>76</v>
      </c>
      <c r="J1435" t="s">
        <v>77</v>
      </c>
      <c r="K1435" t="s">
        <v>78</v>
      </c>
      <c r="L1435" t="s">
        <v>151</v>
      </c>
      <c r="M1435" t="s">
        <v>152</v>
      </c>
      <c r="N1435" t="s">
        <v>2100</v>
      </c>
      <c r="O1435" t="s">
        <v>82</v>
      </c>
      <c r="P1435" t="str">
        <f>"4170048101                    "</f>
        <v xml:space="preserve">4170048101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22.6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71.2</v>
      </c>
      <c r="BM1435">
        <v>10.68</v>
      </c>
      <c r="BN1435">
        <v>81.88</v>
      </c>
      <c r="BO1435">
        <v>81.88</v>
      </c>
      <c r="BQ1435" t="s">
        <v>2101</v>
      </c>
      <c r="BR1435" t="s">
        <v>84</v>
      </c>
      <c r="BS1435" s="3">
        <v>45849</v>
      </c>
      <c r="BT1435" s="4">
        <v>0.3840277777777778</v>
      </c>
      <c r="BU1435" t="s">
        <v>2102</v>
      </c>
      <c r="BV1435" t="s">
        <v>98</v>
      </c>
      <c r="BY1435">
        <v>1200</v>
      </c>
      <c r="BZ1435" t="s">
        <v>89</v>
      </c>
      <c r="CA1435" t="s">
        <v>716</v>
      </c>
      <c r="CC1435" t="s">
        <v>152</v>
      </c>
      <c r="CD1435" s="5" t="s">
        <v>717</v>
      </c>
      <c r="CE1435" t="s">
        <v>239</v>
      </c>
      <c r="CF1435" s="3">
        <v>45849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"080066481207"</f>
        <v>080066481207</v>
      </c>
      <c r="F1436" s="3">
        <v>45848</v>
      </c>
      <c r="G1436">
        <v>202604</v>
      </c>
      <c r="H1436" t="s">
        <v>75</v>
      </c>
      <c r="I1436" t="s">
        <v>76</v>
      </c>
      <c r="J1436" t="s">
        <v>77</v>
      </c>
      <c r="K1436" t="s">
        <v>78</v>
      </c>
      <c r="L1436" t="s">
        <v>580</v>
      </c>
      <c r="M1436" t="s">
        <v>581</v>
      </c>
      <c r="N1436" t="s">
        <v>582</v>
      </c>
      <c r="O1436" t="s">
        <v>82</v>
      </c>
      <c r="P1436" t="str">
        <f>"4170048166                    "</f>
        <v xml:space="preserve">4170048166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22.6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0.3</v>
      </c>
      <c r="BK1436">
        <v>1</v>
      </c>
      <c r="BL1436">
        <v>71.2</v>
      </c>
      <c r="BM1436">
        <v>10.68</v>
      </c>
      <c r="BN1436">
        <v>81.88</v>
      </c>
      <c r="BO1436">
        <v>81.88</v>
      </c>
      <c r="BQ1436" t="s">
        <v>583</v>
      </c>
      <c r="BR1436" t="s">
        <v>84</v>
      </c>
      <c r="BS1436" s="3">
        <v>45849</v>
      </c>
      <c r="BT1436" s="4">
        <v>0.38333333333333336</v>
      </c>
      <c r="BU1436" t="s">
        <v>584</v>
      </c>
      <c r="BV1436" t="s">
        <v>98</v>
      </c>
      <c r="BY1436">
        <v>1350</v>
      </c>
      <c r="BZ1436" t="s">
        <v>89</v>
      </c>
      <c r="CA1436" t="s">
        <v>585</v>
      </c>
      <c r="CC1436" t="s">
        <v>581</v>
      </c>
      <c r="CD1436">
        <v>4302</v>
      </c>
      <c r="CE1436" t="s">
        <v>1868</v>
      </c>
      <c r="CF1436" s="3">
        <v>45849</v>
      </c>
      <c r="CI1436">
        <v>1</v>
      </c>
      <c r="CJ1436">
        <v>1</v>
      </c>
      <c r="CK1436">
        <v>21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"080066481217"</f>
        <v>080066481217</v>
      </c>
      <c r="F1437" s="3">
        <v>45848</v>
      </c>
      <c r="G1437">
        <v>202604</v>
      </c>
      <c r="H1437" t="s">
        <v>75</v>
      </c>
      <c r="I1437" t="s">
        <v>76</v>
      </c>
      <c r="J1437" t="s">
        <v>77</v>
      </c>
      <c r="K1437" t="s">
        <v>78</v>
      </c>
      <c r="L1437" t="s">
        <v>151</v>
      </c>
      <c r="M1437" t="s">
        <v>152</v>
      </c>
      <c r="N1437" t="s">
        <v>515</v>
      </c>
      <c r="O1437" t="s">
        <v>82</v>
      </c>
      <c r="P1437" t="str">
        <f>"4170048164                    "</f>
        <v xml:space="preserve">4170048164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22.6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0.3</v>
      </c>
      <c r="BK1437">
        <v>1</v>
      </c>
      <c r="BL1437">
        <v>71.2</v>
      </c>
      <c r="BM1437">
        <v>10.68</v>
      </c>
      <c r="BN1437">
        <v>81.88</v>
      </c>
      <c r="BO1437">
        <v>81.88</v>
      </c>
      <c r="BQ1437" t="s">
        <v>516</v>
      </c>
      <c r="BR1437" t="s">
        <v>84</v>
      </c>
      <c r="BS1437" s="3">
        <v>45849</v>
      </c>
      <c r="BT1437" s="4">
        <v>0.48958333333333331</v>
      </c>
      <c r="BU1437" t="s">
        <v>2103</v>
      </c>
      <c r="BV1437" t="s">
        <v>86</v>
      </c>
      <c r="BY1437">
        <v>1350</v>
      </c>
      <c r="BZ1437" t="s">
        <v>89</v>
      </c>
      <c r="CC1437" t="s">
        <v>152</v>
      </c>
      <c r="CD1437" s="5" t="s">
        <v>157</v>
      </c>
      <c r="CE1437" t="s">
        <v>1868</v>
      </c>
      <c r="CF1437" s="3">
        <v>45849</v>
      </c>
      <c r="CI1437">
        <v>1</v>
      </c>
      <c r="CJ1437">
        <v>1</v>
      </c>
      <c r="CK1437">
        <v>21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"080066481230"</f>
        <v>080066481230</v>
      </c>
      <c r="F1438" s="3">
        <v>45848</v>
      </c>
      <c r="G1438">
        <v>202604</v>
      </c>
      <c r="H1438" t="s">
        <v>75</v>
      </c>
      <c r="I1438" t="s">
        <v>76</v>
      </c>
      <c r="J1438" t="s">
        <v>77</v>
      </c>
      <c r="K1438" t="s">
        <v>78</v>
      </c>
      <c r="L1438" t="s">
        <v>75</v>
      </c>
      <c r="M1438" t="s">
        <v>76</v>
      </c>
      <c r="N1438" t="s">
        <v>2104</v>
      </c>
      <c r="O1438" t="s">
        <v>82</v>
      </c>
      <c r="P1438" t="str">
        <f>"4170048162                    "</f>
        <v xml:space="preserve">4170048162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17.649999999999999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55.61</v>
      </c>
      <c r="BM1438">
        <v>8.34</v>
      </c>
      <c r="BN1438">
        <v>63.95</v>
      </c>
      <c r="BO1438">
        <v>63.95</v>
      </c>
      <c r="BQ1438" t="s">
        <v>2105</v>
      </c>
      <c r="BR1438" t="s">
        <v>84</v>
      </c>
      <c r="BS1438" s="3">
        <v>45849</v>
      </c>
      <c r="BT1438" s="4">
        <v>0.37569444444444444</v>
      </c>
      <c r="BU1438" t="s">
        <v>2106</v>
      </c>
      <c r="BV1438" t="s">
        <v>98</v>
      </c>
      <c r="BY1438">
        <v>1200</v>
      </c>
      <c r="BZ1438" t="s">
        <v>89</v>
      </c>
      <c r="CA1438" t="s">
        <v>213</v>
      </c>
      <c r="CC1438" t="s">
        <v>76</v>
      </c>
      <c r="CD1438">
        <v>1619</v>
      </c>
      <c r="CE1438" t="s">
        <v>214</v>
      </c>
      <c r="CF1438" s="3">
        <v>45850</v>
      </c>
      <c r="CI1438">
        <v>1</v>
      </c>
      <c r="CJ1438">
        <v>1</v>
      </c>
      <c r="CK1438">
        <v>22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"080066481236"</f>
        <v>080066481236</v>
      </c>
      <c r="F1439" s="3">
        <v>45848</v>
      </c>
      <c r="G1439">
        <v>202604</v>
      </c>
      <c r="H1439" t="s">
        <v>75</v>
      </c>
      <c r="I1439" t="s">
        <v>76</v>
      </c>
      <c r="J1439" t="s">
        <v>77</v>
      </c>
      <c r="K1439" t="s">
        <v>78</v>
      </c>
      <c r="L1439" t="s">
        <v>197</v>
      </c>
      <c r="M1439" t="s">
        <v>198</v>
      </c>
      <c r="N1439" t="s">
        <v>2107</v>
      </c>
      <c r="O1439" t="s">
        <v>82</v>
      </c>
      <c r="P1439" t="str">
        <f>"4170047835                    "</f>
        <v xml:space="preserve">4170047835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17.649999999999999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0.3</v>
      </c>
      <c r="BK1439">
        <v>1</v>
      </c>
      <c r="BL1439">
        <v>55.61</v>
      </c>
      <c r="BM1439">
        <v>8.34</v>
      </c>
      <c r="BN1439">
        <v>63.95</v>
      </c>
      <c r="BO1439">
        <v>63.95</v>
      </c>
      <c r="BQ1439" t="s">
        <v>2108</v>
      </c>
      <c r="BR1439" t="s">
        <v>84</v>
      </c>
      <c r="BS1439" s="3">
        <v>45852</v>
      </c>
      <c r="BT1439" s="4">
        <v>0.43680555555555556</v>
      </c>
      <c r="BU1439" t="s">
        <v>2109</v>
      </c>
      <c r="BV1439" t="s">
        <v>86</v>
      </c>
      <c r="BW1439" t="s">
        <v>2110</v>
      </c>
      <c r="BX1439" t="s">
        <v>1420</v>
      </c>
      <c r="BY1439">
        <v>1350</v>
      </c>
      <c r="BZ1439" t="s">
        <v>89</v>
      </c>
      <c r="CC1439" t="s">
        <v>198</v>
      </c>
      <c r="CD1439">
        <v>1401</v>
      </c>
      <c r="CE1439" t="s">
        <v>1868</v>
      </c>
      <c r="CF1439" s="3">
        <v>45853</v>
      </c>
      <c r="CI1439">
        <v>1</v>
      </c>
      <c r="CJ1439">
        <v>2</v>
      </c>
      <c r="CK1439">
        <v>22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"080066481254"</f>
        <v>080066481254</v>
      </c>
      <c r="F1440" s="3">
        <v>45848</v>
      </c>
      <c r="G1440">
        <v>202604</v>
      </c>
      <c r="H1440" t="s">
        <v>75</v>
      </c>
      <c r="I1440" t="s">
        <v>76</v>
      </c>
      <c r="J1440" t="s">
        <v>77</v>
      </c>
      <c r="K1440" t="s">
        <v>78</v>
      </c>
      <c r="L1440" t="s">
        <v>758</v>
      </c>
      <c r="M1440" t="s">
        <v>759</v>
      </c>
      <c r="N1440" t="s">
        <v>760</v>
      </c>
      <c r="O1440" t="s">
        <v>82</v>
      </c>
      <c r="P1440" t="str">
        <f>"4170048140                    "</f>
        <v xml:space="preserve">4170048140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43.78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0.3</v>
      </c>
      <c r="BK1440">
        <v>1</v>
      </c>
      <c r="BL1440">
        <v>137.94</v>
      </c>
      <c r="BM1440">
        <v>20.69</v>
      </c>
      <c r="BN1440">
        <v>158.63</v>
      </c>
      <c r="BO1440">
        <v>158.63</v>
      </c>
      <c r="BQ1440" t="s">
        <v>761</v>
      </c>
      <c r="BR1440" t="s">
        <v>84</v>
      </c>
      <c r="BS1440" s="3">
        <v>45849</v>
      </c>
      <c r="BT1440" s="4">
        <v>0.43680555555555556</v>
      </c>
      <c r="BU1440" t="s">
        <v>1819</v>
      </c>
      <c r="BV1440" t="s">
        <v>98</v>
      </c>
      <c r="BY1440">
        <v>1350</v>
      </c>
      <c r="BZ1440" t="s">
        <v>89</v>
      </c>
      <c r="CA1440" t="s">
        <v>763</v>
      </c>
      <c r="CC1440" t="s">
        <v>759</v>
      </c>
      <c r="CD1440">
        <v>2531</v>
      </c>
      <c r="CE1440" t="s">
        <v>1868</v>
      </c>
      <c r="CF1440" s="3">
        <v>45852</v>
      </c>
      <c r="CI1440">
        <v>1</v>
      </c>
      <c r="CJ1440">
        <v>1</v>
      </c>
      <c r="CK1440">
        <v>23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"080066481259"</f>
        <v>080066481259</v>
      </c>
      <c r="F1441" s="3">
        <v>45848</v>
      </c>
      <c r="G1441">
        <v>202604</v>
      </c>
      <c r="H1441" t="s">
        <v>75</v>
      </c>
      <c r="I1441" t="s">
        <v>76</v>
      </c>
      <c r="J1441" t="s">
        <v>77</v>
      </c>
      <c r="K1441" t="s">
        <v>78</v>
      </c>
      <c r="L1441" t="s">
        <v>79</v>
      </c>
      <c r="M1441" t="s">
        <v>80</v>
      </c>
      <c r="N1441" t="s">
        <v>876</v>
      </c>
      <c r="O1441" t="s">
        <v>82</v>
      </c>
      <c r="P1441" t="str">
        <f>"4170048096                    "</f>
        <v xml:space="preserve">4170048096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22.6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71.2</v>
      </c>
      <c r="BM1441">
        <v>10.68</v>
      </c>
      <c r="BN1441">
        <v>81.88</v>
      </c>
      <c r="BO1441">
        <v>81.88</v>
      </c>
      <c r="BQ1441" t="s">
        <v>877</v>
      </c>
      <c r="BR1441" t="s">
        <v>84</v>
      </c>
      <c r="BS1441" s="3">
        <v>45849</v>
      </c>
      <c r="BT1441" s="4">
        <v>0.3923611111111111</v>
      </c>
      <c r="BU1441" t="s">
        <v>2111</v>
      </c>
      <c r="BV1441" t="s">
        <v>98</v>
      </c>
      <c r="BY1441">
        <v>1200</v>
      </c>
      <c r="BZ1441" t="s">
        <v>89</v>
      </c>
      <c r="CA1441" t="s">
        <v>162</v>
      </c>
      <c r="CC1441" t="s">
        <v>80</v>
      </c>
      <c r="CD1441">
        <v>7441</v>
      </c>
      <c r="CE1441" t="s">
        <v>239</v>
      </c>
      <c r="CF1441" s="3">
        <v>45852</v>
      </c>
      <c r="CI1441">
        <v>1</v>
      </c>
      <c r="CJ1441">
        <v>1</v>
      </c>
      <c r="CK1441">
        <v>21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"080066481278"</f>
        <v>080066481278</v>
      </c>
      <c r="F1442" s="3">
        <v>45848</v>
      </c>
      <c r="G1442">
        <v>202604</v>
      </c>
      <c r="H1442" t="s">
        <v>75</v>
      </c>
      <c r="I1442" t="s">
        <v>76</v>
      </c>
      <c r="J1442" t="s">
        <v>77</v>
      </c>
      <c r="K1442" t="s">
        <v>78</v>
      </c>
      <c r="L1442" t="s">
        <v>168</v>
      </c>
      <c r="M1442" t="s">
        <v>169</v>
      </c>
      <c r="N1442" t="s">
        <v>191</v>
      </c>
      <c r="O1442" t="s">
        <v>82</v>
      </c>
      <c r="P1442" t="str">
        <f>"4170048073                    "</f>
        <v xml:space="preserve">4170048073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22.6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0.3</v>
      </c>
      <c r="BK1442">
        <v>1</v>
      </c>
      <c r="BL1442">
        <v>71.2</v>
      </c>
      <c r="BM1442">
        <v>10.68</v>
      </c>
      <c r="BN1442">
        <v>81.88</v>
      </c>
      <c r="BO1442">
        <v>81.88</v>
      </c>
      <c r="BQ1442" t="s">
        <v>192</v>
      </c>
      <c r="BR1442" t="s">
        <v>84</v>
      </c>
      <c r="BS1442" s="3">
        <v>45849</v>
      </c>
      <c r="BT1442" s="4">
        <v>0.45902777777777776</v>
      </c>
      <c r="BU1442" t="s">
        <v>193</v>
      </c>
      <c r="BV1442" t="s">
        <v>86</v>
      </c>
      <c r="BY1442">
        <v>1350</v>
      </c>
      <c r="BZ1442" t="s">
        <v>89</v>
      </c>
      <c r="CA1442" t="s">
        <v>196</v>
      </c>
      <c r="CC1442" t="s">
        <v>169</v>
      </c>
      <c r="CD1442">
        <v>6056</v>
      </c>
      <c r="CE1442" t="s">
        <v>1868</v>
      </c>
      <c r="CF1442" s="3">
        <v>45849</v>
      </c>
      <c r="CI1442">
        <v>1</v>
      </c>
      <c r="CJ1442">
        <v>1</v>
      </c>
      <c r="CK1442">
        <v>21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"080066481283"</f>
        <v>080066481283</v>
      </c>
      <c r="F1443" s="3">
        <v>45848</v>
      </c>
      <c r="G1443">
        <v>202604</v>
      </c>
      <c r="H1443" t="s">
        <v>75</v>
      </c>
      <c r="I1443" t="s">
        <v>76</v>
      </c>
      <c r="J1443" t="s">
        <v>77</v>
      </c>
      <c r="K1443" t="s">
        <v>78</v>
      </c>
      <c r="L1443" t="s">
        <v>146</v>
      </c>
      <c r="M1443" t="s">
        <v>146</v>
      </c>
      <c r="N1443" t="s">
        <v>986</v>
      </c>
      <c r="O1443" t="s">
        <v>82</v>
      </c>
      <c r="P1443" t="str">
        <f>"4170048085                    "</f>
        <v xml:space="preserve">4170048085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43.78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137.94</v>
      </c>
      <c r="BM1443">
        <v>20.69</v>
      </c>
      <c r="BN1443">
        <v>158.63</v>
      </c>
      <c r="BO1443">
        <v>158.63</v>
      </c>
      <c r="BQ1443" t="s">
        <v>987</v>
      </c>
      <c r="BR1443" t="s">
        <v>84</v>
      </c>
      <c r="BS1443" s="3">
        <v>45849</v>
      </c>
      <c r="BT1443" s="4">
        <v>0.53888888888888886</v>
      </c>
      <c r="BU1443" t="s">
        <v>1907</v>
      </c>
      <c r="BV1443" t="s">
        <v>98</v>
      </c>
      <c r="BY1443">
        <v>1200</v>
      </c>
      <c r="BZ1443" t="s">
        <v>89</v>
      </c>
      <c r="CA1443" t="s">
        <v>150</v>
      </c>
      <c r="CC1443" t="s">
        <v>146</v>
      </c>
      <c r="CD1443">
        <v>7646</v>
      </c>
      <c r="CE1443" t="s">
        <v>239</v>
      </c>
      <c r="CF1443" s="3">
        <v>45853</v>
      </c>
      <c r="CI1443">
        <v>1</v>
      </c>
      <c r="CJ1443">
        <v>1</v>
      </c>
      <c r="CK1443">
        <v>23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"080066481311"</f>
        <v>080066481311</v>
      </c>
      <c r="F1444" s="3">
        <v>45848</v>
      </c>
      <c r="G1444">
        <v>202604</v>
      </c>
      <c r="H1444" t="s">
        <v>75</v>
      </c>
      <c r="I1444" t="s">
        <v>76</v>
      </c>
      <c r="J1444" t="s">
        <v>77</v>
      </c>
      <c r="K1444" t="s">
        <v>78</v>
      </c>
      <c r="L1444" t="s">
        <v>1370</v>
      </c>
      <c r="M1444" t="s">
        <v>1371</v>
      </c>
      <c r="N1444" t="s">
        <v>1346</v>
      </c>
      <c r="O1444" t="s">
        <v>82</v>
      </c>
      <c r="P1444" t="str">
        <f>"4170048083                    "</f>
        <v xml:space="preserve">4170048083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43.78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0.3</v>
      </c>
      <c r="BK1444">
        <v>1</v>
      </c>
      <c r="BL1444">
        <v>137.94</v>
      </c>
      <c r="BM1444">
        <v>20.69</v>
      </c>
      <c r="BN1444">
        <v>158.63</v>
      </c>
      <c r="BO1444">
        <v>158.63</v>
      </c>
      <c r="BQ1444" t="s">
        <v>1347</v>
      </c>
      <c r="BR1444" t="s">
        <v>84</v>
      </c>
      <c r="BS1444" s="3">
        <v>45849</v>
      </c>
      <c r="BT1444" s="4">
        <v>0.45208333333333334</v>
      </c>
      <c r="BU1444" t="s">
        <v>2112</v>
      </c>
      <c r="BV1444" t="s">
        <v>98</v>
      </c>
      <c r="BY1444">
        <v>1350</v>
      </c>
      <c r="BZ1444" t="s">
        <v>89</v>
      </c>
      <c r="CA1444" t="s">
        <v>1375</v>
      </c>
      <c r="CC1444" t="s">
        <v>1371</v>
      </c>
      <c r="CD1444" s="5" t="s">
        <v>1376</v>
      </c>
      <c r="CE1444" t="s">
        <v>1868</v>
      </c>
      <c r="CF1444" s="3">
        <v>45852</v>
      </c>
      <c r="CI1444">
        <v>1</v>
      </c>
      <c r="CJ1444">
        <v>1</v>
      </c>
      <c r="CK1444">
        <v>23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"080066481315"</f>
        <v>080066481315</v>
      </c>
      <c r="F1445" s="3">
        <v>45848</v>
      </c>
      <c r="G1445">
        <v>202604</v>
      </c>
      <c r="H1445" t="s">
        <v>75</v>
      </c>
      <c r="I1445" t="s">
        <v>76</v>
      </c>
      <c r="J1445" t="s">
        <v>77</v>
      </c>
      <c r="K1445" t="s">
        <v>78</v>
      </c>
      <c r="L1445" t="s">
        <v>168</v>
      </c>
      <c r="M1445" t="s">
        <v>169</v>
      </c>
      <c r="N1445" t="s">
        <v>861</v>
      </c>
      <c r="O1445" t="s">
        <v>82</v>
      </c>
      <c r="P1445" t="str">
        <f>"4170048084                    "</f>
        <v xml:space="preserve">4170048084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22.6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71.2</v>
      </c>
      <c r="BM1445">
        <v>10.68</v>
      </c>
      <c r="BN1445">
        <v>81.88</v>
      </c>
      <c r="BO1445">
        <v>81.88</v>
      </c>
      <c r="BQ1445" t="s">
        <v>862</v>
      </c>
      <c r="BR1445" t="s">
        <v>84</v>
      </c>
      <c r="BS1445" s="3">
        <v>45849</v>
      </c>
      <c r="BT1445" s="4">
        <v>0.31944444444444442</v>
      </c>
      <c r="BU1445" t="s">
        <v>1418</v>
      </c>
      <c r="BV1445" t="s">
        <v>98</v>
      </c>
      <c r="BY1445">
        <v>1200</v>
      </c>
      <c r="BZ1445" t="s">
        <v>89</v>
      </c>
      <c r="CA1445" t="s">
        <v>423</v>
      </c>
      <c r="CC1445" t="s">
        <v>169</v>
      </c>
      <c r="CD1445">
        <v>6045</v>
      </c>
      <c r="CE1445" t="s">
        <v>2113</v>
      </c>
      <c r="CF1445" s="3">
        <v>45849</v>
      </c>
      <c r="CI1445">
        <v>1</v>
      </c>
      <c r="CJ1445">
        <v>1</v>
      </c>
      <c r="CK1445">
        <v>21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"080066481347"</f>
        <v>080066481347</v>
      </c>
      <c r="F1446" s="3">
        <v>45848</v>
      </c>
      <c r="G1446">
        <v>202604</v>
      </c>
      <c r="H1446" t="s">
        <v>75</v>
      </c>
      <c r="I1446" t="s">
        <v>76</v>
      </c>
      <c r="J1446" t="s">
        <v>77</v>
      </c>
      <c r="K1446" t="s">
        <v>78</v>
      </c>
      <c r="L1446" t="s">
        <v>554</v>
      </c>
      <c r="M1446" t="s">
        <v>555</v>
      </c>
      <c r="N1446" t="s">
        <v>556</v>
      </c>
      <c r="O1446" t="s">
        <v>82</v>
      </c>
      <c r="P1446" t="str">
        <f>"4170048120                    "</f>
        <v xml:space="preserve">4170048120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22.6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71.2</v>
      </c>
      <c r="BM1446">
        <v>10.68</v>
      </c>
      <c r="BN1446">
        <v>81.88</v>
      </c>
      <c r="BO1446">
        <v>81.88</v>
      </c>
      <c r="BQ1446" t="s">
        <v>557</v>
      </c>
      <c r="BR1446" t="s">
        <v>84</v>
      </c>
      <c r="BS1446" s="3">
        <v>45849</v>
      </c>
      <c r="BT1446" s="4">
        <v>0.33611111111111114</v>
      </c>
      <c r="BU1446" t="s">
        <v>1923</v>
      </c>
      <c r="BV1446" t="s">
        <v>98</v>
      </c>
      <c r="BY1446">
        <v>1200</v>
      </c>
      <c r="BZ1446" t="s">
        <v>89</v>
      </c>
      <c r="CA1446" t="s">
        <v>1599</v>
      </c>
      <c r="CC1446" t="s">
        <v>555</v>
      </c>
      <c r="CD1446" s="5" t="s">
        <v>560</v>
      </c>
      <c r="CE1446" t="s">
        <v>239</v>
      </c>
      <c r="CF1446" s="3">
        <v>45849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"080066481369"</f>
        <v>080066481369</v>
      </c>
      <c r="F1447" s="3">
        <v>45848</v>
      </c>
      <c r="G1447">
        <v>202604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 t="s">
        <v>80</v>
      </c>
      <c r="N1447" t="s">
        <v>1083</v>
      </c>
      <c r="O1447" t="s">
        <v>82</v>
      </c>
      <c r="P1447" t="str">
        <f>"4170048114                    "</f>
        <v xml:space="preserve">4170048114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22.6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71.2</v>
      </c>
      <c r="BM1447">
        <v>10.68</v>
      </c>
      <c r="BN1447">
        <v>81.88</v>
      </c>
      <c r="BO1447">
        <v>81.88</v>
      </c>
      <c r="BQ1447" t="s">
        <v>1084</v>
      </c>
      <c r="BR1447" t="s">
        <v>84</v>
      </c>
      <c r="BS1447" s="3">
        <v>45849</v>
      </c>
      <c r="BT1447" s="4">
        <v>0.4284722222222222</v>
      </c>
      <c r="BU1447" t="s">
        <v>1184</v>
      </c>
      <c r="BV1447" t="s">
        <v>98</v>
      </c>
      <c r="BY1447">
        <v>1200</v>
      </c>
      <c r="BZ1447" t="s">
        <v>89</v>
      </c>
      <c r="CA1447" t="s">
        <v>144</v>
      </c>
      <c r="CC1447" t="s">
        <v>80</v>
      </c>
      <c r="CD1447">
        <v>8001</v>
      </c>
      <c r="CE1447" t="s">
        <v>239</v>
      </c>
      <c r="CF1447" s="3">
        <v>45852</v>
      </c>
      <c r="CI1447">
        <v>1</v>
      </c>
      <c r="CJ1447">
        <v>1</v>
      </c>
      <c r="CK1447">
        <v>21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"080066481412"</f>
        <v>080066481412</v>
      </c>
      <c r="F1448" s="3">
        <v>45848</v>
      </c>
      <c r="G1448">
        <v>202604</v>
      </c>
      <c r="H1448" t="s">
        <v>75</v>
      </c>
      <c r="I1448" t="s">
        <v>76</v>
      </c>
      <c r="J1448" t="s">
        <v>77</v>
      </c>
      <c r="K1448" t="s">
        <v>78</v>
      </c>
      <c r="L1448" t="s">
        <v>79</v>
      </c>
      <c r="M1448" t="s">
        <v>80</v>
      </c>
      <c r="N1448" t="s">
        <v>1775</v>
      </c>
      <c r="O1448" t="s">
        <v>82</v>
      </c>
      <c r="P1448" t="str">
        <f>"4170048110                    "</f>
        <v xml:space="preserve">4170048110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71.2</v>
      </c>
      <c r="BM1448">
        <v>10.68</v>
      </c>
      <c r="BN1448">
        <v>81.88</v>
      </c>
      <c r="BO1448">
        <v>81.88</v>
      </c>
      <c r="BQ1448" t="s">
        <v>1776</v>
      </c>
      <c r="BR1448" t="s">
        <v>84</v>
      </c>
      <c r="BS1448" s="3">
        <v>45849</v>
      </c>
      <c r="BT1448" s="4">
        <v>0.4201388888888889</v>
      </c>
      <c r="BU1448" t="s">
        <v>933</v>
      </c>
      <c r="BV1448" t="s">
        <v>98</v>
      </c>
      <c r="BY1448">
        <v>1200</v>
      </c>
      <c r="BZ1448" t="s">
        <v>89</v>
      </c>
      <c r="CA1448" t="s">
        <v>934</v>
      </c>
      <c r="CC1448" t="s">
        <v>80</v>
      </c>
      <c r="CD1448">
        <v>7530</v>
      </c>
      <c r="CE1448" t="s">
        <v>214</v>
      </c>
      <c r="CF1448" s="3">
        <v>45852</v>
      </c>
      <c r="CI1448">
        <v>1</v>
      </c>
      <c r="CJ1448">
        <v>1</v>
      </c>
      <c r="CK1448">
        <v>21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"R080066456491"</f>
        <v>R080066456491</v>
      </c>
      <c r="F1449" s="3">
        <v>45848</v>
      </c>
      <c r="G1449">
        <v>202604</v>
      </c>
      <c r="H1449" t="s">
        <v>75</v>
      </c>
      <c r="I1449" t="s">
        <v>76</v>
      </c>
      <c r="J1449" t="s">
        <v>228</v>
      </c>
      <c r="K1449" t="s">
        <v>78</v>
      </c>
      <c r="L1449" t="s">
        <v>151</v>
      </c>
      <c r="M1449" t="s">
        <v>152</v>
      </c>
      <c r="N1449" t="s">
        <v>2114</v>
      </c>
      <c r="O1449" t="s">
        <v>82</v>
      </c>
      <c r="P1449" t="str">
        <f>"4170047727                    "</f>
        <v xml:space="preserve">4170047727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0.3</v>
      </c>
      <c r="BK1449">
        <v>1</v>
      </c>
      <c r="BL1449">
        <v>0</v>
      </c>
      <c r="BM1449">
        <v>0</v>
      </c>
      <c r="BN1449">
        <v>0</v>
      </c>
      <c r="BO1449">
        <v>0</v>
      </c>
      <c r="BQ1449" t="s">
        <v>2115</v>
      </c>
      <c r="BR1449" t="s">
        <v>106</v>
      </c>
      <c r="BS1449" s="3">
        <v>45853</v>
      </c>
      <c r="BT1449" s="4">
        <v>0.33958333333333335</v>
      </c>
      <c r="BU1449" t="s">
        <v>1351</v>
      </c>
      <c r="BV1449" t="s">
        <v>86</v>
      </c>
      <c r="BW1449" t="s">
        <v>395</v>
      </c>
      <c r="BX1449" t="s">
        <v>905</v>
      </c>
      <c r="BY1449">
        <v>1350</v>
      </c>
      <c r="BZ1449" t="s">
        <v>425</v>
      </c>
      <c r="CA1449" t="s">
        <v>2116</v>
      </c>
      <c r="CC1449" t="s">
        <v>152</v>
      </c>
      <c r="CD1449" s="5" t="s">
        <v>1687</v>
      </c>
      <c r="CE1449" t="s">
        <v>1868</v>
      </c>
      <c r="CF1449" s="3">
        <v>45853</v>
      </c>
      <c r="CI1449">
        <v>1</v>
      </c>
      <c r="CJ1449">
        <v>3</v>
      </c>
      <c r="CK1449">
        <v>-1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"080066481963"</f>
        <v>080066481963</v>
      </c>
      <c r="F1450" s="3">
        <v>45848</v>
      </c>
      <c r="G1450">
        <v>202604</v>
      </c>
      <c r="H1450" t="s">
        <v>75</v>
      </c>
      <c r="I1450" t="s">
        <v>76</v>
      </c>
      <c r="J1450" t="s">
        <v>77</v>
      </c>
      <c r="K1450" t="s">
        <v>78</v>
      </c>
      <c r="L1450" t="s">
        <v>75</v>
      </c>
      <c r="M1450" t="s">
        <v>76</v>
      </c>
      <c r="N1450" t="s">
        <v>1158</v>
      </c>
      <c r="O1450" t="s">
        <v>82</v>
      </c>
      <c r="P1450" t="str">
        <f>"4170048081                    "</f>
        <v xml:space="preserve">4170048081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17.649999999999999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55.61</v>
      </c>
      <c r="BM1450">
        <v>8.34</v>
      </c>
      <c r="BN1450">
        <v>63.95</v>
      </c>
      <c r="BO1450">
        <v>63.95</v>
      </c>
      <c r="BQ1450" t="s">
        <v>1159</v>
      </c>
      <c r="BR1450" t="s">
        <v>84</v>
      </c>
      <c r="BS1450" s="3">
        <v>45849</v>
      </c>
      <c r="BT1450" s="4">
        <v>0.40486111111111112</v>
      </c>
      <c r="BU1450" t="s">
        <v>2025</v>
      </c>
      <c r="BV1450" t="s">
        <v>98</v>
      </c>
      <c r="BY1450">
        <v>1200</v>
      </c>
      <c r="BZ1450" t="s">
        <v>89</v>
      </c>
      <c r="CA1450" t="s">
        <v>304</v>
      </c>
      <c r="CC1450" t="s">
        <v>76</v>
      </c>
      <c r="CD1450">
        <v>1619</v>
      </c>
      <c r="CE1450" t="s">
        <v>1615</v>
      </c>
      <c r="CF1450" s="3">
        <v>45849</v>
      </c>
      <c r="CI1450">
        <v>1</v>
      </c>
      <c r="CJ1450">
        <v>1</v>
      </c>
      <c r="CK1450">
        <v>22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"080066502105"</f>
        <v>080066502105</v>
      </c>
      <c r="F1451" s="3">
        <v>45849</v>
      </c>
      <c r="G1451">
        <v>202604</v>
      </c>
      <c r="H1451" t="s">
        <v>75</v>
      </c>
      <c r="I1451" t="s">
        <v>76</v>
      </c>
      <c r="J1451" t="s">
        <v>77</v>
      </c>
      <c r="K1451" t="s">
        <v>78</v>
      </c>
      <c r="L1451" t="s">
        <v>122</v>
      </c>
      <c r="M1451" t="s">
        <v>123</v>
      </c>
      <c r="N1451" t="s">
        <v>124</v>
      </c>
      <c r="O1451" t="s">
        <v>82</v>
      </c>
      <c r="P1451" t="str">
        <f>"4170048336                    "</f>
        <v xml:space="preserve">4170048336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22.6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0.3</v>
      </c>
      <c r="BK1451">
        <v>1</v>
      </c>
      <c r="BL1451">
        <v>71.2</v>
      </c>
      <c r="BM1451">
        <v>10.68</v>
      </c>
      <c r="BN1451">
        <v>81.88</v>
      </c>
      <c r="BO1451">
        <v>81.88</v>
      </c>
      <c r="BQ1451" t="s">
        <v>125</v>
      </c>
      <c r="BR1451" t="s">
        <v>84</v>
      </c>
      <c r="BS1451" s="3">
        <v>45852</v>
      </c>
      <c r="BT1451" s="4">
        <v>0.47986111111111113</v>
      </c>
      <c r="BU1451" t="s">
        <v>486</v>
      </c>
      <c r="BV1451" t="s">
        <v>86</v>
      </c>
      <c r="BW1451" t="s">
        <v>194</v>
      </c>
      <c r="BX1451" t="s">
        <v>739</v>
      </c>
      <c r="BY1451">
        <v>1350</v>
      </c>
      <c r="BZ1451" t="s">
        <v>89</v>
      </c>
      <c r="CC1451" t="s">
        <v>123</v>
      </c>
      <c r="CD1451">
        <v>4037</v>
      </c>
      <c r="CE1451" t="s">
        <v>1868</v>
      </c>
      <c r="CF1451" s="3">
        <v>45852</v>
      </c>
      <c r="CI1451">
        <v>1</v>
      </c>
      <c r="CJ1451">
        <v>1</v>
      </c>
      <c r="CK1451">
        <v>21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"080066502119"</f>
        <v>080066502119</v>
      </c>
      <c r="F1452" s="3">
        <v>45849</v>
      </c>
      <c r="G1452">
        <v>202604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118</v>
      </c>
      <c r="O1452" t="s">
        <v>82</v>
      </c>
      <c r="P1452" t="str">
        <f>"4170048310                    "</f>
        <v xml:space="preserve">4170048310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17.649999999999999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4</v>
      </c>
      <c r="BJ1452">
        <v>1.9</v>
      </c>
      <c r="BK1452">
        <v>4</v>
      </c>
      <c r="BL1452">
        <v>55.61</v>
      </c>
      <c r="BM1452">
        <v>8.34</v>
      </c>
      <c r="BN1452">
        <v>63.95</v>
      </c>
      <c r="BO1452">
        <v>63.95</v>
      </c>
      <c r="BQ1452" t="s">
        <v>119</v>
      </c>
      <c r="BR1452" t="s">
        <v>84</v>
      </c>
      <c r="BS1452" s="3">
        <v>45852</v>
      </c>
      <c r="BT1452" s="4">
        <v>0.31805555555555554</v>
      </c>
      <c r="BU1452" t="s">
        <v>832</v>
      </c>
      <c r="BV1452" t="s">
        <v>98</v>
      </c>
      <c r="BY1452">
        <v>9600</v>
      </c>
      <c r="BZ1452" t="s">
        <v>89</v>
      </c>
      <c r="CA1452" t="s">
        <v>213</v>
      </c>
      <c r="CC1452" t="s">
        <v>76</v>
      </c>
      <c r="CD1452">
        <v>1600</v>
      </c>
      <c r="CE1452" t="s">
        <v>117</v>
      </c>
      <c r="CF1452" s="3">
        <v>45852</v>
      </c>
      <c r="CI1452">
        <v>1</v>
      </c>
      <c r="CJ1452">
        <v>1</v>
      </c>
      <c r="CK1452">
        <v>22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"080011565205"</f>
        <v>080011565205</v>
      </c>
      <c r="F1453" s="3">
        <v>45849</v>
      </c>
      <c r="G1453">
        <v>202604</v>
      </c>
      <c r="H1453" t="s">
        <v>92</v>
      </c>
      <c r="I1453" t="s">
        <v>93</v>
      </c>
      <c r="J1453" t="s">
        <v>2117</v>
      </c>
      <c r="K1453" t="s">
        <v>78</v>
      </c>
      <c r="L1453" t="s">
        <v>75</v>
      </c>
      <c r="M1453" t="s">
        <v>76</v>
      </c>
      <c r="N1453" t="s">
        <v>228</v>
      </c>
      <c r="O1453" t="s">
        <v>82</v>
      </c>
      <c r="P1453" t="str">
        <f>"ZA1001395361                  "</f>
        <v xml:space="preserve">ZA1001395361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33.89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3</v>
      </c>
      <c r="BJ1453">
        <v>1.2</v>
      </c>
      <c r="BK1453">
        <v>3</v>
      </c>
      <c r="BL1453">
        <v>106.77</v>
      </c>
      <c r="BM1453">
        <v>16.02</v>
      </c>
      <c r="BN1453">
        <v>122.79</v>
      </c>
      <c r="BO1453">
        <v>122.79</v>
      </c>
      <c r="BP1453" t="s">
        <v>587</v>
      </c>
      <c r="BQ1453" t="s">
        <v>230</v>
      </c>
      <c r="BR1453" t="s">
        <v>2118</v>
      </c>
      <c r="BS1453" s="3">
        <v>45852</v>
      </c>
      <c r="BT1453" s="4">
        <v>0.36875000000000002</v>
      </c>
      <c r="BU1453" t="s">
        <v>232</v>
      </c>
      <c r="BV1453" t="s">
        <v>98</v>
      </c>
      <c r="BY1453">
        <v>6000</v>
      </c>
      <c r="BZ1453" t="s">
        <v>89</v>
      </c>
      <c r="CA1453" t="s">
        <v>304</v>
      </c>
      <c r="CC1453" t="s">
        <v>76</v>
      </c>
      <c r="CD1453">
        <v>1618</v>
      </c>
      <c r="CE1453" t="s">
        <v>233</v>
      </c>
      <c r="CF1453" s="3">
        <v>45853</v>
      </c>
      <c r="CI1453">
        <v>1</v>
      </c>
      <c r="CJ1453">
        <v>1</v>
      </c>
      <c r="CK1453">
        <v>21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"080066493727"</f>
        <v>080066493727</v>
      </c>
      <c r="F1454" s="3">
        <v>45849</v>
      </c>
      <c r="G1454">
        <v>202604</v>
      </c>
      <c r="H1454" t="s">
        <v>75</v>
      </c>
      <c r="I1454" t="s">
        <v>76</v>
      </c>
      <c r="J1454" t="s">
        <v>77</v>
      </c>
      <c r="K1454" t="s">
        <v>78</v>
      </c>
      <c r="L1454" t="s">
        <v>277</v>
      </c>
      <c r="M1454" t="s">
        <v>278</v>
      </c>
      <c r="N1454" t="s">
        <v>651</v>
      </c>
      <c r="O1454" t="s">
        <v>82</v>
      </c>
      <c r="P1454" t="str">
        <f>"4170047999                    "</f>
        <v xml:space="preserve">4170047999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22.6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71.2</v>
      </c>
      <c r="BM1454">
        <v>10.68</v>
      </c>
      <c r="BN1454">
        <v>81.88</v>
      </c>
      <c r="BO1454">
        <v>81.88</v>
      </c>
      <c r="BQ1454" t="s">
        <v>652</v>
      </c>
      <c r="BR1454" t="s">
        <v>84</v>
      </c>
      <c r="BS1454" s="3">
        <v>45852</v>
      </c>
      <c r="BT1454" s="4">
        <v>0.33680555555555558</v>
      </c>
      <c r="BU1454" t="s">
        <v>2119</v>
      </c>
      <c r="BV1454" t="s">
        <v>98</v>
      </c>
      <c r="BY1454">
        <v>1200</v>
      </c>
      <c r="BZ1454" t="s">
        <v>89</v>
      </c>
      <c r="CA1454" t="s">
        <v>282</v>
      </c>
      <c r="CC1454" t="s">
        <v>278</v>
      </c>
      <c r="CD1454">
        <v>6229</v>
      </c>
      <c r="CE1454" t="s">
        <v>239</v>
      </c>
      <c r="CF1454" s="3">
        <v>45853</v>
      </c>
      <c r="CI1454">
        <v>1</v>
      </c>
      <c r="CJ1454">
        <v>1</v>
      </c>
      <c r="CK1454">
        <v>21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"080066493790"</f>
        <v>080066493790</v>
      </c>
      <c r="F1455" s="3">
        <v>45849</v>
      </c>
      <c r="G1455">
        <v>202604</v>
      </c>
      <c r="H1455" t="s">
        <v>75</v>
      </c>
      <c r="I1455" t="s">
        <v>76</v>
      </c>
      <c r="J1455" t="s">
        <v>77</v>
      </c>
      <c r="K1455" t="s">
        <v>78</v>
      </c>
      <c r="L1455" t="s">
        <v>79</v>
      </c>
      <c r="M1455" t="s">
        <v>80</v>
      </c>
      <c r="N1455" t="s">
        <v>698</v>
      </c>
      <c r="O1455" t="s">
        <v>95</v>
      </c>
      <c r="P1455" t="str">
        <f>"4170048087                    "</f>
        <v xml:space="preserve">4170048087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193.45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98</v>
      </c>
      <c r="BJ1455">
        <v>69.8</v>
      </c>
      <c r="BK1455">
        <v>98</v>
      </c>
      <c r="BL1455">
        <v>615.34</v>
      </c>
      <c r="BM1455">
        <v>92.3</v>
      </c>
      <c r="BN1455">
        <v>707.64</v>
      </c>
      <c r="BO1455">
        <v>707.64</v>
      </c>
      <c r="BQ1455" t="s">
        <v>699</v>
      </c>
      <c r="BR1455" t="s">
        <v>84</v>
      </c>
      <c r="BS1455" s="3">
        <v>45852</v>
      </c>
      <c r="BT1455" s="4">
        <v>0.54374999999999996</v>
      </c>
      <c r="BU1455" t="s">
        <v>2120</v>
      </c>
      <c r="BV1455" t="s">
        <v>98</v>
      </c>
      <c r="BY1455">
        <v>348992</v>
      </c>
      <c r="BZ1455" t="s">
        <v>99</v>
      </c>
      <c r="CA1455" t="s">
        <v>2121</v>
      </c>
      <c r="CC1455" t="s">
        <v>80</v>
      </c>
      <c r="CD1455">
        <v>7561</v>
      </c>
      <c r="CE1455" t="s">
        <v>2082</v>
      </c>
      <c r="CF1455" s="3">
        <v>45853</v>
      </c>
      <c r="CI1455">
        <v>3</v>
      </c>
      <c r="CJ1455">
        <v>1</v>
      </c>
      <c r="CK1455">
        <v>41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"080066493842"</f>
        <v>080066493842</v>
      </c>
      <c r="F1456" s="3">
        <v>45849</v>
      </c>
      <c r="G1456">
        <v>202604</v>
      </c>
      <c r="H1456" t="s">
        <v>75</v>
      </c>
      <c r="I1456" t="s">
        <v>76</v>
      </c>
      <c r="J1456" t="s">
        <v>77</v>
      </c>
      <c r="K1456" t="s">
        <v>78</v>
      </c>
      <c r="L1456" t="s">
        <v>168</v>
      </c>
      <c r="M1456" t="s">
        <v>169</v>
      </c>
      <c r="N1456" t="s">
        <v>924</v>
      </c>
      <c r="O1456" t="s">
        <v>82</v>
      </c>
      <c r="P1456" t="str">
        <f>"4170048011                    "</f>
        <v xml:space="preserve">4170048011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22.6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71.2</v>
      </c>
      <c r="BM1456">
        <v>10.68</v>
      </c>
      <c r="BN1456">
        <v>81.88</v>
      </c>
      <c r="BO1456">
        <v>81.88</v>
      </c>
      <c r="BQ1456" t="s">
        <v>925</v>
      </c>
      <c r="BR1456" t="s">
        <v>84</v>
      </c>
      <c r="BS1456" s="3">
        <v>45852</v>
      </c>
      <c r="BT1456" s="4">
        <v>0.40138888888888891</v>
      </c>
      <c r="BU1456" t="s">
        <v>2122</v>
      </c>
      <c r="BV1456" t="s">
        <v>98</v>
      </c>
      <c r="BY1456">
        <v>1200</v>
      </c>
      <c r="BZ1456" t="s">
        <v>89</v>
      </c>
      <c r="CA1456" t="s">
        <v>196</v>
      </c>
      <c r="CC1456" t="s">
        <v>169</v>
      </c>
      <c r="CD1456">
        <v>6056</v>
      </c>
      <c r="CE1456" t="s">
        <v>121</v>
      </c>
      <c r="CF1456" s="3">
        <v>45852</v>
      </c>
      <c r="CI1456">
        <v>1</v>
      </c>
      <c r="CJ1456">
        <v>1</v>
      </c>
      <c r="CK1456">
        <v>21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"080066493915"</f>
        <v>080066493915</v>
      </c>
      <c r="F1457" s="3">
        <v>45849</v>
      </c>
      <c r="G1457">
        <v>202604</v>
      </c>
      <c r="H1457" t="s">
        <v>75</v>
      </c>
      <c r="I1457" t="s">
        <v>76</v>
      </c>
      <c r="J1457" t="s">
        <v>77</v>
      </c>
      <c r="K1457" t="s">
        <v>78</v>
      </c>
      <c r="L1457" t="s">
        <v>604</v>
      </c>
      <c r="M1457" t="s">
        <v>605</v>
      </c>
      <c r="N1457" t="s">
        <v>606</v>
      </c>
      <c r="O1457" t="s">
        <v>82</v>
      </c>
      <c r="P1457" t="str">
        <f>"4170048041                    "</f>
        <v xml:space="preserve">4170048041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43.78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137.94</v>
      </c>
      <c r="BM1457">
        <v>20.69</v>
      </c>
      <c r="BN1457">
        <v>158.63</v>
      </c>
      <c r="BO1457">
        <v>158.63</v>
      </c>
      <c r="BQ1457" t="s">
        <v>607</v>
      </c>
      <c r="BR1457" t="s">
        <v>84</v>
      </c>
      <c r="BS1457" s="3">
        <v>45852</v>
      </c>
      <c r="BT1457" s="4">
        <v>0.52500000000000002</v>
      </c>
      <c r="BU1457" t="s">
        <v>2001</v>
      </c>
      <c r="BV1457" t="s">
        <v>98</v>
      </c>
      <c r="BY1457">
        <v>1200</v>
      </c>
      <c r="BZ1457" t="s">
        <v>89</v>
      </c>
      <c r="CA1457" t="s">
        <v>609</v>
      </c>
      <c r="CC1457" t="s">
        <v>605</v>
      </c>
      <c r="CD1457">
        <v>4490</v>
      </c>
      <c r="CE1457" t="s">
        <v>258</v>
      </c>
      <c r="CF1457" s="3">
        <v>45852</v>
      </c>
      <c r="CI1457">
        <v>5</v>
      </c>
      <c r="CJ1457">
        <v>1</v>
      </c>
      <c r="CK1457">
        <v>23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"080066494067"</f>
        <v>080066494067</v>
      </c>
      <c r="F1458" s="3">
        <v>45849</v>
      </c>
      <c r="G1458">
        <v>202604</v>
      </c>
      <c r="H1458" t="s">
        <v>75</v>
      </c>
      <c r="I1458" t="s">
        <v>76</v>
      </c>
      <c r="J1458" t="s">
        <v>77</v>
      </c>
      <c r="K1458" t="s">
        <v>78</v>
      </c>
      <c r="L1458" t="s">
        <v>246</v>
      </c>
      <c r="M1458" t="s">
        <v>247</v>
      </c>
      <c r="N1458" t="s">
        <v>1359</v>
      </c>
      <c r="O1458" t="s">
        <v>82</v>
      </c>
      <c r="P1458" t="str">
        <f>"4170048155                    "</f>
        <v xml:space="preserve">4170048155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31.78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100.13</v>
      </c>
      <c r="BM1458">
        <v>15.02</v>
      </c>
      <c r="BN1458">
        <v>115.15</v>
      </c>
      <c r="BO1458">
        <v>115.15</v>
      </c>
      <c r="BQ1458" t="s">
        <v>1360</v>
      </c>
      <c r="BR1458" t="s">
        <v>84</v>
      </c>
      <c r="BS1458" s="3">
        <v>45852</v>
      </c>
      <c r="BT1458" s="4">
        <v>0.42291666666666666</v>
      </c>
      <c r="BU1458" t="s">
        <v>2123</v>
      </c>
      <c r="BV1458" t="s">
        <v>98</v>
      </c>
      <c r="BY1458">
        <v>1200</v>
      </c>
      <c r="BZ1458" t="s">
        <v>89</v>
      </c>
      <c r="CA1458" t="s">
        <v>251</v>
      </c>
      <c r="CC1458" t="s">
        <v>247</v>
      </c>
      <c r="CD1458">
        <v>1438</v>
      </c>
      <c r="CE1458" t="s">
        <v>121</v>
      </c>
      <c r="CF1458" s="3">
        <v>45852</v>
      </c>
      <c r="CI1458">
        <v>1</v>
      </c>
      <c r="CJ1458">
        <v>1</v>
      </c>
      <c r="CK1458">
        <v>24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"080066494238"</f>
        <v>080066494238</v>
      </c>
      <c r="F1459" s="3">
        <v>45849</v>
      </c>
      <c r="G1459">
        <v>202604</v>
      </c>
      <c r="H1459" t="s">
        <v>75</v>
      </c>
      <c r="I1459" t="s">
        <v>76</v>
      </c>
      <c r="J1459" t="s">
        <v>77</v>
      </c>
      <c r="K1459" t="s">
        <v>78</v>
      </c>
      <c r="L1459" t="s">
        <v>79</v>
      </c>
      <c r="M1459" t="s">
        <v>80</v>
      </c>
      <c r="N1459" t="s">
        <v>1566</v>
      </c>
      <c r="O1459" t="s">
        <v>82</v>
      </c>
      <c r="P1459" t="str">
        <f>"4170048094                    "</f>
        <v xml:space="preserve">4170048094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22.6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1.1000000000000001</v>
      </c>
      <c r="BK1459">
        <v>1.5</v>
      </c>
      <c r="BL1459">
        <v>71.2</v>
      </c>
      <c r="BM1459">
        <v>10.68</v>
      </c>
      <c r="BN1459">
        <v>81.88</v>
      </c>
      <c r="BO1459">
        <v>81.88</v>
      </c>
      <c r="BQ1459" t="s">
        <v>1567</v>
      </c>
      <c r="BR1459" t="s">
        <v>84</v>
      </c>
      <c r="BS1459" s="3">
        <v>45852</v>
      </c>
      <c r="BT1459" s="4">
        <v>0.38263888888888886</v>
      </c>
      <c r="BU1459" t="s">
        <v>2096</v>
      </c>
      <c r="BV1459" t="s">
        <v>98</v>
      </c>
      <c r="BY1459">
        <v>5320</v>
      </c>
      <c r="BZ1459" t="s">
        <v>89</v>
      </c>
      <c r="CA1459" t="s">
        <v>495</v>
      </c>
      <c r="CC1459" t="s">
        <v>80</v>
      </c>
      <c r="CD1459">
        <v>7800</v>
      </c>
      <c r="CE1459" t="s">
        <v>117</v>
      </c>
      <c r="CF1459" s="3">
        <v>45853</v>
      </c>
      <c r="CI1459">
        <v>1</v>
      </c>
      <c r="CJ1459">
        <v>1</v>
      </c>
      <c r="CK1459">
        <v>21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"080066494495"</f>
        <v>080066494495</v>
      </c>
      <c r="F1460" s="3">
        <v>45849</v>
      </c>
      <c r="G1460">
        <v>202604</v>
      </c>
      <c r="H1460" t="s">
        <v>75</v>
      </c>
      <c r="I1460" t="s">
        <v>76</v>
      </c>
      <c r="J1460" t="s">
        <v>77</v>
      </c>
      <c r="K1460" t="s">
        <v>78</v>
      </c>
      <c r="L1460" t="s">
        <v>135</v>
      </c>
      <c r="M1460" t="s">
        <v>136</v>
      </c>
      <c r="N1460" t="s">
        <v>2091</v>
      </c>
      <c r="O1460" t="s">
        <v>82</v>
      </c>
      <c r="P1460" t="str">
        <f>"4170048030                    "</f>
        <v xml:space="preserve">4170048030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22.6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0.9</v>
      </c>
      <c r="BK1460">
        <v>2</v>
      </c>
      <c r="BL1460">
        <v>71.2</v>
      </c>
      <c r="BM1460">
        <v>10.68</v>
      </c>
      <c r="BN1460">
        <v>81.88</v>
      </c>
      <c r="BO1460">
        <v>81.88</v>
      </c>
      <c r="BQ1460" t="s">
        <v>2092</v>
      </c>
      <c r="BR1460" t="s">
        <v>84</v>
      </c>
      <c r="BS1460" s="3">
        <v>45852</v>
      </c>
      <c r="BT1460" s="4">
        <v>0.64097222222222228</v>
      </c>
      <c r="BU1460" t="s">
        <v>2093</v>
      </c>
      <c r="BV1460" t="s">
        <v>86</v>
      </c>
      <c r="BY1460">
        <v>4560</v>
      </c>
      <c r="BZ1460" t="s">
        <v>89</v>
      </c>
      <c r="CA1460" t="s">
        <v>349</v>
      </c>
      <c r="CC1460" t="s">
        <v>136</v>
      </c>
      <c r="CD1460">
        <v>3201</v>
      </c>
      <c r="CE1460" t="s">
        <v>266</v>
      </c>
      <c r="CF1460" s="3">
        <v>45853</v>
      </c>
      <c r="CI1460">
        <v>1</v>
      </c>
      <c r="CJ1460">
        <v>1</v>
      </c>
      <c r="CK1460">
        <v>21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"080066494522"</f>
        <v>080066494522</v>
      </c>
      <c r="F1461" s="3">
        <v>45849</v>
      </c>
      <c r="G1461">
        <v>202604</v>
      </c>
      <c r="H1461" t="s">
        <v>75</v>
      </c>
      <c r="I1461" t="s">
        <v>76</v>
      </c>
      <c r="J1461" t="s">
        <v>77</v>
      </c>
      <c r="K1461" t="s">
        <v>78</v>
      </c>
      <c r="L1461" t="s">
        <v>168</v>
      </c>
      <c r="M1461" t="s">
        <v>169</v>
      </c>
      <c r="N1461" t="s">
        <v>191</v>
      </c>
      <c r="O1461" t="s">
        <v>82</v>
      </c>
      <c r="P1461" t="str">
        <f>"4170048022                    "</f>
        <v xml:space="preserve">4170048022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45.18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3</v>
      </c>
      <c r="BJ1461">
        <v>3.8</v>
      </c>
      <c r="BK1461">
        <v>4</v>
      </c>
      <c r="BL1461">
        <v>142.34</v>
      </c>
      <c r="BM1461">
        <v>21.35</v>
      </c>
      <c r="BN1461">
        <v>163.69</v>
      </c>
      <c r="BO1461">
        <v>163.69</v>
      </c>
      <c r="BQ1461" t="s">
        <v>192</v>
      </c>
      <c r="BR1461" t="s">
        <v>84</v>
      </c>
      <c r="BS1461" s="3">
        <v>45852</v>
      </c>
      <c r="BT1461" s="4">
        <v>0.40694444444444444</v>
      </c>
      <c r="BU1461" t="s">
        <v>193</v>
      </c>
      <c r="BV1461" t="s">
        <v>98</v>
      </c>
      <c r="BY1461">
        <v>19227</v>
      </c>
      <c r="BZ1461" t="s">
        <v>89</v>
      </c>
      <c r="CA1461" t="s">
        <v>196</v>
      </c>
      <c r="CC1461" t="s">
        <v>169</v>
      </c>
      <c r="CD1461">
        <v>6056</v>
      </c>
      <c r="CE1461" t="s">
        <v>117</v>
      </c>
      <c r="CF1461" s="3">
        <v>45852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"080066494547"</f>
        <v>080066494547</v>
      </c>
      <c r="F1462" s="3">
        <v>45849</v>
      </c>
      <c r="G1462">
        <v>202604</v>
      </c>
      <c r="H1462" t="s">
        <v>75</v>
      </c>
      <c r="I1462" t="s">
        <v>76</v>
      </c>
      <c r="J1462" t="s">
        <v>77</v>
      </c>
      <c r="K1462" t="s">
        <v>78</v>
      </c>
      <c r="L1462" t="s">
        <v>168</v>
      </c>
      <c r="M1462" t="s">
        <v>169</v>
      </c>
      <c r="N1462" t="s">
        <v>191</v>
      </c>
      <c r="O1462" t="s">
        <v>82</v>
      </c>
      <c r="P1462" t="str">
        <f>"4170048031                    "</f>
        <v xml:space="preserve">4170048031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22.6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0.3</v>
      </c>
      <c r="BK1462">
        <v>1</v>
      </c>
      <c r="BL1462">
        <v>71.2</v>
      </c>
      <c r="BM1462">
        <v>10.68</v>
      </c>
      <c r="BN1462">
        <v>81.88</v>
      </c>
      <c r="BO1462">
        <v>81.88</v>
      </c>
      <c r="BQ1462" t="s">
        <v>192</v>
      </c>
      <c r="BR1462" t="s">
        <v>84</v>
      </c>
      <c r="BS1462" s="3">
        <v>45852</v>
      </c>
      <c r="BT1462" s="4">
        <v>0.40694444444444444</v>
      </c>
      <c r="BU1462" t="s">
        <v>193</v>
      </c>
      <c r="BV1462" t="s">
        <v>98</v>
      </c>
      <c r="BY1462">
        <v>1350</v>
      </c>
      <c r="BZ1462" t="s">
        <v>89</v>
      </c>
      <c r="CA1462" t="s">
        <v>196</v>
      </c>
      <c r="CC1462" t="s">
        <v>169</v>
      </c>
      <c r="CD1462">
        <v>6056</v>
      </c>
      <c r="CE1462" t="s">
        <v>1868</v>
      </c>
      <c r="CF1462" s="3">
        <v>45852</v>
      </c>
      <c r="CI1462">
        <v>1</v>
      </c>
      <c r="CJ1462">
        <v>1</v>
      </c>
      <c r="CK1462">
        <v>21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"080066494569"</f>
        <v>080066494569</v>
      </c>
      <c r="F1463" s="3">
        <v>45849</v>
      </c>
      <c r="G1463">
        <v>202604</v>
      </c>
      <c r="H1463" t="s">
        <v>75</v>
      </c>
      <c r="I1463" t="s">
        <v>76</v>
      </c>
      <c r="J1463" t="s">
        <v>77</v>
      </c>
      <c r="K1463" t="s">
        <v>78</v>
      </c>
      <c r="L1463" t="s">
        <v>277</v>
      </c>
      <c r="M1463" t="s">
        <v>278</v>
      </c>
      <c r="N1463" t="s">
        <v>279</v>
      </c>
      <c r="O1463" t="s">
        <v>82</v>
      </c>
      <c r="P1463" t="str">
        <f>"4170048046                    "</f>
        <v xml:space="preserve">4170048046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22.6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0.3</v>
      </c>
      <c r="BK1463">
        <v>1</v>
      </c>
      <c r="BL1463">
        <v>71.2</v>
      </c>
      <c r="BM1463">
        <v>10.68</v>
      </c>
      <c r="BN1463">
        <v>81.88</v>
      </c>
      <c r="BO1463">
        <v>81.88</v>
      </c>
      <c r="BQ1463" t="s">
        <v>280</v>
      </c>
      <c r="BR1463" t="s">
        <v>84</v>
      </c>
      <c r="BS1463" s="3">
        <v>45852</v>
      </c>
      <c r="BT1463" s="4">
        <v>0.33402777777777776</v>
      </c>
      <c r="BU1463" t="s">
        <v>172</v>
      </c>
      <c r="BV1463" t="s">
        <v>98</v>
      </c>
      <c r="BY1463">
        <v>1350</v>
      </c>
      <c r="BZ1463" t="s">
        <v>89</v>
      </c>
      <c r="CA1463" t="s">
        <v>282</v>
      </c>
      <c r="CC1463" t="s">
        <v>278</v>
      </c>
      <c r="CD1463">
        <v>6230</v>
      </c>
      <c r="CE1463" t="s">
        <v>1868</v>
      </c>
      <c r="CF1463" s="3">
        <v>45853</v>
      </c>
      <c r="CI1463">
        <v>1</v>
      </c>
      <c r="CJ1463">
        <v>1</v>
      </c>
      <c r="CK1463">
        <v>21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"080066494582"</f>
        <v>080066494582</v>
      </c>
      <c r="F1464" s="3">
        <v>45849</v>
      </c>
      <c r="G1464">
        <v>202604</v>
      </c>
      <c r="H1464" t="s">
        <v>75</v>
      </c>
      <c r="I1464" t="s">
        <v>76</v>
      </c>
      <c r="J1464" t="s">
        <v>77</v>
      </c>
      <c r="K1464" t="s">
        <v>78</v>
      </c>
      <c r="L1464" t="s">
        <v>151</v>
      </c>
      <c r="M1464" t="s">
        <v>152</v>
      </c>
      <c r="N1464" t="s">
        <v>2124</v>
      </c>
      <c r="O1464" t="s">
        <v>82</v>
      </c>
      <c r="P1464" t="str">
        <f>"4170048013                    "</f>
        <v xml:space="preserve">4170048013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0.3</v>
      </c>
      <c r="BK1464">
        <v>1</v>
      </c>
      <c r="BL1464">
        <v>71.2</v>
      </c>
      <c r="BM1464">
        <v>10.68</v>
      </c>
      <c r="BN1464">
        <v>81.88</v>
      </c>
      <c r="BO1464">
        <v>81.88</v>
      </c>
      <c r="BQ1464" t="s">
        <v>2125</v>
      </c>
      <c r="BR1464" t="s">
        <v>84</v>
      </c>
      <c r="BS1464" s="3">
        <v>45852</v>
      </c>
      <c r="BT1464" s="4">
        <v>0.40069444444444446</v>
      </c>
      <c r="BU1464" t="s">
        <v>2126</v>
      </c>
      <c r="BV1464" t="s">
        <v>98</v>
      </c>
      <c r="BY1464">
        <v>1350</v>
      </c>
      <c r="BZ1464" t="s">
        <v>89</v>
      </c>
      <c r="CC1464" t="s">
        <v>152</v>
      </c>
      <c r="CD1464" s="5" t="s">
        <v>157</v>
      </c>
      <c r="CE1464" t="s">
        <v>1868</v>
      </c>
      <c r="CF1464" s="3">
        <v>45852</v>
      </c>
      <c r="CI1464">
        <v>1</v>
      </c>
      <c r="CJ1464">
        <v>1</v>
      </c>
      <c r="CK1464">
        <v>21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"080066494625"</f>
        <v>080066494625</v>
      </c>
      <c r="F1465" s="3">
        <v>45849</v>
      </c>
      <c r="G1465">
        <v>202604</v>
      </c>
      <c r="H1465" t="s">
        <v>75</v>
      </c>
      <c r="I1465" t="s">
        <v>76</v>
      </c>
      <c r="J1465" t="s">
        <v>77</v>
      </c>
      <c r="K1465" t="s">
        <v>78</v>
      </c>
      <c r="L1465" t="s">
        <v>168</v>
      </c>
      <c r="M1465" t="s">
        <v>169</v>
      </c>
      <c r="N1465" t="s">
        <v>206</v>
      </c>
      <c r="O1465" t="s">
        <v>82</v>
      </c>
      <c r="P1465" t="str">
        <f>"4170048044                    "</f>
        <v xml:space="preserve">4170048044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22.6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0.3</v>
      </c>
      <c r="BK1465">
        <v>1</v>
      </c>
      <c r="BL1465">
        <v>71.2</v>
      </c>
      <c r="BM1465">
        <v>10.68</v>
      </c>
      <c r="BN1465">
        <v>81.88</v>
      </c>
      <c r="BO1465">
        <v>81.88</v>
      </c>
      <c r="BQ1465" t="s">
        <v>207</v>
      </c>
      <c r="BR1465" t="s">
        <v>84</v>
      </c>
      <c r="BS1465" s="3">
        <v>45852</v>
      </c>
      <c r="BT1465" s="4">
        <v>0.37986111111111109</v>
      </c>
      <c r="BU1465" t="s">
        <v>208</v>
      </c>
      <c r="BV1465" t="s">
        <v>98</v>
      </c>
      <c r="BY1465">
        <v>1350</v>
      </c>
      <c r="BZ1465" t="s">
        <v>89</v>
      </c>
      <c r="CA1465" t="s">
        <v>196</v>
      </c>
      <c r="CC1465" t="s">
        <v>169</v>
      </c>
      <c r="CD1465">
        <v>6001</v>
      </c>
      <c r="CE1465" t="s">
        <v>1868</v>
      </c>
      <c r="CF1465" s="3">
        <v>45852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"080066494648"</f>
        <v>080066494648</v>
      </c>
      <c r="F1466" s="3">
        <v>45849</v>
      </c>
      <c r="G1466">
        <v>202604</v>
      </c>
      <c r="H1466" t="s">
        <v>75</v>
      </c>
      <c r="I1466" t="s">
        <v>76</v>
      </c>
      <c r="J1466" t="s">
        <v>77</v>
      </c>
      <c r="K1466" t="s">
        <v>78</v>
      </c>
      <c r="L1466" t="s">
        <v>168</v>
      </c>
      <c r="M1466" t="s">
        <v>169</v>
      </c>
      <c r="N1466" t="s">
        <v>206</v>
      </c>
      <c r="O1466" t="s">
        <v>82</v>
      </c>
      <c r="P1466" t="str">
        <f>"4170048117                    "</f>
        <v xml:space="preserve">4170048117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22.6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0.3</v>
      </c>
      <c r="BK1466">
        <v>1</v>
      </c>
      <c r="BL1466">
        <v>71.2</v>
      </c>
      <c r="BM1466">
        <v>10.68</v>
      </c>
      <c r="BN1466">
        <v>81.88</v>
      </c>
      <c r="BO1466">
        <v>81.88</v>
      </c>
      <c r="BQ1466" t="s">
        <v>207</v>
      </c>
      <c r="BR1466" t="s">
        <v>84</v>
      </c>
      <c r="BS1466" s="3">
        <v>45852</v>
      </c>
      <c r="BT1466" s="4">
        <v>0.37986111111111109</v>
      </c>
      <c r="BU1466" t="s">
        <v>208</v>
      </c>
      <c r="BV1466" t="s">
        <v>98</v>
      </c>
      <c r="BY1466">
        <v>1350</v>
      </c>
      <c r="BZ1466" t="s">
        <v>89</v>
      </c>
      <c r="CA1466" t="s">
        <v>196</v>
      </c>
      <c r="CC1466" t="s">
        <v>169</v>
      </c>
      <c r="CD1466">
        <v>6001</v>
      </c>
      <c r="CE1466" t="s">
        <v>1868</v>
      </c>
      <c r="CF1466" s="3">
        <v>45852</v>
      </c>
      <c r="CI1466">
        <v>1</v>
      </c>
      <c r="CJ1466">
        <v>1</v>
      </c>
      <c r="CK1466">
        <v>21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"080066495387"</f>
        <v>080066495387</v>
      </c>
      <c r="F1467" s="3">
        <v>45849</v>
      </c>
      <c r="G1467">
        <v>202604</v>
      </c>
      <c r="H1467" t="s">
        <v>75</v>
      </c>
      <c r="I1467" t="s">
        <v>76</v>
      </c>
      <c r="J1467" t="s">
        <v>77</v>
      </c>
      <c r="K1467" t="s">
        <v>78</v>
      </c>
      <c r="L1467" t="s">
        <v>75</v>
      </c>
      <c r="M1467" t="s">
        <v>76</v>
      </c>
      <c r="N1467" t="s">
        <v>775</v>
      </c>
      <c r="O1467" t="s">
        <v>95</v>
      </c>
      <c r="P1467" t="str">
        <f>"4170048154                    "</f>
        <v xml:space="preserve">4170048154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36.68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9</v>
      </c>
      <c r="BJ1467">
        <v>17.7</v>
      </c>
      <c r="BK1467">
        <v>18</v>
      </c>
      <c r="BL1467">
        <v>121.43</v>
      </c>
      <c r="BM1467">
        <v>18.21</v>
      </c>
      <c r="BN1467">
        <v>139.63999999999999</v>
      </c>
      <c r="BO1467">
        <v>139.63999999999999</v>
      </c>
      <c r="BQ1467" t="s">
        <v>776</v>
      </c>
      <c r="BR1467" t="s">
        <v>84</v>
      </c>
      <c r="BS1467" s="3">
        <v>45852</v>
      </c>
      <c r="BT1467" s="4">
        <v>0.31180555555555556</v>
      </c>
      <c r="BU1467" t="s">
        <v>2127</v>
      </c>
      <c r="BV1467" t="s">
        <v>98</v>
      </c>
      <c r="BY1467">
        <v>88320</v>
      </c>
      <c r="BZ1467" t="s">
        <v>99</v>
      </c>
      <c r="CA1467" t="s">
        <v>778</v>
      </c>
      <c r="CC1467" t="s">
        <v>76</v>
      </c>
      <c r="CD1467">
        <v>1609</v>
      </c>
      <c r="CE1467" t="s">
        <v>117</v>
      </c>
      <c r="CF1467" s="3">
        <v>45852</v>
      </c>
      <c r="CI1467">
        <v>1</v>
      </c>
      <c r="CJ1467">
        <v>1</v>
      </c>
      <c r="CK1467">
        <v>42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"080066495460"</f>
        <v>080066495460</v>
      </c>
      <c r="F1468" s="3">
        <v>45849</v>
      </c>
      <c r="G1468">
        <v>202604</v>
      </c>
      <c r="H1468" t="s">
        <v>75</v>
      </c>
      <c r="I1468" t="s">
        <v>76</v>
      </c>
      <c r="J1468" t="s">
        <v>77</v>
      </c>
      <c r="K1468" t="s">
        <v>78</v>
      </c>
      <c r="L1468" t="s">
        <v>122</v>
      </c>
      <c r="M1468" t="s">
        <v>123</v>
      </c>
      <c r="N1468" t="s">
        <v>2097</v>
      </c>
      <c r="O1468" t="s">
        <v>82</v>
      </c>
      <c r="P1468" t="str">
        <f>"4170048150                    "</f>
        <v xml:space="preserve">4170048150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45.18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4</v>
      </c>
      <c r="BJ1468">
        <v>3.5</v>
      </c>
      <c r="BK1468">
        <v>4</v>
      </c>
      <c r="BL1468">
        <v>142.34</v>
      </c>
      <c r="BM1468">
        <v>21.35</v>
      </c>
      <c r="BN1468">
        <v>163.69</v>
      </c>
      <c r="BO1468">
        <v>163.69</v>
      </c>
      <c r="BQ1468" t="s">
        <v>2098</v>
      </c>
      <c r="BR1468" t="s">
        <v>84</v>
      </c>
      <c r="BS1468" s="3">
        <v>45852</v>
      </c>
      <c r="BT1468" s="4">
        <v>0.39583333333333331</v>
      </c>
      <c r="BU1468" t="s">
        <v>2099</v>
      </c>
      <c r="BV1468" t="s">
        <v>98</v>
      </c>
      <c r="BY1468">
        <v>17550</v>
      </c>
      <c r="BZ1468" t="s">
        <v>89</v>
      </c>
      <c r="CA1468" t="s">
        <v>187</v>
      </c>
      <c r="CC1468" t="s">
        <v>123</v>
      </c>
      <c r="CD1468">
        <v>3600</v>
      </c>
      <c r="CE1468" t="s">
        <v>117</v>
      </c>
      <c r="CF1468" s="3">
        <v>45853</v>
      </c>
      <c r="CI1468">
        <v>1</v>
      </c>
      <c r="CJ1468">
        <v>1</v>
      </c>
      <c r="CK1468">
        <v>21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"080066495489"</f>
        <v>080066495489</v>
      </c>
      <c r="F1469" s="3">
        <v>45849</v>
      </c>
      <c r="G1469">
        <v>202604</v>
      </c>
      <c r="H1469" t="s">
        <v>75</v>
      </c>
      <c r="I1469" t="s">
        <v>76</v>
      </c>
      <c r="J1469" t="s">
        <v>77</v>
      </c>
      <c r="K1469" t="s">
        <v>78</v>
      </c>
      <c r="L1469" t="s">
        <v>363</v>
      </c>
      <c r="M1469" t="s">
        <v>364</v>
      </c>
      <c r="N1469" t="s">
        <v>365</v>
      </c>
      <c r="O1469" t="s">
        <v>82</v>
      </c>
      <c r="P1469" t="str">
        <f>"4170048002                    "</f>
        <v xml:space="preserve">4170048002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43.78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137.94</v>
      </c>
      <c r="BM1469">
        <v>20.69</v>
      </c>
      <c r="BN1469">
        <v>158.63</v>
      </c>
      <c r="BO1469">
        <v>158.63</v>
      </c>
      <c r="BQ1469" t="s">
        <v>1118</v>
      </c>
      <c r="BR1469" t="s">
        <v>84</v>
      </c>
      <c r="BS1469" s="3">
        <v>45852</v>
      </c>
      <c r="BT1469" s="4">
        <v>0.50972222222222219</v>
      </c>
      <c r="BU1469" t="s">
        <v>2128</v>
      </c>
      <c r="BV1469" t="s">
        <v>98</v>
      </c>
      <c r="BY1469">
        <v>1200</v>
      </c>
      <c r="BZ1469" t="s">
        <v>89</v>
      </c>
      <c r="CA1469" t="s">
        <v>2129</v>
      </c>
      <c r="CC1469" t="s">
        <v>364</v>
      </c>
      <c r="CD1469">
        <v>7300</v>
      </c>
      <c r="CE1469" t="s">
        <v>121</v>
      </c>
      <c r="CF1469" s="3">
        <v>45853</v>
      </c>
      <c r="CI1469">
        <v>1</v>
      </c>
      <c r="CJ1469">
        <v>1</v>
      </c>
      <c r="CK1469">
        <v>23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"080066495510"</f>
        <v>080066495510</v>
      </c>
      <c r="F1470" s="3">
        <v>45849</v>
      </c>
      <c r="G1470">
        <v>202604</v>
      </c>
      <c r="H1470" t="s">
        <v>75</v>
      </c>
      <c r="I1470" t="s">
        <v>76</v>
      </c>
      <c r="J1470" t="s">
        <v>77</v>
      </c>
      <c r="K1470" t="s">
        <v>78</v>
      </c>
      <c r="L1470" t="s">
        <v>122</v>
      </c>
      <c r="M1470" t="s">
        <v>123</v>
      </c>
      <c r="N1470" t="s">
        <v>2097</v>
      </c>
      <c r="O1470" t="s">
        <v>82</v>
      </c>
      <c r="P1470" t="str">
        <f>"4170048152                    "</f>
        <v xml:space="preserve">4170048152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22.6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71.2</v>
      </c>
      <c r="BM1470">
        <v>10.68</v>
      </c>
      <c r="BN1470">
        <v>81.88</v>
      </c>
      <c r="BO1470">
        <v>81.88</v>
      </c>
      <c r="BQ1470" t="s">
        <v>2098</v>
      </c>
      <c r="BR1470" t="s">
        <v>84</v>
      </c>
      <c r="BS1470" s="3">
        <v>45852</v>
      </c>
      <c r="BT1470" s="4">
        <v>0.39444444444444443</v>
      </c>
      <c r="BU1470" t="s">
        <v>2099</v>
      </c>
      <c r="BV1470" t="s">
        <v>98</v>
      </c>
      <c r="BY1470">
        <v>1200</v>
      </c>
      <c r="BZ1470" t="s">
        <v>89</v>
      </c>
      <c r="CA1470" t="s">
        <v>187</v>
      </c>
      <c r="CC1470" t="s">
        <v>123</v>
      </c>
      <c r="CD1470">
        <v>3600</v>
      </c>
      <c r="CE1470" t="s">
        <v>258</v>
      </c>
      <c r="CF1470" s="3">
        <v>45853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"080066495626"</f>
        <v>080066495626</v>
      </c>
      <c r="F1471" s="3">
        <v>45849</v>
      </c>
      <c r="G1471">
        <v>202604</v>
      </c>
      <c r="H1471" t="s">
        <v>75</v>
      </c>
      <c r="I1471" t="s">
        <v>76</v>
      </c>
      <c r="J1471" t="s">
        <v>77</v>
      </c>
      <c r="K1471" t="s">
        <v>78</v>
      </c>
      <c r="L1471" t="s">
        <v>75</v>
      </c>
      <c r="M1471" t="s">
        <v>76</v>
      </c>
      <c r="N1471" t="s">
        <v>2130</v>
      </c>
      <c r="O1471" t="s">
        <v>311</v>
      </c>
      <c r="P1471" t="str">
        <f>"4170048158                    "</f>
        <v xml:space="preserve">4170048158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29.54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2</v>
      </c>
      <c r="BI1471">
        <v>8</v>
      </c>
      <c r="BJ1471">
        <v>13.4</v>
      </c>
      <c r="BK1471">
        <v>14</v>
      </c>
      <c r="BL1471">
        <v>93.07</v>
      </c>
      <c r="BM1471">
        <v>13.96</v>
      </c>
      <c r="BN1471">
        <v>107.03</v>
      </c>
      <c r="BO1471">
        <v>107.03</v>
      </c>
      <c r="BQ1471" t="s">
        <v>2131</v>
      </c>
      <c r="BR1471" t="s">
        <v>84</v>
      </c>
      <c r="BS1471" s="3">
        <v>45852</v>
      </c>
      <c r="BT1471" s="4">
        <v>0.3263888888888889</v>
      </c>
      <c r="BU1471" t="s">
        <v>2132</v>
      </c>
      <c r="BV1471" t="s">
        <v>98</v>
      </c>
      <c r="BY1471">
        <v>33592</v>
      </c>
      <c r="BZ1471" t="s">
        <v>99</v>
      </c>
      <c r="CA1471" t="s">
        <v>304</v>
      </c>
      <c r="CC1471" t="s">
        <v>76</v>
      </c>
      <c r="CD1471">
        <v>1600</v>
      </c>
      <c r="CE1471" t="s">
        <v>1495</v>
      </c>
      <c r="CF1471" s="3">
        <v>45853</v>
      </c>
      <c r="CI1471">
        <v>1</v>
      </c>
      <c r="CJ1471">
        <v>1</v>
      </c>
      <c r="CK1471">
        <v>32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"080066495658"</f>
        <v>080066495658</v>
      </c>
      <c r="F1472" s="3">
        <v>45849</v>
      </c>
      <c r="G1472">
        <v>202604</v>
      </c>
      <c r="H1472" t="s">
        <v>75</v>
      </c>
      <c r="I1472" t="s">
        <v>76</v>
      </c>
      <c r="J1472" t="s">
        <v>77</v>
      </c>
      <c r="K1472" t="s">
        <v>78</v>
      </c>
      <c r="L1472" t="s">
        <v>174</v>
      </c>
      <c r="M1472" t="s">
        <v>175</v>
      </c>
      <c r="N1472" t="s">
        <v>659</v>
      </c>
      <c r="O1472" t="s">
        <v>82</v>
      </c>
      <c r="P1472" t="str">
        <f>"4170048033                    "</f>
        <v xml:space="preserve">4170048033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22.6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71.2</v>
      </c>
      <c r="BM1472">
        <v>10.68</v>
      </c>
      <c r="BN1472">
        <v>81.88</v>
      </c>
      <c r="BO1472">
        <v>81.88</v>
      </c>
      <c r="BQ1472" t="s">
        <v>660</v>
      </c>
      <c r="BR1472" t="s">
        <v>84</v>
      </c>
      <c r="BS1472" s="3">
        <v>45852</v>
      </c>
      <c r="BT1472" s="4">
        <v>0.42638888888888887</v>
      </c>
      <c r="BU1472" t="s">
        <v>2133</v>
      </c>
      <c r="BV1472" t="s">
        <v>98</v>
      </c>
      <c r="BY1472">
        <v>1200</v>
      </c>
      <c r="BZ1472" t="s">
        <v>89</v>
      </c>
      <c r="CA1472" t="s">
        <v>173</v>
      </c>
      <c r="CC1472" t="s">
        <v>175</v>
      </c>
      <c r="CD1472">
        <v>6220</v>
      </c>
      <c r="CE1472" t="s">
        <v>239</v>
      </c>
      <c r="CF1472" s="3">
        <v>45852</v>
      </c>
      <c r="CI1472">
        <v>1</v>
      </c>
      <c r="CJ1472">
        <v>1</v>
      </c>
      <c r="CK1472">
        <v>21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"080066495747"</f>
        <v>080066495747</v>
      </c>
      <c r="F1473" s="3">
        <v>45849</v>
      </c>
      <c r="G1473">
        <v>202604</v>
      </c>
      <c r="H1473" t="s">
        <v>75</v>
      </c>
      <c r="I1473" t="s">
        <v>76</v>
      </c>
      <c r="J1473" t="s">
        <v>77</v>
      </c>
      <c r="K1473" t="s">
        <v>78</v>
      </c>
      <c r="L1473" t="s">
        <v>146</v>
      </c>
      <c r="M1473" t="s">
        <v>146</v>
      </c>
      <c r="N1473" t="s">
        <v>986</v>
      </c>
      <c r="O1473" t="s">
        <v>82</v>
      </c>
      <c r="P1473" t="str">
        <f>"4170048019                    "</f>
        <v xml:space="preserve">4170048019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43.78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1.7</v>
      </c>
      <c r="BK1473">
        <v>2</v>
      </c>
      <c r="BL1473">
        <v>137.94</v>
      </c>
      <c r="BM1473">
        <v>20.69</v>
      </c>
      <c r="BN1473">
        <v>158.63</v>
      </c>
      <c r="BO1473">
        <v>158.63</v>
      </c>
      <c r="BQ1473" t="s">
        <v>987</v>
      </c>
      <c r="BR1473" t="s">
        <v>84</v>
      </c>
      <c r="BS1473" s="3">
        <v>45852</v>
      </c>
      <c r="BT1473" s="4">
        <v>0.48888888888888887</v>
      </c>
      <c r="BU1473" t="s">
        <v>1115</v>
      </c>
      <c r="BV1473" t="s">
        <v>98</v>
      </c>
      <c r="BY1473">
        <v>8550</v>
      </c>
      <c r="BZ1473" t="s">
        <v>89</v>
      </c>
      <c r="CA1473" t="s">
        <v>150</v>
      </c>
      <c r="CC1473" t="s">
        <v>146</v>
      </c>
      <c r="CD1473">
        <v>7646</v>
      </c>
      <c r="CE1473" t="s">
        <v>117</v>
      </c>
      <c r="CF1473" s="3">
        <v>45853</v>
      </c>
      <c r="CI1473">
        <v>1</v>
      </c>
      <c r="CJ1473">
        <v>1</v>
      </c>
      <c r="CK1473">
        <v>23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"080066495782"</f>
        <v>080066495782</v>
      </c>
      <c r="F1474" s="3">
        <v>45849</v>
      </c>
      <c r="G1474">
        <v>202604</v>
      </c>
      <c r="H1474" t="s">
        <v>75</v>
      </c>
      <c r="I1474" t="s">
        <v>76</v>
      </c>
      <c r="J1474" t="s">
        <v>77</v>
      </c>
      <c r="K1474" t="s">
        <v>78</v>
      </c>
      <c r="L1474" t="s">
        <v>151</v>
      </c>
      <c r="M1474" t="s">
        <v>152</v>
      </c>
      <c r="N1474" t="s">
        <v>2134</v>
      </c>
      <c r="O1474" t="s">
        <v>82</v>
      </c>
      <c r="P1474" t="str">
        <f>"4170048139                    "</f>
        <v xml:space="preserve">4170048139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22.6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71.2</v>
      </c>
      <c r="BM1474">
        <v>10.68</v>
      </c>
      <c r="BN1474">
        <v>81.88</v>
      </c>
      <c r="BO1474">
        <v>81.88</v>
      </c>
      <c r="BQ1474" t="s">
        <v>2135</v>
      </c>
      <c r="BR1474" t="s">
        <v>84</v>
      </c>
      <c r="BS1474" s="3">
        <v>45852</v>
      </c>
      <c r="BT1474" s="4">
        <v>0.40625</v>
      </c>
      <c r="BU1474" t="s">
        <v>2136</v>
      </c>
      <c r="BV1474" t="s">
        <v>98</v>
      </c>
      <c r="BY1474">
        <v>1200</v>
      </c>
      <c r="BZ1474" t="s">
        <v>89</v>
      </c>
      <c r="CA1474" t="s">
        <v>2137</v>
      </c>
      <c r="CC1474" t="s">
        <v>152</v>
      </c>
      <c r="CD1474" s="5" t="s">
        <v>2138</v>
      </c>
      <c r="CE1474" t="s">
        <v>214</v>
      </c>
      <c r="CF1474" s="3">
        <v>45852</v>
      </c>
      <c r="CI1474">
        <v>1</v>
      </c>
      <c r="CJ1474">
        <v>1</v>
      </c>
      <c r="CK1474">
        <v>21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"080066496014"</f>
        <v>080066496014</v>
      </c>
      <c r="F1475" s="3">
        <v>45849</v>
      </c>
      <c r="G1475">
        <v>202604</v>
      </c>
      <c r="H1475" t="s">
        <v>75</v>
      </c>
      <c r="I1475" t="s">
        <v>76</v>
      </c>
      <c r="J1475" t="s">
        <v>77</v>
      </c>
      <c r="K1475" t="s">
        <v>78</v>
      </c>
      <c r="L1475" t="s">
        <v>79</v>
      </c>
      <c r="M1475" t="s">
        <v>80</v>
      </c>
      <c r="N1475" t="s">
        <v>1816</v>
      </c>
      <c r="O1475" t="s">
        <v>95</v>
      </c>
      <c r="P1475" t="str">
        <f>"4170048006                    "</f>
        <v xml:space="preserve">4170048006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59.94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2</v>
      </c>
      <c r="BI1475">
        <v>24</v>
      </c>
      <c r="BJ1475">
        <v>10.8</v>
      </c>
      <c r="BK1475">
        <v>24</v>
      </c>
      <c r="BL1475">
        <v>194.71</v>
      </c>
      <c r="BM1475">
        <v>29.21</v>
      </c>
      <c r="BN1475">
        <v>223.92</v>
      </c>
      <c r="BO1475">
        <v>223.92</v>
      </c>
      <c r="BQ1475" t="s">
        <v>1817</v>
      </c>
      <c r="BR1475" t="s">
        <v>84</v>
      </c>
      <c r="BS1475" s="3">
        <v>45852</v>
      </c>
      <c r="BT1475" s="4">
        <v>0.62847222222222221</v>
      </c>
      <c r="BU1475" t="s">
        <v>2037</v>
      </c>
      <c r="BV1475" t="s">
        <v>98</v>
      </c>
      <c r="BY1475">
        <v>26880</v>
      </c>
      <c r="BZ1475" t="s">
        <v>99</v>
      </c>
      <c r="CA1475" t="s">
        <v>90</v>
      </c>
      <c r="CC1475" t="s">
        <v>80</v>
      </c>
      <c r="CD1475">
        <v>7550</v>
      </c>
      <c r="CE1475" t="s">
        <v>1495</v>
      </c>
      <c r="CF1475" s="3">
        <v>45853</v>
      </c>
      <c r="CI1475">
        <v>3</v>
      </c>
      <c r="CJ1475">
        <v>1</v>
      </c>
      <c r="CK1475">
        <v>41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"080066496114"</f>
        <v>080066496114</v>
      </c>
      <c r="F1476" s="3">
        <v>45849</v>
      </c>
      <c r="G1476">
        <v>202604</v>
      </c>
      <c r="H1476" t="s">
        <v>75</v>
      </c>
      <c r="I1476" t="s">
        <v>76</v>
      </c>
      <c r="J1476" t="s">
        <v>77</v>
      </c>
      <c r="K1476" t="s">
        <v>78</v>
      </c>
      <c r="L1476" t="s">
        <v>79</v>
      </c>
      <c r="M1476" t="s">
        <v>80</v>
      </c>
      <c r="N1476" t="s">
        <v>1816</v>
      </c>
      <c r="O1476" t="s">
        <v>82</v>
      </c>
      <c r="P1476" t="str">
        <f>"4170048005                    "</f>
        <v xml:space="preserve">4170048005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135.5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12</v>
      </c>
      <c r="BJ1476">
        <v>5.4</v>
      </c>
      <c r="BK1476">
        <v>12</v>
      </c>
      <c r="BL1476">
        <v>426.9</v>
      </c>
      <c r="BM1476">
        <v>64.040000000000006</v>
      </c>
      <c r="BN1476">
        <v>490.94</v>
      </c>
      <c r="BO1476">
        <v>490.94</v>
      </c>
      <c r="BQ1476" t="s">
        <v>1817</v>
      </c>
      <c r="BR1476" t="s">
        <v>84</v>
      </c>
      <c r="BS1476" s="3">
        <v>45852</v>
      </c>
      <c r="BT1476" s="4">
        <v>0.63124999999999998</v>
      </c>
      <c r="BU1476" t="s">
        <v>2139</v>
      </c>
      <c r="BV1476" t="s">
        <v>86</v>
      </c>
      <c r="BW1476" t="s">
        <v>87</v>
      </c>
      <c r="BX1476" t="s">
        <v>1185</v>
      </c>
      <c r="BY1476">
        <v>27200</v>
      </c>
      <c r="BZ1476" t="s">
        <v>89</v>
      </c>
      <c r="CA1476" t="s">
        <v>90</v>
      </c>
      <c r="CC1476" t="s">
        <v>80</v>
      </c>
      <c r="CD1476">
        <v>7550</v>
      </c>
      <c r="CE1476" t="s">
        <v>91</v>
      </c>
      <c r="CF1476" s="3">
        <v>45853</v>
      </c>
      <c r="CI1476">
        <v>1</v>
      </c>
      <c r="CJ1476">
        <v>1</v>
      </c>
      <c r="CK1476">
        <v>21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"080066496779"</f>
        <v>080066496779</v>
      </c>
      <c r="F1477" s="3">
        <v>45849</v>
      </c>
      <c r="G1477">
        <v>202604</v>
      </c>
      <c r="H1477" t="s">
        <v>75</v>
      </c>
      <c r="I1477" t="s">
        <v>76</v>
      </c>
      <c r="J1477" t="s">
        <v>77</v>
      </c>
      <c r="K1477" t="s">
        <v>78</v>
      </c>
      <c r="L1477" t="s">
        <v>277</v>
      </c>
      <c r="M1477" t="s">
        <v>278</v>
      </c>
      <c r="N1477" t="s">
        <v>462</v>
      </c>
      <c r="O1477" t="s">
        <v>95</v>
      </c>
      <c r="P1477" t="str">
        <f>"4170048178                    "</f>
        <v xml:space="preserve">4170048178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52.72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20</v>
      </c>
      <c r="BJ1477">
        <v>12</v>
      </c>
      <c r="BK1477">
        <v>20</v>
      </c>
      <c r="BL1477">
        <v>171.97</v>
      </c>
      <c r="BM1477">
        <v>25.8</v>
      </c>
      <c r="BN1477">
        <v>197.77</v>
      </c>
      <c r="BO1477">
        <v>197.77</v>
      </c>
      <c r="BQ1477" t="s">
        <v>463</v>
      </c>
      <c r="BR1477" t="s">
        <v>84</v>
      </c>
      <c r="BS1477" s="3">
        <v>45852</v>
      </c>
      <c r="BT1477" s="4">
        <v>0.44027777777777777</v>
      </c>
      <c r="BU1477" t="s">
        <v>2140</v>
      </c>
      <c r="BV1477" t="s">
        <v>98</v>
      </c>
      <c r="BY1477">
        <v>59840</v>
      </c>
      <c r="BZ1477" t="s">
        <v>99</v>
      </c>
      <c r="CA1477" t="s">
        <v>282</v>
      </c>
      <c r="CC1477" t="s">
        <v>278</v>
      </c>
      <c r="CD1477">
        <v>6229</v>
      </c>
      <c r="CE1477" t="s">
        <v>91</v>
      </c>
      <c r="CF1477" s="3">
        <v>45853</v>
      </c>
      <c r="CI1477">
        <v>3</v>
      </c>
      <c r="CJ1477">
        <v>1</v>
      </c>
      <c r="CK1477">
        <v>41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"080066497455"</f>
        <v>080066497455</v>
      </c>
      <c r="F1478" s="3">
        <v>45849</v>
      </c>
      <c r="G1478">
        <v>202604</v>
      </c>
      <c r="H1478" t="s">
        <v>75</v>
      </c>
      <c r="I1478" t="s">
        <v>76</v>
      </c>
      <c r="J1478" t="s">
        <v>77</v>
      </c>
      <c r="K1478" t="s">
        <v>78</v>
      </c>
      <c r="L1478" t="s">
        <v>240</v>
      </c>
      <c r="M1478" t="s">
        <v>241</v>
      </c>
      <c r="N1478" t="s">
        <v>2141</v>
      </c>
      <c r="O1478" t="s">
        <v>82</v>
      </c>
      <c r="P1478" t="str">
        <f>"4170048148                    "</f>
        <v xml:space="preserve">4170048148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21.88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10</v>
      </c>
      <c r="BJ1478">
        <v>1.7</v>
      </c>
      <c r="BK1478">
        <v>10</v>
      </c>
      <c r="BL1478">
        <v>68.94</v>
      </c>
      <c r="BM1478">
        <v>10.34</v>
      </c>
      <c r="BN1478">
        <v>79.28</v>
      </c>
      <c r="BO1478">
        <v>79.28</v>
      </c>
      <c r="BQ1478" t="s">
        <v>2142</v>
      </c>
      <c r="BR1478" t="s">
        <v>84</v>
      </c>
      <c r="BS1478" s="3">
        <v>45852</v>
      </c>
      <c r="BT1478" s="4">
        <v>0.375</v>
      </c>
      <c r="BU1478" t="s">
        <v>2143</v>
      </c>
      <c r="BV1478" t="s">
        <v>98</v>
      </c>
      <c r="BY1478">
        <v>8512</v>
      </c>
      <c r="BZ1478" t="s">
        <v>89</v>
      </c>
      <c r="CA1478" t="s">
        <v>245</v>
      </c>
      <c r="CC1478" t="s">
        <v>241</v>
      </c>
      <c r="CD1478">
        <v>2190</v>
      </c>
      <c r="CE1478" t="s">
        <v>117</v>
      </c>
      <c r="CF1478" s="3">
        <v>45853</v>
      </c>
      <c r="CI1478">
        <v>1</v>
      </c>
      <c r="CJ1478">
        <v>1</v>
      </c>
      <c r="CK1478">
        <v>22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"080066497479"</f>
        <v>080066497479</v>
      </c>
      <c r="F1479" s="3">
        <v>45849</v>
      </c>
      <c r="G1479">
        <v>202604</v>
      </c>
      <c r="H1479" t="s">
        <v>75</v>
      </c>
      <c r="I1479" t="s">
        <v>76</v>
      </c>
      <c r="J1479" t="s">
        <v>77</v>
      </c>
      <c r="K1479" t="s">
        <v>78</v>
      </c>
      <c r="L1479" t="s">
        <v>79</v>
      </c>
      <c r="M1479" t="s">
        <v>80</v>
      </c>
      <c r="N1479" t="s">
        <v>698</v>
      </c>
      <c r="O1479" t="s">
        <v>82</v>
      </c>
      <c r="P1479" t="str">
        <f>"4170048038                    "</f>
        <v xml:space="preserve">4170048038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90.34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8</v>
      </c>
      <c r="BJ1479">
        <v>4.0999999999999996</v>
      </c>
      <c r="BK1479">
        <v>8</v>
      </c>
      <c r="BL1479">
        <v>284.62</v>
      </c>
      <c r="BM1479">
        <v>42.69</v>
      </c>
      <c r="BN1479">
        <v>327.31</v>
      </c>
      <c r="BO1479">
        <v>327.31</v>
      </c>
      <c r="BQ1479" t="s">
        <v>699</v>
      </c>
      <c r="BR1479" t="s">
        <v>84</v>
      </c>
      <c r="BS1479" s="3">
        <v>45852</v>
      </c>
      <c r="BT1479" s="4">
        <v>0.41805555555555557</v>
      </c>
      <c r="BU1479" t="s">
        <v>700</v>
      </c>
      <c r="BV1479" t="s">
        <v>98</v>
      </c>
      <c r="BY1479">
        <v>20358</v>
      </c>
      <c r="BZ1479" t="s">
        <v>89</v>
      </c>
      <c r="CA1479" t="s">
        <v>289</v>
      </c>
      <c r="CC1479" t="s">
        <v>80</v>
      </c>
      <c r="CD1479">
        <v>7561</v>
      </c>
      <c r="CE1479" t="s">
        <v>117</v>
      </c>
      <c r="CF1479" s="3">
        <v>45853</v>
      </c>
      <c r="CI1479">
        <v>1</v>
      </c>
      <c r="CJ1479">
        <v>1</v>
      </c>
      <c r="CK1479">
        <v>21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"080066497504"</f>
        <v>080066497504</v>
      </c>
      <c r="F1480" s="3">
        <v>45849</v>
      </c>
      <c r="G1480">
        <v>202604</v>
      </c>
      <c r="H1480" t="s">
        <v>75</v>
      </c>
      <c r="I1480" t="s">
        <v>76</v>
      </c>
      <c r="J1480" t="s">
        <v>77</v>
      </c>
      <c r="K1480" t="s">
        <v>78</v>
      </c>
      <c r="L1480" t="s">
        <v>151</v>
      </c>
      <c r="M1480" t="s">
        <v>152</v>
      </c>
      <c r="N1480" t="s">
        <v>1212</v>
      </c>
      <c r="O1480" t="s">
        <v>95</v>
      </c>
      <c r="P1480" t="str">
        <f>"4170047833                    "</f>
        <v xml:space="preserve">4170047833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49.11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17</v>
      </c>
      <c r="BJ1480">
        <v>17.7</v>
      </c>
      <c r="BK1480">
        <v>18</v>
      </c>
      <c r="BL1480">
        <v>160.6</v>
      </c>
      <c r="BM1480">
        <v>24.09</v>
      </c>
      <c r="BN1480">
        <v>184.69</v>
      </c>
      <c r="BO1480">
        <v>184.69</v>
      </c>
      <c r="BQ1480" t="s">
        <v>1213</v>
      </c>
      <c r="BR1480" t="s">
        <v>84</v>
      </c>
      <c r="BS1480" s="3">
        <v>45852</v>
      </c>
      <c r="BT1480" s="4">
        <v>0.43472222222222223</v>
      </c>
      <c r="BU1480" t="s">
        <v>2144</v>
      </c>
      <c r="BV1480" t="s">
        <v>98</v>
      </c>
      <c r="BY1480">
        <v>88320</v>
      </c>
      <c r="BZ1480" t="s">
        <v>99</v>
      </c>
      <c r="CA1480" t="s">
        <v>716</v>
      </c>
      <c r="CC1480" t="s">
        <v>152</v>
      </c>
      <c r="CD1480" s="5" t="s">
        <v>717</v>
      </c>
      <c r="CE1480" t="s">
        <v>117</v>
      </c>
      <c r="CF1480" s="3">
        <v>45852</v>
      </c>
      <c r="CI1480">
        <v>1</v>
      </c>
      <c r="CJ1480">
        <v>1</v>
      </c>
      <c r="CK1480">
        <v>41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"080066497728"</f>
        <v>080066497728</v>
      </c>
      <c r="F1481" s="3">
        <v>45849</v>
      </c>
      <c r="G1481">
        <v>202604</v>
      </c>
      <c r="H1481" t="s">
        <v>75</v>
      </c>
      <c r="I1481" t="s">
        <v>76</v>
      </c>
      <c r="J1481" t="s">
        <v>77</v>
      </c>
      <c r="K1481" t="s">
        <v>78</v>
      </c>
      <c r="L1481" t="s">
        <v>2145</v>
      </c>
      <c r="M1481" t="s">
        <v>2146</v>
      </c>
      <c r="N1481" t="s">
        <v>2147</v>
      </c>
      <c r="O1481" t="s">
        <v>82</v>
      </c>
      <c r="P1481" t="str">
        <f>"4170048091                    "</f>
        <v xml:space="preserve">4170048091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43.78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1.7</v>
      </c>
      <c r="BK1481">
        <v>2</v>
      </c>
      <c r="BL1481">
        <v>137.94</v>
      </c>
      <c r="BM1481">
        <v>20.69</v>
      </c>
      <c r="BN1481">
        <v>158.63</v>
      </c>
      <c r="BO1481">
        <v>158.63</v>
      </c>
      <c r="BQ1481" t="s">
        <v>2148</v>
      </c>
      <c r="BR1481" t="s">
        <v>84</v>
      </c>
      <c r="BS1481" s="3">
        <v>45852</v>
      </c>
      <c r="BT1481" s="4">
        <v>0.35625000000000001</v>
      </c>
      <c r="BU1481" t="s">
        <v>2149</v>
      </c>
      <c r="BV1481" t="s">
        <v>98</v>
      </c>
      <c r="BY1481">
        <v>8512</v>
      </c>
      <c r="BZ1481" t="s">
        <v>89</v>
      </c>
      <c r="CA1481" t="s">
        <v>2150</v>
      </c>
      <c r="CC1481" t="s">
        <v>2146</v>
      </c>
      <c r="CD1481">
        <v>7110</v>
      </c>
      <c r="CE1481" t="s">
        <v>117</v>
      </c>
      <c r="CF1481" s="3">
        <v>45853</v>
      </c>
      <c r="CI1481">
        <v>1</v>
      </c>
      <c r="CJ1481">
        <v>1</v>
      </c>
      <c r="CK1481">
        <v>23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"080066497802"</f>
        <v>080066497802</v>
      </c>
      <c r="F1482" s="3">
        <v>45849</v>
      </c>
      <c r="G1482">
        <v>202604</v>
      </c>
      <c r="H1482" t="s">
        <v>75</v>
      </c>
      <c r="I1482" t="s">
        <v>76</v>
      </c>
      <c r="J1482" t="s">
        <v>77</v>
      </c>
      <c r="K1482" t="s">
        <v>78</v>
      </c>
      <c r="L1482" t="s">
        <v>1677</v>
      </c>
      <c r="M1482" t="s">
        <v>1678</v>
      </c>
      <c r="N1482" t="s">
        <v>2151</v>
      </c>
      <c r="O1482" t="s">
        <v>95</v>
      </c>
      <c r="P1482" t="str">
        <f>"4170048142                    "</f>
        <v xml:space="preserve">4170048142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112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15</v>
      </c>
      <c r="BJ1482">
        <v>30.9</v>
      </c>
      <c r="BK1482">
        <v>31</v>
      </c>
      <c r="BL1482">
        <v>358.74</v>
      </c>
      <c r="BM1482">
        <v>53.81</v>
      </c>
      <c r="BN1482">
        <v>412.55</v>
      </c>
      <c r="BO1482">
        <v>412.55</v>
      </c>
      <c r="BQ1482" t="s">
        <v>2152</v>
      </c>
      <c r="BR1482" t="s">
        <v>84</v>
      </c>
      <c r="BS1482" s="3">
        <v>45852</v>
      </c>
      <c r="BT1482" s="4">
        <v>0.56944444444444442</v>
      </c>
      <c r="BU1482" t="s">
        <v>2153</v>
      </c>
      <c r="BV1482" t="s">
        <v>98</v>
      </c>
      <c r="BY1482">
        <v>154560</v>
      </c>
      <c r="BZ1482" t="s">
        <v>99</v>
      </c>
      <c r="CA1482" t="s">
        <v>1413</v>
      </c>
      <c r="CC1482" t="s">
        <v>1678</v>
      </c>
      <c r="CD1482">
        <v>1050</v>
      </c>
      <c r="CE1482" t="s">
        <v>117</v>
      </c>
      <c r="CF1482" s="3">
        <v>45852</v>
      </c>
      <c r="CI1482">
        <v>1</v>
      </c>
      <c r="CJ1482">
        <v>1</v>
      </c>
      <c r="CK1482">
        <v>43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"080066497811"</f>
        <v>080066497811</v>
      </c>
      <c r="F1483" s="3">
        <v>45849</v>
      </c>
      <c r="G1483">
        <v>202604</v>
      </c>
      <c r="H1483" t="s">
        <v>75</v>
      </c>
      <c r="I1483" t="s">
        <v>76</v>
      </c>
      <c r="J1483" t="s">
        <v>77</v>
      </c>
      <c r="K1483" t="s">
        <v>78</v>
      </c>
      <c r="L1483" t="s">
        <v>168</v>
      </c>
      <c r="M1483" t="s">
        <v>169</v>
      </c>
      <c r="N1483" t="s">
        <v>206</v>
      </c>
      <c r="O1483" t="s">
        <v>82</v>
      </c>
      <c r="P1483" t="str">
        <f>"4170048043                    "</f>
        <v xml:space="preserve">4170048043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22.6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0.3</v>
      </c>
      <c r="BK1483">
        <v>1</v>
      </c>
      <c r="BL1483">
        <v>71.2</v>
      </c>
      <c r="BM1483">
        <v>10.68</v>
      </c>
      <c r="BN1483">
        <v>81.88</v>
      </c>
      <c r="BO1483">
        <v>81.88</v>
      </c>
      <c r="BQ1483" t="s">
        <v>207</v>
      </c>
      <c r="BR1483" t="s">
        <v>84</v>
      </c>
      <c r="BS1483" s="3">
        <v>45852</v>
      </c>
      <c r="BT1483" s="4">
        <v>0.37986111111111109</v>
      </c>
      <c r="BU1483" t="s">
        <v>208</v>
      </c>
      <c r="BV1483" t="s">
        <v>98</v>
      </c>
      <c r="BY1483">
        <v>1350</v>
      </c>
      <c r="BZ1483" t="s">
        <v>89</v>
      </c>
      <c r="CA1483" t="s">
        <v>196</v>
      </c>
      <c r="CC1483" t="s">
        <v>169</v>
      </c>
      <c r="CD1483">
        <v>6001</v>
      </c>
      <c r="CE1483" t="s">
        <v>1868</v>
      </c>
      <c r="CF1483" s="3">
        <v>45852</v>
      </c>
      <c r="CI1483">
        <v>1</v>
      </c>
      <c r="CJ1483">
        <v>1</v>
      </c>
      <c r="CK1483">
        <v>21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"080066497844"</f>
        <v>080066497844</v>
      </c>
      <c r="F1484" s="3">
        <v>45849</v>
      </c>
      <c r="G1484">
        <v>202604</v>
      </c>
      <c r="H1484" t="s">
        <v>75</v>
      </c>
      <c r="I1484" t="s">
        <v>76</v>
      </c>
      <c r="J1484" t="s">
        <v>77</v>
      </c>
      <c r="K1484" t="s">
        <v>78</v>
      </c>
      <c r="L1484" t="s">
        <v>305</v>
      </c>
      <c r="M1484" t="s">
        <v>306</v>
      </c>
      <c r="N1484" t="s">
        <v>710</v>
      </c>
      <c r="O1484" t="s">
        <v>82</v>
      </c>
      <c r="P1484" t="str">
        <f>"4170048296                    "</f>
        <v xml:space="preserve">4170048296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22.6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0.3</v>
      </c>
      <c r="BK1484">
        <v>1</v>
      </c>
      <c r="BL1484">
        <v>71.2</v>
      </c>
      <c r="BM1484">
        <v>10.68</v>
      </c>
      <c r="BN1484">
        <v>81.88</v>
      </c>
      <c r="BO1484">
        <v>81.88</v>
      </c>
      <c r="BQ1484" t="s">
        <v>711</v>
      </c>
      <c r="BR1484" t="s">
        <v>84</v>
      </c>
      <c r="BS1484" s="3">
        <v>45852</v>
      </c>
      <c r="BT1484" s="4">
        <v>0.54097222222222219</v>
      </c>
      <c r="BU1484" t="s">
        <v>1661</v>
      </c>
      <c r="BV1484" t="s">
        <v>86</v>
      </c>
      <c r="BY1484">
        <v>1350</v>
      </c>
      <c r="BZ1484" t="s">
        <v>89</v>
      </c>
      <c r="CA1484" t="s">
        <v>575</v>
      </c>
      <c r="CC1484" t="s">
        <v>306</v>
      </c>
      <c r="CD1484">
        <v>5200</v>
      </c>
      <c r="CE1484" t="s">
        <v>1868</v>
      </c>
      <c r="CF1484" s="3">
        <v>45853</v>
      </c>
      <c r="CI1484">
        <v>1</v>
      </c>
      <c r="CJ1484">
        <v>1</v>
      </c>
      <c r="CK1484">
        <v>21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"080066497897"</f>
        <v>080066497897</v>
      </c>
      <c r="F1485" s="3">
        <v>45849</v>
      </c>
      <c r="G1485">
        <v>202604</v>
      </c>
      <c r="H1485" t="s">
        <v>75</v>
      </c>
      <c r="I1485" t="s">
        <v>76</v>
      </c>
      <c r="J1485" t="s">
        <v>77</v>
      </c>
      <c r="K1485" t="s">
        <v>78</v>
      </c>
      <c r="L1485" t="s">
        <v>1390</v>
      </c>
      <c r="M1485" t="s">
        <v>1391</v>
      </c>
      <c r="N1485" t="s">
        <v>1392</v>
      </c>
      <c r="O1485" t="s">
        <v>82</v>
      </c>
      <c r="P1485" t="str">
        <f>"4170047844                    "</f>
        <v xml:space="preserve">4170047844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43.78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0.3</v>
      </c>
      <c r="BK1485">
        <v>1</v>
      </c>
      <c r="BL1485">
        <v>137.94</v>
      </c>
      <c r="BM1485">
        <v>20.69</v>
      </c>
      <c r="BN1485">
        <v>158.63</v>
      </c>
      <c r="BO1485">
        <v>158.63</v>
      </c>
      <c r="BQ1485" t="s">
        <v>1393</v>
      </c>
      <c r="BR1485" t="s">
        <v>84</v>
      </c>
      <c r="BS1485" s="3">
        <v>45852</v>
      </c>
      <c r="BT1485" s="4">
        <v>0.66736111111111107</v>
      </c>
      <c r="BU1485" t="s">
        <v>2154</v>
      </c>
      <c r="BV1485" t="s">
        <v>86</v>
      </c>
      <c r="BW1485" t="s">
        <v>1395</v>
      </c>
      <c r="BX1485" t="s">
        <v>1396</v>
      </c>
      <c r="BY1485">
        <v>1350</v>
      </c>
      <c r="BZ1485" t="s">
        <v>89</v>
      </c>
      <c r="CA1485" t="s">
        <v>1543</v>
      </c>
      <c r="CC1485" t="s">
        <v>1391</v>
      </c>
      <c r="CD1485" s="5" t="s">
        <v>1398</v>
      </c>
      <c r="CE1485" t="s">
        <v>1868</v>
      </c>
      <c r="CF1485" s="3">
        <v>45853</v>
      </c>
      <c r="CI1485">
        <v>1</v>
      </c>
      <c r="CJ1485">
        <v>1</v>
      </c>
      <c r="CK1485">
        <v>23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"080066497916"</f>
        <v>080066497916</v>
      </c>
      <c r="F1486" s="3">
        <v>45849</v>
      </c>
      <c r="G1486">
        <v>202604</v>
      </c>
      <c r="H1486" t="s">
        <v>75</v>
      </c>
      <c r="I1486" t="s">
        <v>76</v>
      </c>
      <c r="J1486" t="s">
        <v>77</v>
      </c>
      <c r="K1486" t="s">
        <v>78</v>
      </c>
      <c r="L1486" t="s">
        <v>75</v>
      </c>
      <c r="M1486" t="s">
        <v>76</v>
      </c>
      <c r="N1486" t="s">
        <v>562</v>
      </c>
      <c r="O1486" t="s">
        <v>82</v>
      </c>
      <c r="P1486" t="str">
        <f>"4170048051                    "</f>
        <v xml:space="preserve">4170048051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17.649999999999999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55.61</v>
      </c>
      <c r="BM1486">
        <v>8.34</v>
      </c>
      <c r="BN1486">
        <v>63.95</v>
      </c>
      <c r="BO1486">
        <v>63.95</v>
      </c>
      <c r="BQ1486" t="s">
        <v>563</v>
      </c>
      <c r="BR1486" t="s">
        <v>84</v>
      </c>
      <c r="BS1486" s="3">
        <v>45852</v>
      </c>
      <c r="BT1486" s="4">
        <v>0.35902777777777778</v>
      </c>
      <c r="BU1486" t="s">
        <v>2155</v>
      </c>
      <c r="BV1486" t="s">
        <v>98</v>
      </c>
      <c r="BY1486">
        <v>1200</v>
      </c>
      <c r="BZ1486" t="s">
        <v>89</v>
      </c>
      <c r="CA1486" t="s">
        <v>565</v>
      </c>
      <c r="CC1486" t="s">
        <v>76</v>
      </c>
      <c r="CD1486">
        <v>1619</v>
      </c>
      <c r="CE1486" t="s">
        <v>214</v>
      </c>
      <c r="CF1486" s="3">
        <v>45852</v>
      </c>
      <c r="CI1486">
        <v>1</v>
      </c>
      <c r="CJ1486">
        <v>1</v>
      </c>
      <c r="CK1486">
        <v>22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"080066497927"</f>
        <v>080066497927</v>
      </c>
      <c r="F1487" s="3">
        <v>45849</v>
      </c>
      <c r="G1487">
        <v>202604</v>
      </c>
      <c r="H1487" t="s">
        <v>75</v>
      </c>
      <c r="I1487" t="s">
        <v>76</v>
      </c>
      <c r="J1487" t="s">
        <v>77</v>
      </c>
      <c r="K1487" t="s">
        <v>78</v>
      </c>
      <c r="L1487" t="s">
        <v>1370</v>
      </c>
      <c r="M1487" t="s">
        <v>1371</v>
      </c>
      <c r="N1487" t="s">
        <v>2067</v>
      </c>
      <c r="O1487" t="s">
        <v>82</v>
      </c>
      <c r="P1487" t="str">
        <f>"4170048097                    "</f>
        <v xml:space="preserve">4170048097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43.78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0.3</v>
      </c>
      <c r="BK1487">
        <v>1</v>
      </c>
      <c r="BL1487">
        <v>137.94</v>
      </c>
      <c r="BM1487">
        <v>20.69</v>
      </c>
      <c r="BN1487">
        <v>158.63</v>
      </c>
      <c r="BO1487">
        <v>158.63</v>
      </c>
      <c r="BQ1487" t="s">
        <v>2068</v>
      </c>
      <c r="BR1487" t="s">
        <v>84</v>
      </c>
      <c r="BS1487" s="3">
        <v>45852</v>
      </c>
      <c r="BT1487" s="4">
        <v>0.49166666666666664</v>
      </c>
      <c r="BU1487" t="s">
        <v>2156</v>
      </c>
      <c r="BV1487" t="s">
        <v>98</v>
      </c>
      <c r="BY1487">
        <v>1350</v>
      </c>
      <c r="BZ1487" t="s">
        <v>89</v>
      </c>
      <c r="CA1487" t="s">
        <v>1375</v>
      </c>
      <c r="CC1487" t="s">
        <v>1371</v>
      </c>
      <c r="CD1487" s="5" t="s">
        <v>1376</v>
      </c>
      <c r="CE1487" t="s">
        <v>1868</v>
      </c>
      <c r="CF1487" s="3">
        <v>45853</v>
      </c>
      <c r="CI1487">
        <v>1</v>
      </c>
      <c r="CJ1487">
        <v>1</v>
      </c>
      <c r="CK1487">
        <v>23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"080066497950"</f>
        <v>080066497950</v>
      </c>
      <c r="F1488" s="3">
        <v>45849</v>
      </c>
      <c r="G1488">
        <v>202604</v>
      </c>
      <c r="H1488" t="s">
        <v>75</v>
      </c>
      <c r="I1488" t="s">
        <v>76</v>
      </c>
      <c r="J1488" t="s">
        <v>77</v>
      </c>
      <c r="K1488" t="s">
        <v>78</v>
      </c>
      <c r="L1488" t="s">
        <v>168</v>
      </c>
      <c r="M1488" t="s">
        <v>169</v>
      </c>
      <c r="N1488" t="s">
        <v>206</v>
      </c>
      <c r="O1488" t="s">
        <v>82</v>
      </c>
      <c r="P1488" t="str">
        <f>"4170048271                    "</f>
        <v xml:space="preserve">4170048271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22.6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71.2</v>
      </c>
      <c r="BM1488">
        <v>10.68</v>
      </c>
      <c r="BN1488">
        <v>81.88</v>
      </c>
      <c r="BO1488">
        <v>81.88</v>
      </c>
      <c r="BQ1488" t="s">
        <v>207</v>
      </c>
      <c r="BR1488" t="s">
        <v>84</v>
      </c>
      <c r="BS1488" s="3">
        <v>45852</v>
      </c>
      <c r="BT1488" s="4">
        <v>0.37986111111111109</v>
      </c>
      <c r="BU1488" t="s">
        <v>208</v>
      </c>
      <c r="BV1488" t="s">
        <v>98</v>
      </c>
      <c r="BY1488">
        <v>1200</v>
      </c>
      <c r="BZ1488" t="s">
        <v>89</v>
      </c>
      <c r="CA1488" t="s">
        <v>196</v>
      </c>
      <c r="CC1488" t="s">
        <v>169</v>
      </c>
      <c r="CD1488">
        <v>6001</v>
      </c>
      <c r="CE1488" t="s">
        <v>239</v>
      </c>
      <c r="CF1488" s="3">
        <v>45852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"080066497965"</f>
        <v>080066497965</v>
      </c>
      <c r="F1489" s="3">
        <v>45849</v>
      </c>
      <c r="G1489">
        <v>202604</v>
      </c>
      <c r="H1489" t="s">
        <v>75</v>
      </c>
      <c r="I1489" t="s">
        <v>76</v>
      </c>
      <c r="J1489" t="s">
        <v>77</v>
      </c>
      <c r="K1489" t="s">
        <v>78</v>
      </c>
      <c r="L1489" t="s">
        <v>168</v>
      </c>
      <c r="M1489" t="s">
        <v>169</v>
      </c>
      <c r="N1489" t="s">
        <v>206</v>
      </c>
      <c r="O1489" t="s">
        <v>82</v>
      </c>
      <c r="P1489" t="str">
        <f>"4170048270                    "</f>
        <v xml:space="preserve">4170048270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22.6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0.3</v>
      </c>
      <c r="BK1489">
        <v>1</v>
      </c>
      <c r="BL1489">
        <v>71.2</v>
      </c>
      <c r="BM1489">
        <v>10.68</v>
      </c>
      <c r="BN1489">
        <v>81.88</v>
      </c>
      <c r="BO1489">
        <v>81.88</v>
      </c>
      <c r="BQ1489" t="s">
        <v>207</v>
      </c>
      <c r="BR1489" t="s">
        <v>84</v>
      </c>
      <c r="BS1489" s="3">
        <v>45852</v>
      </c>
      <c r="BT1489" s="4">
        <v>0.37986111111111109</v>
      </c>
      <c r="BU1489" t="s">
        <v>208</v>
      </c>
      <c r="BV1489" t="s">
        <v>98</v>
      </c>
      <c r="BY1489">
        <v>1350</v>
      </c>
      <c r="BZ1489" t="s">
        <v>89</v>
      </c>
      <c r="CA1489" t="s">
        <v>196</v>
      </c>
      <c r="CC1489" t="s">
        <v>169</v>
      </c>
      <c r="CD1489">
        <v>6001</v>
      </c>
      <c r="CE1489" t="s">
        <v>1868</v>
      </c>
      <c r="CF1489" s="3">
        <v>45852</v>
      </c>
      <c r="CI1489">
        <v>1</v>
      </c>
      <c r="CJ1489">
        <v>1</v>
      </c>
      <c r="CK1489">
        <v>21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"080066497996"</f>
        <v>080066497996</v>
      </c>
      <c r="F1490" s="3">
        <v>45849</v>
      </c>
      <c r="G1490">
        <v>202604</v>
      </c>
      <c r="H1490" t="s">
        <v>75</v>
      </c>
      <c r="I1490" t="s">
        <v>76</v>
      </c>
      <c r="J1490" t="s">
        <v>77</v>
      </c>
      <c r="K1490" t="s">
        <v>78</v>
      </c>
      <c r="L1490" t="s">
        <v>168</v>
      </c>
      <c r="M1490" t="s">
        <v>169</v>
      </c>
      <c r="N1490" t="s">
        <v>2157</v>
      </c>
      <c r="O1490" t="s">
        <v>82</v>
      </c>
      <c r="P1490" t="str">
        <f>"4170048285                    "</f>
        <v xml:space="preserve">4170048285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22.6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0.3</v>
      </c>
      <c r="BK1490">
        <v>1</v>
      </c>
      <c r="BL1490">
        <v>71.2</v>
      </c>
      <c r="BM1490">
        <v>10.68</v>
      </c>
      <c r="BN1490">
        <v>81.88</v>
      </c>
      <c r="BO1490">
        <v>81.88</v>
      </c>
      <c r="BQ1490" t="s">
        <v>2158</v>
      </c>
      <c r="BR1490" t="s">
        <v>84</v>
      </c>
      <c r="BS1490" s="3">
        <v>45852</v>
      </c>
      <c r="BT1490" s="4">
        <v>0.37013888888888891</v>
      </c>
      <c r="BU1490" t="s">
        <v>414</v>
      </c>
      <c r="BV1490" t="s">
        <v>98</v>
      </c>
      <c r="BY1490">
        <v>1350</v>
      </c>
      <c r="BZ1490" t="s">
        <v>89</v>
      </c>
      <c r="CA1490" t="s">
        <v>415</v>
      </c>
      <c r="CC1490" t="s">
        <v>169</v>
      </c>
      <c r="CD1490">
        <v>6001</v>
      </c>
      <c r="CE1490" t="s">
        <v>1868</v>
      </c>
      <c r="CF1490" s="3">
        <v>45852</v>
      </c>
      <c r="CI1490">
        <v>1</v>
      </c>
      <c r="CJ1490">
        <v>1</v>
      </c>
      <c r="CK1490">
        <v>21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"080066498003"</f>
        <v>080066498003</v>
      </c>
      <c r="F1491" s="3">
        <v>45849</v>
      </c>
      <c r="G1491">
        <v>202604</v>
      </c>
      <c r="H1491" t="s">
        <v>75</v>
      </c>
      <c r="I1491" t="s">
        <v>76</v>
      </c>
      <c r="J1491" t="s">
        <v>77</v>
      </c>
      <c r="K1491" t="s">
        <v>78</v>
      </c>
      <c r="L1491" t="s">
        <v>168</v>
      </c>
      <c r="M1491" t="s">
        <v>169</v>
      </c>
      <c r="N1491" t="s">
        <v>360</v>
      </c>
      <c r="O1491" t="s">
        <v>95</v>
      </c>
      <c r="P1491" t="str">
        <f>"4170048256                    "</f>
        <v xml:space="preserve">4170048256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59.94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2</v>
      </c>
      <c r="BI1491">
        <v>24</v>
      </c>
      <c r="BJ1491">
        <v>18.7</v>
      </c>
      <c r="BK1491">
        <v>24</v>
      </c>
      <c r="BL1491">
        <v>194.71</v>
      </c>
      <c r="BM1491">
        <v>29.21</v>
      </c>
      <c r="BN1491">
        <v>223.92</v>
      </c>
      <c r="BO1491">
        <v>223.92</v>
      </c>
      <c r="BQ1491" t="s">
        <v>361</v>
      </c>
      <c r="BR1491" t="s">
        <v>84</v>
      </c>
      <c r="BS1491" s="3">
        <v>45852</v>
      </c>
      <c r="BT1491" s="4">
        <v>0.41458333333333336</v>
      </c>
      <c r="BU1491" t="s">
        <v>2159</v>
      </c>
      <c r="BV1491" t="s">
        <v>98</v>
      </c>
      <c r="BY1491">
        <v>46656</v>
      </c>
      <c r="BZ1491" t="s">
        <v>99</v>
      </c>
      <c r="CA1491" t="s">
        <v>345</v>
      </c>
      <c r="CC1491" t="s">
        <v>169</v>
      </c>
      <c r="CD1491">
        <v>6001</v>
      </c>
      <c r="CE1491" t="s">
        <v>1377</v>
      </c>
      <c r="CF1491" s="3">
        <v>45853</v>
      </c>
      <c r="CI1491">
        <v>3</v>
      </c>
      <c r="CJ1491">
        <v>1</v>
      </c>
      <c r="CK1491">
        <v>41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"080066498073"</f>
        <v>080066498073</v>
      </c>
      <c r="F1492" s="3">
        <v>45849</v>
      </c>
      <c r="G1492">
        <v>202604</v>
      </c>
      <c r="H1492" t="s">
        <v>75</v>
      </c>
      <c r="I1492" t="s">
        <v>76</v>
      </c>
      <c r="J1492" t="s">
        <v>77</v>
      </c>
      <c r="K1492" t="s">
        <v>78</v>
      </c>
      <c r="L1492" t="s">
        <v>1370</v>
      </c>
      <c r="M1492" t="s">
        <v>1371</v>
      </c>
      <c r="N1492" t="s">
        <v>1346</v>
      </c>
      <c r="O1492" t="s">
        <v>82</v>
      </c>
      <c r="P1492" t="str">
        <f>"4170048100                    "</f>
        <v xml:space="preserve">4170048100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43.78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0.9</v>
      </c>
      <c r="BK1492">
        <v>2</v>
      </c>
      <c r="BL1492">
        <v>137.94</v>
      </c>
      <c r="BM1492">
        <v>20.69</v>
      </c>
      <c r="BN1492">
        <v>158.63</v>
      </c>
      <c r="BO1492">
        <v>158.63</v>
      </c>
      <c r="BQ1492" t="s">
        <v>1347</v>
      </c>
      <c r="BR1492" t="s">
        <v>84</v>
      </c>
      <c r="BS1492" s="3">
        <v>45852</v>
      </c>
      <c r="BT1492" s="4">
        <v>0.53125</v>
      </c>
      <c r="BU1492" t="s">
        <v>2160</v>
      </c>
      <c r="BV1492" t="s">
        <v>98</v>
      </c>
      <c r="BY1492">
        <v>4275</v>
      </c>
      <c r="BZ1492" t="s">
        <v>89</v>
      </c>
      <c r="CA1492" t="s">
        <v>1375</v>
      </c>
      <c r="CC1492" t="s">
        <v>1371</v>
      </c>
      <c r="CD1492" s="5" t="s">
        <v>1376</v>
      </c>
      <c r="CE1492" t="s">
        <v>266</v>
      </c>
      <c r="CF1492" s="3">
        <v>45853</v>
      </c>
      <c r="CI1492">
        <v>1</v>
      </c>
      <c r="CJ1492">
        <v>1</v>
      </c>
      <c r="CK1492">
        <v>23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"080066498115"</f>
        <v>080066498115</v>
      </c>
      <c r="F1493" s="3">
        <v>45849</v>
      </c>
      <c r="G1493">
        <v>202604</v>
      </c>
      <c r="H1493" t="s">
        <v>75</v>
      </c>
      <c r="I1493" t="s">
        <v>76</v>
      </c>
      <c r="J1493" t="s">
        <v>77</v>
      </c>
      <c r="K1493" t="s">
        <v>78</v>
      </c>
      <c r="L1493" t="s">
        <v>758</v>
      </c>
      <c r="M1493" t="s">
        <v>759</v>
      </c>
      <c r="N1493" t="s">
        <v>760</v>
      </c>
      <c r="O1493" t="s">
        <v>82</v>
      </c>
      <c r="P1493" t="str">
        <f>"4170048141                    "</f>
        <v xml:space="preserve">4170048141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43.78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1.1000000000000001</v>
      </c>
      <c r="BK1493">
        <v>2</v>
      </c>
      <c r="BL1493">
        <v>137.94</v>
      </c>
      <c r="BM1493">
        <v>20.69</v>
      </c>
      <c r="BN1493">
        <v>158.63</v>
      </c>
      <c r="BO1493">
        <v>158.63</v>
      </c>
      <c r="BQ1493" t="s">
        <v>761</v>
      </c>
      <c r="BR1493" t="s">
        <v>84</v>
      </c>
      <c r="BS1493" s="3">
        <v>45852</v>
      </c>
      <c r="BT1493" s="4">
        <v>0.38263888888888886</v>
      </c>
      <c r="BU1493" t="s">
        <v>2161</v>
      </c>
      <c r="BV1493" t="s">
        <v>98</v>
      </c>
      <c r="BY1493">
        <v>5320</v>
      </c>
      <c r="BZ1493" t="s">
        <v>89</v>
      </c>
      <c r="CA1493" t="s">
        <v>2162</v>
      </c>
      <c r="CC1493" t="s">
        <v>759</v>
      </c>
      <c r="CD1493">
        <v>2531</v>
      </c>
      <c r="CE1493" t="s">
        <v>266</v>
      </c>
      <c r="CF1493" s="3">
        <v>45853</v>
      </c>
      <c r="CI1493">
        <v>1</v>
      </c>
      <c r="CJ1493">
        <v>1</v>
      </c>
      <c r="CK1493">
        <v>23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"080066498143"</f>
        <v>080066498143</v>
      </c>
      <c r="F1494" s="3">
        <v>45849</v>
      </c>
      <c r="G1494">
        <v>202604</v>
      </c>
      <c r="H1494" t="s">
        <v>75</v>
      </c>
      <c r="I1494" t="s">
        <v>76</v>
      </c>
      <c r="J1494" t="s">
        <v>77</v>
      </c>
      <c r="K1494" t="s">
        <v>78</v>
      </c>
      <c r="L1494" t="s">
        <v>79</v>
      </c>
      <c r="M1494" t="s">
        <v>80</v>
      </c>
      <c r="N1494" t="s">
        <v>188</v>
      </c>
      <c r="O1494" t="s">
        <v>82</v>
      </c>
      <c r="P1494" t="str">
        <f>"4170048080                    "</f>
        <v xml:space="preserve">4170048080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22.6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1.1000000000000001</v>
      </c>
      <c r="BK1494">
        <v>1.5</v>
      </c>
      <c r="BL1494">
        <v>71.2</v>
      </c>
      <c r="BM1494">
        <v>10.68</v>
      </c>
      <c r="BN1494">
        <v>81.88</v>
      </c>
      <c r="BO1494">
        <v>81.88</v>
      </c>
      <c r="BQ1494" t="s">
        <v>189</v>
      </c>
      <c r="BR1494" t="s">
        <v>84</v>
      </c>
      <c r="BS1494" s="3">
        <v>45852</v>
      </c>
      <c r="BT1494" s="4">
        <v>0.34097222222222223</v>
      </c>
      <c r="BU1494" t="s">
        <v>1216</v>
      </c>
      <c r="BV1494" t="s">
        <v>98</v>
      </c>
      <c r="BY1494">
        <v>5320</v>
      </c>
      <c r="BZ1494" t="s">
        <v>89</v>
      </c>
      <c r="CA1494" t="s">
        <v>144</v>
      </c>
      <c r="CC1494" t="s">
        <v>80</v>
      </c>
      <c r="CD1494">
        <v>7441</v>
      </c>
      <c r="CE1494" t="s">
        <v>117</v>
      </c>
      <c r="CF1494" s="3">
        <v>45853</v>
      </c>
      <c r="CI1494">
        <v>1</v>
      </c>
      <c r="CJ1494">
        <v>1</v>
      </c>
      <c r="CK1494">
        <v>21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"080066498185"</f>
        <v>080066498185</v>
      </c>
      <c r="F1495" s="3">
        <v>45849</v>
      </c>
      <c r="G1495">
        <v>202604</v>
      </c>
      <c r="H1495" t="s">
        <v>75</v>
      </c>
      <c r="I1495" t="s">
        <v>76</v>
      </c>
      <c r="J1495" t="s">
        <v>77</v>
      </c>
      <c r="K1495" t="s">
        <v>78</v>
      </c>
      <c r="L1495" t="s">
        <v>240</v>
      </c>
      <c r="M1495" t="s">
        <v>241</v>
      </c>
      <c r="N1495" t="s">
        <v>2141</v>
      </c>
      <c r="O1495" t="s">
        <v>82</v>
      </c>
      <c r="P1495" t="str">
        <f>"4170048147                    "</f>
        <v xml:space="preserve">4170048147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17.649999999999999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0.6</v>
      </c>
      <c r="BK1495">
        <v>1</v>
      </c>
      <c r="BL1495">
        <v>55.61</v>
      </c>
      <c r="BM1495">
        <v>8.34</v>
      </c>
      <c r="BN1495">
        <v>63.95</v>
      </c>
      <c r="BO1495">
        <v>63.95</v>
      </c>
      <c r="BQ1495" t="s">
        <v>2142</v>
      </c>
      <c r="BR1495" t="s">
        <v>84</v>
      </c>
      <c r="BS1495" s="3">
        <v>45852</v>
      </c>
      <c r="BT1495" s="4">
        <v>0.41736111111111113</v>
      </c>
      <c r="BU1495" t="s">
        <v>2143</v>
      </c>
      <c r="BV1495" t="s">
        <v>98</v>
      </c>
      <c r="BY1495">
        <v>3192</v>
      </c>
      <c r="BZ1495" t="s">
        <v>89</v>
      </c>
      <c r="CA1495" t="s">
        <v>245</v>
      </c>
      <c r="CC1495" t="s">
        <v>241</v>
      </c>
      <c r="CD1495">
        <v>2190</v>
      </c>
      <c r="CE1495" t="s">
        <v>266</v>
      </c>
      <c r="CF1495" s="3">
        <v>45853</v>
      </c>
      <c r="CI1495">
        <v>1</v>
      </c>
      <c r="CJ1495">
        <v>1</v>
      </c>
      <c r="CK1495">
        <v>22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"080066498485"</f>
        <v>080066498485</v>
      </c>
      <c r="F1496" s="3">
        <v>45849</v>
      </c>
      <c r="G1496">
        <v>202604</v>
      </c>
      <c r="H1496" t="s">
        <v>75</v>
      </c>
      <c r="I1496" t="s">
        <v>76</v>
      </c>
      <c r="J1496" t="s">
        <v>77</v>
      </c>
      <c r="K1496" t="s">
        <v>78</v>
      </c>
      <c r="L1496" t="s">
        <v>554</v>
      </c>
      <c r="M1496" t="s">
        <v>555</v>
      </c>
      <c r="N1496" t="s">
        <v>2163</v>
      </c>
      <c r="O1496" t="s">
        <v>82</v>
      </c>
      <c r="P1496" t="str">
        <f>"4170048082                    "</f>
        <v xml:space="preserve">4170048082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22.6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1.1000000000000001</v>
      </c>
      <c r="BK1496">
        <v>1.5</v>
      </c>
      <c r="BL1496">
        <v>71.2</v>
      </c>
      <c r="BM1496">
        <v>10.68</v>
      </c>
      <c r="BN1496">
        <v>81.88</v>
      </c>
      <c r="BO1496">
        <v>81.88</v>
      </c>
      <c r="BQ1496" t="s">
        <v>2164</v>
      </c>
      <c r="BR1496" t="s">
        <v>84</v>
      </c>
      <c r="BS1496" s="3">
        <v>45852</v>
      </c>
      <c r="BT1496" s="4">
        <v>0.35138888888888886</v>
      </c>
      <c r="BU1496" t="s">
        <v>1317</v>
      </c>
      <c r="BV1496" t="s">
        <v>98</v>
      </c>
      <c r="BY1496">
        <v>5320</v>
      </c>
      <c r="BZ1496" t="s">
        <v>89</v>
      </c>
      <c r="CA1496" t="s">
        <v>156</v>
      </c>
      <c r="CC1496" t="s">
        <v>555</v>
      </c>
      <c r="CD1496" s="5" t="s">
        <v>560</v>
      </c>
      <c r="CE1496" t="s">
        <v>117</v>
      </c>
      <c r="CF1496" s="3">
        <v>45852</v>
      </c>
      <c r="CI1496">
        <v>1</v>
      </c>
      <c r="CJ1496">
        <v>1</v>
      </c>
      <c r="CK1496">
        <v>21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"080066498559"</f>
        <v>080066498559</v>
      </c>
      <c r="F1497" s="3">
        <v>45849</v>
      </c>
      <c r="G1497">
        <v>202604</v>
      </c>
      <c r="H1497" t="s">
        <v>75</v>
      </c>
      <c r="I1497" t="s">
        <v>76</v>
      </c>
      <c r="J1497" t="s">
        <v>77</v>
      </c>
      <c r="K1497" t="s">
        <v>78</v>
      </c>
      <c r="L1497" t="s">
        <v>75</v>
      </c>
      <c r="M1497" t="s">
        <v>76</v>
      </c>
      <c r="N1497" t="s">
        <v>118</v>
      </c>
      <c r="O1497" t="s">
        <v>82</v>
      </c>
      <c r="P1497" t="str">
        <f>"4170048052                    "</f>
        <v xml:space="preserve">4170048052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17.649999999999999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2</v>
      </c>
      <c r="BJ1497">
        <v>1.1000000000000001</v>
      </c>
      <c r="BK1497">
        <v>2</v>
      </c>
      <c r="BL1497">
        <v>55.61</v>
      </c>
      <c r="BM1497">
        <v>8.34</v>
      </c>
      <c r="BN1497">
        <v>63.95</v>
      </c>
      <c r="BO1497">
        <v>63.95</v>
      </c>
      <c r="BQ1497" t="s">
        <v>119</v>
      </c>
      <c r="BR1497" t="s">
        <v>84</v>
      </c>
      <c r="BS1497" s="3">
        <v>45852</v>
      </c>
      <c r="BT1497" s="4">
        <v>0.3125</v>
      </c>
      <c r="BU1497" t="s">
        <v>832</v>
      </c>
      <c r="BV1497" t="s">
        <v>98</v>
      </c>
      <c r="BY1497">
        <v>5320</v>
      </c>
      <c r="BZ1497" t="s">
        <v>89</v>
      </c>
      <c r="CA1497" t="s">
        <v>213</v>
      </c>
      <c r="CC1497" t="s">
        <v>76</v>
      </c>
      <c r="CD1497">
        <v>1600</v>
      </c>
      <c r="CE1497" t="s">
        <v>117</v>
      </c>
      <c r="CF1497" s="3">
        <v>45852</v>
      </c>
      <c r="CI1497">
        <v>1</v>
      </c>
      <c r="CJ1497">
        <v>1</v>
      </c>
      <c r="CK1497">
        <v>22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"080066498562"</f>
        <v>080066498562</v>
      </c>
      <c r="F1498" s="3">
        <v>45849</v>
      </c>
      <c r="G1498">
        <v>202604</v>
      </c>
      <c r="H1498" t="s">
        <v>75</v>
      </c>
      <c r="I1498" t="s">
        <v>76</v>
      </c>
      <c r="J1498" t="s">
        <v>77</v>
      </c>
      <c r="K1498" t="s">
        <v>78</v>
      </c>
      <c r="L1498" t="s">
        <v>566</v>
      </c>
      <c r="M1498" t="s">
        <v>567</v>
      </c>
      <c r="N1498" t="s">
        <v>568</v>
      </c>
      <c r="O1498" t="s">
        <v>82</v>
      </c>
      <c r="P1498" t="str">
        <f>"4170048247                    "</f>
        <v xml:space="preserve">4170048247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31.78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0.3</v>
      </c>
      <c r="BK1498">
        <v>1</v>
      </c>
      <c r="BL1498">
        <v>100.13</v>
      </c>
      <c r="BM1498">
        <v>15.02</v>
      </c>
      <c r="BN1498">
        <v>115.15</v>
      </c>
      <c r="BO1498">
        <v>115.15</v>
      </c>
      <c r="BQ1498" t="s">
        <v>569</v>
      </c>
      <c r="BR1498" t="s">
        <v>84</v>
      </c>
      <c r="BS1498" s="3">
        <v>45852</v>
      </c>
      <c r="BT1498" s="4">
        <v>0.37847222222222221</v>
      </c>
      <c r="BU1498" t="s">
        <v>2165</v>
      </c>
      <c r="BV1498" t="s">
        <v>98</v>
      </c>
      <c r="BY1498">
        <v>1350</v>
      </c>
      <c r="BZ1498" t="s">
        <v>89</v>
      </c>
      <c r="CA1498" t="s">
        <v>571</v>
      </c>
      <c r="CC1498" t="s">
        <v>567</v>
      </c>
      <c r="CD1498">
        <v>2210</v>
      </c>
      <c r="CE1498" t="s">
        <v>1906</v>
      </c>
      <c r="CF1498" s="3">
        <v>45853</v>
      </c>
      <c r="CI1498">
        <v>1</v>
      </c>
      <c r="CJ1498">
        <v>1</v>
      </c>
      <c r="CK1498">
        <v>24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"080066498585"</f>
        <v>080066498585</v>
      </c>
      <c r="F1499" s="3">
        <v>45849</v>
      </c>
      <c r="G1499">
        <v>202604</v>
      </c>
      <c r="H1499" t="s">
        <v>75</v>
      </c>
      <c r="I1499" t="s">
        <v>76</v>
      </c>
      <c r="J1499" t="s">
        <v>77</v>
      </c>
      <c r="K1499" t="s">
        <v>78</v>
      </c>
      <c r="L1499" t="s">
        <v>854</v>
      </c>
      <c r="M1499" t="s">
        <v>855</v>
      </c>
      <c r="N1499" t="s">
        <v>2166</v>
      </c>
      <c r="O1499" t="s">
        <v>82</v>
      </c>
      <c r="P1499" t="str">
        <f>"4170048159                    "</f>
        <v xml:space="preserve">4170048159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43.78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16.739999999999998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1.7</v>
      </c>
      <c r="BK1499">
        <v>2</v>
      </c>
      <c r="BL1499">
        <v>154.68</v>
      </c>
      <c r="BM1499">
        <v>23.2</v>
      </c>
      <c r="BN1499">
        <v>177.88</v>
      </c>
      <c r="BO1499">
        <v>177.88</v>
      </c>
      <c r="BQ1499" t="s">
        <v>2167</v>
      </c>
      <c r="BR1499" t="s">
        <v>84</v>
      </c>
      <c r="BS1499" s="3">
        <v>45852</v>
      </c>
      <c r="BT1499" s="4">
        <v>0.52083333333333337</v>
      </c>
      <c r="BU1499" t="s">
        <v>2168</v>
      </c>
      <c r="BV1499" t="s">
        <v>98</v>
      </c>
      <c r="BY1499">
        <v>8512</v>
      </c>
      <c r="BZ1499" t="s">
        <v>460</v>
      </c>
      <c r="CC1499" t="s">
        <v>855</v>
      </c>
      <c r="CD1499" s="5" t="s">
        <v>2169</v>
      </c>
      <c r="CE1499" t="s">
        <v>117</v>
      </c>
      <c r="CF1499" s="3">
        <v>45853</v>
      </c>
      <c r="CI1499">
        <v>1</v>
      </c>
      <c r="CJ1499">
        <v>1</v>
      </c>
      <c r="CK1499">
        <v>23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"080066498586"</f>
        <v>080066498586</v>
      </c>
      <c r="F1500" s="3">
        <v>45849</v>
      </c>
      <c r="G1500">
        <v>202604</v>
      </c>
      <c r="H1500" t="s">
        <v>75</v>
      </c>
      <c r="I1500" t="s">
        <v>76</v>
      </c>
      <c r="J1500" t="s">
        <v>77</v>
      </c>
      <c r="K1500" t="s">
        <v>78</v>
      </c>
      <c r="L1500" t="s">
        <v>79</v>
      </c>
      <c r="M1500" t="s">
        <v>80</v>
      </c>
      <c r="N1500" t="s">
        <v>2170</v>
      </c>
      <c r="O1500" t="s">
        <v>82</v>
      </c>
      <c r="P1500" t="str">
        <f>"4170048119                    "</f>
        <v xml:space="preserve">4170048119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22.6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0.3</v>
      </c>
      <c r="BK1500">
        <v>1</v>
      </c>
      <c r="BL1500">
        <v>71.2</v>
      </c>
      <c r="BM1500">
        <v>10.68</v>
      </c>
      <c r="BN1500">
        <v>81.88</v>
      </c>
      <c r="BO1500">
        <v>81.88</v>
      </c>
      <c r="BQ1500" t="s">
        <v>2171</v>
      </c>
      <c r="BR1500" t="s">
        <v>84</v>
      </c>
      <c r="BS1500" s="3">
        <v>45852</v>
      </c>
      <c r="BT1500" s="4">
        <v>0.42499999999999999</v>
      </c>
      <c r="BU1500" t="s">
        <v>2172</v>
      </c>
      <c r="BV1500" t="s">
        <v>98</v>
      </c>
      <c r="BY1500">
        <v>1350</v>
      </c>
      <c r="BZ1500" t="s">
        <v>89</v>
      </c>
      <c r="CA1500" t="s">
        <v>658</v>
      </c>
      <c r="CC1500" t="s">
        <v>80</v>
      </c>
      <c r="CD1500">
        <v>7405</v>
      </c>
      <c r="CE1500" t="s">
        <v>1868</v>
      </c>
      <c r="CF1500" s="3">
        <v>45853</v>
      </c>
      <c r="CI1500">
        <v>1</v>
      </c>
      <c r="CJ1500">
        <v>1</v>
      </c>
      <c r="CK1500">
        <v>21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"080066498607"</f>
        <v>080066498607</v>
      </c>
      <c r="F1501" s="3">
        <v>45849</v>
      </c>
      <c r="G1501">
        <v>202604</v>
      </c>
      <c r="H1501" t="s">
        <v>75</v>
      </c>
      <c r="I1501" t="s">
        <v>76</v>
      </c>
      <c r="J1501" t="s">
        <v>77</v>
      </c>
      <c r="K1501" t="s">
        <v>78</v>
      </c>
      <c r="L1501" t="s">
        <v>305</v>
      </c>
      <c r="M1501" t="s">
        <v>306</v>
      </c>
      <c r="N1501" t="s">
        <v>1320</v>
      </c>
      <c r="O1501" t="s">
        <v>82</v>
      </c>
      <c r="P1501" t="str">
        <f>"4170048157                    "</f>
        <v xml:space="preserve">4170048157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22.6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0.3</v>
      </c>
      <c r="BK1501">
        <v>1</v>
      </c>
      <c r="BL1501">
        <v>71.2</v>
      </c>
      <c r="BM1501">
        <v>10.68</v>
      </c>
      <c r="BN1501">
        <v>81.88</v>
      </c>
      <c r="BO1501">
        <v>81.88</v>
      </c>
      <c r="BQ1501" t="s">
        <v>308</v>
      </c>
      <c r="BR1501" t="s">
        <v>84</v>
      </c>
      <c r="BS1501" s="3">
        <v>45852</v>
      </c>
      <c r="BT1501" s="4">
        <v>0.30833333333333335</v>
      </c>
      <c r="BU1501" t="s">
        <v>2173</v>
      </c>
      <c r="BV1501" t="s">
        <v>98</v>
      </c>
      <c r="BY1501">
        <v>1350</v>
      </c>
      <c r="BZ1501" t="s">
        <v>89</v>
      </c>
      <c r="CA1501" t="s">
        <v>2174</v>
      </c>
      <c r="CC1501" t="s">
        <v>306</v>
      </c>
      <c r="CD1501">
        <v>5201</v>
      </c>
      <c r="CE1501" t="s">
        <v>1868</v>
      </c>
      <c r="CF1501" s="3">
        <v>45853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"080066498619"</f>
        <v>080066498619</v>
      </c>
      <c r="F1502" s="3">
        <v>45849</v>
      </c>
      <c r="G1502">
        <v>202604</v>
      </c>
      <c r="H1502" t="s">
        <v>75</v>
      </c>
      <c r="I1502" t="s">
        <v>76</v>
      </c>
      <c r="J1502" t="s">
        <v>77</v>
      </c>
      <c r="K1502" t="s">
        <v>78</v>
      </c>
      <c r="L1502" t="s">
        <v>151</v>
      </c>
      <c r="M1502" t="s">
        <v>152</v>
      </c>
      <c r="N1502" t="s">
        <v>515</v>
      </c>
      <c r="O1502" t="s">
        <v>82</v>
      </c>
      <c r="P1502" t="str">
        <f>"4170048208                    "</f>
        <v xml:space="preserve">4170048208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22.6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0.6</v>
      </c>
      <c r="BK1502">
        <v>1</v>
      </c>
      <c r="BL1502">
        <v>71.2</v>
      </c>
      <c r="BM1502">
        <v>10.68</v>
      </c>
      <c r="BN1502">
        <v>81.88</v>
      </c>
      <c r="BO1502">
        <v>81.88</v>
      </c>
      <c r="BQ1502" t="s">
        <v>516</v>
      </c>
      <c r="BR1502" t="s">
        <v>84</v>
      </c>
      <c r="BS1502" s="3">
        <v>45852</v>
      </c>
      <c r="BT1502" s="4">
        <v>0.36249999999999999</v>
      </c>
      <c r="BU1502" t="s">
        <v>2175</v>
      </c>
      <c r="BV1502" t="s">
        <v>98</v>
      </c>
      <c r="BY1502">
        <v>3192</v>
      </c>
      <c r="BZ1502" t="s">
        <v>89</v>
      </c>
      <c r="CA1502" t="s">
        <v>2176</v>
      </c>
      <c r="CC1502" t="s">
        <v>152</v>
      </c>
      <c r="CD1502" s="5" t="s">
        <v>157</v>
      </c>
      <c r="CE1502" t="s">
        <v>266</v>
      </c>
      <c r="CF1502" s="3">
        <v>45852</v>
      </c>
      <c r="CI1502">
        <v>1</v>
      </c>
      <c r="CJ1502">
        <v>1</v>
      </c>
      <c r="CK1502">
        <v>21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"080066498641"</f>
        <v>080066498641</v>
      </c>
      <c r="F1503" s="3">
        <v>45849</v>
      </c>
      <c r="G1503">
        <v>202604</v>
      </c>
      <c r="H1503" t="s">
        <v>75</v>
      </c>
      <c r="I1503" t="s">
        <v>76</v>
      </c>
      <c r="J1503" t="s">
        <v>77</v>
      </c>
      <c r="K1503" t="s">
        <v>78</v>
      </c>
      <c r="L1503" t="s">
        <v>92</v>
      </c>
      <c r="M1503" t="s">
        <v>93</v>
      </c>
      <c r="N1503" t="s">
        <v>1591</v>
      </c>
      <c r="O1503" t="s">
        <v>82</v>
      </c>
      <c r="P1503" t="str">
        <f>"4170048280                    "</f>
        <v xml:space="preserve">4170048280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22.6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0.3</v>
      </c>
      <c r="BK1503">
        <v>1</v>
      </c>
      <c r="BL1503">
        <v>71.2</v>
      </c>
      <c r="BM1503">
        <v>10.68</v>
      </c>
      <c r="BN1503">
        <v>81.88</v>
      </c>
      <c r="BO1503">
        <v>81.88</v>
      </c>
      <c r="BQ1503" t="s">
        <v>1592</v>
      </c>
      <c r="BR1503" t="s">
        <v>84</v>
      </c>
      <c r="BS1503" s="3">
        <v>45852</v>
      </c>
      <c r="BT1503" s="4">
        <v>0.42152777777777778</v>
      </c>
      <c r="BU1503" t="s">
        <v>1593</v>
      </c>
      <c r="BV1503" t="s">
        <v>98</v>
      </c>
      <c r="BY1503">
        <v>1350</v>
      </c>
      <c r="BZ1503" t="s">
        <v>89</v>
      </c>
      <c r="CA1503" t="s">
        <v>1594</v>
      </c>
      <c r="CC1503" t="s">
        <v>93</v>
      </c>
      <c r="CD1503">
        <v>4000</v>
      </c>
      <c r="CE1503" t="s">
        <v>1868</v>
      </c>
      <c r="CF1503" s="3">
        <v>45852</v>
      </c>
      <c r="CI1503">
        <v>1</v>
      </c>
      <c r="CJ1503">
        <v>1</v>
      </c>
      <c r="CK1503">
        <v>21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"080066498874"</f>
        <v>080066498874</v>
      </c>
      <c r="F1504" s="3">
        <v>45849</v>
      </c>
      <c r="G1504">
        <v>202604</v>
      </c>
      <c r="H1504" t="s">
        <v>75</v>
      </c>
      <c r="I1504" t="s">
        <v>76</v>
      </c>
      <c r="J1504" t="s">
        <v>77</v>
      </c>
      <c r="K1504" t="s">
        <v>78</v>
      </c>
      <c r="L1504" t="s">
        <v>92</v>
      </c>
      <c r="M1504" t="s">
        <v>93</v>
      </c>
      <c r="N1504" t="s">
        <v>291</v>
      </c>
      <c r="O1504" t="s">
        <v>82</v>
      </c>
      <c r="P1504" t="str">
        <f>"4170048137                    "</f>
        <v xml:space="preserve">4170048137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22.6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0.3</v>
      </c>
      <c r="BK1504">
        <v>1</v>
      </c>
      <c r="BL1504">
        <v>71.2</v>
      </c>
      <c r="BM1504">
        <v>10.68</v>
      </c>
      <c r="BN1504">
        <v>81.88</v>
      </c>
      <c r="BO1504">
        <v>81.88</v>
      </c>
      <c r="BQ1504" t="s">
        <v>292</v>
      </c>
      <c r="BR1504" t="s">
        <v>84</v>
      </c>
      <c r="BS1504" s="3">
        <v>45852</v>
      </c>
      <c r="BT1504" s="4">
        <v>0.32708333333333334</v>
      </c>
      <c r="BU1504" t="s">
        <v>2177</v>
      </c>
      <c r="BV1504" t="s">
        <v>98</v>
      </c>
      <c r="BY1504">
        <v>1350</v>
      </c>
      <c r="BZ1504" t="s">
        <v>89</v>
      </c>
      <c r="CA1504" t="s">
        <v>2178</v>
      </c>
      <c r="CC1504" t="s">
        <v>93</v>
      </c>
      <c r="CD1504">
        <v>4051</v>
      </c>
      <c r="CE1504" t="s">
        <v>1868</v>
      </c>
      <c r="CF1504" s="3">
        <v>45852</v>
      </c>
      <c r="CI1504">
        <v>1</v>
      </c>
      <c r="CJ1504">
        <v>1</v>
      </c>
      <c r="CK1504">
        <v>21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"080066498904"</f>
        <v>080066498904</v>
      </c>
      <c r="F1505" s="3">
        <v>45849</v>
      </c>
      <c r="G1505">
        <v>202604</v>
      </c>
      <c r="H1505" t="s">
        <v>75</v>
      </c>
      <c r="I1505" t="s">
        <v>76</v>
      </c>
      <c r="J1505" t="s">
        <v>77</v>
      </c>
      <c r="K1505" t="s">
        <v>78</v>
      </c>
      <c r="L1505" t="s">
        <v>168</v>
      </c>
      <c r="M1505" t="s">
        <v>169</v>
      </c>
      <c r="N1505" t="s">
        <v>420</v>
      </c>
      <c r="O1505" t="s">
        <v>82</v>
      </c>
      <c r="P1505" t="str">
        <f>"4170048254                    "</f>
        <v xml:space="preserve">4170048254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22.6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0.3</v>
      </c>
      <c r="BK1505">
        <v>1</v>
      </c>
      <c r="BL1505">
        <v>71.2</v>
      </c>
      <c r="BM1505">
        <v>10.68</v>
      </c>
      <c r="BN1505">
        <v>81.88</v>
      </c>
      <c r="BO1505">
        <v>81.88</v>
      </c>
      <c r="BQ1505" t="s">
        <v>421</v>
      </c>
      <c r="BR1505" t="s">
        <v>84</v>
      </c>
      <c r="BS1505" s="3">
        <v>45852</v>
      </c>
      <c r="BT1505" s="4">
        <v>0.3888888888888889</v>
      </c>
      <c r="BU1505" t="s">
        <v>1121</v>
      </c>
      <c r="BV1505" t="s">
        <v>98</v>
      </c>
      <c r="BY1505">
        <v>1350</v>
      </c>
      <c r="BZ1505" t="s">
        <v>89</v>
      </c>
      <c r="CA1505" t="s">
        <v>423</v>
      </c>
      <c r="CC1505" t="s">
        <v>169</v>
      </c>
      <c r="CD1505">
        <v>6001</v>
      </c>
      <c r="CE1505" t="s">
        <v>1868</v>
      </c>
      <c r="CF1505" s="3">
        <v>45852</v>
      </c>
      <c r="CI1505">
        <v>1</v>
      </c>
      <c r="CJ1505">
        <v>1</v>
      </c>
      <c r="CK1505">
        <v>21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"080066498963"</f>
        <v>080066498963</v>
      </c>
      <c r="F1506" s="3">
        <v>45849</v>
      </c>
      <c r="G1506">
        <v>202604</v>
      </c>
      <c r="H1506" t="s">
        <v>75</v>
      </c>
      <c r="I1506" t="s">
        <v>76</v>
      </c>
      <c r="J1506" t="s">
        <v>77</v>
      </c>
      <c r="K1506" t="s">
        <v>78</v>
      </c>
      <c r="L1506" t="s">
        <v>363</v>
      </c>
      <c r="M1506" t="s">
        <v>364</v>
      </c>
      <c r="N1506" t="s">
        <v>365</v>
      </c>
      <c r="O1506" t="s">
        <v>82</v>
      </c>
      <c r="P1506" t="str">
        <f>"4170048143                    "</f>
        <v xml:space="preserve">4170048143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43.78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0.3</v>
      </c>
      <c r="BK1506">
        <v>1</v>
      </c>
      <c r="BL1506">
        <v>137.94</v>
      </c>
      <c r="BM1506">
        <v>20.69</v>
      </c>
      <c r="BN1506">
        <v>158.63</v>
      </c>
      <c r="BO1506">
        <v>158.63</v>
      </c>
      <c r="BQ1506" t="s">
        <v>1118</v>
      </c>
      <c r="BR1506" t="s">
        <v>84</v>
      </c>
      <c r="BS1506" s="3">
        <v>45852</v>
      </c>
      <c r="BT1506" s="4">
        <v>0.50972222222222219</v>
      </c>
      <c r="BU1506" t="s">
        <v>2128</v>
      </c>
      <c r="BV1506" t="s">
        <v>98</v>
      </c>
      <c r="BY1506">
        <v>1350</v>
      </c>
      <c r="BZ1506" t="s">
        <v>89</v>
      </c>
      <c r="CA1506" t="s">
        <v>2129</v>
      </c>
      <c r="CC1506" t="s">
        <v>364</v>
      </c>
      <c r="CD1506">
        <v>7300</v>
      </c>
      <c r="CE1506" t="s">
        <v>1868</v>
      </c>
      <c r="CF1506" s="3">
        <v>45853</v>
      </c>
      <c r="CI1506">
        <v>1</v>
      </c>
      <c r="CJ1506">
        <v>1</v>
      </c>
      <c r="CK1506">
        <v>23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"080066498980"</f>
        <v>080066498980</v>
      </c>
      <c r="F1507" s="3">
        <v>45849</v>
      </c>
      <c r="G1507">
        <v>202604</v>
      </c>
      <c r="H1507" t="s">
        <v>75</v>
      </c>
      <c r="I1507" t="s">
        <v>76</v>
      </c>
      <c r="J1507" t="s">
        <v>77</v>
      </c>
      <c r="K1507" t="s">
        <v>78</v>
      </c>
      <c r="L1507" t="s">
        <v>168</v>
      </c>
      <c r="M1507" t="s">
        <v>169</v>
      </c>
      <c r="N1507" t="s">
        <v>202</v>
      </c>
      <c r="O1507" t="s">
        <v>82</v>
      </c>
      <c r="P1507" t="str">
        <f>"4170048263                    "</f>
        <v xml:space="preserve">4170048263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22.6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0.3</v>
      </c>
      <c r="BK1507">
        <v>1</v>
      </c>
      <c r="BL1507">
        <v>71.2</v>
      </c>
      <c r="BM1507">
        <v>10.68</v>
      </c>
      <c r="BN1507">
        <v>81.88</v>
      </c>
      <c r="BO1507">
        <v>81.88</v>
      </c>
      <c r="BQ1507" t="s">
        <v>203</v>
      </c>
      <c r="BR1507" t="s">
        <v>84</v>
      </c>
      <c r="BS1507" s="3">
        <v>45852</v>
      </c>
      <c r="BT1507" s="4">
        <v>0.38333333333333336</v>
      </c>
      <c r="BU1507" t="s">
        <v>1713</v>
      </c>
      <c r="BV1507" t="s">
        <v>98</v>
      </c>
      <c r="BY1507">
        <v>1350</v>
      </c>
      <c r="BZ1507" t="s">
        <v>89</v>
      </c>
      <c r="CA1507" t="s">
        <v>205</v>
      </c>
      <c r="CC1507" t="s">
        <v>169</v>
      </c>
      <c r="CD1507">
        <v>6001</v>
      </c>
      <c r="CE1507" t="s">
        <v>1868</v>
      </c>
      <c r="CF1507" s="3">
        <v>45853</v>
      </c>
      <c r="CI1507">
        <v>1</v>
      </c>
      <c r="CJ1507">
        <v>1</v>
      </c>
      <c r="CK1507">
        <v>21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"080066499012"</f>
        <v>080066499012</v>
      </c>
      <c r="F1508" s="3">
        <v>45849</v>
      </c>
      <c r="G1508">
        <v>202604</v>
      </c>
      <c r="H1508" t="s">
        <v>75</v>
      </c>
      <c r="I1508" t="s">
        <v>76</v>
      </c>
      <c r="J1508" t="s">
        <v>77</v>
      </c>
      <c r="K1508" t="s">
        <v>78</v>
      </c>
      <c r="L1508" t="s">
        <v>168</v>
      </c>
      <c r="M1508" t="s">
        <v>169</v>
      </c>
      <c r="N1508" t="s">
        <v>202</v>
      </c>
      <c r="O1508" t="s">
        <v>82</v>
      </c>
      <c r="P1508" t="str">
        <f>"4170048309                    "</f>
        <v xml:space="preserve">4170048309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22.6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0.3</v>
      </c>
      <c r="BK1508">
        <v>1</v>
      </c>
      <c r="BL1508">
        <v>71.2</v>
      </c>
      <c r="BM1508">
        <v>10.68</v>
      </c>
      <c r="BN1508">
        <v>81.88</v>
      </c>
      <c r="BO1508">
        <v>81.88</v>
      </c>
      <c r="BQ1508" t="s">
        <v>203</v>
      </c>
      <c r="BR1508" t="s">
        <v>84</v>
      </c>
      <c r="BS1508" s="3">
        <v>45852</v>
      </c>
      <c r="BT1508" s="4">
        <v>0.38333333333333336</v>
      </c>
      <c r="BU1508" t="s">
        <v>1713</v>
      </c>
      <c r="BV1508" t="s">
        <v>98</v>
      </c>
      <c r="BY1508">
        <v>1350</v>
      </c>
      <c r="BZ1508" t="s">
        <v>89</v>
      </c>
      <c r="CA1508" t="s">
        <v>205</v>
      </c>
      <c r="CC1508" t="s">
        <v>169</v>
      </c>
      <c r="CD1508">
        <v>6001</v>
      </c>
      <c r="CE1508" t="s">
        <v>1868</v>
      </c>
      <c r="CF1508" s="3">
        <v>45853</v>
      </c>
      <c r="CI1508">
        <v>1</v>
      </c>
      <c r="CJ1508">
        <v>1</v>
      </c>
      <c r="CK1508">
        <v>21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"080066499030"</f>
        <v>080066499030</v>
      </c>
      <c r="F1509" s="3">
        <v>45849</v>
      </c>
      <c r="G1509">
        <v>202604</v>
      </c>
      <c r="H1509" t="s">
        <v>75</v>
      </c>
      <c r="I1509" t="s">
        <v>76</v>
      </c>
      <c r="J1509" t="s">
        <v>77</v>
      </c>
      <c r="K1509" t="s">
        <v>78</v>
      </c>
      <c r="L1509" t="s">
        <v>79</v>
      </c>
      <c r="M1509" t="s">
        <v>80</v>
      </c>
      <c r="N1509" t="s">
        <v>188</v>
      </c>
      <c r="O1509" t="s">
        <v>82</v>
      </c>
      <c r="P1509" t="str">
        <f>"4170048259                    "</f>
        <v xml:space="preserve">4170048259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22.6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0.3</v>
      </c>
      <c r="BK1509">
        <v>1</v>
      </c>
      <c r="BL1509">
        <v>71.2</v>
      </c>
      <c r="BM1509">
        <v>10.68</v>
      </c>
      <c r="BN1509">
        <v>81.88</v>
      </c>
      <c r="BO1509">
        <v>81.88</v>
      </c>
      <c r="BQ1509" t="s">
        <v>189</v>
      </c>
      <c r="BR1509" t="s">
        <v>84</v>
      </c>
      <c r="BS1509" s="3">
        <v>45852</v>
      </c>
      <c r="BT1509" s="4">
        <v>0.34097222222222223</v>
      </c>
      <c r="BU1509" t="s">
        <v>1216</v>
      </c>
      <c r="BV1509" t="s">
        <v>98</v>
      </c>
      <c r="BY1509">
        <v>1350</v>
      </c>
      <c r="BZ1509" t="s">
        <v>89</v>
      </c>
      <c r="CA1509" t="s">
        <v>144</v>
      </c>
      <c r="CC1509" t="s">
        <v>80</v>
      </c>
      <c r="CD1509">
        <v>7441</v>
      </c>
      <c r="CE1509" t="s">
        <v>1868</v>
      </c>
      <c r="CF1509" s="3">
        <v>45853</v>
      </c>
      <c r="CI1509">
        <v>1</v>
      </c>
      <c r="CJ1509">
        <v>1</v>
      </c>
      <c r="CK1509">
        <v>21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"080066499064"</f>
        <v>080066499064</v>
      </c>
      <c r="F1510" s="3">
        <v>45849</v>
      </c>
      <c r="G1510">
        <v>202604</v>
      </c>
      <c r="H1510" t="s">
        <v>75</v>
      </c>
      <c r="I1510" t="s">
        <v>76</v>
      </c>
      <c r="J1510" t="s">
        <v>77</v>
      </c>
      <c r="K1510" t="s">
        <v>78</v>
      </c>
      <c r="L1510" t="s">
        <v>277</v>
      </c>
      <c r="M1510" t="s">
        <v>278</v>
      </c>
      <c r="N1510" t="s">
        <v>279</v>
      </c>
      <c r="O1510" t="s">
        <v>82</v>
      </c>
      <c r="P1510" t="str">
        <f>"4170048262                    "</f>
        <v xml:space="preserve">4170048262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22.6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0.3</v>
      </c>
      <c r="BK1510">
        <v>1</v>
      </c>
      <c r="BL1510">
        <v>71.2</v>
      </c>
      <c r="BM1510">
        <v>10.68</v>
      </c>
      <c r="BN1510">
        <v>81.88</v>
      </c>
      <c r="BO1510">
        <v>81.88</v>
      </c>
      <c r="BQ1510" t="s">
        <v>280</v>
      </c>
      <c r="BR1510" t="s">
        <v>84</v>
      </c>
      <c r="BS1510" s="3">
        <v>45852</v>
      </c>
      <c r="BT1510" s="4">
        <v>0.3347222222222222</v>
      </c>
      <c r="BU1510" t="s">
        <v>172</v>
      </c>
      <c r="BV1510" t="s">
        <v>98</v>
      </c>
      <c r="BY1510">
        <v>1350</v>
      </c>
      <c r="BZ1510" t="s">
        <v>89</v>
      </c>
      <c r="CA1510" t="s">
        <v>282</v>
      </c>
      <c r="CC1510" t="s">
        <v>278</v>
      </c>
      <c r="CD1510">
        <v>6230</v>
      </c>
      <c r="CE1510" t="s">
        <v>1868</v>
      </c>
      <c r="CF1510" s="3">
        <v>45853</v>
      </c>
      <c r="CI1510">
        <v>1</v>
      </c>
      <c r="CJ1510">
        <v>1</v>
      </c>
      <c r="CK1510">
        <v>21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"080066499079"</f>
        <v>080066499079</v>
      </c>
      <c r="F1511" s="3">
        <v>45849</v>
      </c>
      <c r="G1511">
        <v>202604</v>
      </c>
      <c r="H1511" t="s">
        <v>75</v>
      </c>
      <c r="I1511" t="s">
        <v>76</v>
      </c>
      <c r="J1511" t="s">
        <v>77</v>
      </c>
      <c r="K1511" t="s">
        <v>78</v>
      </c>
      <c r="L1511" t="s">
        <v>79</v>
      </c>
      <c r="M1511" t="s">
        <v>80</v>
      </c>
      <c r="N1511" t="s">
        <v>1050</v>
      </c>
      <c r="O1511" t="s">
        <v>82</v>
      </c>
      <c r="P1511" t="str">
        <f>"4170047862                    "</f>
        <v xml:space="preserve">4170047862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22.6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1.7</v>
      </c>
      <c r="BK1511">
        <v>2</v>
      </c>
      <c r="BL1511">
        <v>71.2</v>
      </c>
      <c r="BM1511">
        <v>10.68</v>
      </c>
      <c r="BN1511">
        <v>81.88</v>
      </c>
      <c r="BO1511">
        <v>81.88</v>
      </c>
      <c r="BQ1511" t="s">
        <v>1051</v>
      </c>
      <c r="BR1511" t="s">
        <v>84</v>
      </c>
      <c r="BS1511" s="3">
        <v>45852</v>
      </c>
      <c r="BT1511" s="4">
        <v>0.5</v>
      </c>
      <c r="BU1511" t="s">
        <v>2179</v>
      </c>
      <c r="BV1511" t="s">
        <v>86</v>
      </c>
      <c r="BW1511" t="s">
        <v>1053</v>
      </c>
      <c r="BX1511" t="s">
        <v>1054</v>
      </c>
      <c r="BY1511">
        <v>8512</v>
      </c>
      <c r="BZ1511" t="s">
        <v>89</v>
      </c>
      <c r="CC1511" t="s">
        <v>80</v>
      </c>
      <c r="CD1511">
        <v>7490</v>
      </c>
      <c r="CE1511" t="s">
        <v>117</v>
      </c>
      <c r="CF1511" s="3">
        <v>45853</v>
      </c>
      <c r="CI1511">
        <v>1</v>
      </c>
      <c r="CJ1511">
        <v>1</v>
      </c>
      <c r="CK1511">
        <v>21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"080066499126"</f>
        <v>080066499126</v>
      </c>
      <c r="F1512" s="3">
        <v>45849</v>
      </c>
      <c r="G1512">
        <v>202604</v>
      </c>
      <c r="H1512" t="s">
        <v>75</v>
      </c>
      <c r="I1512" t="s">
        <v>76</v>
      </c>
      <c r="J1512" t="s">
        <v>77</v>
      </c>
      <c r="K1512" t="s">
        <v>78</v>
      </c>
      <c r="L1512" t="s">
        <v>221</v>
      </c>
      <c r="M1512" t="s">
        <v>222</v>
      </c>
      <c r="N1512" t="s">
        <v>223</v>
      </c>
      <c r="O1512" t="s">
        <v>95</v>
      </c>
      <c r="P1512" t="str">
        <f>"4170048299                    "</f>
        <v xml:space="preserve">4170048299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93.12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2</v>
      </c>
      <c r="BI1512">
        <v>25</v>
      </c>
      <c r="BJ1512">
        <v>13.5</v>
      </c>
      <c r="BK1512">
        <v>25</v>
      </c>
      <c r="BL1512">
        <v>299.24</v>
      </c>
      <c r="BM1512">
        <v>44.89</v>
      </c>
      <c r="BN1512">
        <v>344.13</v>
      </c>
      <c r="BO1512">
        <v>344.13</v>
      </c>
      <c r="BQ1512" t="s">
        <v>224</v>
      </c>
      <c r="BR1512" t="s">
        <v>84</v>
      </c>
      <c r="BS1512" s="3">
        <v>45852</v>
      </c>
      <c r="BT1512" s="4">
        <v>0.33333333333333331</v>
      </c>
      <c r="BU1512" t="s">
        <v>1494</v>
      </c>
      <c r="BV1512" t="s">
        <v>98</v>
      </c>
      <c r="BY1512">
        <v>67260</v>
      </c>
      <c r="BZ1512" t="s">
        <v>99</v>
      </c>
      <c r="CC1512" t="s">
        <v>222</v>
      </c>
      <c r="CD1512">
        <v>2740</v>
      </c>
      <c r="CE1512" t="s">
        <v>117</v>
      </c>
      <c r="CF1512" s="3">
        <v>45853</v>
      </c>
      <c r="CI1512">
        <v>1</v>
      </c>
      <c r="CJ1512">
        <v>1</v>
      </c>
      <c r="CK1512">
        <v>43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"080066499167"</f>
        <v>080066499167</v>
      </c>
      <c r="F1513" s="3">
        <v>45849</v>
      </c>
      <c r="G1513">
        <v>202604</v>
      </c>
      <c r="H1513" t="s">
        <v>75</v>
      </c>
      <c r="I1513" t="s">
        <v>76</v>
      </c>
      <c r="J1513" t="s">
        <v>77</v>
      </c>
      <c r="K1513" t="s">
        <v>78</v>
      </c>
      <c r="L1513" t="s">
        <v>92</v>
      </c>
      <c r="M1513" t="s">
        <v>93</v>
      </c>
      <c r="N1513" t="s">
        <v>291</v>
      </c>
      <c r="O1513" t="s">
        <v>95</v>
      </c>
      <c r="P1513" t="str">
        <f>"4170048075                    "</f>
        <v xml:space="preserve">4170048075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63.55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2</v>
      </c>
      <c r="BI1513">
        <v>9</v>
      </c>
      <c r="BJ1513">
        <v>25.5</v>
      </c>
      <c r="BK1513">
        <v>26</v>
      </c>
      <c r="BL1513">
        <v>206.08</v>
      </c>
      <c r="BM1513">
        <v>30.91</v>
      </c>
      <c r="BN1513">
        <v>236.99</v>
      </c>
      <c r="BO1513">
        <v>236.99</v>
      </c>
      <c r="BQ1513" t="s">
        <v>292</v>
      </c>
      <c r="BR1513" t="s">
        <v>84</v>
      </c>
      <c r="BS1513" s="3">
        <v>45852</v>
      </c>
      <c r="BT1513" s="4">
        <v>0.32708333333333334</v>
      </c>
      <c r="BU1513" t="s">
        <v>2177</v>
      </c>
      <c r="BV1513" t="s">
        <v>98</v>
      </c>
      <c r="BY1513">
        <v>127470</v>
      </c>
      <c r="BZ1513" t="s">
        <v>99</v>
      </c>
      <c r="CA1513" t="s">
        <v>2178</v>
      </c>
      <c r="CC1513" t="s">
        <v>93</v>
      </c>
      <c r="CD1513">
        <v>4051</v>
      </c>
      <c r="CE1513" t="s">
        <v>91</v>
      </c>
      <c r="CF1513" s="3">
        <v>45852</v>
      </c>
      <c r="CI1513">
        <v>1</v>
      </c>
      <c r="CJ1513">
        <v>1</v>
      </c>
      <c r="CK1513">
        <v>41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"080066499199"</f>
        <v>080066499199</v>
      </c>
      <c r="F1514" s="3">
        <v>45849</v>
      </c>
      <c r="G1514">
        <v>202604</v>
      </c>
      <c r="H1514" t="s">
        <v>75</v>
      </c>
      <c r="I1514" t="s">
        <v>76</v>
      </c>
      <c r="J1514" t="s">
        <v>77</v>
      </c>
      <c r="K1514" t="s">
        <v>78</v>
      </c>
      <c r="L1514" t="s">
        <v>92</v>
      </c>
      <c r="M1514" t="s">
        <v>93</v>
      </c>
      <c r="N1514" t="s">
        <v>291</v>
      </c>
      <c r="O1514" t="s">
        <v>95</v>
      </c>
      <c r="P1514" t="str">
        <f>"4170048015                    "</f>
        <v xml:space="preserve">4170048015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49.11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6</v>
      </c>
      <c r="BJ1514">
        <v>17.7</v>
      </c>
      <c r="BK1514">
        <v>18</v>
      </c>
      <c r="BL1514">
        <v>160.6</v>
      </c>
      <c r="BM1514">
        <v>24.09</v>
      </c>
      <c r="BN1514">
        <v>184.69</v>
      </c>
      <c r="BO1514">
        <v>184.69</v>
      </c>
      <c r="BQ1514" t="s">
        <v>292</v>
      </c>
      <c r="BR1514" t="s">
        <v>84</v>
      </c>
      <c r="BS1514" s="3">
        <v>45852</v>
      </c>
      <c r="BT1514" s="4">
        <v>0.32708333333333334</v>
      </c>
      <c r="BU1514" t="s">
        <v>2177</v>
      </c>
      <c r="BV1514" t="s">
        <v>98</v>
      </c>
      <c r="BY1514">
        <v>88320</v>
      </c>
      <c r="BZ1514" t="s">
        <v>99</v>
      </c>
      <c r="CA1514" t="s">
        <v>2178</v>
      </c>
      <c r="CC1514" t="s">
        <v>93</v>
      </c>
      <c r="CD1514">
        <v>4051</v>
      </c>
      <c r="CE1514" t="s">
        <v>117</v>
      </c>
      <c r="CF1514" s="3">
        <v>45852</v>
      </c>
      <c r="CI1514">
        <v>1</v>
      </c>
      <c r="CJ1514">
        <v>1</v>
      </c>
      <c r="CK1514">
        <v>41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"080066499236"</f>
        <v>080066499236</v>
      </c>
      <c r="F1515" s="3">
        <v>45849</v>
      </c>
      <c r="G1515">
        <v>202604</v>
      </c>
      <c r="H1515" t="s">
        <v>75</v>
      </c>
      <c r="I1515" t="s">
        <v>76</v>
      </c>
      <c r="J1515" t="s">
        <v>77</v>
      </c>
      <c r="K1515" t="s">
        <v>78</v>
      </c>
      <c r="L1515" t="s">
        <v>277</v>
      </c>
      <c r="M1515" t="s">
        <v>278</v>
      </c>
      <c r="N1515" t="s">
        <v>279</v>
      </c>
      <c r="O1515" t="s">
        <v>82</v>
      </c>
      <c r="P1515" t="str">
        <f>"4170048273                    "</f>
        <v xml:space="preserve">4170048273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39.53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2</v>
      </c>
      <c r="BJ1515">
        <v>3.4</v>
      </c>
      <c r="BK1515">
        <v>3.5</v>
      </c>
      <c r="BL1515">
        <v>124.55</v>
      </c>
      <c r="BM1515">
        <v>18.68</v>
      </c>
      <c r="BN1515">
        <v>143.22999999999999</v>
      </c>
      <c r="BO1515">
        <v>143.22999999999999</v>
      </c>
      <c r="BQ1515" t="s">
        <v>280</v>
      </c>
      <c r="BR1515" t="s">
        <v>84</v>
      </c>
      <c r="BS1515" s="3">
        <v>45852</v>
      </c>
      <c r="BT1515" s="4">
        <v>0.33333333333333331</v>
      </c>
      <c r="BU1515" t="s">
        <v>172</v>
      </c>
      <c r="BV1515" t="s">
        <v>98</v>
      </c>
      <c r="BY1515">
        <v>16965</v>
      </c>
      <c r="BZ1515" t="s">
        <v>89</v>
      </c>
      <c r="CA1515" t="s">
        <v>282</v>
      </c>
      <c r="CC1515" t="s">
        <v>278</v>
      </c>
      <c r="CD1515">
        <v>6230</v>
      </c>
      <c r="CE1515" t="s">
        <v>117</v>
      </c>
      <c r="CF1515" s="3">
        <v>45853</v>
      </c>
      <c r="CI1515">
        <v>1</v>
      </c>
      <c r="CJ1515">
        <v>1</v>
      </c>
      <c r="CK1515">
        <v>21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"080066499274"</f>
        <v>080066499274</v>
      </c>
      <c r="F1516" s="3">
        <v>45849</v>
      </c>
      <c r="G1516">
        <v>202604</v>
      </c>
      <c r="H1516" t="s">
        <v>75</v>
      </c>
      <c r="I1516" t="s">
        <v>76</v>
      </c>
      <c r="J1516" t="s">
        <v>77</v>
      </c>
      <c r="K1516" t="s">
        <v>78</v>
      </c>
      <c r="L1516" t="s">
        <v>240</v>
      </c>
      <c r="M1516" t="s">
        <v>241</v>
      </c>
      <c r="N1516" t="s">
        <v>2141</v>
      </c>
      <c r="O1516" t="s">
        <v>311</v>
      </c>
      <c r="P1516" t="str">
        <f>"4170048146                    "</f>
        <v xml:space="preserve">4170048146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17.66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8</v>
      </c>
      <c r="BJ1516">
        <v>1.7</v>
      </c>
      <c r="BK1516">
        <v>8</v>
      </c>
      <c r="BL1516">
        <v>55.63</v>
      </c>
      <c r="BM1516">
        <v>8.34</v>
      </c>
      <c r="BN1516">
        <v>63.97</v>
      </c>
      <c r="BO1516">
        <v>63.97</v>
      </c>
      <c r="BQ1516" t="s">
        <v>2142</v>
      </c>
      <c r="BR1516" t="s">
        <v>84</v>
      </c>
      <c r="BS1516" s="3">
        <v>45852</v>
      </c>
      <c r="BT1516" s="4">
        <v>0.375</v>
      </c>
      <c r="BU1516" t="s">
        <v>2143</v>
      </c>
      <c r="BV1516" t="s">
        <v>98</v>
      </c>
      <c r="BY1516">
        <v>8512</v>
      </c>
      <c r="BZ1516" t="s">
        <v>99</v>
      </c>
      <c r="CA1516" t="s">
        <v>245</v>
      </c>
      <c r="CC1516" t="s">
        <v>241</v>
      </c>
      <c r="CD1516">
        <v>2190</v>
      </c>
      <c r="CE1516" t="s">
        <v>117</v>
      </c>
      <c r="CF1516" s="3">
        <v>45853</v>
      </c>
      <c r="CI1516">
        <v>1</v>
      </c>
      <c r="CJ1516">
        <v>1</v>
      </c>
      <c r="CK1516">
        <v>32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"080066499521"</f>
        <v>080066499521</v>
      </c>
      <c r="F1517" s="3">
        <v>45849</v>
      </c>
      <c r="G1517">
        <v>202604</v>
      </c>
      <c r="H1517" t="s">
        <v>75</v>
      </c>
      <c r="I1517" t="s">
        <v>76</v>
      </c>
      <c r="J1517" t="s">
        <v>77</v>
      </c>
      <c r="K1517" t="s">
        <v>78</v>
      </c>
      <c r="L1517" t="s">
        <v>168</v>
      </c>
      <c r="M1517" t="s">
        <v>169</v>
      </c>
      <c r="N1517" t="s">
        <v>202</v>
      </c>
      <c r="O1517" t="s">
        <v>82</v>
      </c>
      <c r="P1517" t="str">
        <f>"4170048196                    "</f>
        <v xml:space="preserve">4170048196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22.6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0.3</v>
      </c>
      <c r="BK1517">
        <v>1</v>
      </c>
      <c r="BL1517">
        <v>71.2</v>
      </c>
      <c r="BM1517">
        <v>10.68</v>
      </c>
      <c r="BN1517">
        <v>81.88</v>
      </c>
      <c r="BO1517">
        <v>81.88</v>
      </c>
      <c r="BQ1517" t="s">
        <v>203</v>
      </c>
      <c r="BR1517" t="s">
        <v>84</v>
      </c>
      <c r="BS1517" s="3">
        <v>45852</v>
      </c>
      <c r="BT1517" s="4">
        <v>0.38333333333333336</v>
      </c>
      <c r="BU1517" t="s">
        <v>1713</v>
      </c>
      <c r="BV1517" t="s">
        <v>98</v>
      </c>
      <c r="BY1517">
        <v>1350</v>
      </c>
      <c r="BZ1517" t="s">
        <v>89</v>
      </c>
      <c r="CA1517" t="s">
        <v>205</v>
      </c>
      <c r="CC1517" t="s">
        <v>169</v>
      </c>
      <c r="CD1517">
        <v>6001</v>
      </c>
      <c r="CE1517" t="s">
        <v>1868</v>
      </c>
      <c r="CF1517" s="3">
        <v>45853</v>
      </c>
      <c r="CI1517">
        <v>1</v>
      </c>
      <c r="CJ1517">
        <v>1</v>
      </c>
      <c r="CK1517">
        <v>21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"080066499527"</f>
        <v>080066499527</v>
      </c>
      <c r="F1518" s="3">
        <v>45849</v>
      </c>
      <c r="G1518">
        <v>202604</v>
      </c>
      <c r="H1518" t="s">
        <v>75</v>
      </c>
      <c r="I1518" t="s">
        <v>76</v>
      </c>
      <c r="J1518" t="s">
        <v>77</v>
      </c>
      <c r="K1518" t="s">
        <v>78</v>
      </c>
      <c r="L1518" t="s">
        <v>92</v>
      </c>
      <c r="M1518" t="s">
        <v>93</v>
      </c>
      <c r="N1518" t="s">
        <v>749</v>
      </c>
      <c r="O1518" t="s">
        <v>82</v>
      </c>
      <c r="P1518" t="str">
        <f>"4170048250                    "</f>
        <v xml:space="preserve">4170048250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22.6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1.1000000000000001</v>
      </c>
      <c r="BK1518">
        <v>1.5</v>
      </c>
      <c r="BL1518">
        <v>71.2</v>
      </c>
      <c r="BM1518">
        <v>10.68</v>
      </c>
      <c r="BN1518">
        <v>81.88</v>
      </c>
      <c r="BO1518">
        <v>81.88</v>
      </c>
      <c r="BQ1518" t="s">
        <v>750</v>
      </c>
      <c r="BR1518" t="s">
        <v>84</v>
      </c>
      <c r="BS1518" s="3">
        <v>45852</v>
      </c>
      <c r="BT1518" s="4">
        <v>0.43680555555555556</v>
      </c>
      <c r="BU1518" t="s">
        <v>1329</v>
      </c>
      <c r="BV1518" t="s">
        <v>98</v>
      </c>
      <c r="BY1518">
        <v>5320</v>
      </c>
      <c r="BZ1518" t="s">
        <v>89</v>
      </c>
      <c r="CA1518" t="s">
        <v>491</v>
      </c>
      <c r="CC1518" t="s">
        <v>93</v>
      </c>
      <c r="CD1518">
        <v>4001</v>
      </c>
      <c r="CE1518" t="s">
        <v>117</v>
      </c>
      <c r="CF1518" s="3">
        <v>45853</v>
      </c>
      <c r="CI1518">
        <v>1</v>
      </c>
      <c r="CJ1518">
        <v>1</v>
      </c>
      <c r="CK1518">
        <v>21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"080066499612"</f>
        <v>080066499612</v>
      </c>
      <c r="F1519" s="3">
        <v>45849</v>
      </c>
      <c r="G1519">
        <v>202604</v>
      </c>
      <c r="H1519" t="s">
        <v>75</v>
      </c>
      <c r="I1519" t="s">
        <v>76</v>
      </c>
      <c r="J1519" t="s">
        <v>77</v>
      </c>
      <c r="K1519" t="s">
        <v>78</v>
      </c>
      <c r="L1519" t="s">
        <v>79</v>
      </c>
      <c r="M1519" t="s">
        <v>80</v>
      </c>
      <c r="N1519" t="s">
        <v>698</v>
      </c>
      <c r="O1519" t="s">
        <v>82</v>
      </c>
      <c r="P1519" t="str">
        <f>"4170048231                    "</f>
        <v xml:space="preserve">4170048231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112.92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10</v>
      </c>
      <c r="BJ1519">
        <v>3.4</v>
      </c>
      <c r="BK1519">
        <v>10</v>
      </c>
      <c r="BL1519">
        <v>355.76</v>
      </c>
      <c r="BM1519">
        <v>53.36</v>
      </c>
      <c r="BN1519">
        <v>409.12</v>
      </c>
      <c r="BO1519">
        <v>409.12</v>
      </c>
      <c r="BQ1519" t="s">
        <v>699</v>
      </c>
      <c r="BR1519" t="s">
        <v>84</v>
      </c>
      <c r="BS1519" s="3">
        <v>45852</v>
      </c>
      <c r="BT1519" s="4">
        <v>0.41805555555555557</v>
      </c>
      <c r="BU1519" t="s">
        <v>700</v>
      </c>
      <c r="BV1519" t="s">
        <v>98</v>
      </c>
      <c r="BY1519">
        <v>16965</v>
      </c>
      <c r="BZ1519" t="s">
        <v>89</v>
      </c>
      <c r="CA1519" t="s">
        <v>289</v>
      </c>
      <c r="CC1519" t="s">
        <v>80</v>
      </c>
      <c r="CD1519">
        <v>7561</v>
      </c>
      <c r="CE1519" t="s">
        <v>117</v>
      </c>
      <c r="CF1519" s="3">
        <v>45853</v>
      </c>
      <c r="CI1519">
        <v>1</v>
      </c>
      <c r="CJ1519">
        <v>1</v>
      </c>
      <c r="CK1519">
        <v>21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"080066499617"</f>
        <v>080066499617</v>
      </c>
      <c r="F1520" s="3">
        <v>45849</v>
      </c>
      <c r="G1520">
        <v>202604</v>
      </c>
      <c r="H1520" t="s">
        <v>75</v>
      </c>
      <c r="I1520" t="s">
        <v>76</v>
      </c>
      <c r="J1520" t="s">
        <v>77</v>
      </c>
      <c r="K1520" t="s">
        <v>78</v>
      </c>
      <c r="L1520" t="s">
        <v>168</v>
      </c>
      <c r="M1520" t="s">
        <v>169</v>
      </c>
      <c r="N1520" t="s">
        <v>191</v>
      </c>
      <c r="O1520" t="s">
        <v>82</v>
      </c>
      <c r="P1520" t="str">
        <f>"4170048234                    "</f>
        <v xml:space="preserve">4170048234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22.6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0.3</v>
      </c>
      <c r="BK1520">
        <v>1</v>
      </c>
      <c r="BL1520">
        <v>71.2</v>
      </c>
      <c r="BM1520">
        <v>10.68</v>
      </c>
      <c r="BN1520">
        <v>81.88</v>
      </c>
      <c r="BO1520">
        <v>81.88</v>
      </c>
      <c r="BQ1520" t="s">
        <v>192</v>
      </c>
      <c r="BR1520" t="s">
        <v>84</v>
      </c>
      <c r="BS1520" s="3">
        <v>45852</v>
      </c>
      <c r="BT1520" s="4">
        <v>0.40694444444444444</v>
      </c>
      <c r="BU1520" t="s">
        <v>193</v>
      </c>
      <c r="BV1520" t="s">
        <v>98</v>
      </c>
      <c r="BY1520">
        <v>1350</v>
      </c>
      <c r="BZ1520" t="s">
        <v>89</v>
      </c>
      <c r="CA1520" t="s">
        <v>196</v>
      </c>
      <c r="CC1520" t="s">
        <v>169</v>
      </c>
      <c r="CD1520">
        <v>6056</v>
      </c>
      <c r="CE1520" t="s">
        <v>1868</v>
      </c>
      <c r="CF1520" s="3">
        <v>45852</v>
      </c>
      <c r="CI1520">
        <v>1</v>
      </c>
      <c r="CJ1520">
        <v>1</v>
      </c>
      <c r="CK1520">
        <v>21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"080066499662"</f>
        <v>080066499662</v>
      </c>
      <c r="F1521" s="3">
        <v>45849</v>
      </c>
      <c r="G1521">
        <v>202604</v>
      </c>
      <c r="H1521" t="s">
        <v>75</v>
      </c>
      <c r="I1521" t="s">
        <v>76</v>
      </c>
      <c r="J1521" t="s">
        <v>77</v>
      </c>
      <c r="K1521" t="s">
        <v>78</v>
      </c>
      <c r="L1521" t="s">
        <v>79</v>
      </c>
      <c r="M1521" t="s">
        <v>80</v>
      </c>
      <c r="N1521" t="s">
        <v>286</v>
      </c>
      <c r="O1521" t="s">
        <v>82</v>
      </c>
      <c r="P1521" t="str">
        <f>"4170048218                    "</f>
        <v xml:space="preserve">4170048218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22.6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0.3</v>
      </c>
      <c r="BK1521">
        <v>1</v>
      </c>
      <c r="BL1521">
        <v>71.2</v>
      </c>
      <c r="BM1521">
        <v>10.68</v>
      </c>
      <c r="BN1521">
        <v>81.88</v>
      </c>
      <c r="BO1521">
        <v>81.88</v>
      </c>
      <c r="BQ1521" t="s">
        <v>287</v>
      </c>
      <c r="BR1521" t="s">
        <v>84</v>
      </c>
      <c r="BS1521" s="3">
        <v>45852</v>
      </c>
      <c r="BT1521" s="4">
        <v>0.32430555555555557</v>
      </c>
      <c r="BU1521" t="s">
        <v>2180</v>
      </c>
      <c r="BV1521" t="s">
        <v>98</v>
      </c>
      <c r="BY1521">
        <v>1350</v>
      </c>
      <c r="BZ1521" t="s">
        <v>89</v>
      </c>
      <c r="CA1521" t="s">
        <v>289</v>
      </c>
      <c r="CC1521" t="s">
        <v>80</v>
      </c>
      <c r="CD1521">
        <v>7530</v>
      </c>
      <c r="CE1521" t="s">
        <v>1868</v>
      </c>
      <c r="CF1521" s="3">
        <v>45853</v>
      </c>
      <c r="CI1521">
        <v>1</v>
      </c>
      <c r="CJ1521">
        <v>1</v>
      </c>
      <c r="CK1521">
        <v>21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"080066499670"</f>
        <v>080066499670</v>
      </c>
      <c r="F1522" s="3">
        <v>45849</v>
      </c>
      <c r="G1522">
        <v>202604</v>
      </c>
      <c r="H1522" t="s">
        <v>75</v>
      </c>
      <c r="I1522" t="s">
        <v>76</v>
      </c>
      <c r="J1522" t="s">
        <v>77</v>
      </c>
      <c r="K1522" t="s">
        <v>78</v>
      </c>
      <c r="L1522" t="s">
        <v>503</v>
      </c>
      <c r="M1522" t="s">
        <v>504</v>
      </c>
      <c r="N1522" t="s">
        <v>505</v>
      </c>
      <c r="O1522" t="s">
        <v>82</v>
      </c>
      <c r="P1522" t="str">
        <f>"4170048161                    "</f>
        <v xml:space="preserve">4170048161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142.63999999999999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7</v>
      </c>
      <c r="BJ1522">
        <v>3.3</v>
      </c>
      <c r="BK1522">
        <v>7</v>
      </c>
      <c r="BL1522">
        <v>449.4</v>
      </c>
      <c r="BM1522">
        <v>67.41</v>
      </c>
      <c r="BN1522">
        <v>516.80999999999995</v>
      </c>
      <c r="BO1522">
        <v>516.80999999999995</v>
      </c>
      <c r="BQ1522" t="s">
        <v>506</v>
      </c>
      <c r="BR1522" t="s">
        <v>84</v>
      </c>
      <c r="BS1522" s="3">
        <v>45852</v>
      </c>
      <c r="BT1522" s="4">
        <v>0.43819444444444444</v>
      </c>
      <c r="BU1522" t="s">
        <v>1235</v>
      </c>
      <c r="BV1522" t="s">
        <v>98</v>
      </c>
      <c r="BY1522">
        <v>16380</v>
      </c>
      <c r="BZ1522" t="s">
        <v>89</v>
      </c>
      <c r="CA1522" t="s">
        <v>508</v>
      </c>
      <c r="CC1522" t="s">
        <v>504</v>
      </c>
      <c r="CD1522">
        <v>7130</v>
      </c>
      <c r="CE1522" t="s">
        <v>91</v>
      </c>
      <c r="CF1522" s="3">
        <v>45853</v>
      </c>
      <c r="CI1522">
        <v>1</v>
      </c>
      <c r="CJ1522">
        <v>1</v>
      </c>
      <c r="CK1522">
        <v>23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"080066499712"</f>
        <v>080066499712</v>
      </c>
      <c r="F1523" s="3">
        <v>45849</v>
      </c>
      <c r="G1523">
        <v>202604</v>
      </c>
      <c r="H1523" t="s">
        <v>75</v>
      </c>
      <c r="I1523" t="s">
        <v>76</v>
      </c>
      <c r="J1523" t="s">
        <v>77</v>
      </c>
      <c r="K1523" t="s">
        <v>78</v>
      </c>
      <c r="L1523" t="s">
        <v>79</v>
      </c>
      <c r="M1523" t="s">
        <v>80</v>
      </c>
      <c r="N1523" t="s">
        <v>1083</v>
      </c>
      <c r="O1523" t="s">
        <v>82</v>
      </c>
      <c r="P1523" t="str">
        <f>"4170048348                    "</f>
        <v xml:space="preserve">4170048348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28.24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2.4</v>
      </c>
      <c r="BK1523">
        <v>2.5</v>
      </c>
      <c r="BL1523">
        <v>88.98</v>
      </c>
      <c r="BM1523">
        <v>13.35</v>
      </c>
      <c r="BN1523">
        <v>102.33</v>
      </c>
      <c r="BO1523">
        <v>102.33</v>
      </c>
      <c r="BQ1523" t="s">
        <v>1084</v>
      </c>
      <c r="BR1523" t="s">
        <v>84</v>
      </c>
      <c r="BS1523" s="3">
        <v>45852</v>
      </c>
      <c r="BT1523" s="4">
        <v>0.37847222222222221</v>
      </c>
      <c r="BU1523" t="s">
        <v>378</v>
      </c>
      <c r="BV1523" t="s">
        <v>98</v>
      </c>
      <c r="BY1523">
        <v>12152</v>
      </c>
      <c r="BZ1523" t="s">
        <v>89</v>
      </c>
      <c r="CA1523" t="s">
        <v>144</v>
      </c>
      <c r="CC1523" t="s">
        <v>80</v>
      </c>
      <c r="CD1523">
        <v>8001</v>
      </c>
      <c r="CE1523" t="s">
        <v>91</v>
      </c>
      <c r="CF1523" s="3">
        <v>45853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"080066499734"</f>
        <v>080066499734</v>
      </c>
      <c r="F1524" s="3">
        <v>45849</v>
      </c>
      <c r="G1524">
        <v>202604</v>
      </c>
      <c r="H1524" t="s">
        <v>75</v>
      </c>
      <c r="I1524" t="s">
        <v>76</v>
      </c>
      <c r="J1524" t="s">
        <v>77</v>
      </c>
      <c r="K1524" t="s">
        <v>78</v>
      </c>
      <c r="L1524" t="s">
        <v>580</v>
      </c>
      <c r="M1524" t="s">
        <v>581</v>
      </c>
      <c r="N1524" t="s">
        <v>582</v>
      </c>
      <c r="O1524" t="s">
        <v>82</v>
      </c>
      <c r="P1524" t="str">
        <f>"4170048214                    "</f>
        <v xml:space="preserve">4170048214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45.18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</v>
      </c>
      <c r="BJ1524">
        <v>3.8</v>
      </c>
      <c r="BK1524">
        <v>4</v>
      </c>
      <c r="BL1524">
        <v>142.34</v>
      </c>
      <c r="BM1524">
        <v>21.35</v>
      </c>
      <c r="BN1524">
        <v>163.69</v>
      </c>
      <c r="BO1524">
        <v>163.69</v>
      </c>
      <c r="BQ1524" t="s">
        <v>583</v>
      </c>
      <c r="BR1524" t="s">
        <v>84</v>
      </c>
      <c r="BS1524" s="3">
        <v>45852</v>
      </c>
      <c r="BT1524" s="4">
        <v>0.36527777777777776</v>
      </c>
      <c r="BU1524" t="s">
        <v>584</v>
      </c>
      <c r="BV1524" t="s">
        <v>98</v>
      </c>
      <c r="BY1524">
        <v>19040</v>
      </c>
      <c r="BZ1524" t="s">
        <v>89</v>
      </c>
      <c r="CA1524" t="s">
        <v>585</v>
      </c>
      <c r="CC1524" t="s">
        <v>581</v>
      </c>
      <c r="CD1524">
        <v>4302</v>
      </c>
      <c r="CE1524" t="s">
        <v>91</v>
      </c>
      <c r="CF1524" s="3">
        <v>45853</v>
      </c>
      <c r="CI1524">
        <v>1</v>
      </c>
      <c r="CJ1524">
        <v>1</v>
      </c>
      <c r="CK1524">
        <v>21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"080066499735"</f>
        <v>080066499735</v>
      </c>
      <c r="F1525" s="3">
        <v>45849</v>
      </c>
      <c r="G1525">
        <v>202604</v>
      </c>
      <c r="H1525" t="s">
        <v>75</v>
      </c>
      <c r="I1525" t="s">
        <v>76</v>
      </c>
      <c r="J1525" t="s">
        <v>77</v>
      </c>
      <c r="K1525" t="s">
        <v>78</v>
      </c>
      <c r="L1525" t="s">
        <v>151</v>
      </c>
      <c r="M1525" t="s">
        <v>152</v>
      </c>
      <c r="N1525" t="s">
        <v>153</v>
      </c>
      <c r="O1525" t="s">
        <v>82</v>
      </c>
      <c r="P1525" t="str">
        <f>"4170048303                    "</f>
        <v xml:space="preserve">4170048303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22.6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0.3</v>
      </c>
      <c r="BK1525">
        <v>1</v>
      </c>
      <c r="BL1525">
        <v>71.2</v>
      </c>
      <c r="BM1525">
        <v>10.68</v>
      </c>
      <c r="BN1525">
        <v>81.88</v>
      </c>
      <c r="BO1525">
        <v>81.88</v>
      </c>
      <c r="BQ1525" t="s">
        <v>154</v>
      </c>
      <c r="BR1525" t="s">
        <v>84</v>
      </c>
      <c r="BS1525" s="3">
        <v>45852</v>
      </c>
      <c r="BT1525" s="4">
        <v>0.35069444444444442</v>
      </c>
      <c r="BU1525" t="s">
        <v>155</v>
      </c>
      <c r="BV1525" t="s">
        <v>98</v>
      </c>
      <c r="BY1525">
        <v>1350</v>
      </c>
      <c r="BZ1525" t="s">
        <v>89</v>
      </c>
      <c r="CA1525" t="s">
        <v>156</v>
      </c>
      <c r="CC1525" t="s">
        <v>152</v>
      </c>
      <c r="CD1525" s="5" t="s">
        <v>157</v>
      </c>
      <c r="CE1525" t="s">
        <v>1868</v>
      </c>
      <c r="CF1525" s="3">
        <v>45852</v>
      </c>
      <c r="CI1525">
        <v>1</v>
      </c>
      <c r="CJ1525">
        <v>1</v>
      </c>
      <c r="CK1525">
        <v>21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"080066499809"</f>
        <v>080066499809</v>
      </c>
      <c r="F1526" s="3">
        <v>45849</v>
      </c>
      <c r="G1526">
        <v>202604</v>
      </c>
      <c r="H1526" t="s">
        <v>75</v>
      </c>
      <c r="I1526" t="s">
        <v>76</v>
      </c>
      <c r="J1526" t="s">
        <v>77</v>
      </c>
      <c r="K1526" t="s">
        <v>78</v>
      </c>
      <c r="L1526" t="s">
        <v>554</v>
      </c>
      <c r="M1526" t="s">
        <v>555</v>
      </c>
      <c r="N1526" t="s">
        <v>556</v>
      </c>
      <c r="O1526" t="s">
        <v>82</v>
      </c>
      <c r="P1526" t="str">
        <f>"4170048169                    "</f>
        <v xml:space="preserve">4170048169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22.6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0.3</v>
      </c>
      <c r="BK1526">
        <v>1</v>
      </c>
      <c r="BL1526">
        <v>71.2</v>
      </c>
      <c r="BM1526">
        <v>10.68</v>
      </c>
      <c r="BN1526">
        <v>81.88</v>
      </c>
      <c r="BO1526">
        <v>81.88</v>
      </c>
      <c r="BQ1526" t="s">
        <v>557</v>
      </c>
      <c r="BR1526" t="s">
        <v>84</v>
      </c>
      <c r="BS1526" s="3">
        <v>45852</v>
      </c>
      <c r="BT1526" s="4">
        <v>0.34930555555555554</v>
      </c>
      <c r="BU1526" t="s">
        <v>558</v>
      </c>
      <c r="BV1526" t="s">
        <v>98</v>
      </c>
      <c r="BY1526">
        <v>1350</v>
      </c>
      <c r="BZ1526" t="s">
        <v>89</v>
      </c>
      <c r="CA1526" t="s">
        <v>559</v>
      </c>
      <c r="CC1526" t="s">
        <v>555</v>
      </c>
      <c r="CD1526" s="5" t="s">
        <v>560</v>
      </c>
      <c r="CE1526" t="s">
        <v>1868</v>
      </c>
      <c r="CF1526" s="3">
        <v>45852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"080066499856"</f>
        <v>080066499856</v>
      </c>
      <c r="F1527" s="3">
        <v>45849</v>
      </c>
      <c r="G1527">
        <v>202604</v>
      </c>
      <c r="H1527" t="s">
        <v>75</v>
      </c>
      <c r="I1527" t="s">
        <v>76</v>
      </c>
      <c r="J1527" t="s">
        <v>77</v>
      </c>
      <c r="K1527" t="s">
        <v>78</v>
      </c>
      <c r="L1527" t="s">
        <v>580</v>
      </c>
      <c r="M1527" t="s">
        <v>581</v>
      </c>
      <c r="N1527" t="s">
        <v>582</v>
      </c>
      <c r="O1527" t="s">
        <v>82</v>
      </c>
      <c r="P1527" t="str">
        <f>"4170048269                    "</f>
        <v xml:space="preserve">4170048269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22.6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0.3</v>
      </c>
      <c r="BK1527">
        <v>1</v>
      </c>
      <c r="BL1527">
        <v>71.2</v>
      </c>
      <c r="BM1527">
        <v>10.68</v>
      </c>
      <c r="BN1527">
        <v>81.88</v>
      </c>
      <c r="BO1527">
        <v>81.88</v>
      </c>
      <c r="BQ1527" t="s">
        <v>583</v>
      </c>
      <c r="BR1527" t="s">
        <v>84</v>
      </c>
      <c r="BS1527" s="3">
        <v>45852</v>
      </c>
      <c r="BT1527" s="4">
        <v>0.36527777777777776</v>
      </c>
      <c r="BU1527" t="s">
        <v>584</v>
      </c>
      <c r="BV1527" t="s">
        <v>98</v>
      </c>
      <c r="BY1527">
        <v>1350</v>
      </c>
      <c r="BZ1527" t="s">
        <v>89</v>
      </c>
      <c r="CA1527" t="s">
        <v>585</v>
      </c>
      <c r="CC1527" t="s">
        <v>581</v>
      </c>
      <c r="CD1527">
        <v>4302</v>
      </c>
      <c r="CE1527" t="s">
        <v>1868</v>
      </c>
      <c r="CF1527" s="3">
        <v>45853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"080066499866"</f>
        <v>080066499866</v>
      </c>
      <c r="F1528" s="3">
        <v>45849</v>
      </c>
      <c r="G1528">
        <v>202604</v>
      </c>
      <c r="H1528" t="s">
        <v>75</v>
      </c>
      <c r="I1528" t="s">
        <v>76</v>
      </c>
      <c r="J1528" t="s">
        <v>77</v>
      </c>
      <c r="K1528" t="s">
        <v>78</v>
      </c>
      <c r="L1528" t="s">
        <v>197</v>
      </c>
      <c r="M1528" t="s">
        <v>198</v>
      </c>
      <c r="N1528" t="s">
        <v>2181</v>
      </c>
      <c r="O1528" t="s">
        <v>311</v>
      </c>
      <c r="P1528" t="str">
        <f>"4170048145                    "</f>
        <v xml:space="preserve">4170048145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27.56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9</v>
      </c>
      <c r="BJ1528">
        <v>13</v>
      </c>
      <c r="BK1528">
        <v>13</v>
      </c>
      <c r="BL1528">
        <v>86.83</v>
      </c>
      <c r="BM1528">
        <v>13.02</v>
      </c>
      <c r="BN1528">
        <v>99.85</v>
      </c>
      <c r="BO1528">
        <v>99.85</v>
      </c>
      <c r="BQ1528" t="s">
        <v>2182</v>
      </c>
      <c r="BR1528" t="s">
        <v>84</v>
      </c>
      <c r="BS1528" s="3">
        <v>45852</v>
      </c>
      <c r="BT1528" s="4">
        <v>0.43541666666666667</v>
      </c>
      <c r="BU1528" t="s">
        <v>1127</v>
      </c>
      <c r="BV1528" t="s">
        <v>98</v>
      </c>
      <c r="BY1528">
        <v>64800</v>
      </c>
      <c r="BZ1528" t="s">
        <v>99</v>
      </c>
      <c r="CA1528" t="s">
        <v>1058</v>
      </c>
      <c r="CC1528" t="s">
        <v>198</v>
      </c>
      <c r="CD1528">
        <v>1401</v>
      </c>
      <c r="CE1528" t="s">
        <v>91</v>
      </c>
      <c r="CF1528" s="3">
        <v>45853</v>
      </c>
      <c r="CI1528">
        <v>1</v>
      </c>
      <c r="CJ1528">
        <v>1</v>
      </c>
      <c r="CK1528">
        <v>32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"080066499891"</f>
        <v>080066499891</v>
      </c>
      <c r="F1529" s="3">
        <v>45849</v>
      </c>
      <c r="G1529">
        <v>202604</v>
      </c>
      <c r="H1529" t="s">
        <v>75</v>
      </c>
      <c r="I1529" t="s">
        <v>76</v>
      </c>
      <c r="J1529" t="s">
        <v>77</v>
      </c>
      <c r="K1529" t="s">
        <v>78</v>
      </c>
      <c r="L1529" t="s">
        <v>135</v>
      </c>
      <c r="M1529" t="s">
        <v>136</v>
      </c>
      <c r="N1529" t="s">
        <v>1093</v>
      </c>
      <c r="O1529" t="s">
        <v>82</v>
      </c>
      <c r="P1529" t="str">
        <f>"4170048204                    "</f>
        <v xml:space="preserve">4170048204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22.6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0.3</v>
      </c>
      <c r="BK1529">
        <v>1</v>
      </c>
      <c r="BL1529">
        <v>71.2</v>
      </c>
      <c r="BM1529">
        <v>10.68</v>
      </c>
      <c r="BN1529">
        <v>81.88</v>
      </c>
      <c r="BO1529">
        <v>81.88</v>
      </c>
      <c r="BQ1529" t="s">
        <v>1094</v>
      </c>
      <c r="BR1529" t="s">
        <v>84</v>
      </c>
      <c r="BS1529" s="3">
        <v>45852</v>
      </c>
      <c r="BT1529" s="4">
        <v>0.40625</v>
      </c>
      <c r="BU1529" t="s">
        <v>2183</v>
      </c>
      <c r="BV1529" t="s">
        <v>98</v>
      </c>
      <c r="BY1529">
        <v>1350</v>
      </c>
      <c r="BZ1529" t="s">
        <v>89</v>
      </c>
      <c r="CA1529" t="s">
        <v>1602</v>
      </c>
      <c r="CC1529" t="s">
        <v>136</v>
      </c>
      <c r="CD1529">
        <v>3201</v>
      </c>
      <c r="CE1529" t="s">
        <v>1868</v>
      </c>
      <c r="CF1529" s="3">
        <v>45852</v>
      </c>
      <c r="CI1529">
        <v>1</v>
      </c>
      <c r="CJ1529">
        <v>1</v>
      </c>
      <c r="CK1529">
        <v>21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"080066499897"</f>
        <v>080066499897</v>
      </c>
      <c r="F1530" s="3">
        <v>45849</v>
      </c>
      <c r="G1530">
        <v>202604</v>
      </c>
      <c r="H1530" t="s">
        <v>75</v>
      </c>
      <c r="I1530" t="s">
        <v>76</v>
      </c>
      <c r="J1530" t="s">
        <v>77</v>
      </c>
      <c r="K1530" t="s">
        <v>78</v>
      </c>
      <c r="L1530" t="s">
        <v>168</v>
      </c>
      <c r="M1530" t="s">
        <v>169</v>
      </c>
      <c r="N1530" t="s">
        <v>202</v>
      </c>
      <c r="O1530" t="s">
        <v>82</v>
      </c>
      <c r="P1530" t="str">
        <f>"4170048179                    "</f>
        <v xml:space="preserve">4170048179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33.89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3</v>
      </c>
      <c r="BJ1530">
        <v>2.5</v>
      </c>
      <c r="BK1530">
        <v>3</v>
      </c>
      <c r="BL1530">
        <v>106.77</v>
      </c>
      <c r="BM1530">
        <v>16.02</v>
      </c>
      <c r="BN1530">
        <v>122.79</v>
      </c>
      <c r="BO1530">
        <v>122.79</v>
      </c>
      <c r="BQ1530" t="s">
        <v>203</v>
      </c>
      <c r="BR1530" t="s">
        <v>84</v>
      </c>
      <c r="BS1530" s="3">
        <v>45852</v>
      </c>
      <c r="BT1530" s="4">
        <v>0.3840277777777778</v>
      </c>
      <c r="BU1530" t="s">
        <v>1713</v>
      </c>
      <c r="BV1530" t="s">
        <v>98</v>
      </c>
      <c r="BY1530">
        <v>12600</v>
      </c>
      <c r="BZ1530" t="s">
        <v>89</v>
      </c>
      <c r="CA1530" t="s">
        <v>205</v>
      </c>
      <c r="CC1530" t="s">
        <v>169</v>
      </c>
      <c r="CD1530">
        <v>6001</v>
      </c>
      <c r="CE1530" t="s">
        <v>91</v>
      </c>
      <c r="CF1530" s="3">
        <v>45853</v>
      </c>
      <c r="CI1530">
        <v>1</v>
      </c>
      <c r="CJ1530">
        <v>1</v>
      </c>
      <c r="CK1530">
        <v>21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"080066499918"</f>
        <v>080066499918</v>
      </c>
      <c r="F1531" s="3">
        <v>45849</v>
      </c>
      <c r="G1531">
        <v>202604</v>
      </c>
      <c r="H1531" t="s">
        <v>75</v>
      </c>
      <c r="I1531" t="s">
        <v>76</v>
      </c>
      <c r="J1531" t="s">
        <v>77</v>
      </c>
      <c r="K1531" t="s">
        <v>78</v>
      </c>
      <c r="L1531" t="s">
        <v>168</v>
      </c>
      <c r="M1531" t="s">
        <v>169</v>
      </c>
      <c r="N1531" t="s">
        <v>726</v>
      </c>
      <c r="O1531" t="s">
        <v>82</v>
      </c>
      <c r="P1531" t="str">
        <f>"4170048246                    "</f>
        <v xml:space="preserve">4170048246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22.6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0.3</v>
      </c>
      <c r="BK1531">
        <v>1</v>
      </c>
      <c r="BL1531">
        <v>71.2</v>
      </c>
      <c r="BM1531">
        <v>10.68</v>
      </c>
      <c r="BN1531">
        <v>81.88</v>
      </c>
      <c r="BO1531">
        <v>81.88</v>
      </c>
      <c r="BQ1531" t="s">
        <v>727</v>
      </c>
      <c r="BR1531" t="s">
        <v>84</v>
      </c>
      <c r="BS1531" s="3">
        <v>45852</v>
      </c>
      <c r="BT1531" s="4">
        <v>0.37847222222222221</v>
      </c>
      <c r="BU1531" t="s">
        <v>2184</v>
      </c>
      <c r="BV1531" t="s">
        <v>98</v>
      </c>
      <c r="BY1531">
        <v>1350</v>
      </c>
      <c r="BZ1531" t="s">
        <v>89</v>
      </c>
      <c r="CA1531" t="s">
        <v>423</v>
      </c>
      <c r="CC1531" t="s">
        <v>169</v>
      </c>
      <c r="CD1531">
        <v>6001</v>
      </c>
      <c r="CE1531" t="s">
        <v>1868</v>
      </c>
      <c r="CF1531" s="3">
        <v>45852</v>
      </c>
      <c r="CI1531">
        <v>1</v>
      </c>
      <c r="CJ1531">
        <v>1</v>
      </c>
      <c r="CK1531">
        <v>21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"080066499950"</f>
        <v>080066499950</v>
      </c>
      <c r="F1532" s="3">
        <v>45849</v>
      </c>
      <c r="G1532">
        <v>202604</v>
      </c>
      <c r="H1532" t="s">
        <v>75</v>
      </c>
      <c r="I1532" t="s">
        <v>76</v>
      </c>
      <c r="J1532" t="s">
        <v>77</v>
      </c>
      <c r="K1532" t="s">
        <v>78</v>
      </c>
      <c r="L1532" t="s">
        <v>240</v>
      </c>
      <c r="M1532" t="s">
        <v>241</v>
      </c>
      <c r="N1532" t="s">
        <v>2185</v>
      </c>
      <c r="O1532" t="s">
        <v>82</v>
      </c>
      <c r="P1532" t="str">
        <f>"4170048216                    "</f>
        <v xml:space="preserve">4170048216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17.649999999999999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1.1000000000000001</v>
      </c>
      <c r="BK1532">
        <v>2</v>
      </c>
      <c r="BL1532">
        <v>55.61</v>
      </c>
      <c r="BM1532">
        <v>8.34</v>
      </c>
      <c r="BN1532">
        <v>63.95</v>
      </c>
      <c r="BO1532">
        <v>63.95</v>
      </c>
      <c r="BQ1532" t="s">
        <v>2186</v>
      </c>
      <c r="BR1532" t="s">
        <v>84</v>
      </c>
      <c r="BS1532" s="3">
        <v>45852</v>
      </c>
      <c r="BT1532" s="4">
        <v>0.3611111111111111</v>
      </c>
      <c r="BU1532" t="s">
        <v>2187</v>
      </c>
      <c r="BV1532" t="s">
        <v>98</v>
      </c>
      <c r="BY1532">
        <v>5320</v>
      </c>
      <c r="BZ1532" t="s">
        <v>89</v>
      </c>
      <c r="CA1532" t="s">
        <v>1738</v>
      </c>
      <c r="CC1532" t="s">
        <v>241</v>
      </c>
      <c r="CD1532">
        <v>2001</v>
      </c>
      <c r="CE1532" t="s">
        <v>117</v>
      </c>
      <c r="CF1532" s="3">
        <v>45853</v>
      </c>
      <c r="CI1532">
        <v>1</v>
      </c>
      <c r="CJ1532">
        <v>1</v>
      </c>
      <c r="CK1532">
        <v>22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"080066499972"</f>
        <v>080066499972</v>
      </c>
      <c r="F1533" s="3">
        <v>45849</v>
      </c>
      <c r="G1533">
        <v>202604</v>
      </c>
      <c r="H1533" t="s">
        <v>75</v>
      </c>
      <c r="I1533" t="s">
        <v>76</v>
      </c>
      <c r="J1533" t="s">
        <v>77</v>
      </c>
      <c r="K1533" t="s">
        <v>78</v>
      </c>
      <c r="L1533" t="s">
        <v>580</v>
      </c>
      <c r="M1533" t="s">
        <v>581</v>
      </c>
      <c r="N1533" t="s">
        <v>582</v>
      </c>
      <c r="O1533" t="s">
        <v>82</v>
      </c>
      <c r="P1533" t="str">
        <f>"4170048291                    "</f>
        <v xml:space="preserve">4170048291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22.6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0.3</v>
      </c>
      <c r="BK1533">
        <v>1</v>
      </c>
      <c r="BL1533">
        <v>71.2</v>
      </c>
      <c r="BM1533">
        <v>10.68</v>
      </c>
      <c r="BN1533">
        <v>81.88</v>
      </c>
      <c r="BO1533">
        <v>81.88</v>
      </c>
      <c r="BQ1533" t="s">
        <v>583</v>
      </c>
      <c r="BR1533" t="s">
        <v>84</v>
      </c>
      <c r="BS1533" s="3">
        <v>45852</v>
      </c>
      <c r="BT1533" s="4">
        <v>0.36527777777777776</v>
      </c>
      <c r="BU1533" t="s">
        <v>584</v>
      </c>
      <c r="BV1533" t="s">
        <v>98</v>
      </c>
      <c r="BY1533">
        <v>1350</v>
      </c>
      <c r="BZ1533" t="s">
        <v>89</v>
      </c>
      <c r="CA1533" t="s">
        <v>585</v>
      </c>
      <c r="CC1533" t="s">
        <v>581</v>
      </c>
      <c r="CD1533">
        <v>4302</v>
      </c>
      <c r="CE1533" t="s">
        <v>1868</v>
      </c>
      <c r="CF1533" s="3">
        <v>45853</v>
      </c>
      <c r="CI1533">
        <v>1</v>
      </c>
      <c r="CJ1533">
        <v>1</v>
      </c>
      <c r="CK1533">
        <v>21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"080066500002"</f>
        <v>080066500002</v>
      </c>
      <c r="F1534" s="3">
        <v>45849</v>
      </c>
      <c r="G1534">
        <v>202604</v>
      </c>
      <c r="H1534" t="s">
        <v>75</v>
      </c>
      <c r="I1534" t="s">
        <v>76</v>
      </c>
      <c r="J1534" t="s">
        <v>77</v>
      </c>
      <c r="K1534" t="s">
        <v>78</v>
      </c>
      <c r="L1534" t="s">
        <v>554</v>
      </c>
      <c r="M1534" t="s">
        <v>555</v>
      </c>
      <c r="N1534" t="s">
        <v>556</v>
      </c>
      <c r="O1534" t="s">
        <v>82</v>
      </c>
      <c r="P1534" t="str">
        <f>"4170048287                    "</f>
        <v xml:space="preserve">4170048287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22.6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0.3</v>
      </c>
      <c r="BK1534">
        <v>1</v>
      </c>
      <c r="BL1534">
        <v>71.2</v>
      </c>
      <c r="BM1534">
        <v>10.68</v>
      </c>
      <c r="BN1534">
        <v>81.88</v>
      </c>
      <c r="BO1534">
        <v>81.88</v>
      </c>
      <c r="BQ1534" t="s">
        <v>557</v>
      </c>
      <c r="BR1534" t="s">
        <v>84</v>
      </c>
      <c r="BS1534" s="3">
        <v>45852</v>
      </c>
      <c r="BT1534" s="4">
        <v>0.34861111111111109</v>
      </c>
      <c r="BU1534" t="s">
        <v>558</v>
      </c>
      <c r="BV1534" t="s">
        <v>98</v>
      </c>
      <c r="BY1534">
        <v>1350</v>
      </c>
      <c r="BZ1534" t="s">
        <v>89</v>
      </c>
      <c r="CA1534" t="s">
        <v>559</v>
      </c>
      <c r="CC1534" t="s">
        <v>555</v>
      </c>
      <c r="CD1534" s="5" t="s">
        <v>560</v>
      </c>
      <c r="CE1534" t="s">
        <v>1868</v>
      </c>
      <c r="CF1534" s="3">
        <v>45852</v>
      </c>
      <c r="CI1534">
        <v>1</v>
      </c>
      <c r="CJ1534">
        <v>1</v>
      </c>
      <c r="CK1534">
        <v>21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"R080066430608"</f>
        <v>R080066430608</v>
      </c>
      <c r="F1535" s="3">
        <v>45849</v>
      </c>
      <c r="G1535">
        <v>202604</v>
      </c>
      <c r="H1535" t="s">
        <v>75</v>
      </c>
      <c r="I1535" t="s">
        <v>76</v>
      </c>
      <c r="J1535" t="s">
        <v>2188</v>
      </c>
      <c r="K1535" t="s">
        <v>78</v>
      </c>
      <c r="L1535" t="s">
        <v>79</v>
      </c>
      <c r="M1535" t="s">
        <v>80</v>
      </c>
      <c r="N1535" t="s">
        <v>2189</v>
      </c>
      <c r="O1535" t="s">
        <v>82</v>
      </c>
      <c r="P1535" t="str">
        <f>"4170047468                    "</f>
        <v xml:space="preserve">4170047468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0.1</v>
      </c>
      <c r="BK1535">
        <v>1</v>
      </c>
      <c r="BL1535">
        <v>0</v>
      </c>
      <c r="BM1535">
        <v>0</v>
      </c>
      <c r="BN1535">
        <v>0</v>
      </c>
      <c r="BO1535">
        <v>0</v>
      </c>
      <c r="BQ1535" t="s">
        <v>2190</v>
      </c>
      <c r="BR1535" t="s">
        <v>84</v>
      </c>
      <c r="BS1535" s="3">
        <v>45852</v>
      </c>
      <c r="BT1535" s="4">
        <v>0.32708333333333334</v>
      </c>
      <c r="BU1535" t="s">
        <v>2071</v>
      </c>
      <c r="BV1535" t="s">
        <v>98</v>
      </c>
      <c r="BY1535">
        <v>450</v>
      </c>
      <c r="BZ1535" t="s">
        <v>425</v>
      </c>
      <c r="CA1535" t="s">
        <v>289</v>
      </c>
      <c r="CC1535" t="s">
        <v>80</v>
      </c>
      <c r="CD1535">
        <v>7530</v>
      </c>
      <c r="CE1535" t="s">
        <v>239</v>
      </c>
      <c r="CF1535" s="3">
        <v>45853</v>
      </c>
      <c r="CI1535">
        <v>1</v>
      </c>
      <c r="CJ1535">
        <v>1</v>
      </c>
      <c r="CK1535">
        <v>-1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"080066500003"</f>
        <v>080066500003</v>
      </c>
      <c r="F1536" s="3">
        <v>45849</v>
      </c>
      <c r="G1536">
        <v>202604</v>
      </c>
      <c r="H1536" t="s">
        <v>75</v>
      </c>
      <c r="I1536" t="s">
        <v>76</v>
      </c>
      <c r="J1536" t="s">
        <v>77</v>
      </c>
      <c r="K1536" t="s">
        <v>78</v>
      </c>
      <c r="L1536" t="s">
        <v>79</v>
      </c>
      <c r="M1536" t="s">
        <v>80</v>
      </c>
      <c r="N1536" t="s">
        <v>1816</v>
      </c>
      <c r="O1536" t="s">
        <v>82</v>
      </c>
      <c r="P1536" t="str">
        <f>"4170048009                    "</f>
        <v xml:space="preserve">4170048009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135.5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12</v>
      </c>
      <c r="BJ1536">
        <v>6.7</v>
      </c>
      <c r="BK1536">
        <v>12</v>
      </c>
      <c r="BL1536">
        <v>426.9</v>
      </c>
      <c r="BM1536">
        <v>64.040000000000006</v>
      </c>
      <c r="BN1536">
        <v>490.94</v>
      </c>
      <c r="BO1536">
        <v>490.94</v>
      </c>
      <c r="BQ1536" t="s">
        <v>1817</v>
      </c>
      <c r="BR1536" t="s">
        <v>84</v>
      </c>
      <c r="BS1536" s="3">
        <v>45852</v>
      </c>
      <c r="BT1536" s="4">
        <v>0.62916666666666665</v>
      </c>
      <c r="BU1536" t="s">
        <v>2037</v>
      </c>
      <c r="BV1536" t="s">
        <v>86</v>
      </c>
      <c r="BW1536" t="s">
        <v>87</v>
      </c>
      <c r="BX1536" t="s">
        <v>1185</v>
      </c>
      <c r="BY1536">
        <v>33534</v>
      </c>
      <c r="BZ1536" t="s">
        <v>89</v>
      </c>
      <c r="CA1536" t="s">
        <v>90</v>
      </c>
      <c r="CC1536" t="s">
        <v>80</v>
      </c>
      <c r="CD1536">
        <v>7550</v>
      </c>
      <c r="CE1536" t="s">
        <v>91</v>
      </c>
      <c r="CF1536" s="3">
        <v>45853</v>
      </c>
      <c r="CI1536">
        <v>1</v>
      </c>
      <c r="CJ1536">
        <v>1</v>
      </c>
      <c r="CK1536">
        <v>21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"080066500066"</f>
        <v>080066500066</v>
      </c>
      <c r="F1537" s="3">
        <v>45849</v>
      </c>
      <c r="G1537">
        <v>202604</v>
      </c>
      <c r="H1537" t="s">
        <v>75</v>
      </c>
      <c r="I1537" t="s">
        <v>76</v>
      </c>
      <c r="J1537" t="s">
        <v>77</v>
      </c>
      <c r="K1537" t="s">
        <v>78</v>
      </c>
      <c r="L1537" t="s">
        <v>1370</v>
      </c>
      <c r="M1537" t="s">
        <v>1371</v>
      </c>
      <c r="N1537" t="s">
        <v>1346</v>
      </c>
      <c r="O1537" t="s">
        <v>82</v>
      </c>
      <c r="P1537" t="str">
        <f>"4170048209                    "</f>
        <v xml:space="preserve">4170048209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43.78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0.3</v>
      </c>
      <c r="BK1537">
        <v>1</v>
      </c>
      <c r="BL1537">
        <v>137.94</v>
      </c>
      <c r="BM1537">
        <v>20.69</v>
      </c>
      <c r="BN1537">
        <v>158.63</v>
      </c>
      <c r="BO1537">
        <v>158.63</v>
      </c>
      <c r="BQ1537" t="s">
        <v>1347</v>
      </c>
      <c r="BR1537" t="s">
        <v>84</v>
      </c>
      <c r="BS1537" s="3">
        <v>45852</v>
      </c>
      <c r="BT1537" s="4">
        <v>0.53055555555555556</v>
      </c>
      <c r="BU1537" t="s">
        <v>2160</v>
      </c>
      <c r="BV1537" t="s">
        <v>98</v>
      </c>
      <c r="BY1537">
        <v>1350</v>
      </c>
      <c r="BZ1537" t="s">
        <v>89</v>
      </c>
      <c r="CA1537" t="s">
        <v>1375</v>
      </c>
      <c r="CC1537" t="s">
        <v>1371</v>
      </c>
      <c r="CD1537" s="5" t="s">
        <v>1376</v>
      </c>
      <c r="CE1537" t="s">
        <v>1868</v>
      </c>
      <c r="CF1537" s="3">
        <v>45853</v>
      </c>
      <c r="CI1537">
        <v>1</v>
      </c>
      <c r="CJ1537">
        <v>1</v>
      </c>
      <c r="CK1537">
        <v>23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"080066500129"</f>
        <v>080066500129</v>
      </c>
      <c r="F1538" s="3">
        <v>45849</v>
      </c>
      <c r="G1538">
        <v>202604</v>
      </c>
      <c r="H1538" t="s">
        <v>75</v>
      </c>
      <c r="I1538" t="s">
        <v>76</v>
      </c>
      <c r="J1538" t="s">
        <v>77</v>
      </c>
      <c r="K1538" t="s">
        <v>78</v>
      </c>
      <c r="L1538" t="s">
        <v>151</v>
      </c>
      <c r="M1538" t="s">
        <v>152</v>
      </c>
      <c r="N1538" t="s">
        <v>352</v>
      </c>
      <c r="O1538" t="s">
        <v>82</v>
      </c>
      <c r="P1538" t="str">
        <f>"4170048156                    "</f>
        <v xml:space="preserve">4170048156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22.6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0.3</v>
      </c>
      <c r="BK1538">
        <v>1</v>
      </c>
      <c r="BL1538">
        <v>71.2</v>
      </c>
      <c r="BM1538">
        <v>10.68</v>
      </c>
      <c r="BN1538">
        <v>81.88</v>
      </c>
      <c r="BO1538">
        <v>81.88</v>
      </c>
      <c r="BQ1538" t="s">
        <v>353</v>
      </c>
      <c r="BR1538" t="s">
        <v>84</v>
      </c>
      <c r="BS1538" s="3">
        <v>45852</v>
      </c>
      <c r="BT1538" s="4">
        <v>0.40555555555555556</v>
      </c>
      <c r="BU1538" t="s">
        <v>1649</v>
      </c>
      <c r="BV1538" t="s">
        <v>98</v>
      </c>
      <c r="BY1538">
        <v>1350</v>
      </c>
      <c r="BZ1538" t="s">
        <v>89</v>
      </c>
      <c r="CA1538" t="s">
        <v>716</v>
      </c>
      <c r="CC1538" t="s">
        <v>152</v>
      </c>
      <c r="CD1538" s="5" t="s">
        <v>717</v>
      </c>
      <c r="CE1538" t="s">
        <v>1868</v>
      </c>
      <c r="CF1538" s="3">
        <v>45852</v>
      </c>
      <c r="CI1538">
        <v>1</v>
      </c>
      <c r="CJ1538">
        <v>1</v>
      </c>
      <c r="CK1538">
        <v>21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"080066500480"</f>
        <v>080066500480</v>
      </c>
      <c r="F1539" s="3">
        <v>45849</v>
      </c>
      <c r="G1539">
        <v>202604</v>
      </c>
      <c r="H1539" t="s">
        <v>75</v>
      </c>
      <c r="I1539" t="s">
        <v>76</v>
      </c>
      <c r="J1539" t="s">
        <v>77</v>
      </c>
      <c r="K1539" t="s">
        <v>78</v>
      </c>
      <c r="L1539" t="s">
        <v>168</v>
      </c>
      <c r="M1539" t="s">
        <v>169</v>
      </c>
      <c r="N1539" t="s">
        <v>170</v>
      </c>
      <c r="O1539" t="s">
        <v>82</v>
      </c>
      <c r="P1539" t="str">
        <f>"4170048185                    "</f>
        <v xml:space="preserve">4170048185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22.6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0.3</v>
      </c>
      <c r="BK1539">
        <v>1</v>
      </c>
      <c r="BL1539">
        <v>71.2</v>
      </c>
      <c r="BM1539">
        <v>10.68</v>
      </c>
      <c r="BN1539">
        <v>81.88</v>
      </c>
      <c r="BO1539">
        <v>81.88</v>
      </c>
      <c r="BQ1539" t="s">
        <v>171</v>
      </c>
      <c r="BR1539" t="s">
        <v>84</v>
      </c>
      <c r="BS1539" s="3">
        <v>45852</v>
      </c>
      <c r="BT1539" s="4">
        <v>0.37916666666666665</v>
      </c>
      <c r="BU1539" t="s">
        <v>2191</v>
      </c>
      <c r="BV1539" t="s">
        <v>98</v>
      </c>
      <c r="BY1539">
        <v>1350</v>
      </c>
      <c r="BZ1539" t="s">
        <v>89</v>
      </c>
      <c r="CA1539" t="s">
        <v>173</v>
      </c>
      <c r="CC1539" t="s">
        <v>169</v>
      </c>
      <c r="CD1539">
        <v>6001</v>
      </c>
      <c r="CE1539">
        <v>1</v>
      </c>
      <c r="CF1539" s="3">
        <v>45859</v>
      </c>
      <c r="CI1539">
        <v>1</v>
      </c>
      <c r="CJ1539">
        <v>1</v>
      </c>
      <c r="CK1539">
        <v>21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"080066500487"</f>
        <v>080066500487</v>
      </c>
      <c r="F1540" s="3">
        <v>45849</v>
      </c>
      <c r="G1540">
        <v>202604</v>
      </c>
      <c r="H1540" t="s">
        <v>75</v>
      </c>
      <c r="I1540" t="s">
        <v>76</v>
      </c>
      <c r="J1540" t="s">
        <v>77</v>
      </c>
      <c r="K1540" t="s">
        <v>78</v>
      </c>
      <c r="L1540" t="s">
        <v>240</v>
      </c>
      <c r="M1540" t="s">
        <v>241</v>
      </c>
      <c r="N1540" t="s">
        <v>447</v>
      </c>
      <c r="O1540" t="s">
        <v>82</v>
      </c>
      <c r="P1540" t="str">
        <f>"4170048131                    "</f>
        <v xml:space="preserve">4170048131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17.649999999999999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6</v>
      </c>
      <c r="BJ1540">
        <v>3.7</v>
      </c>
      <c r="BK1540">
        <v>6</v>
      </c>
      <c r="BL1540">
        <v>55.61</v>
      </c>
      <c r="BM1540">
        <v>8.34</v>
      </c>
      <c r="BN1540">
        <v>63.95</v>
      </c>
      <c r="BO1540">
        <v>63.95</v>
      </c>
      <c r="BQ1540" t="s">
        <v>448</v>
      </c>
      <c r="BR1540" t="s">
        <v>84</v>
      </c>
      <c r="BS1540" s="3">
        <v>45852</v>
      </c>
      <c r="BT1540" s="4">
        <v>0.38680555555555557</v>
      </c>
      <c r="BU1540" t="s">
        <v>2192</v>
      </c>
      <c r="BV1540" t="s">
        <v>98</v>
      </c>
      <c r="BY1540">
        <v>18648</v>
      </c>
      <c r="BZ1540" t="s">
        <v>89</v>
      </c>
      <c r="CA1540" t="s">
        <v>451</v>
      </c>
      <c r="CC1540" t="s">
        <v>241</v>
      </c>
      <c r="CD1540">
        <v>2094</v>
      </c>
      <c r="CE1540" t="s">
        <v>91</v>
      </c>
      <c r="CF1540" s="3">
        <v>45852</v>
      </c>
      <c r="CI1540">
        <v>1</v>
      </c>
      <c r="CJ1540">
        <v>1</v>
      </c>
      <c r="CK1540">
        <v>22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"080066500518"</f>
        <v>080066500518</v>
      </c>
      <c r="F1541" s="3">
        <v>45849</v>
      </c>
      <c r="G1541">
        <v>202604</v>
      </c>
      <c r="H1541" t="s">
        <v>75</v>
      </c>
      <c r="I1541" t="s">
        <v>76</v>
      </c>
      <c r="J1541" t="s">
        <v>77</v>
      </c>
      <c r="K1541" t="s">
        <v>78</v>
      </c>
      <c r="L1541" t="s">
        <v>79</v>
      </c>
      <c r="M1541" t="s">
        <v>80</v>
      </c>
      <c r="N1541" t="s">
        <v>2193</v>
      </c>
      <c r="O1541" t="s">
        <v>82</v>
      </c>
      <c r="P1541" t="str">
        <f>"4170048213                    "</f>
        <v xml:space="preserve">4170048213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22.6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0.3</v>
      </c>
      <c r="BK1541">
        <v>1</v>
      </c>
      <c r="BL1541">
        <v>71.2</v>
      </c>
      <c r="BM1541">
        <v>10.68</v>
      </c>
      <c r="BN1541">
        <v>81.88</v>
      </c>
      <c r="BO1541">
        <v>81.88</v>
      </c>
      <c r="BQ1541" t="s">
        <v>2194</v>
      </c>
      <c r="BR1541" t="s">
        <v>84</v>
      </c>
      <c r="BS1541" s="3">
        <v>45852</v>
      </c>
      <c r="BT1541" s="4">
        <v>0.54583333333333328</v>
      </c>
      <c r="BU1541" t="s">
        <v>2195</v>
      </c>
      <c r="BV1541" t="s">
        <v>86</v>
      </c>
      <c r="BW1541" t="s">
        <v>1120</v>
      </c>
      <c r="BX1541" t="s">
        <v>1054</v>
      </c>
      <c r="BY1541">
        <v>1350</v>
      </c>
      <c r="BZ1541" t="s">
        <v>89</v>
      </c>
      <c r="CC1541" t="s">
        <v>80</v>
      </c>
      <c r="CD1541">
        <v>7490</v>
      </c>
      <c r="CE1541" t="s">
        <v>1868</v>
      </c>
      <c r="CF1541" s="3">
        <v>45853</v>
      </c>
      <c r="CI1541">
        <v>1</v>
      </c>
      <c r="CJ1541">
        <v>1</v>
      </c>
      <c r="CK1541">
        <v>21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"080066500519"</f>
        <v>080066500519</v>
      </c>
      <c r="F1542" s="3">
        <v>45849</v>
      </c>
      <c r="G1542">
        <v>202604</v>
      </c>
      <c r="H1542" t="s">
        <v>75</v>
      </c>
      <c r="I1542" t="s">
        <v>76</v>
      </c>
      <c r="J1542" t="s">
        <v>77</v>
      </c>
      <c r="K1542" t="s">
        <v>78</v>
      </c>
      <c r="L1542" t="s">
        <v>168</v>
      </c>
      <c r="M1542" t="s">
        <v>169</v>
      </c>
      <c r="N1542" t="s">
        <v>202</v>
      </c>
      <c r="O1542" t="s">
        <v>82</v>
      </c>
      <c r="P1542" t="str">
        <f>"4170048219                    "</f>
        <v xml:space="preserve">4170048219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22.6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1.9</v>
      </c>
      <c r="BK1542">
        <v>2</v>
      </c>
      <c r="BL1542">
        <v>71.2</v>
      </c>
      <c r="BM1542">
        <v>10.68</v>
      </c>
      <c r="BN1542">
        <v>81.88</v>
      </c>
      <c r="BO1542">
        <v>81.88</v>
      </c>
      <c r="BQ1542" t="s">
        <v>203</v>
      </c>
      <c r="BR1542" t="s">
        <v>84</v>
      </c>
      <c r="BS1542" s="3">
        <v>45852</v>
      </c>
      <c r="BT1542" s="4">
        <v>0.38541666666666669</v>
      </c>
      <c r="BU1542" t="s">
        <v>1713</v>
      </c>
      <c r="BV1542" t="s">
        <v>98</v>
      </c>
      <c r="BY1542">
        <v>9600</v>
      </c>
      <c r="BZ1542" t="s">
        <v>89</v>
      </c>
      <c r="CA1542" t="s">
        <v>205</v>
      </c>
      <c r="CC1542" t="s">
        <v>169</v>
      </c>
      <c r="CD1542">
        <v>6001</v>
      </c>
      <c r="CE1542" t="s">
        <v>117</v>
      </c>
      <c r="CF1542" s="3">
        <v>45853</v>
      </c>
      <c r="CI1542">
        <v>1</v>
      </c>
      <c r="CJ1542">
        <v>1</v>
      </c>
      <c r="CK1542">
        <v>21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"080066500549"</f>
        <v>080066500549</v>
      </c>
      <c r="F1543" s="3">
        <v>45849</v>
      </c>
      <c r="G1543">
        <v>202604</v>
      </c>
      <c r="H1543" t="s">
        <v>75</v>
      </c>
      <c r="I1543" t="s">
        <v>76</v>
      </c>
      <c r="J1543" t="s">
        <v>77</v>
      </c>
      <c r="K1543" t="s">
        <v>78</v>
      </c>
      <c r="L1543" t="s">
        <v>168</v>
      </c>
      <c r="M1543" t="s">
        <v>169</v>
      </c>
      <c r="N1543" t="s">
        <v>206</v>
      </c>
      <c r="O1543" t="s">
        <v>82</v>
      </c>
      <c r="P1543" t="str">
        <f>"4170048090                    "</f>
        <v xml:space="preserve">4170048090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22.6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0.3</v>
      </c>
      <c r="BK1543">
        <v>1</v>
      </c>
      <c r="BL1543">
        <v>71.2</v>
      </c>
      <c r="BM1543">
        <v>10.68</v>
      </c>
      <c r="BN1543">
        <v>81.88</v>
      </c>
      <c r="BO1543">
        <v>81.88</v>
      </c>
      <c r="BQ1543" t="s">
        <v>207</v>
      </c>
      <c r="BR1543" t="s">
        <v>84</v>
      </c>
      <c r="BS1543" s="3">
        <v>45852</v>
      </c>
      <c r="BT1543" s="4">
        <v>0.37986111111111109</v>
      </c>
      <c r="BU1543" t="s">
        <v>208</v>
      </c>
      <c r="BV1543" t="s">
        <v>98</v>
      </c>
      <c r="BY1543">
        <v>1350</v>
      </c>
      <c r="BZ1543" t="s">
        <v>89</v>
      </c>
      <c r="CA1543" t="s">
        <v>196</v>
      </c>
      <c r="CC1543" t="s">
        <v>169</v>
      </c>
      <c r="CD1543">
        <v>6001</v>
      </c>
      <c r="CE1543" t="s">
        <v>1868</v>
      </c>
      <c r="CF1543" s="3">
        <v>45852</v>
      </c>
      <c r="CI1543">
        <v>1</v>
      </c>
      <c r="CJ1543">
        <v>1</v>
      </c>
      <c r="CK1543">
        <v>21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"080066500571"</f>
        <v>080066500571</v>
      </c>
      <c r="F1544" s="3">
        <v>45849</v>
      </c>
      <c r="G1544">
        <v>202604</v>
      </c>
      <c r="H1544" t="s">
        <v>75</v>
      </c>
      <c r="I1544" t="s">
        <v>76</v>
      </c>
      <c r="J1544" t="s">
        <v>77</v>
      </c>
      <c r="K1544" t="s">
        <v>78</v>
      </c>
      <c r="L1544" t="s">
        <v>168</v>
      </c>
      <c r="M1544" t="s">
        <v>169</v>
      </c>
      <c r="N1544" t="s">
        <v>412</v>
      </c>
      <c r="O1544" t="s">
        <v>82</v>
      </c>
      <c r="P1544" t="str">
        <f>"4170048221                    "</f>
        <v xml:space="preserve">4170048221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50.82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4</v>
      </c>
      <c r="BJ1544">
        <v>4.2</v>
      </c>
      <c r="BK1544">
        <v>4.5</v>
      </c>
      <c r="BL1544">
        <v>160.12</v>
      </c>
      <c r="BM1544">
        <v>24.02</v>
      </c>
      <c r="BN1544">
        <v>184.14</v>
      </c>
      <c r="BO1544">
        <v>184.14</v>
      </c>
      <c r="BQ1544" t="s">
        <v>413</v>
      </c>
      <c r="BR1544" t="s">
        <v>84</v>
      </c>
      <c r="BS1544" s="3">
        <v>45852</v>
      </c>
      <c r="BT1544" s="4">
        <v>0.37083333333333335</v>
      </c>
      <c r="BU1544" t="s">
        <v>414</v>
      </c>
      <c r="BV1544" t="s">
        <v>98</v>
      </c>
      <c r="BY1544">
        <v>20992</v>
      </c>
      <c r="BZ1544" t="s">
        <v>89</v>
      </c>
      <c r="CA1544" t="s">
        <v>415</v>
      </c>
      <c r="CC1544" t="s">
        <v>169</v>
      </c>
      <c r="CD1544">
        <v>6001</v>
      </c>
      <c r="CE1544" t="s">
        <v>91</v>
      </c>
      <c r="CF1544" s="3">
        <v>45852</v>
      </c>
      <c r="CI1544">
        <v>1</v>
      </c>
      <c r="CJ1544">
        <v>1</v>
      </c>
      <c r="CK1544">
        <v>21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"080066500580"</f>
        <v>080066500580</v>
      </c>
      <c r="F1545" s="3">
        <v>45849</v>
      </c>
      <c r="G1545">
        <v>202604</v>
      </c>
      <c r="H1545" t="s">
        <v>75</v>
      </c>
      <c r="I1545" t="s">
        <v>76</v>
      </c>
      <c r="J1545" t="s">
        <v>77</v>
      </c>
      <c r="K1545" t="s">
        <v>78</v>
      </c>
      <c r="L1545" t="s">
        <v>168</v>
      </c>
      <c r="M1545" t="s">
        <v>169</v>
      </c>
      <c r="N1545" t="s">
        <v>202</v>
      </c>
      <c r="O1545" t="s">
        <v>82</v>
      </c>
      <c r="P1545" t="str">
        <f>"4170048195                    "</f>
        <v xml:space="preserve">4170048195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22.6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0.3</v>
      </c>
      <c r="BK1545">
        <v>1</v>
      </c>
      <c r="BL1545">
        <v>71.2</v>
      </c>
      <c r="BM1545">
        <v>10.68</v>
      </c>
      <c r="BN1545">
        <v>81.88</v>
      </c>
      <c r="BO1545">
        <v>81.88</v>
      </c>
      <c r="BQ1545" t="s">
        <v>203</v>
      </c>
      <c r="BR1545" t="s">
        <v>84</v>
      </c>
      <c r="BS1545" s="3">
        <v>45852</v>
      </c>
      <c r="BT1545" s="4">
        <v>0.3840277777777778</v>
      </c>
      <c r="BU1545" t="s">
        <v>1713</v>
      </c>
      <c r="BV1545" t="s">
        <v>98</v>
      </c>
      <c r="BY1545">
        <v>1350</v>
      </c>
      <c r="BZ1545" t="s">
        <v>89</v>
      </c>
      <c r="CA1545" t="s">
        <v>205</v>
      </c>
      <c r="CC1545" t="s">
        <v>169</v>
      </c>
      <c r="CD1545">
        <v>6001</v>
      </c>
      <c r="CE1545" t="s">
        <v>1868</v>
      </c>
      <c r="CF1545" s="3">
        <v>45853</v>
      </c>
      <c r="CI1545">
        <v>1</v>
      </c>
      <c r="CJ1545">
        <v>1</v>
      </c>
      <c r="CK1545">
        <v>21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"080066500625"</f>
        <v>080066500625</v>
      </c>
      <c r="F1546" s="3">
        <v>45849</v>
      </c>
      <c r="G1546">
        <v>202604</v>
      </c>
      <c r="H1546" t="s">
        <v>75</v>
      </c>
      <c r="I1546" t="s">
        <v>76</v>
      </c>
      <c r="J1546" t="s">
        <v>77</v>
      </c>
      <c r="K1546" t="s">
        <v>78</v>
      </c>
      <c r="L1546" t="s">
        <v>174</v>
      </c>
      <c r="M1546" t="s">
        <v>175</v>
      </c>
      <c r="N1546" t="s">
        <v>176</v>
      </c>
      <c r="O1546" t="s">
        <v>82</v>
      </c>
      <c r="P1546" t="str">
        <f>"4170048223                    "</f>
        <v xml:space="preserve">4170048223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22.6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0.3</v>
      </c>
      <c r="BK1546">
        <v>1</v>
      </c>
      <c r="BL1546">
        <v>71.2</v>
      </c>
      <c r="BM1546">
        <v>10.68</v>
      </c>
      <c r="BN1546">
        <v>81.88</v>
      </c>
      <c r="BO1546">
        <v>81.88</v>
      </c>
      <c r="BQ1546" t="s">
        <v>177</v>
      </c>
      <c r="BR1546" t="s">
        <v>84</v>
      </c>
      <c r="BS1546" s="3">
        <v>45852</v>
      </c>
      <c r="BT1546" s="4">
        <v>0.4236111111111111</v>
      </c>
      <c r="BU1546" t="s">
        <v>1824</v>
      </c>
      <c r="BV1546" t="s">
        <v>98</v>
      </c>
      <c r="BY1546">
        <v>1350</v>
      </c>
      <c r="BZ1546" t="s">
        <v>89</v>
      </c>
      <c r="CA1546" t="s">
        <v>173</v>
      </c>
      <c r="CC1546" t="s">
        <v>175</v>
      </c>
      <c r="CD1546">
        <v>6220</v>
      </c>
      <c r="CE1546" t="s">
        <v>1868</v>
      </c>
      <c r="CF1546" s="3">
        <v>45852</v>
      </c>
      <c r="CI1546">
        <v>1</v>
      </c>
      <c r="CJ1546">
        <v>1</v>
      </c>
      <c r="CK1546">
        <v>21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"080066500630"</f>
        <v>080066500630</v>
      </c>
      <c r="F1547" s="3">
        <v>45849</v>
      </c>
      <c r="G1547">
        <v>202604</v>
      </c>
      <c r="H1547" t="s">
        <v>75</v>
      </c>
      <c r="I1547" t="s">
        <v>76</v>
      </c>
      <c r="J1547" t="s">
        <v>77</v>
      </c>
      <c r="K1547" t="s">
        <v>78</v>
      </c>
      <c r="L1547" t="s">
        <v>75</v>
      </c>
      <c r="M1547" t="s">
        <v>76</v>
      </c>
      <c r="N1547" t="s">
        <v>2196</v>
      </c>
      <c r="O1547" t="s">
        <v>82</v>
      </c>
      <c r="P1547" t="str">
        <f>"4170048300                    "</f>
        <v xml:space="preserve">4170048300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17.649999999999999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3</v>
      </c>
      <c r="BJ1547">
        <v>6.7</v>
      </c>
      <c r="BK1547">
        <v>7</v>
      </c>
      <c r="BL1547">
        <v>55.61</v>
      </c>
      <c r="BM1547">
        <v>8.34</v>
      </c>
      <c r="BN1547">
        <v>63.95</v>
      </c>
      <c r="BO1547">
        <v>63.95</v>
      </c>
      <c r="BQ1547" t="s">
        <v>2197</v>
      </c>
      <c r="BR1547" t="s">
        <v>84</v>
      </c>
      <c r="BS1547" s="3">
        <v>45852</v>
      </c>
      <c r="BT1547" s="4">
        <v>0.33333333333333331</v>
      </c>
      <c r="BU1547" t="s">
        <v>2198</v>
      </c>
      <c r="BV1547" t="s">
        <v>98</v>
      </c>
      <c r="BY1547">
        <v>33600</v>
      </c>
      <c r="BZ1547" t="s">
        <v>89</v>
      </c>
      <c r="CA1547" t="s">
        <v>617</v>
      </c>
      <c r="CC1547" t="s">
        <v>76</v>
      </c>
      <c r="CD1547">
        <v>1645</v>
      </c>
      <c r="CE1547" t="s">
        <v>91</v>
      </c>
      <c r="CF1547" s="3">
        <v>45853</v>
      </c>
      <c r="CI1547">
        <v>1</v>
      </c>
      <c r="CJ1547">
        <v>1</v>
      </c>
      <c r="CK1547">
        <v>22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"080066500656"</f>
        <v>080066500656</v>
      </c>
      <c r="F1548" s="3">
        <v>45849</v>
      </c>
      <c r="G1548">
        <v>202604</v>
      </c>
      <c r="H1548" t="s">
        <v>75</v>
      </c>
      <c r="I1548" t="s">
        <v>76</v>
      </c>
      <c r="J1548" t="s">
        <v>77</v>
      </c>
      <c r="K1548" t="s">
        <v>78</v>
      </c>
      <c r="L1548" t="s">
        <v>295</v>
      </c>
      <c r="M1548" t="s">
        <v>296</v>
      </c>
      <c r="N1548" t="s">
        <v>942</v>
      </c>
      <c r="O1548" t="s">
        <v>82</v>
      </c>
      <c r="P1548" t="str">
        <f>"4170048226                    "</f>
        <v xml:space="preserve">4170048226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17.649999999999999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0.3</v>
      </c>
      <c r="BK1548">
        <v>1</v>
      </c>
      <c r="BL1548">
        <v>55.61</v>
      </c>
      <c r="BM1548">
        <v>8.34</v>
      </c>
      <c r="BN1548">
        <v>63.95</v>
      </c>
      <c r="BO1548">
        <v>63.95</v>
      </c>
      <c r="BQ1548" t="s">
        <v>943</v>
      </c>
      <c r="BR1548" t="s">
        <v>84</v>
      </c>
      <c r="BS1548" s="3">
        <v>45852</v>
      </c>
      <c r="BT1548" s="4">
        <v>0.34722222222222221</v>
      </c>
      <c r="BU1548" t="s">
        <v>1953</v>
      </c>
      <c r="BV1548" t="s">
        <v>98</v>
      </c>
      <c r="BY1548">
        <v>1350</v>
      </c>
      <c r="BZ1548" t="s">
        <v>89</v>
      </c>
      <c r="CA1548" t="s">
        <v>300</v>
      </c>
      <c r="CC1548" t="s">
        <v>296</v>
      </c>
      <c r="CD1548">
        <v>1459</v>
      </c>
      <c r="CE1548" t="s">
        <v>1868</v>
      </c>
      <c r="CF1548" s="3">
        <v>45853</v>
      </c>
      <c r="CI1548">
        <v>1</v>
      </c>
      <c r="CJ1548">
        <v>1</v>
      </c>
      <c r="CK1548">
        <v>22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"080066500681"</f>
        <v>080066500681</v>
      </c>
      <c r="F1549" s="3">
        <v>45849</v>
      </c>
      <c r="G1549">
        <v>202604</v>
      </c>
      <c r="H1549" t="s">
        <v>75</v>
      </c>
      <c r="I1549" t="s">
        <v>76</v>
      </c>
      <c r="J1549" t="s">
        <v>77</v>
      </c>
      <c r="K1549" t="s">
        <v>78</v>
      </c>
      <c r="L1549" t="s">
        <v>79</v>
      </c>
      <c r="M1549" t="s">
        <v>80</v>
      </c>
      <c r="N1549" t="s">
        <v>1816</v>
      </c>
      <c r="O1549" t="s">
        <v>95</v>
      </c>
      <c r="P1549" t="str">
        <f>"4170048188                    "</f>
        <v xml:space="preserve">4170048188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56.33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2</v>
      </c>
      <c r="BI1549">
        <v>22</v>
      </c>
      <c r="BJ1549">
        <v>6.8</v>
      </c>
      <c r="BK1549">
        <v>22</v>
      </c>
      <c r="BL1549">
        <v>183.34</v>
      </c>
      <c r="BM1549">
        <v>27.5</v>
      </c>
      <c r="BN1549">
        <v>210.84</v>
      </c>
      <c r="BO1549">
        <v>210.84</v>
      </c>
      <c r="BQ1549" t="s">
        <v>1817</v>
      </c>
      <c r="BR1549" t="s">
        <v>84</v>
      </c>
      <c r="BS1549" s="3">
        <v>45852</v>
      </c>
      <c r="BT1549" s="4">
        <v>0.62847222222222221</v>
      </c>
      <c r="BU1549" t="s">
        <v>2037</v>
      </c>
      <c r="BV1549" t="s">
        <v>98</v>
      </c>
      <c r="BY1549">
        <v>16965</v>
      </c>
      <c r="BZ1549" t="s">
        <v>99</v>
      </c>
      <c r="CA1549" t="s">
        <v>90</v>
      </c>
      <c r="CC1549" t="s">
        <v>80</v>
      </c>
      <c r="CD1549">
        <v>7550</v>
      </c>
      <c r="CE1549" t="s">
        <v>1468</v>
      </c>
      <c r="CF1549" s="3">
        <v>45853</v>
      </c>
      <c r="CI1549">
        <v>3</v>
      </c>
      <c r="CJ1549">
        <v>1</v>
      </c>
      <c r="CK1549">
        <v>41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"080066500701"</f>
        <v>080066500701</v>
      </c>
      <c r="F1550" s="3">
        <v>45849</v>
      </c>
      <c r="G1550">
        <v>202604</v>
      </c>
      <c r="H1550" t="s">
        <v>75</v>
      </c>
      <c r="I1550" t="s">
        <v>76</v>
      </c>
      <c r="J1550" t="s">
        <v>77</v>
      </c>
      <c r="K1550" t="s">
        <v>78</v>
      </c>
      <c r="L1550" t="s">
        <v>79</v>
      </c>
      <c r="M1550" t="s">
        <v>80</v>
      </c>
      <c r="N1550" t="s">
        <v>876</v>
      </c>
      <c r="O1550" t="s">
        <v>82</v>
      </c>
      <c r="P1550" t="str">
        <f>"4170048243                    "</f>
        <v xml:space="preserve">4170048243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22.6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0.3</v>
      </c>
      <c r="BK1550">
        <v>1</v>
      </c>
      <c r="BL1550">
        <v>71.2</v>
      </c>
      <c r="BM1550">
        <v>10.68</v>
      </c>
      <c r="BN1550">
        <v>81.88</v>
      </c>
      <c r="BO1550">
        <v>81.88</v>
      </c>
      <c r="BQ1550" t="s">
        <v>877</v>
      </c>
      <c r="BR1550" t="s">
        <v>84</v>
      </c>
      <c r="BS1550" s="3">
        <v>45852</v>
      </c>
      <c r="BT1550" s="4">
        <v>0.53541666666666665</v>
      </c>
      <c r="BU1550" t="s">
        <v>2111</v>
      </c>
      <c r="BV1550" t="s">
        <v>86</v>
      </c>
      <c r="BY1550">
        <v>1350</v>
      </c>
      <c r="BZ1550" t="s">
        <v>89</v>
      </c>
      <c r="CA1550" t="s">
        <v>162</v>
      </c>
      <c r="CC1550" t="s">
        <v>80</v>
      </c>
      <c r="CD1550">
        <v>7441</v>
      </c>
      <c r="CE1550" t="s">
        <v>1868</v>
      </c>
      <c r="CF1550" s="3">
        <v>45853</v>
      </c>
      <c r="CI1550">
        <v>1</v>
      </c>
      <c r="CJ1550">
        <v>1</v>
      </c>
      <c r="CK1550">
        <v>21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"080066500728"</f>
        <v>080066500728</v>
      </c>
      <c r="F1551" s="3">
        <v>45849</v>
      </c>
      <c r="G1551">
        <v>202604</v>
      </c>
      <c r="H1551" t="s">
        <v>75</v>
      </c>
      <c r="I1551" t="s">
        <v>76</v>
      </c>
      <c r="J1551" t="s">
        <v>77</v>
      </c>
      <c r="K1551" t="s">
        <v>78</v>
      </c>
      <c r="L1551" t="s">
        <v>305</v>
      </c>
      <c r="M1551" t="s">
        <v>306</v>
      </c>
      <c r="N1551" t="s">
        <v>1320</v>
      </c>
      <c r="O1551" t="s">
        <v>82</v>
      </c>
      <c r="P1551" t="str">
        <f>"4170048186                    "</f>
        <v xml:space="preserve">4170048186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22.6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0.3</v>
      </c>
      <c r="BK1551">
        <v>1</v>
      </c>
      <c r="BL1551">
        <v>71.2</v>
      </c>
      <c r="BM1551">
        <v>10.68</v>
      </c>
      <c r="BN1551">
        <v>81.88</v>
      </c>
      <c r="BO1551">
        <v>81.88</v>
      </c>
      <c r="BQ1551" t="s">
        <v>308</v>
      </c>
      <c r="BR1551" t="s">
        <v>84</v>
      </c>
      <c r="BS1551" s="3">
        <v>45852</v>
      </c>
      <c r="BT1551" s="4">
        <v>0.30833333333333335</v>
      </c>
      <c r="BU1551" t="s">
        <v>2173</v>
      </c>
      <c r="BV1551" t="s">
        <v>98</v>
      </c>
      <c r="BY1551">
        <v>1350</v>
      </c>
      <c r="BZ1551" t="s">
        <v>89</v>
      </c>
      <c r="CA1551" t="s">
        <v>2174</v>
      </c>
      <c r="CC1551" t="s">
        <v>306</v>
      </c>
      <c r="CD1551">
        <v>5201</v>
      </c>
      <c r="CE1551" t="s">
        <v>1868</v>
      </c>
      <c r="CF1551" s="3">
        <v>45853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"080066500775"</f>
        <v>080066500775</v>
      </c>
      <c r="F1552" s="3">
        <v>45849</v>
      </c>
      <c r="G1552">
        <v>202604</v>
      </c>
      <c r="H1552" t="s">
        <v>75</v>
      </c>
      <c r="I1552" t="s">
        <v>76</v>
      </c>
      <c r="J1552" t="s">
        <v>77</v>
      </c>
      <c r="K1552" t="s">
        <v>78</v>
      </c>
      <c r="L1552" t="s">
        <v>240</v>
      </c>
      <c r="M1552" t="s">
        <v>241</v>
      </c>
      <c r="N1552" t="s">
        <v>1204</v>
      </c>
      <c r="O1552" t="s">
        <v>82</v>
      </c>
      <c r="P1552" t="str">
        <f>"4170048268                    "</f>
        <v xml:space="preserve">4170048268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17.649999999999999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0.3</v>
      </c>
      <c r="BK1552">
        <v>1</v>
      </c>
      <c r="BL1552">
        <v>55.61</v>
      </c>
      <c r="BM1552">
        <v>8.34</v>
      </c>
      <c r="BN1552">
        <v>63.95</v>
      </c>
      <c r="BO1552">
        <v>63.95</v>
      </c>
      <c r="BQ1552" t="s">
        <v>1205</v>
      </c>
      <c r="BR1552" t="s">
        <v>84</v>
      </c>
      <c r="BS1552" s="3">
        <v>45852</v>
      </c>
      <c r="BT1552" s="4">
        <v>0.33611111111111114</v>
      </c>
      <c r="BU1552" t="s">
        <v>858</v>
      </c>
      <c r="BV1552" t="s">
        <v>98</v>
      </c>
      <c r="BY1552">
        <v>1350</v>
      </c>
      <c r="BZ1552" t="s">
        <v>89</v>
      </c>
      <c r="CA1552" t="s">
        <v>617</v>
      </c>
      <c r="CC1552" t="s">
        <v>241</v>
      </c>
      <c r="CD1552">
        <v>2157</v>
      </c>
      <c r="CE1552" t="s">
        <v>1868</v>
      </c>
      <c r="CF1552" s="3">
        <v>45853</v>
      </c>
      <c r="CI1552">
        <v>1</v>
      </c>
      <c r="CJ1552">
        <v>1</v>
      </c>
      <c r="CK1552">
        <v>22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"080066500783"</f>
        <v>080066500783</v>
      </c>
      <c r="F1553" s="3">
        <v>45849</v>
      </c>
      <c r="G1553">
        <v>202604</v>
      </c>
      <c r="H1553" t="s">
        <v>75</v>
      </c>
      <c r="I1553" t="s">
        <v>76</v>
      </c>
      <c r="J1553" t="s">
        <v>77</v>
      </c>
      <c r="K1553" t="s">
        <v>78</v>
      </c>
      <c r="L1553" t="s">
        <v>75</v>
      </c>
      <c r="M1553" t="s">
        <v>76</v>
      </c>
      <c r="N1553" t="s">
        <v>775</v>
      </c>
      <c r="O1553" t="s">
        <v>82</v>
      </c>
      <c r="P1553" t="str">
        <f>"4170048249                    "</f>
        <v xml:space="preserve">4170048249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17.649999999999999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4</v>
      </c>
      <c r="BJ1553">
        <v>1.7</v>
      </c>
      <c r="BK1553">
        <v>4</v>
      </c>
      <c r="BL1553">
        <v>55.61</v>
      </c>
      <c r="BM1553">
        <v>8.34</v>
      </c>
      <c r="BN1553">
        <v>63.95</v>
      </c>
      <c r="BO1553">
        <v>63.95</v>
      </c>
      <c r="BQ1553" t="s">
        <v>776</v>
      </c>
      <c r="BR1553" t="s">
        <v>84</v>
      </c>
      <c r="BS1553" s="3">
        <v>45852</v>
      </c>
      <c r="BT1553" s="4">
        <v>0.31180555555555556</v>
      </c>
      <c r="BU1553" t="s">
        <v>2127</v>
      </c>
      <c r="BV1553" t="s">
        <v>98</v>
      </c>
      <c r="BY1553">
        <v>8512</v>
      </c>
      <c r="BZ1553" t="s">
        <v>89</v>
      </c>
      <c r="CA1553" t="s">
        <v>778</v>
      </c>
      <c r="CC1553" t="s">
        <v>76</v>
      </c>
      <c r="CD1553">
        <v>1609</v>
      </c>
      <c r="CE1553" t="s">
        <v>117</v>
      </c>
      <c r="CF1553" s="3">
        <v>45852</v>
      </c>
      <c r="CI1553">
        <v>1</v>
      </c>
      <c r="CJ1553">
        <v>1</v>
      </c>
      <c r="CK1553">
        <v>22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"080066500794"</f>
        <v>080066500794</v>
      </c>
      <c r="F1554" s="3">
        <v>45849</v>
      </c>
      <c r="G1554">
        <v>202604</v>
      </c>
      <c r="H1554" t="s">
        <v>75</v>
      </c>
      <c r="I1554" t="s">
        <v>76</v>
      </c>
      <c r="J1554" t="s">
        <v>77</v>
      </c>
      <c r="K1554" t="s">
        <v>78</v>
      </c>
      <c r="L1554" t="s">
        <v>221</v>
      </c>
      <c r="M1554" t="s">
        <v>222</v>
      </c>
      <c r="N1554" t="s">
        <v>223</v>
      </c>
      <c r="O1554" t="s">
        <v>82</v>
      </c>
      <c r="P1554" t="str">
        <f>"4170048132                    "</f>
        <v xml:space="preserve">4170048132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43.78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0.3</v>
      </c>
      <c r="BK1554">
        <v>1</v>
      </c>
      <c r="BL1554">
        <v>137.94</v>
      </c>
      <c r="BM1554">
        <v>20.69</v>
      </c>
      <c r="BN1554">
        <v>158.63</v>
      </c>
      <c r="BO1554">
        <v>158.63</v>
      </c>
      <c r="BQ1554" t="s">
        <v>224</v>
      </c>
      <c r="BR1554" t="s">
        <v>84</v>
      </c>
      <c r="BS1554" s="3">
        <v>45852</v>
      </c>
      <c r="BT1554" s="4">
        <v>0.33333333333333331</v>
      </c>
      <c r="BU1554" t="s">
        <v>1494</v>
      </c>
      <c r="BV1554" t="s">
        <v>98</v>
      </c>
      <c r="BY1554">
        <v>1350</v>
      </c>
      <c r="BZ1554" t="s">
        <v>89</v>
      </c>
      <c r="CC1554" t="s">
        <v>222</v>
      </c>
      <c r="CD1554">
        <v>2740</v>
      </c>
      <c r="CE1554" t="s">
        <v>1868</v>
      </c>
      <c r="CF1554" s="3">
        <v>45853</v>
      </c>
      <c r="CI1554">
        <v>1</v>
      </c>
      <c r="CJ1554">
        <v>1</v>
      </c>
      <c r="CK1554">
        <v>23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"080066500802"</f>
        <v>080066500802</v>
      </c>
      <c r="F1555" s="3">
        <v>45849</v>
      </c>
      <c r="G1555">
        <v>202604</v>
      </c>
      <c r="H1555" t="s">
        <v>75</v>
      </c>
      <c r="I1555" t="s">
        <v>76</v>
      </c>
      <c r="J1555" t="s">
        <v>77</v>
      </c>
      <c r="K1555" t="s">
        <v>78</v>
      </c>
      <c r="L1555" t="s">
        <v>122</v>
      </c>
      <c r="M1555" t="s">
        <v>123</v>
      </c>
      <c r="N1555" t="s">
        <v>267</v>
      </c>
      <c r="O1555" t="s">
        <v>95</v>
      </c>
      <c r="P1555" t="str">
        <f>"4170048255                    "</f>
        <v xml:space="preserve">4170048255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49.11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11</v>
      </c>
      <c r="BJ1555">
        <v>17.7</v>
      </c>
      <c r="BK1555">
        <v>18</v>
      </c>
      <c r="BL1555">
        <v>160.6</v>
      </c>
      <c r="BM1555">
        <v>24.09</v>
      </c>
      <c r="BN1555">
        <v>184.69</v>
      </c>
      <c r="BO1555">
        <v>184.69</v>
      </c>
      <c r="BQ1555" t="s">
        <v>268</v>
      </c>
      <c r="BR1555" t="s">
        <v>84</v>
      </c>
      <c r="BS1555" s="3">
        <v>45852</v>
      </c>
      <c r="BT1555" s="4">
        <v>0.37708333333333333</v>
      </c>
      <c r="BU1555" t="s">
        <v>722</v>
      </c>
      <c r="BV1555" t="s">
        <v>98</v>
      </c>
      <c r="BY1555">
        <v>88320</v>
      </c>
      <c r="BZ1555" t="s">
        <v>99</v>
      </c>
      <c r="CA1555" t="s">
        <v>166</v>
      </c>
      <c r="CC1555" t="s">
        <v>123</v>
      </c>
      <c r="CD1555">
        <v>3610</v>
      </c>
      <c r="CE1555" t="s">
        <v>117</v>
      </c>
      <c r="CF1555" s="3">
        <v>45853</v>
      </c>
      <c r="CI1555">
        <v>1</v>
      </c>
      <c r="CJ1555">
        <v>1</v>
      </c>
      <c r="CK1555">
        <v>41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"080066500816"</f>
        <v>080066500816</v>
      </c>
      <c r="F1556" s="3">
        <v>45849</v>
      </c>
      <c r="G1556">
        <v>202604</v>
      </c>
      <c r="H1556" t="s">
        <v>75</v>
      </c>
      <c r="I1556" t="s">
        <v>76</v>
      </c>
      <c r="J1556" t="s">
        <v>77</v>
      </c>
      <c r="K1556" t="s">
        <v>78</v>
      </c>
      <c r="L1556" t="s">
        <v>2199</v>
      </c>
      <c r="M1556" t="s">
        <v>2200</v>
      </c>
      <c r="N1556" t="s">
        <v>2201</v>
      </c>
      <c r="O1556" t="s">
        <v>82</v>
      </c>
      <c r="P1556" t="str">
        <f>"4170048308                    "</f>
        <v xml:space="preserve">4170048308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182.19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5</v>
      </c>
      <c r="BJ1556">
        <v>8.9</v>
      </c>
      <c r="BK1556">
        <v>9</v>
      </c>
      <c r="BL1556">
        <v>573.99</v>
      </c>
      <c r="BM1556">
        <v>86.1</v>
      </c>
      <c r="BN1556">
        <v>660.09</v>
      </c>
      <c r="BO1556">
        <v>660.09</v>
      </c>
      <c r="BQ1556" t="s">
        <v>2202</v>
      </c>
      <c r="BR1556" t="s">
        <v>84</v>
      </c>
      <c r="BS1556" s="3">
        <v>45852</v>
      </c>
      <c r="BT1556" s="4">
        <v>0.70347222222222228</v>
      </c>
      <c r="BU1556" t="s">
        <v>2203</v>
      </c>
      <c r="BV1556" t="s">
        <v>98</v>
      </c>
      <c r="BY1556">
        <v>44640</v>
      </c>
      <c r="BZ1556" t="s">
        <v>89</v>
      </c>
      <c r="CC1556" t="s">
        <v>2200</v>
      </c>
      <c r="CD1556">
        <v>5850</v>
      </c>
      <c r="CE1556" t="s">
        <v>117</v>
      </c>
      <c r="CF1556" s="3">
        <v>45854</v>
      </c>
      <c r="CI1556">
        <v>2</v>
      </c>
      <c r="CJ1556">
        <v>1</v>
      </c>
      <c r="CK1556">
        <v>23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"080066500835"</f>
        <v>080066500835</v>
      </c>
      <c r="F1557" s="3">
        <v>45849</v>
      </c>
      <c r="G1557">
        <v>202604</v>
      </c>
      <c r="H1557" t="s">
        <v>75</v>
      </c>
      <c r="I1557" t="s">
        <v>76</v>
      </c>
      <c r="J1557" t="s">
        <v>77</v>
      </c>
      <c r="K1557" t="s">
        <v>78</v>
      </c>
      <c r="L1557" t="s">
        <v>79</v>
      </c>
      <c r="M1557" t="s">
        <v>80</v>
      </c>
      <c r="N1557" t="s">
        <v>1816</v>
      </c>
      <c r="O1557" t="s">
        <v>82</v>
      </c>
      <c r="P1557" t="str">
        <f>"4170048189                    "</f>
        <v xml:space="preserve">4170048189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112.92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10</v>
      </c>
      <c r="BJ1557">
        <v>3.4</v>
      </c>
      <c r="BK1557">
        <v>10</v>
      </c>
      <c r="BL1557">
        <v>355.76</v>
      </c>
      <c r="BM1557">
        <v>53.36</v>
      </c>
      <c r="BN1557">
        <v>409.12</v>
      </c>
      <c r="BO1557">
        <v>409.12</v>
      </c>
      <c r="BQ1557" t="s">
        <v>1817</v>
      </c>
      <c r="BR1557" t="s">
        <v>84</v>
      </c>
      <c r="BS1557" s="3">
        <v>45852</v>
      </c>
      <c r="BT1557" s="4">
        <v>0.63263888888888886</v>
      </c>
      <c r="BU1557" t="s">
        <v>2139</v>
      </c>
      <c r="BV1557" t="s">
        <v>86</v>
      </c>
      <c r="BW1557" t="s">
        <v>87</v>
      </c>
      <c r="BX1557" t="s">
        <v>1185</v>
      </c>
      <c r="BY1557">
        <v>16965</v>
      </c>
      <c r="BZ1557" t="s">
        <v>89</v>
      </c>
      <c r="CA1557" t="s">
        <v>90</v>
      </c>
      <c r="CC1557" t="s">
        <v>80</v>
      </c>
      <c r="CD1557">
        <v>7550</v>
      </c>
      <c r="CE1557" t="s">
        <v>117</v>
      </c>
      <c r="CF1557" s="3">
        <v>45853</v>
      </c>
      <c r="CI1557">
        <v>1</v>
      </c>
      <c r="CJ1557">
        <v>1</v>
      </c>
      <c r="CK1557">
        <v>21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"080066500902"</f>
        <v>080066500902</v>
      </c>
      <c r="F1558" s="3">
        <v>45849</v>
      </c>
      <c r="G1558">
        <v>202604</v>
      </c>
      <c r="H1558" t="s">
        <v>75</v>
      </c>
      <c r="I1558" t="s">
        <v>76</v>
      </c>
      <c r="J1558" t="s">
        <v>77</v>
      </c>
      <c r="K1558" t="s">
        <v>78</v>
      </c>
      <c r="L1558" t="s">
        <v>92</v>
      </c>
      <c r="M1558" t="s">
        <v>93</v>
      </c>
      <c r="N1558" t="s">
        <v>1852</v>
      </c>
      <c r="O1558" t="s">
        <v>82</v>
      </c>
      <c r="P1558" t="str">
        <f>"4170048295                    "</f>
        <v xml:space="preserve">4170048295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22.6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0.3</v>
      </c>
      <c r="BK1558">
        <v>1</v>
      </c>
      <c r="BL1558">
        <v>71.2</v>
      </c>
      <c r="BM1558">
        <v>10.68</v>
      </c>
      <c r="BN1558">
        <v>81.88</v>
      </c>
      <c r="BO1558">
        <v>81.88</v>
      </c>
      <c r="BQ1558" t="s">
        <v>1853</v>
      </c>
      <c r="BR1558" t="s">
        <v>84</v>
      </c>
      <c r="BS1558" s="3">
        <v>45852</v>
      </c>
      <c r="BT1558" s="4">
        <v>0.43055555555555558</v>
      </c>
      <c r="BU1558" t="s">
        <v>2204</v>
      </c>
      <c r="BV1558" t="s">
        <v>98</v>
      </c>
      <c r="BY1558">
        <v>1350</v>
      </c>
      <c r="BZ1558" t="s">
        <v>89</v>
      </c>
      <c r="CA1558" t="s">
        <v>1175</v>
      </c>
      <c r="CC1558" t="s">
        <v>93</v>
      </c>
      <c r="CD1558">
        <v>4000</v>
      </c>
      <c r="CE1558" t="s">
        <v>1868</v>
      </c>
      <c r="CF1558" s="3">
        <v>45853</v>
      </c>
      <c r="CI1558">
        <v>1</v>
      </c>
      <c r="CJ1558">
        <v>1</v>
      </c>
      <c r="CK1558">
        <v>21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"080066500915"</f>
        <v>080066500915</v>
      </c>
      <c r="F1559" s="3">
        <v>45849</v>
      </c>
      <c r="G1559">
        <v>202604</v>
      </c>
      <c r="H1559" t="s">
        <v>75</v>
      </c>
      <c r="I1559" t="s">
        <v>76</v>
      </c>
      <c r="J1559" t="s">
        <v>77</v>
      </c>
      <c r="K1559" t="s">
        <v>78</v>
      </c>
      <c r="L1559" t="s">
        <v>75</v>
      </c>
      <c r="M1559" t="s">
        <v>76</v>
      </c>
      <c r="N1559" t="s">
        <v>2205</v>
      </c>
      <c r="O1559" t="s">
        <v>82</v>
      </c>
      <c r="P1559" t="str">
        <f>"4170048197                    "</f>
        <v xml:space="preserve">4170048197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17.649999999999999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0.3</v>
      </c>
      <c r="BK1559">
        <v>1</v>
      </c>
      <c r="BL1559">
        <v>55.61</v>
      </c>
      <c r="BM1559">
        <v>8.34</v>
      </c>
      <c r="BN1559">
        <v>63.95</v>
      </c>
      <c r="BO1559">
        <v>63.95</v>
      </c>
      <c r="BQ1559" t="s">
        <v>2206</v>
      </c>
      <c r="BR1559" t="s">
        <v>84</v>
      </c>
      <c r="BS1559" s="3">
        <v>45852</v>
      </c>
      <c r="BT1559" s="4">
        <v>0.39861111111111114</v>
      </c>
      <c r="BU1559" t="s">
        <v>2207</v>
      </c>
      <c r="BV1559" t="s">
        <v>98</v>
      </c>
      <c r="BY1559">
        <v>1350</v>
      </c>
      <c r="BZ1559" t="s">
        <v>89</v>
      </c>
      <c r="CA1559" t="s">
        <v>304</v>
      </c>
      <c r="CC1559" t="s">
        <v>76</v>
      </c>
      <c r="CD1559">
        <v>1601</v>
      </c>
      <c r="CE1559" t="s">
        <v>1868</v>
      </c>
      <c r="CF1559" s="3">
        <v>45853</v>
      </c>
      <c r="CI1559">
        <v>1</v>
      </c>
      <c r="CJ1559">
        <v>1</v>
      </c>
      <c r="CK1559">
        <v>22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"080066500940"</f>
        <v>080066500940</v>
      </c>
      <c r="F1560" s="3">
        <v>45849</v>
      </c>
      <c r="G1560">
        <v>202604</v>
      </c>
      <c r="H1560" t="s">
        <v>75</v>
      </c>
      <c r="I1560" t="s">
        <v>76</v>
      </c>
      <c r="J1560" t="s">
        <v>77</v>
      </c>
      <c r="K1560" t="s">
        <v>78</v>
      </c>
      <c r="L1560" t="s">
        <v>75</v>
      </c>
      <c r="M1560" t="s">
        <v>76</v>
      </c>
      <c r="N1560" t="s">
        <v>2208</v>
      </c>
      <c r="O1560" t="s">
        <v>82</v>
      </c>
      <c r="P1560" t="str">
        <f>"4170048212                    "</f>
        <v xml:space="preserve">4170048212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17.649999999999999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0.3</v>
      </c>
      <c r="BK1560">
        <v>1</v>
      </c>
      <c r="BL1560">
        <v>55.61</v>
      </c>
      <c r="BM1560">
        <v>8.34</v>
      </c>
      <c r="BN1560">
        <v>63.95</v>
      </c>
      <c r="BO1560">
        <v>63.95</v>
      </c>
      <c r="BQ1560" t="s">
        <v>2209</v>
      </c>
      <c r="BR1560" t="s">
        <v>84</v>
      </c>
      <c r="BS1560" s="3">
        <v>45852</v>
      </c>
      <c r="BT1560" s="4">
        <v>0.40972222222222221</v>
      </c>
      <c r="BU1560" t="s">
        <v>2210</v>
      </c>
      <c r="BV1560" t="s">
        <v>98</v>
      </c>
      <c r="BY1560">
        <v>1350</v>
      </c>
      <c r="BZ1560" t="s">
        <v>89</v>
      </c>
      <c r="CA1560" t="s">
        <v>632</v>
      </c>
      <c r="CC1560" t="s">
        <v>76</v>
      </c>
      <c r="CD1560">
        <v>1685</v>
      </c>
      <c r="CE1560" t="s">
        <v>1868</v>
      </c>
      <c r="CF1560" s="3">
        <v>45853</v>
      </c>
      <c r="CI1560">
        <v>1</v>
      </c>
      <c r="CJ1560">
        <v>1</v>
      </c>
      <c r="CK1560">
        <v>22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"080066500950"</f>
        <v>080066500950</v>
      </c>
      <c r="F1561" s="3">
        <v>45849</v>
      </c>
      <c r="G1561">
        <v>202604</v>
      </c>
      <c r="H1561" t="s">
        <v>75</v>
      </c>
      <c r="I1561" t="s">
        <v>76</v>
      </c>
      <c r="J1561" t="s">
        <v>77</v>
      </c>
      <c r="K1561" t="s">
        <v>78</v>
      </c>
      <c r="L1561" t="s">
        <v>168</v>
      </c>
      <c r="M1561" t="s">
        <v>169</v>
      </c>
      <c r="N1561" t="s">
        <v>420</v>
      </c>
      <c r="O1561" t="s">
        <v>82</v>
      </c>
      <c r="P1561" t="str">
        <f>"4170048240                    "</f>
        <v xml:space="preserve">4170048240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22.6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0.3</v>
      </c>
      <c r="BK1561">
        <v>1</v>
      </c>
      <c r="BL1561">
        <v>71.2</v>
      </c>
      <c r="BM1561">
        <v>10.68</v>
      </c>
      <c r="BN1561">
        <v>81.88</v>
      </c>
      <c r="BO1561">
        <v>81.88</v>
      </c>
      <c r="BQ1561" t="s">
        <v>421</v>
      </c>
      <c r="BR1561" t="s">
        <v>84</v>
      </c>
      <c r="BS1561" s="3">
        <v>45852</v>
      </c>
      <c r="BT1561" s="4">
        <v>0.3923611111111111</v>
      </c>
      <c r="BU1561" t="s">
        <v>1121</v>
      </c>
      <c r="BV1561" t="s">
        <v>98</v>
      </c>
      <c r="BY1561">
        <v>1350</v>
      </c>
      <c r="BZ1561" t="s">
        <v>89</v>
      </c>
      <c r="CA1561" t="s">
        <v>423</v>
      </c>
      <c r="CC1561" t="s">
        <v>169</v>
      </c>
      <c r="CD1561">
        <v>6001</v>
      </c>
      <c r="CE1561" t="s">
        <v>1868</v>
      </c>
      <c r="CF1561" s="3">
        <v>45852</v>
      </c>
      <c r="CI1561">
        <v>1</v>
      </c>
      <c r="CJ1561">
        <v>1</v>
      </c>
      <c r="CK1561">
        <v>21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"080066500998"</f>
        <v>080066500998</v>
      </c>
      <c r="F1562" s="3">
        <v>45849</v>
      </c>
      <c r="G1562">
        <v>202604</v>
      </c>
      <c r="H1562" t="s">
        <v>75</v>
      </c>
      <c r="I1562" t="s">
        <v>76</v>
      </c>
      <c r="J1562" t="s">
        <v>77</v>
      </c>
      <c r="K1562" t="s">
        <v>78</v>
      </c>
      <c r="L1562" t="s">
        <v>363</v>
      </c>
      <c r="M1562" t="s">
        <v>364</v>
      </c>
      <c r="N1562" t="s">
        <v>365</v>
      </c>
      <c r="O1562" t="s">
        <v>82</v>
      </c>
      <c r="P1562" t="str">
        <f>"4170047349                    "</f>
        <v xml:space="preserve">4170047349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43.78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137.94</v>
      </c>
      <c r="BM1562">
        <v>20.69</v>
      </c>
      <c r="BN1562">
        <v>158.63</v>
      </c>
      <c r="BO1562">
        <v>158.63</v>
      </c>
      <c r="BQ1562" t="s">
        <v>1118</v>
      </c>
      <c r="BR1562" t="s">
        <v>84</v>
      </c>
      <c r="BS1562" s="3">
        <v>45852</v>
      </c>
      <c r="BT1562" s="4">
        <v>0.50972222222222219</v>
      </c>
      <c r="BU1562" t="s">
        <v>2128</v>
      </c>
      <c r="BV1562" t="s">
        <v>98</v>
      </c>
      <c r="BY1562">
        <v>1200</v>
      </c>
      <c r="BZ1562" t="s">
        <v>89</v>
      </c>
      <c r="CA1562" t="s">
        <v>2129</v>
      </c>
      <c r="CC1562" t="s">
        <v>364</v>
      </c>
      <c r="CD1562">
        <v>7300</v>
      </c>
      <c r="CE1562" t="s">
        <v>214</v>
      </c>
      <c r="CF1562" s="3">
        <v>45853</v>
      </c>
      <c r="CI1562">
        <v>1</v>
      </c>
      <c r="CJ1562">
        <v>1</v>
      </c>
      <c r="CK1562">
        <v>23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"080066501049"</f>
        <v>080066501049</v>
      </c>
      <c r="F1563" s="3">
        <v>45849</v>
      </c>
      <c r="G1563">
        <v>202604</v>
      </c>
      <c r="H1563" t="s">
        <v>75</v>
      </c>
      <c r="I1563" t="s">
        <v>76</v>
      </c>
      <c r="J1563" t="s">
        <v>77</v>
      </c>
      <c r="K1563" t="s">
        <v>78</v>
      </c>
      <c r="L1563" t="s">
        <v>79</v>
      </c>
      <c r="M1563" t="s">
        <v>80</v>
      </c>
      <c r="N1563" t="s">
        <v>141</v>
      </c>
      <c r="O1563" t="s">
        <v>82</v>
      </c>
      <c r="P1563" t="str">
        <f>"4170048217                    "</f>
        <v xml:space="preserve">4170048217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22.6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0.9</v>
      </c>
      <c r="BK1563">
        <v>2</v>
      </c>
      <c r="BL1563">
        <v>71.2</v>
      </c>
      <c r="BM1563">
        <v>10.68</v>
      </c>
      <c r="BN1563">
        <v>81.88</v>
      </c>
      <c r="BO1563">
        <v>81.88</v>
      </c>
      <c r="BQ1563" t="s">
        <v>142</v>
      </c>
      <c r="BR1563" t="s">
        <v>84</v>
      </c>
      <c r="BS1563" s="3">
        <v>45852</v>
      </c>
      <c r="BT1563" s="4">
        <v>0.38194444444444442</v>
      </c>
      <c r="BU1563" t="s">
        <v>356</v>
      </c>
      <c r="BV1563" t="s">
        <v>98</v>
      </c>
      <c r="BY1563">
        <v>4275</v>
      </c>
      <c r="BZ1563" t="s">
        <v>89</v>
      </c>
      <c r="CA1563" t="s">
        <v>144</v>
      </c>
      <c r="CC1563" t="s">
        <v>80</v>
      </c>
      <c r="CD1563">
        <v>7441</v>
      </c>
      <c r="CE1563" t="s">
        <v>117</v>
      </c>
      <c r="CF1563" s="3">
        <v>45853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"080066501063"</f>
        <v>080066501063</v>
      </c>
      <c r="F1564" s="3">
        <v>45849</v>
      </c>
      <c r="G1564">
        <v>202604</v>
      </c>
      <c r="H1564" t="s">
        <v>75</v>
      </c>
      <c r="I1564" t="s">
        <v>76</v>
      </c>
      <c r="J1564" t="s">
        <v>77</v>
      </c>
      <c r="K1564" t="s">
        <v>78</v>
      </c>
      <c r="L1564" t="s">
        <v>92</v>
      </c>
      <c r="M1564" t="s">
        <v>93</v>
      </c>
      <c r="N1564" t="s">
        <v>291</v>
      </c>
      <c r="O1564" t="s">
        <v>82</v>
      </c>
      <c r="P1564" t="str">
        <f>"4170048257                    "</f>
        <v xml:space="preserve">4170048257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22.6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0.9</v>
      </c>
      <c r="BK1564">
        <v>1</v>
      </c>
      <c r="BL1564">
        <v>71.2</v>
      </c>
      <c r="BM1564">
        <v>10.68</v>
      </c>
      <c r="BN1564">
        <v>81.88</v>
      </c>
      <c r="BO1564">
        <v>81.88</v>
      </c>
      <c r="BQ1564" t="s">
        <v>292</v>
      </c>
      <c r="BR1564" t="s">
        <v>84</v>
      </c>
      <c r="BS1564" s="3">
        <v>45852</v>
      </c>
      <c r="BT1564" s="4">
        <v>0.32708333333333334</v>
      </c>
      <c r="BU1564" t="s">
        <v>2177</v>
      </c>
      <c r="BV1564" t="s">
        <v>98</v>
      </c>
      <c r="BY1564">
        <v>4275</v>
      </c>
      <c r="BZ1564" t="s">
        <v>89</v>
      </c>
      <c r="CA1564" t="s">
        <v>2178</v>
      </c>
      <c r="CC1564" t="s">
        <v>93</v>
      </c>
      <c r="CD1564">
        <v>4051</v>
      </c>
      <c r="CE1564" t="s">
        <v>266</v>
      </c>
      <c r="CF1564" s="3">
        <v>45852</v>
      </c>
      <c r="CI1564">
        <v>1</v>
      </c>
      <c r="CJ1564">
        <v>1</v>
      </c>
      <c r="CK1564">
        <v>21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"080066501087"</f>
        <v>080066501087</v>
      </c>
      <c r="F1565" s="3">
        <v>45849</v>
      </c>
      <c r="G1565">
        <v>202604</v>
      </c>
      <c r="H1565" t="s">
        <v>75</v>
      </c>
      <c r="I1565" t="s">
        <v>76</v>
      </c>
      <c r="J1565" t="s">
        <v>77</v>
      </c>
      <c r="K1565" t="s">
        <v>78</v>
      </c>
      <c r="L1565" t="s">
        <v>151</v>
      </c>
      <c r="M1565" t="s">
        <v>152</v>
      </c>
      <c r="N1565" t="s">
        <v>500</v>
      </c>
      <c r="O1565" t="s">
        <v>82</v>
      </c>
      <c r="P1565" t="str">
        <f>"4170048205                    "</f>
        <v xml:space="preserve">4170048205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39.53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3.2</v>
      </c>
      <c r="BK1565">
        <v>3.5</v>
      </c>
      <c r="BL1565">
        <v>124.55</v>
      </c>
      <c r="BM1565">
        <v>18.68</v>
      </c>
      <c r="BN1565">
        <v>143.22999999999999</v>
      </c>
      <c r="BO1565">
        <v>143.22999999999999</v>
      </c>
      <c r="BQ1565" t="s">
        <v>501</v>
      </c>
      <c r="BR1565" t="s">
        <v>84</v>
      </c>
      <c r="BS1565" s="3">
        <v>45852</v>
      </c>
      <c r="BT1565" s="4">
        <v>0.37847222222222221</v>
      </c>
      <c r="BU1565" t="s">
        <v>561</v>
      </c>
      <c r="BV1565" t="s">
        <v>98</v>
      </c>
      <c r="BY1565">
        <v>16170</v>
      </c>
      <c r="BZ1565" t="s">
        <v>89</v>
      </c>
      <c r="CA1565" t="s">
        <v>388</v>
      </c>
      <c r="CC1565" t="s">
        <v>152</v>
      </c>
      <c r="CD1565" s="5" t="s">
        <v>157</v>
      </c>
      <c r="CE1565" t="s">
        <v>91</v>
      </c>
      <c r="CF1565" s="3">
        <v>45852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"080066501111"</f>
        <v>080066501111</v>
      </c>
      <c r="F1566" s="3">
        <v>45849</v>
      </c>
      <c r="G1566">
        <v>202604</v>
      </c>
      <c r="H1566" t="s">
        <v>75</v>
      </c>
      <c r="I1566" t="s">
        <v>76</v>
      </c>
      <c r="J1566" t="s">
        <v>77</v>
      </c>
      <c r="K1566" t="s">
        <v>78</v>
      </c>
      <c r="L1566" t="s">
        <v>295</v>
      </c>
      <c r="M1566" t="s">
        <v>296</v>
      </c>
      <c r="N1566" t="s">
        <v>962</v>
      </c>
      <c r="O1566" t="s">
        <v>82</v>
      </c>
      <c r="P1566" t="str">
        <f>"4170048176                    "</f>
        <v xml:space="preserve">4170048176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17.649999999999999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6</v>
      </c>
      <c r="BJ1566">
        <v>2.5</v>
      </c>
      <c r="BK1566">
        <v>6</v>
      </c>
      <c r="BL1566">
        <v>55.61</v>
      </c>
      <c r="BM1566">
        <v>8.34</v>
      </c>
      <c r="BN1566">
        <v>63.95</v>
      </c>
      <c r="BO1566">
        <v>63.95</v>
      </c>
      <c r="BQ1566" t="s">
        <v>963</v>
      </c>
      <c r="BR1566" t="s">
        <v>84</v>
      </c>
      <c r="BS1566" s="3">
        <v>45852</v>
      </c>
      <c r="BT1566" s="4">
        <v>0.42777777777777776</v>
      </c>
      <c r="BU1566" t="s">
        <v>2211</v>
      </c>
      <c r="BV1566" t="s">
        <v>98</v>
      </c>
      <c r="BY1566">
        <v>12544</v>
      </c>
      <c r="BZ1566" t="s">
        <v>89</v>
      </c>
      <c r="CA1566" t="s">
        <v>2212</v>
      </c>
      <c r="CC1566" t="s">
        <v>296</v>
      </c>
      <c r="CD1566">
        <v>1459</v>
      </c>
      <c r="CE1566" t="s">
        <v>91</v>
      </c>
      <c r="CF1566" s="3">
        <v>45853</v>
      </c>
      <c r="CI1566">
        <v>1</v>
      </c>
      <c r="CJ1566">
        <v>1</v>
      </c>
      <c r="CK1566">
        <v>22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"080066501194"</f>
        <v>080066501194</v>
      </c>
      <c r="F1567" s="3">
        <v>45849</v>
      </c>
      <c r="G1567">
        <v>202604</v>
      </c>
      <c r="H1567" t="s">
        <v>75</v>
      </c>
      <c r="I1567" t="s">
        <v>76</v>
      </c>
      <c r="J1567" t="s">
        <v>77</v>
      </c>
      <c r="K1567" t="s">
        <v>78</v>
      </c>
      <c r="L1567" t="s">
        <v>135</v>
      </c>
      <c r="M1567" t="s">
        <v>136</v>
      </c>
      <c r="N1567" t="s">
        <v>2213</v>
      </c>
      <c r="O1567" t="s">
        <v>82</v>
      </c>
      <c r="P1567" t="str">
        <f>"4170048211                    "</f>
        <v xml:space="preserve">4170048211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22.6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0.3</v>
      </c>
      <c r="BK1567">
        <v>1</v>
      </c>
      <c r="BL1567">
        <v>71.2</v>
      </c>
      <c r="BM1567">
        <v>10.68</v>
      </c>
      <c r="BN1567">
        <v>81.88</v>
      </c>
      <c r="BO1567">
        <v>81.88</v>
      </c>
      <c r="BQ1567" t="s">
        <v>2214</v>
      </c>
      <c r="BR1567" t="s">
        <v>84</v>
      </c>
      <c r="BS1567" s="3">
        <v>45852</v>
      </c>
      <c r="BT1567" s="4">
        <v>0.64097222222222228</v>
      </c>
      <c r="BU1567" t="s">
        <v>2215</v>
      </c>
      <c r="BV1567" t="s">
        <v>86</v>
      </c>
      <c r="BY1567">
        <v>1350</v>
      </c>
      <c r="BZ1567" t="s">
        <v>89</v>
      </c>
      <c r="CA1567" t="s">
        <v>349</v>
      </c>
      <c r="CC1567" t="s">
        <v>136</v>
      </c>
      <c r="CD1567">
        <v>3200</v>
      </c>
      <c r="CE1567" t="s">
        <v>1868</v>
      </c>
      <c r="CF1567" s="3">
        <v>45853</v>
      </c>
      <c r="CI1567">
        <v>1</v>
      </c>
      <c r="CJ1567">
        <v>1</v>
      </c>
      <c r="CK1567">
        <v>21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"080066501208"</f>
        <v>080066501208</v>
      </c>
      <c r="F1568" s="3">
        <v>45849</v>
      </c>
      <c r="G1568">
        <v>202604</v>
      </c>
      <c r="H1568" t="s">
        <v>75</v>
      </c>
      <c r="I1568" t="s">
        <v>76</v>
      </c>
      <c r="J1568" t="s">
        <v>77</v>
      </c>
      <c r="K1568" t="s">
        <v>78</v>
      </c>
      <c r="L1568" t="s">
        <v>530</v>
      </c>
      <c r="M1568" t="s">
        <v>531</v>
      </c>
      <c r="N1568" t="s">
        <v>532</v>
      </c>
      <c r="O1568" t="s">
        <v>95</v>
      </c>
      <c r="P1568" t="str">
        <f>"4170048281                    "</f>
        <v xml:space="preserve">4170048281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57.38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16</v>
      </c>
      <c r="BJ1568">
        <v>38.6</v>
      </c>
      <c r="BK1568">
        <v>39</v>
      </c>
      <c r="BL1568">
        <v>186.65</v>
      </c>
      <c r="BM1568">
        <v>28</v>
      </c>
      <c r="BN1568">
        <v>214.65</v>
      </c>
      <c r="BO1568">
        <v>214.65</v>
      </c>
      <c r="BQ1568" t="s">
        <v>533</v>
      </c>
      <c r="BR1568" t="s">
        <v>84</v>
      </c>
      <c r="BS1568" s="3">
        <v>45852</v>
      </c>
      <c r="BT1568" s="4">
        <v>0.40069444444444446</v>
      </c>
      <c r="BU1568" t="s">
        <v>2216</v>
      </c>
      <c r="BV1568" t="s">
        <v>98</v>
      </c>
      <c r="BY1568">
        <v>193200</v>
      </c>
      <c r="BZ1568" t="s">
        <v>99</v>
      </c>
      <c r="CA1568" t="s">
        <v>1148</v>
      </c>
      <c r="CC1568" t="s">
        <v>531</v>
      </c>
      <c r="CD1568">
        <v>1540</v>
      </c>
      <c r="CE1568" t="s">
        <v>117</v>
      </c>
      <c r="CF1568" s="3">
        <v>45853</v>
      </c>
      <c r="CI1568">
        <v>1</v>
      </c>
      <c r="CJ1568">
        <v>1</v>
      </c>
      <c r="CK1568">
        <v>42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"080066501328"</f>
        <v>080066501328</v>
      </c>
      <c r="F1569" s="3">
        <v>45849</v>
      </c>
      <c r="G1569">
        <v>202604</v>
      </c>
      <c r="H1569" t="s">
        <v>75</v>
      </c>
      <c r="I1569" t="s">
        <v>76</v>
      </c>
      <c r="J1569" t="s">
        <v>77</v>
      </c>
      <c r="K1569" t="s">
        <v>78</v>
      </c>
      <c r="L1569" t="s">
        <v>75</v>
      </c>
      <c r="M1569" t="s">
        <v>76</v>
      </c>
      <c r="N1569" t="s">
        <v>1579</v>
      </c>
      <c r="O1569" t="s">
        <v>82</v>
      </c>
      <c r="P1569" t="str">
        <f>"4170048338                    "</f>
        <v xml:space="preserve">4170048338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17.649999999999999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0.3</v>
      </c>
      <c r="BK1569">
        <v>1</v>
      </c>
      <c r="BL1569">
        <v>55.61</v>
      </c>
      <c r="BM1569">
        <v>8.34</v>
      </c>
      <c r="BN1569">
        <v>63.95</v>
      </c>
      <c r="BO1569">
        <v>63.95</v>
      </c>
      <c r="BQ1569" t="s">
        <v>1580</v>
      </c>
      <c r="BR1569" t="s">
        <v>84</v>
      </c>
      <c r="BS1569" s="3">
        <v>45852</v>
      </c>
      <c r="BT1569" s="4">
        <v>0.29166666666666669</v>
      </c>
      <c r="BU1569" t="s">
        <v>1797</v>
      </c>
      <c r="BV1569" t="s">
        <v>98</v>
      </c>
      <c r="BY1569">
        <v>1350</v>
      </c>
      <c r="BZ1569" t="s">
        <v>89</v>
      </c>
      <c r="CA1569" t="s">
        <v>213</v>
      </c>
      <c r="CC1569" t="s">
        <v>76</v>
      </c>
      <c r="CD1569">
        <v>1600</v>
      </c>
      <c r="CE1569" t="s">
        <v>1868</v>
      </c>
      <c r="CF1569" s="3">
        <v>45852</v>
      </c>
      <c r="CI1569">
        <v>1</v>
      </c>
      <c r="CJ1569">
        <v>1</v>
      </c>
      <c r="CK1569">
        <v>22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"080066501353"</f>
        <v>080066501353</v>
      </c>
      <c r="F1570" s="3">
        <v>45849</v>
      </c>
      <c r="G1570">
        <v>202604</v>
      </c>
      <c r="H1570" t="s">
        <v>75</v>
      </c>
      <c r="I1570" t="s">
        <v>76</v>
      </c>
      <c r="J1570" t="s">
        <v>77</v>
      </c>
      <c r="K1570" t="s">
        <v>78</v>
      </c>
      <c r="L1570" t="s">
        <v>452</v>
      </c>
      <c r="M1570" t="s">
        <v>453</v>
      </c>
      <c r="N1570" t="s">
        <v>1999</v>
      </c>
      <c r="O1570" t="s">
        <v>82</v>
      </c>
      <c r="P1570" t="str">
        <f>"4170048182                    "</f>
        <v xml:space="preserve">4170048182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17.649999999999999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0.3</v>
      </c>
      <c r="BK1570">
        <v>1</v>
      </c>
      <c r="BL1570">
        <v>55.61</v>
      </c>
      <c r="BM1570">
        <v>8.34</v>
      </c>
      <c r="BN1570">
        <v>63.95</v>
      </c>
      <c r="BO1570">
        <v>63.95</v>
      </c>
      <c r="BQ1570" t="s">
        <v>2000</v>
      </c>
      <c r="BR1570" t="s">
        <v>84</v>
      </c>
      <c r="BS1570" s="3">
        <v>45852</v>
      </c>
      <c r="BT1570" s="4">
        <v>0.34375</v>
      </c>
      <c r="BU1570" t="s">
        <v>2001</v>
      </c>
      <c r="BV1570" t="s">
        <v>98</v>
      </c>
      <c r="BY1570">
        <v>1350</v>
      </c>
      <c r="BZ1570" t="s">
        <v>89</v>
      </c>
      <c r="CA1570" t="s">
        <v>1541</v>
      </c>
      <c r="CC1570" t="s">
        <v>453</v>
      </c>
      <c r="CD1570">
        <v>1559</v>
      </c>
      <c r="CE1570" t="s">
        <v>1868</v>
      </c>
      <c r="CF1570" s="3">
        <v>45853</v>
      </c>
      <c r="CI1570">
        <v>1</v>
      </c>
      <c r="CJ1570">
        <v>1</v>
      </c>
      <c r="CK1570">
        <v>22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"080066501369"</f>
        <v>080066501369</v>
      </c>
      <c r="F1571" s="3">
        <v>45849</v>
      </c>
      <c r="G1571">
        <v>202604</v>
      </c>
      <c r="H1571" t="s">
        <v>75</v>
      </c>
      <c r="I1571" t="s">
        <v>76</v>
      </c>
      <c r="J1571" t="s">
        <v>77</v>
      </c>
      <c r="K1571" t="s">
        <v>78</v>
      </c>
      <c r="L1571" t="s">
        <v>221</v>
      </c>
      <c r="M1571" t="s">
        <v>222</v>
      </c>
      <c r="N1571" t="s">
        <v>223</v>
      </c>
      <c r="O1571" t="s">
        <v>82</v>
      </c>
      <c r="P1571" t="str">
        <f>"4170048274                    "</f>
        <v xml:space="preserve">4170048274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43.78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0.3</v>
      </c>
      <c r="BK1571">
        <v>1</v>
      </c>
      <c r="BL1571">
        <v>137.94</v>
      </c>
      <c r="BM1571">
        <v>20.69</v>
      </c>
      <c r="BN1571">
        <v>158.63</v>
      </c>
      <c r="BO1571">
        <v>158.63</v>
      </c>
      <c r="BQ1571" t="s">
        <v>224</v>
      </c>
      <c r="BR1571" t="s">
        <v>84</v>
      </c>
      <c r="BS1571" s="3">
        <v>45852</v>
      </c>
      <c r="BT1571" s="4">
        <v>0.33333333333333331</v>
      </c>
      <c r="BU1571" t="s">
        <v>1494</v>
      </c>
      <c r="BV1571" t="s">
        <v>98</v>
      </c>
      <c r="BY1571">
        <v>1350</v>
      </c>
      <c r="BZ1571" t="s">
        <v>89</v>
      </c>
      <c r="CC1571" t="s">
        <v>222</v>
      </c>
      <c r="CD1571">
        <v>2740</v>
      </c>
      <c r="CE1571" t="s">
        <v>1868</v>
      </c>
      <c r="CF1571" s="3">
        <v>45853</v>
      </c>
      <c r="CI1571">
        <v>1</v>
      </c>
      <c r="CJ1571">
        <v>1</v>
      </c>
      <c r="CK1571">
        <v>23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"080066501410"</f>
        <v>080066501410</v>
      </c>
      <c r="F1572" s="3">
        <v>45849</v>
      </c>
      <c r="G1572">
        <v>202604</v>
      </c>
      <c r="H1572" t="s">
        <v>75</v>
      </c>
      <c r="I1572" t="s">
        <v>76</v>
      </c>
      <c r="J1572" t="s">
        <v>77</v>
      </c>
      <c r="K1572" t="s">
        <v>78</v>
      </c>
      <c r="L1572" t="s">
        <v>554</v>
      </c>
      <c r="M1572" t="s">
        <v>555</v>
      </c>
      <c r="N1572" t="s">
        <v>556</v>
      </c>
      <c r="O1572" t="s">
        <v>82</v>
      </c>
      <c r="P1572" t="str">
        <f>"4170048252                    "</f>
        <v xml:space="preserve">4170048252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22.6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0.3</v>
      </c>
      <c r="BK1572">
        <v>1</v>
      </c>
      <c r="BL1572">
        <v>71.2</v>
      </c>
      <c r="BM1572">
        <v>10.68</v>
      </c>
      <c r="BN1572">
        <v>81.88</v>
      </c>
      <c r="BO1572">
        <v>81.88</v>
      </c>
      <c r="BQ1572" t="s">
        <v>557</v>
      </c>
      <c r="BR1572" t="s">
        <v>84</v>
      </c>
      <c r="BS1572" s="3">
        <v>45852</v>
      </c>
      <c r="BT1572" s="4">
        <v>0.35069444444444442</v>
      </c>
      <c r="BU1572" t="s">
        <v>558</v>
      </c>
      <c r="BV1572" t="s">
        <v>98</v>
      </c>
      <c r="BY1572">
        <v>1350</v>
      </c>
      <c r="BZ1572" t="s">
        <v>89</v>
      </c>
      <c r="CA1572" t="s">
        <v>559</v>
      </c>
      <c r="CC1572" t="s">
        <v>555</v>
      </c>
      <c r="CD1572" s="5" t="s">
        <v>560</v>
      </c>
      <c r="CE1572" t="s">
        <v>1868</v>
      </c>
      <c r="CF1572" s="3">
        <v>45852</v>
      </c>
      <c r="CI1572">
        <v>1</v>
      </c>
      <c r="CJ1572">
        <v>1</v>
      </c>
      <c r="CK1572">
        <v>21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"080066501417"</f>
        <v>080066501417</v>
      </c>
      <c r="F1573" s="3">
        <v>45849</v>
      </c>
      <c r="G1573">
        <v>202604</v>
      </c>
      <c r="H1573" t="s">
        <v>75</v>
      </c>
      <c r="I1573" t="s">
        <v>76</v>
      </c>
      <c r="J1573" t="s">
        <v>77</v>
      </c>
      <c r="K1573" t="s">
        <v>78</v>
      </c>
      <c r="L1573" t="s">
        <v>122</v>
      </c>
      <c r="M1573" t="s">
        <v>123</v>
      </c>
      <c r="N1573" t="s">
        <v>357</v>
      </c>
      <c r="O1573" t="s">
        <v>82</v>
      </c>
      <c r="P1573" t="str">
        <f>"4170048253                    "</f>
        <v xml:space="preserve">4170048253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62.11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4</v>
      </c>
      <c r="BJ1573">
        <v>5.2</v>
      </c>
      <c r="BK1573">
        <v>5.5</v>
      </c>
      <c r="BL1573">
        <v>195.69</v>
      </c>
      <c r="BM1573">
        <v>29.35</v>
      </c>
      <c r="BN1573">
        <v>225.04</v>
      </c>
      <c r="BO1573">
        <v>225.04</v>
      </c>
      <c r="BQ1573" t="s">
        <v>358</v>
      </c>
      <c r="BR1573" t="s">
        <v>84</v>
      </c>
      <c r="BS1573" s="3">
        <v>45852</v>
      </c>
      <c r="BT1573" s="4">
        <v>0.38194444444444442</v>
      </c>
      <c r="BU1573" t="s">
        <v>359</v>
      </c>
      <c r="BV1573" t="s">
        <v>98</v>
      </c>
      <c r="BY1573">
        <v>25920</v>
      </c>
      <c r="BZ1573" t="s">
        <v>89</v>
      </c>
      <c r="CA1573" t="s">
        <v>166</v>
      </c>
      <c r="CC1573" t="s">
        <v>123</v>
      </c>
      <c r="CD1573">
        <v>3610</v>
      </c>
      <c r="CE1573" t="s">
        <v>91</v>
      </c>
      <c r="CF1573" s="3">
        <v>45853</v>
      </c>
      <c r="CI1573">
        <v>1</v>
      </c>
      <c r="CJ1573">
        <v>1</v>
      </c>
      <c r="CK1573">
        <v>21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"080066501438"</f>
        <v>080066501438</v>
      </c>
      <c r="F1574" s="3">
        <v>45849</v>
      </c>
      <c r="G1574">
        <v>202604</v>
      </c>
      <c r="H1574" t="s">
        <v>75</v>
      </c>
      <c r="I1574" t="s">
        <v>76</v>
      </c>
      <c r="J1574" t="s">
        <v>77</v>
      </c>
      <c r="K1574" t="s">
        <v>78</v>
      </c>
      <c r="L1574" t="s">
        <v>554</v>
      </c>
      <c r="M1574" t="s">
        <v>555</v>
      </c>
      <c r="N1574" t="s">
        <v>556</v>
      </c>
      <c r="O1574" t="s">
        <v>82</v>
      </c>
      <c r="P1574" t="str">
        <f>"4170048276                    "</f>
        <v xml:space="preserve">4170048276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22.6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0.3</v>
      </c>
      <c r="BK1574">
        <v>1</v>
      </c>
      <c r="BL1574">
        <v>71.2</v>
      </c>
      <c r="BM1574">
        <v>10.68</v>
      </c>
      <c r="BN1574">
        <v>81.88</v>
      </c>
      <c r="BO1574">
        <v>81.88</v>
      </c>
      <c r="BQ1574" t="s">
        <v>557</v>
      </c>
      <c r="BR1574" t="s">
        <v>84</v>
      </c>
      <c r="BS1574" s="3">
        <v>45852</v>
      </c>
      <c r="BT1574" s="4">
        <v>0.35</v>
      </c>
      <c r="BU1574" t="s">
        <v>558</v>
      </c>
      <c r="BV1574" t="s">
        <v>98</v>
      </c>
      <c r="BY1574">
        <v>1350</v>
      </c>
      <c r="BZ1574" t="s">
        <v>89</v>
      </c>
      <c r="CA1574" t="s">
        <v>559</v>
      </c>
      <c r="CC1574" t="s">
        <v>555</v>
      </c>
      <c r="CD1574" s="5" t="s">
        <v>560</v>
      </c>
      <c r="CE1574" t="s">
        <v>1868</v>
      </c>
      <c r="CF1574" s="3">
        <v>45852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"080066501445"</f>
        <v>080066501445</v>
      </c>
      <c r="F1575" s="3">
        <v>45849</v>
      </c>
      <c r="G1575">
        <v>202604</v>
      </c>
      <c r="H1575" t="s">
        <v>75</v>
      </c>
      <c r="I1575" t="s">
        <v>76</v>
      </c>
      <c r="J1575" t="s">
        <v>77</v>
      </c>
      <c r="K1575" t="s">
        <v>78</v>
      </c>
      <c r="L1575" t="s">
        <v>168</v>
      </c>
      <c r="M1575" t="s">
        <v>169</v>
      </c>
      <c r="N1575" t="s">
        <v>726</v>
      </c>
      <c r="O1575" t="s">
        <v>82</v>
      </c>
      <c r="P1575" t="str">
        <f>"4170048184                    "</f>
        <v xml:space="preserve">4170048184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28.24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2.1</v>
      </c>
      <c r="BK1575">
        <v>2.5</v>
      </c>
      <c r="BL1575">
        <v>88.98</v>
      </c>
      <c r="BM1575">
        <v>13.35</v>
      </c>
      <c r="BN1575">
        <v>102.33</v>
      </c>
      <c r="BO1575">
        <v>102.33</v>
      </c>
      <c r="BQ1575" t="s">
        <v>727</v>
      </c>
      <c r="BR1575" t="s">
        <v>84</v>
      </c>
      <c r="BS1575" s="3">
        <v>45852</v>
      </c>
      <c r="BT1575" s="4">
        <v>0.40069444444444446</v>
      </c>
      <c r="BU1575" t="s">
        <v>2217</v>
      </c>
      <c r="BV1575" t="s">
        <v>98</v>
      </c>
      <c r="BY1575">
        <v>10350</v>
      </c>
      <c r="BZ1575" t="s">
        <v>89</v>
      </c>
      <c r="CA1575" t="s">
        <v>173</v>
      </c>
      <c r="CC1575" t="s">
        <v>169</v>
      </c>
      <c r="CD1575">
        <v>6001</v>
      </c>
      <c r="CE1575" t="s">
        <v>117</v>
      </c>
      <c r="CF1575" s="3">
        <v>45852</v>
      </c>
      <c r="CI1575">
        <v>1</v>
      </c>
      <c r="CJ1575">
        <v>1</v>
      </c>
      <c r="CK1575">
        <v>21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"080066501456"</f>
        <v>080066501456</v>
      </c>
      <c r="F1576" s="3">
        <v>45849</v>
      </c>
      <c r="G1576">
        <v>202604</v>
      </c>
      <c r="H1576" t="s">
        <v>75</v>
      </c>
      <c r="I1576" t="s">
        <v>76</v>
      </c>
      <c r="J1576" t="s">
        <v>77</v>
      </c>
      <c r="K1576" t="s">
        <v>78</v>
      </c>
      <c r="L1576" t="s">
        <v>92</v>
      </c>
      <c r="M1576" t="s">
        <v>93</v>
      </c>
      <c r="N1576" t="s">
        <v>334</v>
      </c>
      <c r="O1576" t="s">
        <v>82</v>
      </c>
      <c r="P1576" t="str">
        <f>"4170048198                    "</f>
        <v xml:space="preserve">4170048198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22.6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0.3</v>
      </c>
      <c r="BK1576">
        <v>1</v>
      </c>
      <c r="BL1576">
        <v>71.2</v>
      </c>
      <c r="BM1576">
        <v>10.68</v>
      </c>
      <c r="BN1576">
        <v>81.88</v>
      </c>
      <c r="BO1576">
        <v>81.88</v>
      </c>
      <c r="BQ1576" t="s">
        <v>335</v>
      </c>
      <c r="BR1576" t="s">
        <v>84</v>
      </c>
      <c r="BS1576" s="3">
        <v>45852</v>
      </c>
      <c r="BT1576" s="4">
        <v>0.39930555555555558</v>
      </c>
      <c r="BU1576" t="s">
        <v>2218</v>
      </c>
      <c r="BV1576" t="s">
        <v>98</v>
      </c>
      <c r="BY1576">
        <v>1350</v>
      </c>
      <c r="BZ1576" t="s">
        <v>89</v>
      </c>
      <c r="CA1576" t="s">
        <v>337</v>
      </c>
      <c r="CC1576" t="s">
        <v>93</v>
      </c>
      <c r="CD1576">
        <v>4052</v>
      </c>
      <c r="CE1576" t="s">
        <v>1868</v>
      </c>
      <c r="CF1576" s="3">
        <v>45853</v>
      </c>
      <c r="CI1576">
        <v>1</v>
      </c>
      <c r="CJ1576">
        <v>1</v>
      </c>
      <c r="CK1576">
        <v>21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"080066501470"</f>
        <v>080066501470</v>
      </c>
      <c r="F1577" s="3">
        <v>45849</v>
      </c>
      <c r="G1577">
        <v>202604</v>
      </c>
      <c r="H1577" t="s">
        <v>75</v>
      </c>
      <c r="I1577" t="s">
        <v>76</v>
      </c>
      <c r="J1577" t="s">
        <v>77</v>
      </c>
      <c r="K1577" t="s">
        <v>78</v>
      </c>
      <c r="L1577" t="s">
        <v>92</v>
      </c>
      <c r="M1577" t="s">
        <v>93</v>
      </c>
      <c r="N1577" t="s">
        <v>334</v>
      </c>
      <c r="O1577" t="s">
        <v>82</v>
      </c>
      <c r="P1577" t="str">
        <f>"4170048210                    "</f>
        <v xml:space="preserve">4170048210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22.6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0.3</v>
      </c>
      <c r="BK1577">
        <v>1</v>
      </c>
      <c r="BL1577">
        <v>71.2</v>
      </c>
      <c r="BM1577">
        <v>10.68</v>
      </c>
      <c r="BN1577">
        <v>81.88</v>
      </c>
      <c r="BO1577">
        <v>81.88</v>
      </c>
      <c r="BQ1577" t="s">
        <v>335</v>
      </c>
      <c r="BR1577" t="s">
        <v>84</v>
      </c>
      <c r="BS1577" s="3">
        <v>45852</v>
      </c>
      <c r="BT1577" s="4">
        <v>0.40138888888888891</v>
      </c>
      <c r="BU1577" t="s">
        <v>2218</v>
      </c>
      <c r="BV1577" t="s">
        <v>98</v>
      </c>
      <c r="BY1577">
        <v>1350</v>
      </c>
      <c r="BZ1577" t="s">
        <v>89</v>
      </c>
      <c r="CA1577" t="s">
        <v>337</v>
      </c>
      <c r="CC1577" t="s">
        <v>93</v>
      </c>
      <c r="CD1577">
        <v>4052</v>
      </c>
      <c r="CE1577" t="s">
        <v>1868</v>
      </c>
      <c r="CF1577" s="3">
        <v>45853</v>
      </c>
      <c r="CI1577">
        <v>1</v>
      </c>
      <c r="CJ1577">
        <v>1</v>
      </c>
      <c r="CK1577">
        <v>21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"080066501472"</f>
        <v>080066501472</v>
      </c>
      <c r="F1578" s="3">
        <v>45849</v>
      </c>
      <c r="G1578">
        <v>202604</v>
      </c>
      <c r="H1578" t="s">
        <v>75</v>
      </c>
      <c r="I1578" t="s">
        <v>76</v>
      </c>
      <c r="J1578" t="s">
        <v>77</v>
      </c>
      <c r="K1578" t="s">
        <v>78</v>
      </c>
      <c r="L1578" t="s">
        <v>1408</v>
      </c>
      <c r="M1578" t="s">
        <v>1409</v>
      </c>
      <c r="N1578" t="s">
        <v>2219</v>
      </c>
      <c r="O1578" t="s">
        <v>82</v>
      </c>
      <c r="P1578" t="str">
        <f>"4170048337                    "</f>
        <v xml:space="preserve">4170048337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43.78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1.9</v>
      </c>
      <c r="BK1578">
        <v>2</v>
      </c>
      <c r="BL1578">
        <v>137.94</v>
      </c>
      <c r="BM1578">
        <v>20.69</v>
      </c>
      <c r="BN1578">
        <v>158.63</v>
      </c>
      <c r="BO1578">
        <v>158.63</v>
      </c>
      <c r="BQ1578" t="s">
        <v>2220</v>
      </c>
      <c r="BR1578" t="s">
        <v>84</v>
      </c>
      <c r="BS1578" s="3">
        <v>45852</v>
      </c>
      <c r="BT1578" s="4">
        <v>0.66666666666666663</v>
      </c>
      <c r="BU1578" t="s">
        <v>2221</v>
      </c>
      <c r="BV1578" t="s">
        <v>98</v>
      </c>
      <c r="BY1578">
        <v>9675</v>
      </c>
      <c r="BZ1578" t="s">
        <v>89</v>
      </c>
      <c r="CC1578" t="s">
        <v>1409</v>
      </c>
      <c r="CD1578">
        <v>2310</v>
      </c>
      <c r="CE1578" t="s">
        <v>117</v>
      </c>
      <c r="CF1578" s="3">
        <v>45852</v>
      </c>
      <c r="CI1578">
        <v>1</v>
      </c>
      <c r="CJ1578">
        <v>1</v>
      </c>
      <c r="CK1578">
        <v>23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"080066501491"</f>
        <v>080066501491</v>
      </c>
      <c r="F1579" s="3">
        <v>45849</v>
      </c>
      <c r="G1579">
        <v>202604</v>
      </c>
      <c r="H1579" t="s">
        <v>75</v>
      </c>
      <c r="I1579" t="s">
        <v>76</v>
      </c>
      <c r="J1579" t="s">
        <v>77</v>
      </c>
      <c r="K1579" t="s">
        <v>78</v>
      </c>
      <c r="L1579" t="s">
        <v>79</v>
      </c>
      <c r="M1579" t="s">
        <v>80</v>
      </c>
      <c r="N1579" t="s">
        <v>931</v>
      </c>
      <c r="O1579" t="s">
        <v>82</v>
      </c>
      <c r="P1579" t="str">
        <f>"4170048272                    "</f>
        <v xml:space="preserve">4170048272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22.6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0.3</v>
      </c>
      <c r="BK1579">
        <v>1</v>
      </c>
      <c r="BL1579">
        <v>71.2</v>
      </c>
      <c r="BM1579">
        <v>10.68</v>
      </c>
      <c r="BN1579">
        <v>81.88</v>
      </c>
      <c r="BO1579">
        <v>81.88</v>
      </c>
      <c r="BQ1579" t="s">
        <v>932</v>
      </c>
      <c r="BR1579" t="s">
        <v>84</v>
      </c>
      <c r="BS1579" s="3">
        <v>45852</v>
      </c>
      <c r="BT1579" s="4">
        <v>0.40069444444444446</v>
      </c>
      <c r="BU1579" t="s">
        <v>933</v>
      </c>
      <c r="BV1579" t="s">
        <v>98</v>
      </c>
      <c r="BY1579">
        <v>1350</v>
      </c>
      <c r="BZ1579" t="s">
        <v>89</v>
      </c>
      <c r="CA1579" t="s">
        <v>934</v>
      </c>
      <c r="CC1579" t="s">
        <v>80</v>
      </c>
      <c r="CD1579">
        <v>7535</v>
      </c>
      <c r="CE1579" t="s">
        <v>1868</v>
      </c>
      <c r="CF1579" s="3">
        <v>45853</v>
      </c>
      <c r="CI1579">
        <v>1</v>
      </c>
      <c r="CJ1579">
        <v>1</v>
      </c>
      <c r="CK1579">
        <v>21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"080066501494"</f>
        <v>080066501494</v>
      </c>
      <c r="F1580" s="3">
        <v>45849</v>
      </c>
      <c r="G1580">
        <v>202604</v>
      </c>
      <c r="H1580" t="s">
        <v>75</v>
      </c>
      <c r="I1580" t="s">
        <v>76</v>
      </c>
      <c r="J1580" t="s">
        <v>77</v>
      </c>
      <c r="K1580" t="s">
        <v>78</v>
      </c>
      <c r="L1580" t="s">
        <v>854</v>
      </c>
      <c r="M1580" t="s">
        <v>855</v>
      </c>
      <c r="N1580" t="s">
        <v>2166</v>
      </c>
      <c r="O1580" t="s">
        <v>82</v>
      </c>
      <c r="P1580" t="str">
        <f>"4170048181                    "</f>
        <v xml:space="preserve">4170048181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43.78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16.739999999999998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1.1000000000000001</v>
      </c>
      <c r="BK1580">
        <v>1.5</v>
      </c>
      <c r="BL1580">
        <v>154.68</v>
      </c>
      <c r="BM1580">
        <v>23.2</v>
      </c>
      <c r="BN1580">
        <v>177.88</v>
      </c>
      <c r="BO1580">
        <v>177.88</v>
      </c>
      <c r="BQ1580" t="s">
        <v>2167</v>
      </c>
      <c r="BR1580" t="s">
        <v>84</v>
      </c>
      <c r="BS1580" s="3">
        <v>45852</v>
      </c>
      <c r="BT1580" s="4">
        <v>0.52083333333333337</v>
      </c>
      <c r="BU1580" t="s">
        <v>2168</v>
      </c>
      <c r="BV1580" t="s">
        <v>98</v>
      </c>
      <c r="BY1580">
        <v>5320</v>
      </c>
      <c r="BZ1580" t="s">
        <v>460</v>
      </c>
      <c r="CC1580" t="s">
        <v>855</v>
      </c>
      <c r="CD1580" s="5" t="s">
        <v>2169</v>
      </c>
      <c r="CE1580" t="s">
        <v>117</v>
      </c>
      <c r="CF1580" s="3">
        <v>45853</v>
      </c>
      <c r="CI1580">
        <v>1</v>
      </c>
      <c r="CJ1580">
        <v>1</v>
      </c>
      <c r="CK1580">
        <v>23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"080066501509"</f>
        <v>080066501509</v>
      </c>
      <c r="F1581" s="3">
        <v>45849</v>
      </c>
      <c r="G1581">
        <v>202604</v>
      </c>
      <c r="H1581" t="s">
        <v>75</v>
      </c>
      <c r="I1581" t="s">
        <v>76</v>
      </c>
      <c r="J1581" t="s">
        <v>77</v>
      </c>
      <c r="K1581" t="s">
        <v>78</v>
      </c>
      <c r="L1581" t="s">
        <v>221</v>
      </c>
      <c r="M1581" t="s">
        <v>222</v>
      </c>
      <c r="N1581" t="s">
        <v>223</v>
      </c>
      <c r="O1581" t="s">
        <v>82</v>
      </c>
      <c r="P1581" t="str">
        <f>"4170048304                    "</f>
        <v xml:space="preserve">4170048304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43.78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0.3</v>
      </c>
      <c r="BK1581">
        <v>1</v>
      </c>
      <c r="BL1581">
        <v>137.94</v>
      </c>
      <c r="BM1581">
        <v>20.69</v>
      </c>
      <c r="BN1581">
        <v>158.63</v>
      </c>
      <c r="BO1581">
        <v>158.63</v>
      </c>
      <c r="BQ1581" t="s">
        <v>224</v>
      </c>
      <c r="BR1581" t="s">
        <v>84</v>
      </c>
      <c r="BS1581" s="3">
        <v>45852</v>
      </c>
      <c r="BT1581" s="4">
        <v>0.33333333333333331</v>
      </c>
      <c r="BU1581" t="s">
        <v>1494</v>
      </c>
      <c r="BV1581" t="s">
        <v>98</v>
      </c>
      <c r="BY1581">
        <v>1350</v>
      </c>
      <c r="BZ1581" t="s">
        <v>89</v>
      </c>
      <c r="CC1581" t="s">
        <v>222</v>
      </c>
      <c r="CD1581">
        <v>2740</v>
      </c>
      <c r="CE1581" t="s">
        <v>1868</v>
      </c>
      <c r="CF1581" s="3">
        <v>45853</v>
      </c>
      <c r="CI1581">
        <v>1</v>
      </c>
      <c r="CJ1581">
        <v>1</v>
      </c>
      <c r="CK1581">
        <v>23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"080066501522"</f>
        <v>080066501522</v>
      </c>
      <c r="F1582" s="3">
        <v>45849</v>
      </c>
      <c r="G1582">
        <v>202604</v>
      </c>
      <c r="H1582" t="s">
        <v>75</v>
      </c>
      <c r="I1582" t="s">
        <v>76</v>
      </c>
      <c r="J1582" t="s">
        <v>77</v>
      </c>
      <c r="K1582" t="s">
        <v>78</v>
      </c>
      <c r="L1582" t="s">
        <v>79</v>
      </c>
      <c r="M1582" t="s">
        <v>80</v>
      </c>
      <c r="N1582" t="s">
        <v>698</v>
      </c>
      <c r="O1582" t="s">
        <v>82</v>
      </c>
      <c r="P1582" t="str">
        <f>"4170048230                    "</f>
        <v xml:space="preserve">4170048230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33.89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3</v>
      </c>
      <c r="BJ1582">
        <v>1.1000000000000001</v>
      </c>
      <c r="BK1582">
        <v>3</v>
      </c>
      <c r="BL1582">
        <v>106.77</v>
      </c>
      <c r="BM1582">
        <v>16.02</v>
      </c>
      <c r="BN1582">
        <v>122.79</v>
      </c>
      <c r="BO1582">
        <v>122.79</v>
      </c>
      <c r="BQ1582" t="s">
        <v>699</v>
      </c>
      <c r="BR1582" t="s">
        <v>84</v>
      </c>
      <c r="BS1582" s="3">
        <v>45852</v>
      </c>
      <c r="BT1582" s="4">
        <v>0.41805555555555557</v>
      </c>
      <c r="BU1582" t="s">
        <v>700</v>
      </c>
      <c r="BV1582" t="s">
        <v>98</v>
      </c>
      <c r="BY1582">
        <v>5320</v>
      </c>
      <c r="BZ1582" t="s">
        <v>89</v>
      </c>
      <c r="CA1582" t="s">
        <v>289</v>
      </c>
      <c r="CC1582" t="s">
        <v>80</v>
      </c>
      <c r="CD1582">
        <v>7561</v>
      </c>
      <c r="CE1582" t="s">
        <v>117</v>
      </c>
      <c r="CF1582" s="3">
        <v>45853</v>
      </c>
      <c r="CI1582">
        <v>1</v>
      </c>
      <c r="CJ1582">
        <v>1</v>
      </c>
      <c r="CK1582">
        <v>21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"080066501604"</f>
        <v>080066501604</v>
      </c>
      <c r="F1583" s="3">
        <v>45849</v>
      </c>
      <c r="G1583">
        <v>202604</v>
      </c>
      <c r="H1583" t="s">
        <v>75</v>
      </c>
      <c r="I1583" t="s">
        <v>76</v>
      </c>
      <c r="J1583" t="s">
        <v>77</v>
      </c>
      <c r="K1583" t="s">
        <v>78</v>
      </c>
      <c r="L1583" t="s">
        <v>452</v>
      </c>
      <c r="M1583" t="s">
        <v>453</v>
      </c>
      <c r="N1583" t="s">
        <v>1792</v>
      </c>
      <c r="O1583" t="s">
        <v>95</v>
      </c>
      <c r="P1583" t="str">
        <f>"4170048248                    "</f>
        <v xml:space="preserve">4170048248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38.65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20</v>
      </c>
      <c r="BJ1583">
        <v>7</v>
      </c>
      <c r="BK1583">
        <v>20</v>
      </c>
      <c r="BL1583">
        <v>127.64</v>
      </c>
      <c r="BM1583">
        <v>19.149999999999999</v>
      </c>
      <c r="BN1583">
        <v>146.79</v>
      </c>
      <c r="BO1583">
        <v>146.79</v>
      </c>
      <c r="BQ1583" t="s">
        <v>1793</v>
      </c>
      <c r="BR1583" t="s">
        <v>84</v>
      </c>
      <c r="BS1583" s="3">
        <v>45852</v>
      </c>
      <c r="BT1583" s="4">
        <v>0.34722222222222221</v>
      </c>
      <c r="BU1583" t="s">
        <v>1794</v>
      </c>
      <c r="BV1583" t="s">
        <v>98</v>
      </c>
      <c r="BY1583">
        <v>34944</v>
      </c>
      <c r="BZ1583" t="s">
        <v>99</v>
      </c>
      <c r="CA1583" t="s">
        <v>1541</v>
      </c>
      <c r="CC1583" t="s">
        <v>453</v>
      </c>
      <c r="CD1583">
        <v>1559</v>
      </c>
      <c r="CE1583" t="s">
        <v>117</v>
      </c>
      <c r="CF1583" s="3">
        <v>45853</v>
      </c>
      <c r="CI1583">
        <v>1</v>
      </c>
      <c r="CJ1583">
        <v>1</v>
      </c>
      <c r="CK1583">
        <v>42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"080066501631"</f>
        <v>080066501631</v>
      </c>
      <c r="F1584" s="3">
        <v>45849</v>
      </c>
      <c r="G1584">
        <v>202604</v>
      </c>
      <c r="H1584" t="s">
        <v>75</v>
      </c>
      <c r="I1584" t="s">
        <v>76</v>
      </c>
      <c r="J1584" t="s">
        <v>77</v>
      </c>
      <c r="K1584" t="s">
        <v>78</v>
      </c>
      <c r="L1584" t="s">
        <v>122</v>
      </c>
      <c r="M1584" t="s">
        <v>123</v>
      </c>
      <c r="N1584" t="s">
        <v>357</v>
      </c>
      <c r="O1584" t="s">
        <v>82</v>
      </c>
      <c r="P1584" t="str">
        <f>"4170048207                    "</f>
        <v xml:space="preserve">4170048207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22.6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1.9</v>
      </c>
      <c r="BK1584">
        <v>2</v>
      </c>
      <c r="BL1584">
        <v>71.2</v>
      </c>
      <c r="BM1584">
        <v>10.68</v>
      </c>
      <c r="BN1584">
        <v>81.88</v>
      </c>
      <c r="BO1584">
        <v>81.88</v>
      </c>
      <c r="BQ1584" t="s">
        <v>358</v>
      </c>
      <c r="BR1584" t="s">
        <v>84</v>
      </c>
      <c r="BS1584" s="3">
        <v>45852</v>
      </c>
      <c r="BT1584" s="4">
        <v>0.38194444444444442</v>
      </c>
      <c r="BU1584" t="s">
        <v>359</v>
      </c>
      <c r="BV1584" t="s">
        <v>98</v>
      </c>
      <c r="BY1584">
        <v>9600</v>
      </c>
      <c r="BZ1584" t="s">
        <v>89</v>
      </c>
      <c r="CA1584" t="s">
        <v>166</v>
      </c>
      <c r="CC1584" t="s">
        <v>123</v>
      </c>
      <c r="CD1584">
        <v>3610</v>
      </c>
      <c r="CE1584" t="s">
        <v>117</v>
      </c>
      <c r="CF1584" s="3">
        <v>45853</v>
      </c>
      <c r="CI1584">
        <v>1</v>
      </c>
      <c r="CJ1584">
        <v>1</v>
      </c>
      <c r="CK1584">
        <v>21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"080066501648"</f>
        <v>080066501648</v>
      </c>
      <c r="F1585" s="3">
        <v>45849</v>
      </c>
      <c r="G1585">
        <v>202604</v>
      </c>
      <c r="H1585" t="s">
        <v>75</v>
      </c>
      <c r="I1585" t="s">
        <v>76</v>
      </c>
      <c r="J1585" t="s">
        <v>77</v>
      </c>
      <c r="K1585" t="s">
        <v>78</v>
      </c>
      <c r="L1585" t="s">
        <v>277</v>
      </c>
      <c r="M1585" t="s">
        <v>278</v>
      </c>
      <c r="N1585" t="s">
        <v>279</v>
      </c>
      <c r="O1585" t="s">
        <v>82</v>
      </c>
      <c r="P1585" t="str">
        <f>"4170048170                    "</f>
        <v xml:space="preserve">4170048170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56.47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5</v>
      </c>
      <c r="BJ1585">
        <v>1.6</v>
      </c>
      <c r="BK1585">
        <v>5</v>
      </c>
      <c r="BL1585">
        <v>177.91</v>
      </c>
      <c r="BM1585">
        <v>26.69</v>
      </c>
      <c r="BN1585">
        <v>204.6</v>
      </c>
      <c r="BO1585">
        <v>204.6</v>
      </c>
      <c r="BQ1585" t="s">
        <v>280</v>
      </c>
      <c r="BR1585" t="s">
        <v>84</v>
      </c>
      <c r="BS1585" s="3">
        <v>45852</v>
      </c>
      <c r="BT1585" s="4">
        <v>0.33402777777777776</v>
      </c>
      <c r="BU1585" t="s">
        <v>172</v>
      </c>
      <c r="BV1585" t="s">
        <v>98</v>
      </c>
      <c r="BY1585">
        <v>8232</v>
      </c>
      <c r="BZ1585" t="s">
        <v>89</v>
      </c>
      <c r="CA1585" t="s">
        <v>282</v>
      </c>
      <c r="CC1585" t="s">
        <v>278</v>
      </c>
      <c r="CD1585">
        <v>6230</v>
      </c>
      <c r="CE1585" t="s">
        <v>91</v>
      </c>
      <c r="CF1585" s="3">
        <v>45853</v>
      </c>
      <c r="CI1585">
        <v>1</v>
      </c>
      <c r="CJ1585">
        <v>1</v>
      </c>
      <c r="CK1585">
        <v>21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"080066501671"</f>
        <v>080066501671</v>
      </c>
      <c r="F1586" s="3">
        <v>45849</v>
      </c>
      <c r="G1586">
        <v>202604</v>
      </c>
      <c r="H1586" t="s">
        <v>75</v>
      </c>
      <c r="I1586" t="s">
        <v>76</v>
      </c>
      <c r="J1586" t="s">
        <v>77</v>
      </c>
      <c r="K1586" t="s">
        <v>78</v>
      </c>
      <c r="L1586" t="s">
        <v>295</v>
      </c>
      <c r="M1586" t="s">
        <v>296</v>
      </c>
      <c r="N1586" t="s">
        <v>942</v>
      </c>
      <c r="O1586" t="s">
        <v>82</v>
      </c>
      <c r="P1586" t="str">
        <f>"4170048183                    "</f>
        <v xml:space="preserve">4170048183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17.649999999999999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1.1000000000000001</v>
      </c>
      <c r="BK1586">
        <v>2</v>
      </c>
      <c r="BL1586">
        <v>55.61</v>
      </c>
      <c r="BM1586">
        <v>8.34</v>
      </c>
      <c r="BN1586">
        <v>63.95</v>
      </c>
      <c r="BO1586">
        <v>63.95</v>
      </c>
      <c r="BQ1586" t="s">
        <v>943</v>
      </c>
      <c r="BR1586" t="s">
        <v>84</v>
      </c>
      <c r="BS1586" s="3">
        <v>45852</v>
      </c>
      <c r="BT1586" s="4">
        <v>0.35208333333333336</v>
      </c>
      <c r="BU1586" t="s">
        <v>1953</v>
      </c>
      <c r="BV1586" t="s">
        <v>98</v>
      </c>
      <c r="BY1586">
        <v>5320</v>
      </c>
      <c r="BZ1586" t="s">
        <v>89</v>
      </c>
      <c r="CA1586" t="s">
        <v>300</v>
      </c>
      <c r="CC1586" t="s">
        <v>296</v>
      </c>
      <c r="CD1586">
        <v>1459</v>
      </c>
      <c r="CE1586" t="s">
        <v>117</v>
      </c>
      <c r="CF1586" s="3">
        <v>45853</v>
      </c>
      <c r="CI1586">
        <v>1</v>
      </c>
      <c r="CJ1586">
        <v>1</v>
      </c>
      <c r="CK1586">
        <v>22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"080066501694"</f>
        <v>080066501694</v>
      </c>
      <c r="F1587" s="3">
        <v>45849</v>
      </c>
      <c r="G1587">
        <v>202604</v>
      </c>
      <c r="H1587" t="s">
        <v>75</v>
      </c>
      <c r="I1587" t="s">
        <v>76</v>
      </c>
      <c r="J1587" t="s">
        <v>77</v>
      </c>
      <c r="K1587" t="s">
        <v>78</v>
      </c>
      <c r="L1587" t="s">
        <v>151</v>
      </c>
      <c r="M1587" t="s">
        <v>152</v>
      </c>
      <c r="N1587" t="s">
        <v>1484</v>
      </c>
      <c r="O1587" t="s">
        <v>82</v>
      </c>
      <c r="P1587" t="str">
        <f>"4170048297                    "</f>
        <v xml:space="preserve">4170048297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33.89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</v>
      </c>
      <c r="BJ1587">
        <v>1.7</v>
      </c>
      <c r="BK1587">
        <v>3</v>
      </c>
      <c r="BL1587">
        <v>106.77</v>
      </c>
      <c r="BM1587">
        <v>16.02</v>
      </c>
      <c r="BN1587">
        <v>122.79</v>
      </c>
      <c r="BO1587">
        <v>122.79</v>
      </c>
      <c r="BQ1587" t="s">
        <v>1485</v>
      </c>
      <c r="BR1587" t="s">
        <v>84</v>
      </c>
      <c r="BS1587" s="3">
        <v>45852</v>
      </c>
      <c r="BT1587" s="4">
        <v>0.65555555555555556</v>
      </c>
      <c r="BU1587" t="s">
        <v>1733</v>
      </c>
      <c r="BV1587" t="s">
        <v>98</v>
      </c>
      <c r="BY1587">
        <v>8512</v>
      </c>
      <c r="BZ1587" t="s">
        <v>89</v>
      </c>
      <c r="CA1587" t="s">
        <v>513</v>
      </c>
      <c r="CC1587" t="s">
        <v>152</v>
      </c>
      <c r="CD1587" s="5" t="s">
        <v>1487</v>
      </c>
      <c r="CE1587" t="s">
        <v>117</v>
      </c>
      <c r="CF1587" s="3">
        <v>45852</v>
      </c>
      <c r="CI1587">
        <v>1</v>
      </c>
      <c r="CJ1587">
        <v>1</v>
      </c>
      <c r="CK1587">
        <v>21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"080066501714"</f>
        <v>080066501714</v>
      </c>
      <c r="F1588" s="3">
        <v>45849</v>
      </c>
      <c r="G1588">
        <v>202604</v>
      </c>
      <c r="H1588" t="s">
        <v>75</v>
      </c>
      <c r="I1588" t="s">
        <v>76</v>
      </c>
      <c r="J1588" t="s">
        <v>77</v>
      </c>
      <c r="K1588" t="s">
        <v>78</v>
      </c>
      <c r="L1588" t="s">
        <v>79</v>
      </c>
      <c r="M1588" t="s">
        <v>80</v>
      </c>
      <c r="N1588" t="s">
        <v>698</v>
      </c>
      <c r="O1588" t="s">
        <v>82</v>
      </c>
      <c r="P1588" t="str">
        <f>"4170048232                    "</f>
        <v xml:space="preserve">4170048232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67.760000000000005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6</v>
      </c>
      <c r="BJ1588">
        <v>1.1000000000000001</v>
      </c>
      <c r="BK1588">
        <v>6</v>
      </c>
      <c r="BL1588">
        <v>213.48</v>
      </c>
      <c r="BM1588">
        <v>32.020000000000003</v>
      </c>
      <c r="BN1588">
        <v>245.5</v>
      </c>
      <c r="BO1588">
        <v>245.5</v>
      </c>
      <c r="BQ1588" t="s">
        <v>699</v>
      </c>
      <c r="BR1588" t="s">
        <v>84</v>
      </c>
      <c r="BS1588" s="3">
        <v>45852</v>
      </c>
      <c r="BT1588" s="4">
        <v>0.41805555555555557</v>
      </c>
      <c r="BU1588" t="s">
        <v>700</v>
      </c>
      <c r="BV1588" t="s">
        <v>98</v>
      </c>
      <c r="BY1588">
        <v>5320</v>
      </c>
      <c r="BZ1588" t="s">
        <v>89</v>
      </c>
      <c r="CA1588" t="s">
        <v>289</v>
      </c>
      <c r="CC1588" t="s">
        <v>80</v>
      </c>
      <c r="CD1588">
        <v>7561</v>
      </c>
      <c r="CE1588" t="s">
        <v>117</v>
      </c>
      <c r="CF1588" s="3">
        <v>45853</v>
      </c>
      <c r="CI1588">
        <v>1</v>
      </c>
      <c r="CJ1588">
        <v>1</v>
      </c>
      <c r="CK1588">
        <v>21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"080066501807"</f>
        <v>080066501807</v>
      </c>
      <c r="F1589" s="3">
        <v>45849</v>
      </c>
      <c r="G1589">
        <v>202604</v>
      </c>
      <c r="H1589" t="s">
        <v>75</v>
      </c>
      <c r="I1589" t="s">
        <v>76</v>
      </c>
      <c r="J1589" t="s">
        <v>77</v>
      </c>
      <c r="K1589" t="s">
        <v>78</v>
      </c>
      <c r="L1589" t="s">
        <v>75</v>
      </c>
      <c r="M1589" t="s">
        <v>76</v>
      </c>
      <c r="N1589" t="s">
        <v>118</v>
      </c>
      <c r="O1589" t="s">
        <v>82</v>
      </c>
      <c r="P1589" t="str">
        <f>"4170048227                    "</f>
        <v xml:space="preserve">4170048227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17.649999999999999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0.3</v>
      </c>
      <c r="BK1589">
        <v>1</v>
      </c>
      <c r="BL1589">
        <v>55.61</v>
      </c>
      <c r="BM1589">
        <v>8.34</v>
      </c>
      <c r="BN1589">
        <v>63.95</v>
      </c>
      <c r="BO1589">
        <v>63.95</v>
      </c>
      <c r="BQ1589" t="s">
        <v>119</v>
      </c>
      <c r="BR1589" t="s">
        <v>84</v>
      </c>
      <c r="BS1589" s="3">
        <v>45852</v>
      </c>
      <c r="BT1589" s="4">
        <v>0.31666666666666665</v>
      </c>
      <c r="BU1589" t="s">
        <v>832</v>
      </c>
      <c r="BV1589" t="s">
        <v>98</v>
      </c>
      <c r="BY1589">
        <v>1350</v>
      </c>
      <c r="BZ1589" t="s">
        <v>89</v>
      </c>
      <c r="CA1589" t="s">
        <v>213</v>
      </c>
      <c r="CC1589" t="s">
        <v>76</v>
      </c>
      <c r="CD1589">
        <v>1600</v>
      </c>
      <c r="CE1589" t="s">
        <v>1868</v>
      </c>
      <c r="CF1589" s="3">
        <v>45852</v>
      </c>
      <c r="CI1589">
        <v>1</v>
      </c>
      <c r="CJ1589">
        <v>1</v>
      </c>
      <c r="CK1589">
        <v>22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"080066501862"</f>
        <v>080066501862</v>
      </c>
      <c r="F1590" s="3">
        <v>45849</v>
      </c>
      <c r="G1590">
        <v>202604</v>
      </c>
      <c r="H1590" t="s">
        <v>75</v>
      </c>
      <c r="I1590" t="s">
        <v>76</v>
      </c>
      <c r="J1590" t="s">
        <v>77</v>
      </c>
      <c r="K1590" t="s">
        <v>78</v>
      </c>
      <c r="L1590" t="s">
        <v>168</v>
      </c>
      <c r="M1590" t="s">
        <v>169</v>
      </c>
      <c r="N1590" t="s">
        <v>1845</v>
      </c>
      <c r="O1590" t="s">
        <v>82</v>
      </c>
      <c r="P1590" t="str">
        <f>"4170047861                    "</f>
        <v xml:space="preserve">4170047861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22.6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0.3</v>
      </c>
      <c r="BK1590">
        <v>1</v>
      </c>
      <c r="BL1590">
        <v>71.2</v>
      </c>
      <c r="BM1590">
        <v>10.68</v>
      </c>
      <c r="BN1590">
        <v>81.88</v>
      </c>
      <c r="BO1590">
        <v>81.88</v>
      </c>
      <c r="BQ1590" t="s">
        <v>1846</v>
      </c>
      <c r="BR1590" t="s">
        <v>84</v>
      </c>
      <c r="BS1590" s="3">
        <v>45852</v>
      </c>
      <c r="BT1590" s="4">
        <v>0.40625</v>
      </c>
      <c r="BU1590" t="s">
        <v>1847</v>
      </c>
      <c r="BV1590" t="s">
        <v>98</v>
      </c>
      <c r="BY1590">
        <v>1350</v>
      </c>
      <c r="BZ1590" t="s">
        <v>89</v>
      </c>
      <c r="CA1590" t="s">
        <v>423</v>
      </c>
      <c r="CC1590" t="s">
        <v>169</v>
      </c>
      <c r="CD1590">
        <v>6001</v>
      </c>
      <c r="CE1590" t="s">
        <v>1868</v>
      </c>
      <c r="CF1590" s="3">
        <v>45852</v>
      </c>
      <c r="CI1590">
        <v>1</v>
      </c>
      <c r="CJ1590">
        <v>1</v>
      </c>
      <c r="CK1590">
        <v>21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"080066502013"</f>
        <v>080066502013</v>
      </c>
      <c r="F1591" s="3">
        <v>45849</v>
      </c>
      <c r="G1591">
        <v>202604</v>
      </c>
      <c r="H1591" t="s">
        <v>75</v>
      </c>
      <c r="I1591" t="s">
        <v>76</v>
      </c>
      <c r="J1591" t="s">
        <v>77</v>
      </c>
      <c r="K1591" t="s">
        <v>78</v>
      </c>
      <c r="L1591" t="s">
        <v>554</v>
      </c>
      <c r="M1591" t="s">
        <v>555</v>
      </c>
      <c r="N1591" t="s">
        <v>556</v>
      </c>
      <c r="O1591" t="s">
        <v>82</v>
      </c>
      <c r="P1591" t="str">
        <f>"4170048277                    "</f>
        <v xml:space="preserve">4170048277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22.6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0.3</v>
      </c>
      <c r="BK1591">
        <v>1</v>
      </c>
      <c r="BL1591">
        <v>71.2</v>
      </c>
      <c r="BM1591">
        <v>10.68</v>
      </c>
      <c r="BN1591">
        <v>81.88</v>
      </c>
      <c r="BO1591">
        <v>81.88</v>
      </c>
      <c r="BQ1591" t="s">
        <v>557</v>
      </c>
      <c r="BR1591" t="s">
        <v>84</v>
      </c>
      <c r="BS1591" s="3">
        <v>45852</v>
      </c>
      <c r="BT1591" s="4">
        <v>0.35069444444444442</v>
      </c>
      <c r="BU1591" t="s">
        <v>558</v>
      </c>
      <c r="BV1591" t="s">
        <v>98</v>
      </c>
      <c r="BY1591">
        <v>1350</v>
      </c>
      <c r="BZ1591" t="s">
        <v>89</v>
      </c>
      <c r="CA1591" t="s">
        <v>559</v>
      </c>
      <c r="CC1591" t="s">
        <v>555</v>
      </c>
      <c r="CD1591" s="5" t="s">
        <v>560</v>
      </c>
      <c r="CE1591" t="s">
        <v>1868</v>
      </c>
      <c r="CF1591" s="3">
        <v>45852</v>
      </c>
      <c r="CI1591">
        <v>1</v>
      </c>
      <c r="CJ1591">
        <v>1</v>
      </c>
      <c r="CK1591">
        <v>21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"080066502015"</f>
        <v>080066502015</v>
      </c>
      <c r="F1592" s="3">
        <v>45849</v>
      </c>
      <c r="G1592">
        <v>202604</v>
      </c>
      <c r="H1592" t="s">
        <v>75</v>
      </c>
      <c r="I1592" t="s">
        <v>76</v>
      </c>
      <c r="J1592" t="s">
        <v>77</v>
      </c>
      <c r="K1592" t="s">
        <v>78</v>
      </c>
      <c r="L1592" t="s">
        <v>79</v>
      </c>
      <c r="M1592" t="s">
        <v>80</v>
      </c>
      <c r="N1592" t="s">
        <v>1816</v>
      </c>
      <c r="O1592" t="s">
        <v>95</v>
      </c>
      <c r="P1592" t="str">
        <f>"4170048190                    "</f>
        <v xml:space="preserve">4170048190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52.72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2</v>
      </c>
      <c r="BI1592">
        <v>20</v>
      </c>
      <c r="BJ1592">
        <v>3.4</v>
      </c>
      <c r="BK1592">
        <v>20</v>
      </c>
      <c r="BL1592">
        <v>171.97</v>
      </c>
      <c r="BM1592">
        <v>25.8</v>
      </c>
      <c r="BN1592">
        <v>197.77</v>
      </c>
      <c r="BO1592">
        <v>197.77</v>
      </c>
      <c r="BQ1592" t="s">
        <v>1817</v>
      </c>
      <c r="BR1592" t="s">
        <v>84</v>
      </c>
      <c r="BS1592" s="3">
        <v>45853</v>
      </c>
      <c r="BT1592" s="4">
        <v>0.63124999999999998</v>
      </c>
      <c r="BU1592" t="s">
        <v>2037</v>
      </c>
      <c r="BV1592" t="s">
        <v>98</v>
      </c>
      <c r="BY1592">
        <v>8512</v>
      </c>
      <c r="BZ1592" t="s">
        <v>99</v>
      </c>
      <c r="CA1592" t="s">
        <v>90</v>
      </c>
      <c r="CC1592" t="s">
        <v>80</v>
      </c>
      <c r="CD1592">
        <v>7550</v>
      </c>
      <c r="CE1592" t="s">
        <v>1468</v>
      </c>
      <c r="CF1592" s="3">
        <v>45854</v>
      </c>
      <c r="CI1592">
        <v>3</v>
      </c>
      <c r="CJ1592">
        <v>2</v>
      </c>
      <c r="CK1592">
        <v>41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"080066502045"</f>
        <v>080066502045</v>
      </c>
      <c r="F1593" s="3">
        <v>45849</v>
      </c>
      <c r="G1593">
        <v>202604</v>
      </c>
      <c r="H1593" t="s">
        <v>75</v>
      </c>
      <c r="I1593" t="s">
        <v>76</v>
      </c>
      <c r="J1593" t="s">
        <v>77</v>
      </c>
      <c r="K1593" t="s">
        <v>78</v>
      </c>
      <c r="L1593" t="s">
        <v>92</v>
      </c>
      <c r="M1593" t="s">
        <v>93</v>
      </c>
      <c r="N1593" t="s">
        <v>291</v>
      </c>
      <c r="O1593" t="s">
        <v>82</v>
      </c>
      <c r="P1593" t="str">
        <f>"4170048371                    "</f>
        <v xml:space="preserve">4170048371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0.3</v>
      </c>
      <c r="BK1593">
        <v>1</v>
      </c>
      <c r="BL1593">
        <v>71.2</v>
      </c>
      <c r="BM1593">
        <v>10.68</v>
      </c>
      <c r="BN1593">
        <v>81.88</v>
      </c>
      <c r="BO1593">
        <v>81.88</v>
      </c>
      <c r="BQ1593" t="s">
        <v>292</v>
      </c>
      <c r="BR1593" t="s">
        <v>84</v>
      </c>
      <c r="BS1593" s="3">
        <v>45852</v>
      </c>
      <c r="BT1593" s="4">
        <v>0.32708333333333334</v>
      </c>
      <c r="BU1593" t="s">
        <v>2177</v>
      </c>
      <c r="BV1593" t="s">
        <v>98</v>
      </c>
      <c r="BY1593">
        <v>1350</v>
      </c>
      <c r="BZ1593" t="s">
        <v>89</v>
      </c>
      <c r="CA1593" t="s">
        <v>2178</v>
      </c>
      <c r="CC1593" t="s">
        <v>93</v>
      </c>
      <c r="CD1593">
        <v>4051</v>
      </c>
      <c r="CE1593" t="s">
        <v>1868</v>
      </c>
      <c r="CF1593" s="3">
        <v>45852</v>
      </c>
      <c r="CI1593">
        <v>1</v>
      </c>
      <c r="CJ1593">
        <v>1</v>
      </c>
      <c r="CK1593">
        <v>21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"080066502048"</f>
        <v>080066502048</v>
      </c>
      <c r="F1594" s="3">
        <v>45849</v>
      </c>
      <c r="G1594">
        <v>202604</v>
      </c>
      <c r="H1594" t="s">
        <v>75</v>
      </c>
      <c r="I1594" t="s">
        <v>76</v>
      </c>
      <c r="J1594" t="s">
        <v>77</v>
      </c>
      <c r="K1594" t="s">
        <v>78</v>
      </c>
      <c r="L1594" t="s">
        <v>704</v>
      </c>
      <c r="M1594" t="s">
        <v>705</v>
      </c>
      <c r="N1594" t="s">
        <v>829</v>
      </c>
      <c r="O1594" t="s">
        <v>95</v>
      </c>
      <c r="P1594" t="str">
        <f>"4170048318                    "</f>
        <v xml:space="preserve">4170048318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71.08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17</v>
      </c>
      <c r="BJ1594">
        <v>17.7</v>
      </c>
      <c r="BK1594">
        <v>18</v>
      </c>
      <c r="BL1594">
        <v>229.81</v>
      </c>
      <c r="BM1594">
        <v>34.47</v>
      </c>
      <c r="BN1594">
        <v>264.27999999999997</v>
      </c>
      <c r="BO1594">
        <v>264.27999999999997</v>
      </c>
      <c r="BQ1594" t="s">
        <v>830</v>
      </c>
      <c r="BR1594" t="s">
        <v>84</v>
      </c>
      <c r="BS1594" s="3">
        <v>45853</v>
      </c>
      <c r="BT1594" s="4">
        <v>0.58263888888888893</v>
      </c>
      <c r="BU1594" t="s">
        <v>1345</v>
      </c>
      <c r="BV1594" t="s">
        <v>98</v>
      </c>
      <c r="BY1594">
        <v>88320</v>
      </c>
      <c r="BZ1594" t="s">
        <v>99</v>
      </c>
      <c r="CA1594" t="s">
        <v>1152</v>
      </c>
      <c r="CC1594" t="s">
        <v>705</v>
      </c>
      <c r="CD1594">
        <v>6850</v>
      </c>
      <c r="CE1594" t="s">
        <v>117</v>
      </c>
      <c r="CF1594" s="3">
        <v>45854</v>
      </c>
      <c r="CI1594">
        <v>4</v>
      </c>
      <c r="CJ1594">
        <v>2</v>
      </c>
      <c r="CK1594">
        <v>43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"080066502060"</f>
        <v>080066502060</v>
      </c>
      <c r="F1595" s="3">
        <v>45849</v>
      </c>
      <c r="G1595">
        <v>202604</v>
      </c>
      <c r="H1595" t="s">
        <v>75</v>
      </c>
      <c r="I1595" t="s">
        <v>76</v>
      </c>
      <c r="J1595" t="s">
        <v>77</v>
      </c>
      <c r="K1595" t="s">
        <v>78</v>
      </c>
      <c r="L1595" t="s">
        <v>79</v>
      </c>
      <c r="M1595" t="s">
        <v>80</v>
      </c>
      <c r="N1595" t="s">
        <v>1980</v>
      </c>
      <c r="O1595" t="s">
        <v>82</v>
      </c>
      <c r="P1595" t="str">
        <f>"4170048335                    "</f>
        <v xml:space="preserve">4170048335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95.99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16.739999999999998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8.1</v>
      </c>
      <c r="BK1595">
        <v>8.5</v>
      </c>
      <c r="BL1595">
        <v>319.14999999999998</v>
      </c>
      <c r="BM1595">
        <v>47.87</v>
      </c>
      <c r="BN1595">
        <v>367.02</v>
      </c>
      <c r="BO1595">
        <v>367.02</v>
      </c>
      <c r="BQ1595" t="s">
        <v>1981</v>
      </c>
      <c r="BR1595" t="s">
        <v>84</v>
      </c>
      <c r="BS1595" s="3">
        <v>45854</v>
      </c>
      <c r="BT1595" s="4">
        <v>0.36875000000000002</v>
      </c>
      <c r="BU1595" t="s">
        <v>2222</v>
      </c>
      <c r="BV1595" t="s">
        <v>86</v>
      </c>
      <c r="BW1595" t="s">
        <v>87</v>
      </c>
      <c r="BX1595" t="s">
        <v>88</v>
      </c>
      <c r="BY1595">
        <v>40500</v>
      </c>
      <c r="BZ1595" t="s">
        <v>460</v>
      </c>
      <c r="CA1595" t="s">
        <v>2223</v>
      </c>
      <c r="CC1595" t="s">
        <v>80</v>
      </c>
      <c r="CD1595">
        <v>7781</v>
      </c>
      <c r="CE1595" t="s">
        <v>1868</v>
      </c>
      <c r="CF1595" s="3">
        <v>45855</v>
      </c>
      <c r="CI1595">
        <v>1</v>
      </c>
      <c r="CJ1595">
        <v>3</v>
      </c>
      <c r="CK1595">
        <v>21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"080066502066"</f>
        <v>080066502066</v>
      </c>
      <c r="F1596" s="3">
        <v>45849</v>
      </c>
      <c r="G1596">
        <v>202604</v>
      </c>
      <c r="H1596" t="s">
        <v>75</v>
      </c>
      <c r="I1596" t="s">
        <v>76</v>
      </c>
      <c r="J1596" t="s">
        <v>77</v>
      </c>
      <c r="K1596" t="s">
        <v>78</v>
      </c>
      <c r="L1596" t="s">
        <v>240</v>
      </c>
      <c r="M1596" t="s">
        <v>241</v>
      </c>
      <c r="N1596" t="s">
        <v>457</v>
      </c>
      <c r="O1596" t="s">
        <v>82</v>
      </c>
      <c r="P1596" t="str">
        <f>"4170048175                    "</f>
        <v xml:space="preserve">4170048175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17.649999999999999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16.739999999999998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2</v>
      </c>
      <c r="BJ1596">
        <v>3.4</v>
      </c>
      <c r="BK1596">
        <v>4</v>
      </c>
      <c r="BL1596">
        <v>72.349999999999994</v>
      </c>
      <c r="BM1596">
        <v>10.85</v>
      </c>
      <c r="BN1596">
        <v>83.2</v>
      </c>
      <c r="BO1596">
        <v>83.2</v>
      </c>
      <c r="BQ1596" t="s">
        <v>458</v>
      </c>
      <c r="BR1596" t="s">
        <v>84</v>
      </c>
      <c r="BS1596" s="3">
        <v>45852</v>
      </c>
      <c r="BT1596" s="4">
        <v>0.43055555555555558</v>
      </c>
      <c r="BU1596" t="s">
        <v>2224</v>
      </c>
      <c r="BV1596" t="s">
        <v>98</v>
      </c>
      <c r="BY1596">
        <v>16965</v>
      </c>
      <c r="BZ1596" t="s">
        <v>460</v>
      </c>
      <c r="CA1596" t="s">
        <v>2225</v>
      </c>
      <c r="CC1596" t="s">
        <v>241</v>
      </c>
      <c r="CD1596">
        <v>2188</v>
      </c>
      <c r="CE1596" t="s">
        <v>117</v>
      </c>
      <c r="CF1596" s="3">
        <v>45853</v>
      </c>
      <c r="CI1596">
        <v>1</v>
      </c>
      <c r="CJ1596">
        <v>1</v>
      </c>
      <c r="CK1596">
        <v>22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"080066502084"</f>
        <v>080066502084</v>
      </c>
      <c r="F1597" s="3">
        <v>45849</v>
      </c>
      <c r="G1597">
        <v>202604</v>
      </c>
      <c r="H1597" t="s">
        <v>75</v>
      </c>
      <c r="I1597" t="s">
        <v>76</v>
      </c>
      <c r="J1597" t="s">
        <v>77</v>
      </c>
      <c r="K1597" t="s">
        <v>78</v>
      </c>
      <c r="L1597" t="s">
        <v>75</v>
      </c>
      <c r="M1597" t="s">
        <v>76</v>
      </c>
      <c r="N1597" t="s">
        <v>1469</v>
      </c>
      <c r="O1597" t="s">
        <v>82</v>
      </c>
      <c r="P1597" t="str">
        <f>"4170048238                    "</f>
        <v xml:space="preserve">4170048238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17.649999999999999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2</v>
      </c>
      <c r="BJ1597">
        <v>0.9</v>
      </c>
      <c r="BK1597">
        <v>2</v>
      </c>
      <c r="BL1597">
        <v>55.61</v>
      </c>
      <c r="BM1597">
        <v>8.34</v>
      </c>
      <c r="BN1597">
        <v>63.95</v>
      </c>
      <c r="BO1597">
        <v>63.95</v>
      </c>
      <c r="BQ1597" t="s">
        <v>1470</v>
      </c>
      <c r="BR1597" t="s">
        <v>84</v>
      </c>
      <c r="BS1597" s="3">
        <v>45852</v>
      </c>
      <c r="BT1597" s="4">
        <v>0.31527777777777777</v>
      </c>
      <c r="BU1597" t="s">
        <v>2226</v>
      </c>
      <c r="BV1597" t="s">
        <v>98</v>
      </c>
      <c r="BY1597">
        <v>4275</v>
      </c>
      <c r="BZ1597" t="s">
        <v>89</v>
      </c>
      <c r="CA1597" t="s">
        <v>778</v>
      </c>
      <c r="CC1597" t="s">
        <v>76</v>
      </c>
      <c r="CD1597">
        <v>1609</v>
      </c>
      <c r="CE1597" t="s">
        <v>266</v>
      </c>
      <c r="CF1597" s="3">
        <v>45852</v>
      </c>
      <c r="CI1597">
        <v>1</v>
      </c>
      <c r="CJ1597">
        <v>1</v>
      </c>
      <c r="CK1597">
        <v>22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"080066502087"</f>
        <v>080066502087</v>
      </c>
      <c r="F1598" s="3">
        <v>45849</v>
      </c>
      <c r="G1598">
        <v>202604</v>
      </c>
      <c r="H1598" t="s">
        <v>75</v>
      </c>
      <c r="I1598" t="s">
        <v>76</v>
      </c>
      <c r="J1598" t="s">
        <v>77</v>
      </c>
      <c r="K1598" t="s">
        <v>78</v>
      </c>
      <c r="L1598" t="s">
        <v>151</v>
      </c>
      <c r="M1598" t="s">
        <v>152</v>
      </c>
      <c r="N1598" t="s">
        <v>2227</v>
      </c>
      <c r="O1598" t="s">
        <v>82</v>
      </c>
      <c r="P1598" t="str">
        <f>"4170048327                    "</f>
        <v xml:space="preserve">4170048327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22.6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0.3</v>
      </c>
      <c r="BK1598">
        <v>1</v>
      </c>
      <c r="BL1598">
        <v>71.2</v>
      </c>
      <c r="BM1598">
        <v>10.68</v>
      </c>
      <c r="BN1598">
        <v>81.88</v>
      </c>
      <c r="BO1598">
        <v>81.88</v>
      </c>
      <c r="BQ1598" t="s">
        <v>2228</v>
      </c>
      <c r="BR1598" t="s">
        <v>84</v>
      </c>
      <c r="BS1598" s="3">
        <v>45852</v>
      </c>
      <c r="BT1598" s="4">
        <v>0.35486111111111113</v>
      </c>
      <c r="BU1598" t="s">
        <v>2229</v>
      </c>
      <c r="BV1598" t="s">
        <v>98</v>
      </c>
      <c r="BY1598">
        <v>1350</v>
      </c>
      <c r="BZ1598" t="s">
        <v>89</v>
      </c>
      <c r="CA1598" t="s">
        <v>513</v>
      </c>
      <c r="CC1598" t="s">
        <v>152</v>
      </c>
      <c r="CD1598" s="5" t="s">
        <v>1141</v>
      </c>
      <c r="CE1598" t="s">
        <v>1868</v>
      </c>
      <c r="CF1598" s="3">
        <v>45852</v>
      </c>
      <c r="CI1598">
        <v>1</v>
      </c>
      <c r="CJ1598">
        <v>1</v>
      </c>
      <c r="CK1598">
        <v>21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"080066502141"</f>
        <v>080066502141</v>
      </c>
      <c r="F1599" s="3">
        <v>45849</v>
      </c>
      <c r="G1599">
        <v>202604</v>
      </c>
      <c r="H1599" t="s">
        <v>75</v>
      </c>
      <c r="I1599" t="s">
        <v>76</v>
      </c>
      <c r="J1599" t="s">
        <v>77</v>
      </c>
      <c r="K1599" t="s">
        <v>78</v>
      </c>
      <c r="L1599" t="s">
        <v>122</v>
      </c>
      <c r="M1599" t="s">
        <v>123</v>
      </c>
      <c r="N1599" t="s">
        <v>2097</v>
      </c>
      <c r="O1599" t="s">
        <v>82</v>
      </c>
      <c r="P1599" t="str">
        <f>"4170048329                    "</f>
        <v xml:space="preserve">4170048329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22.6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0.3</v>
      </c>
      <c r="BK1599">
        <v>1</v>
      </c>
      <c r="BL1599">
        <v>71.2</v>
      </c>
      <c r="BM1599">
        <v>10.68</v>
      </c>
      <c r="BN1599">
        <v>81.88</v>
      </c>
      <c r="BO1599">
        <v>81.88</v>
      </c>
      <c r="BQ1599" t="s">
        <v>2098</v>
      </c>
      <c r="BR1599" t="s">
        <v>84</v>
      </c>
      <c r="BS1599" s="3">
        <v>45852</v>
      </c>
      <c r="BT1599" s="4">
        <v>0.39513888888888887</v>
      </c>
      <c r="BU1599" t="s">
        <v>2099</v>
      </c>
      <c r="BV1599" t="s">
        <v>98</v>
      </c>
      <c r="BY1599">
        <v>1350</v>
      </c>
      <c r="BZ1599" t="s">
        <v>89</v>
      </c>
      <c r="CA1599" t="s">
        <v>187</v>
      </c>
      <c r="CC1599" t="s">
        <v>123</v>
      </c>
      <c r="CD1599">
        <v>3600</v>
      </c>
      <c r="CE1599" t="s">
        <v>1868</v>
      </c>
      <c r="CF1599" s="3">
        <v>45853</v>
      </c>
      <c r="CI1599">
        <v>1</v>
      </c>
      <c r="CJ1599">
        <v>1</v>
      </c>
      <c r="CK1599">
        <v>21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"080066502189"</f>
        <v>080066502189</v>
      </c>
      <c r="F1600" s="3">
        <v>45849</v>
      </c>
      <c r="G1600">
        <v>202604</v>
      </c>
      <c r="H1600" t="s">
        <v>75</v>
      </c>
      <c r="I1600" t="s">
        <v>76</v>
      </c>
      <c r="J1600" t="s">
        <v>77</v>
      </c>
      <c r="K1600" t="s">
        <v>78</v>
      </c>
      <c r="L1600" t="s">
        <v>554</v>
      </c>
      <c r="M1600" t="s">
        <v>555</v>
      </c>
      <c r="N1600" t="s">
        <v>556</v>
      </c>
      <c r="O1600" t="s">
        <v>82</v>
      </c>
      <c r="P1600" t="str">
        <f>"4170048340                    "</f>
        <v xml:space="preserve">4170048340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22.6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0.9</v>
      </c>
      <c r="BK1600">
        <v>2</v>
      </c>
      <c r="BL1600">
        <v>71.2</v>
      </c>
      <c r="BM1600">
        <v>10.68</v>
      </c>
      <c r="BN1600">
        <v>81.88</v>
      </c>
      <c r="BO1600">
        <v>81.88</v>
      </c>
      <c r="BQ1600" t="s">
        <v>557</v>
      </c>
      <c r="BR1600" t="s">
        <v>84</v>
      </c>
      <c r="BS1600" s="3">
        <v>45852</v>
      </c>
      <c r="BT1600" s="4">
        <v>0.34861111111111109</v>
      </c>
      <c r="BU1600" t="s">
        <v>558</v>
      </c>
      <c r="BV1600" t="s">
        <v>98</v>
      </c>
      <c r="BY1600">
        <v>4560</v>
      </c>
      <c r="BZ1600" t="s">
        <v>89</v>
      </c>
      <c r="CA1600" t="s">
        <v>559</v>
      </c>
      <c r="CC1600" t="s">
        <v>555</v>
      </c>
      <c r="CD1600" s="5" t="s">
        <v>560</v>
      </c>
      <c r="CE1600" t="s">
        <v>117</v>
      </c>
      <c r="CF1600" s="3">
        <v>45852</v>
      </c>
      <c r="CI1600">
        <v>1</v>
      </c>
      <c r="CJ1600">
        <v>1</v>
      </c>
      <c r="CK1600">
        <v>21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"080066502328"</f>
        <v>080066502328</v>
      </c>
      <c r="F1601" s="3">
        <v>45849</v>
      </c>
      <c r="G1601">
        <v>202604</v>
      </c>
      <c r="H1601" t="s">
        <v>75</v>
      </c>
      <c r="I1601" t="s">
        <v>76</v>
      </c>
      <c r="J1601" t="s">
        <v>77</v>
      </c>
      <c r="K1601" t="s">
        <v>78</v>
      </c>
      <c r="L1601" t="s">
        <v>92</v>
      </c>
      <c r="M1601" t="s">
        <v>93</v>
      </c>
      <c r="N1601" t="s">
        <v>1090</v>
      </c>
      <c r="O1601" t="s">
        <v>82</v>
      </c>
      <c r="P1601" t="str">
        <f>"4170048350                    "</f>
        <v xml:space="preserve">4170048350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22.6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0.3</v>
      </c>
      <c r="BK1601">
        <v>1</v>
      </c>
      <c r="BL1601">
        <v>71.2</v>
      </c>
      <c r="BM1601">
        <v>10.68</v>
      </c>
      <c r="BN1601">
        <v>81.88</v>
      </c>
      <c r="BO1601">
        <v>81.88</v>
      </c>
      <c r="BQ1601" t="s">
        <v>1091</v>
      </c>
      <c r="BR1601" t="s">
        <v>84</v>
      </c>
      <c r="BS1601" s="3">
        <v>45852</v>
      </c>
      <c r="BT1601" s="4">
        <v>0.43680555555555556</v>
      </c>
      <c r="BU1601" t="s">
        <v>1329</v>
      </c>
      <c r="BV1601" t="s">
        <v>98</v>
      </c>
      <c r="BY1601">
        <v>1350</v>
      </c>
      <c r="BZ1601" t="s">
        <v>89</v>
      </c>
      <c r="CA1601" t="s">
        <v>491</v>
      </c>
      <c r="CC1601" t="s">
        <v>93</v>
      </c>
      <c r="CD1601">
        <v>4001</v>
      </c>
      <c r="CE1601" t="s">
        <v>1868</v>
      </c>
      <c r="CF1601" s="3">
        <v>45853</v>
      </c>
      <c r="CI1601">
        <v>1</v>
      </c>
      <c r="CJ1601">
        <v>1</v>
      </c>
      <c r="CK1601">
        <v>21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"080066502343"</f>
        <v>080066502343</v>
      </c>
      <c r="F1602" s="3">
        <v>45849</v>
      </c>
      <c r="G1602">
        <v>202604</v>
      </c>
      <c r="H1602" t="s">
        <v>75</v>
      </c>
      <c r="I1602" t="s">
        <v>76</v>
      </c>
      <c r="J1602" t="s">
        <v>77</v>
      </c>
      <c r="K1602" t="s">
        <v>78</v>
      </c>
      <c r="L1602" t="s">
        <v>79</v>
      </c>
      <c r="M1602" t="s">
        <v>80</v>
      </c>
      <c r="N1602" t="s">
        <v>1566</v>
      </c>
      <c r="O1602" t="s">
        <v>82</v>
      </c>
      <c r="P1602" t="str">
        <f>"4170048383                    "</f>
        <v xml:space="preserve">4170048383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22.6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0.3</v>
      </c>
      <c r="BK1602">
        <v>1</v>
      </c>
      <c r="BL1602">
        <v>71.2</v>
      </c>
      <c r="BM1602">
        <v>10.68</v>
      </c>
      <c r="BN1602">
        <v>81.88</v>
      </c>
      <c r="BO1602">
        <v>81.88</v>
      </c>
      <c r="BQ1602" t="s">
        <v>1567</v>
      </c>
      <c r="BR1602" t="s">
        <v>84</v>
      </c>
      <c r="BS1602" s="3">
        <v>45852</v>
      </c>
      <c r="BT1602" s="4">
        <v>0.38263888888888886</v>
      </c>
      <c r="BU1602" t="s">
        <v>2096</v>
      </c>
      <c r="BV1602" t="s">
        <v>98</v>
      </c>
      <c r="BY1602">
        <v>1350</v>
      </c>
      <c r="BZ1602" t="s">
        <v>89</v>
      </c>
      <c r="CA1602" t="s">
        <v>495</v>
      </c>
      <c r="CC1602" t="s">
        <v>80</v>
      </c>
      <c r="CD1602">
        <v>7800</v>
      </c>
      <c r="CE1602" t="s">
        <v>1868</v>
      </c>
      <c r="CF1602" s="3">
        <v>45853</v>
      </c>
      <c r="CI1602">
        <v>1</v>
      </c>
      <c r="CJ1602">
        <v>1</v>
      </c>
      <c r="CK1602">
        <v>21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"080066502391"</f>
        <v>080066502391</v>
      </c>
      <c r="F1603" s="3">
        <v>45849</v>
      </c>
      <c r="G1603">
        <v>202604</v>
      </c>
      <c r="H1603" t="s">
        <v>75</v>
      </c>
      <c r="I1603" t="s">
        <v>76</v>
      </c>
      <c r="J1603" t="s">
        <v>77</v>
      </c>
      <c r="K1603" t="s">
        <v>78</v>
      </c>
      <c r="L1603" t="s">
        <v>122</v>
      </c>
      <c r="M1603" t="s">
        <v>123</v>
      </c>
      <c r="N1603" t="s">
        <v>283</v>
      </c>
      <c r="O1603" t="s">
        <v>82</v>
      </c>
      <c r="P1603" t="str">
        <f>"4170048328                    "</f>
        <v xml:space="preserve">4170048328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22.6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0.3</v>
      </c>
      <c r="BK1603">
        <v>1</v>
      </c>
      <c r="BL1603">
        <v>71.2</v>
      </c>
      <c r="BM1603">
        <v>10.68</v>
      </c>
      <c r="BN1603">
        <v>81.88</v>
      </c>
      <c r="BO1603">
        <v>81.88</v>
      </c>
      <c r="BQ1603" t="s">
        <v>284</v>
      </c>
      <c r="BR1603" t="s">
        <v>84</v>
      </c>
      <c r="BS1603" s="3">
        <v>45852</v>
      </c>
      <c r="BT1603" s="4">
        <v>0.40138888888888891</v>
      </c>
      <c r="BU1603" t="s">
        <v>285</v>
      </c>
      <c r="BV1603" t="s">
        <v>98</v>
      </c>
      <c r="BY1603">
        <v>1350</v>
      </c>
      <c r="BZ1603" t="s">
        <v>89</v>
      </c>
      <c r="CA1603" t="s">
        <v>187</v>
      </c>
      <c r="CC1603" t="s">
        <v>123</v>
      </c>
      <c r="CD1603">
        <v>3608</v>
      </c>
      <c r="CE1603" t="s">
        <v>1868</v>
      </c>
      <c r="CF1603" s="3">
        <v>45853</v>
      </c>
      <c r="CI1603">
        <v>1</v>
      </c>
      <c r="CJ1603">
        <v>1</v>
      </c>
      <c r="CK1603">
        <v>21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"080066502418"</f>
        <v>080066502418</v>
      </c>
      <c r="F1604" s="3">
        <v>45849</v>
      </c>
      <c r="G1604">
        <v>202604</v>
      </c>
      <c r="H1604" t="s">
        <v>75</v>
      </c>
      <c r="I1604" t="s">
        <v>76</v>
      </c>
      <c r="J1604" t="s">
        <v>77</v>
      </c>
      <c r="K1604" t="s">
        <v>78</v>
      </c>
      <c r="L1604" t="s">
        <v>168</v>
      </c>
      <c r="M1604" t="s">
        <v>169</v>
      </c>
      <c r="N1604" t="s">
        <v>1845</v>
      </c>
      <c r="O1604" t="s">
        <v>82</v>
      </c>
      <c r="P1604" t="str">
        <f>"4170048202                    "</f>
        <v xml:space="preserve">4170048202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22.6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0.3</v>
      </c>
      <c r="BK1604">
        <v>1</v>
      </c>
      <c r="BL1604">
        <v>71.2</v>
      </c>
      <c r="BM1604">
        <v>10.68</v>
      </c>
      <c r="BN1604">
        <v>81.88</v>
      </c>
      <c r="BO1604">
        <v>81.88</v>
      </c>
      <c r="BQ1604" t="s">
        <v>1846</v>
      </c>
      <c r="BR1604" t="s">
        <v>84</v>
      </c>
      <c r="BS1604" s="3">
        <v>45852</v>
      </c>
      <c r="BT1604" s="4">
        <v>0.40625</v>
      </c>
      <c r="BU1604" t="s">
        <v>1847</v>
      </c>
      <c r="BV1604" t="s">
        <v>98</v>
      </c>
      <c r="BY1604">
        <v>1350</v>
      </c>
      <c r="BZ1604" t="s">
        <v>89</v>
      </c>
      <c r="CA1604" t="s">
        <v>423</v>
      </c>
      <c r="CC1604" t="s">
        <v>169</v>
      </c>
      <c r="CD1604">
        <v>6001</v>
      </c>
      <c r="CE1604" t="s">
        <v>1868</v>
      </c>
      <c r="CF1604" s="3">
        <v>45852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"080066502530"</f>
        <v>080066502530</v>
      </c>
      <c r="F1605" s="3">
        <v>45849</v>
      </c>
      <c r="G1605">
        <v>202604</v>
      </c>
      <c r="H1605" t="s">
        <v>75</v>
      </c>
      <c r="I1605" t="s">
        <v>76</v>
      </c>
      <c r="J1605" t="s">
        <v>77</v>
      </c>
      <c r="K1605" t="s">
        <v>78</v>
      </c>
      <c r="L1605" t="s">
        <v>704</v>
      </c>
      <c r="M1605" t="s">
        <v>705</v>
      </c>
      <c r="N1605" t="s">
        <v>829</v>
      </c>
      <c r="O1605" t="s">
        <v>82</v>
      </c>
      <c r="P1605" t="str">
        <f>"4170048322                    "</f>
        <v xml:space="preserve">4170048322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103.1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5</v>
      </c>
      <c r="BJ1605">
        <v>3.4</v>
      </c>
      <c r="BK1605">
        <v>5</v>
      </c>
      <c r="BL1605">
        <v>324.82</v>
      </c>
      <c r="BM1605">
        <v>48.72</v>
      </c>
      <c r="BN1605">
        <v>373.54</v>
      </c>
      <c r="BO1605">
        <v>373.54</v>
      </c>
      <c r="BQ1605" t="s">
        <v>830</v>
      </c>
      <c r="BR1605" t="s">
        <v>84</v>
      </c>
      <c r="BS1605" s="3">
        <v>45852</v>
      </c>
      <c r="BT1605" s="4">
        <v>0.50902777777777775</v>
      </c>
      <c r="BU1605" t="s">
        <v>2230</v>
      </c>
      <c r="BV1605" t="s">
        <v>98</v>
      </c>
      <c r="BY1605">
        <v>16965</v>
      </c>
      <c r="BZ1605" t="s">
        <v>89</v>
      </c>
      <c r="CA1605" t="s">
        <v>1665</v>
      </c>
      <c r="CC1605" t="s">
        <v>705</v>
      </c>
      <c r="CD1605">
        <v>6850</v>
      </c>
      <c r="CE1605" t="s">
        <v>117</v>
      </c>
      <c r="CF1605" s="3">
        <v>45853</v>
      </c>
      <c r="CI1605">
        <v>2</v>
      </c>
      <c r="CJ1605">
        <v>1</v>
      </c>
      <c r="CK1605">
        <v>23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"080066502574"</f>
        <v>080066502574</v>
      </c>
      <c r="F1606" s="3">
        <v>45849</v>
      </c>
      <c r="G1606">
        <v>202604</v>
      </c>
      <c r="H1606" t="s">
        <v>75</v>
      </c>
      <c r="I1606" t="s">
        <v>76</v>
      </c>
      <c r="J1606" t="s">
        <v>77</v>
      </c>
      <c r="K1606" t="s">
        <v>78</v>
      </c>
      <c r="L1606" t="s">
        <v>821</v>
      </c>
      <c r="M1606" t="s">
        <v>822</v>
      </c>
      <c r="N1606" t="s">
        <v>2231</v>
      </c>
      <c r="O1606" t="s">
        <v>82</v>
      </c>
      <c r="P1606" t="str">
        <f>"4170048251                    "</f>
        <v xml:space="preserve">4170048251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31.78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16.739999999999998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0.3</v>
      </c>
      <c r="BK1606">
        <v>1</v>
      </c>
      <c r="BL1606">
        <v>116.87</v>
      </c>
      <c r="BM1606">
        <v>17.53</v>
      </c>
      <c r="BN1606">
        <v>134.4</v>
      </c>
      <c r="BO1606">
        <v>134.4</v>
      </c>
      <c r="BQ1606" t="s">
        <v>2232</v>
      </c>
      <c r="BR1606" t="s">
        <v>84</v>
      </c>
      <c r="BS1606" s="3">
        <v>45852</v>
      </c>
      <c r="BT1606" s="4">
        <v>0.5395833333333333</v>
      </c>
      <c r="BU1606" t="s">
        <v>2233</v>
      </c>
      <c r="BV1606" t="s">
        <v>98</v>
      </c>
      <c r="BY1606">
        <v>1350</v>
      </c>
      <c r="BZ1606" t="s">
        <v>460</v>
      </c>
      <c r="CA1606" t="s">
        <v>2234</v>
      </c>
      <c r="CC1606" t="s">
        <v>822</v>
      </c>
      <c r="CD1606">
        <v>1759</v>
      </c>
      <c r="CE1606" t="s">
        <v>1868</v>
      </c>
      <c r="CF1606" s="3">
        <v>45853</v>
      </c>
      <c r="CI1606">
        <v>1</v>
      </c>
      <c r="CJ1606">
        <v>1</v>
      </c>
      <c r="CK1606">
        <v>24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"080066502575"</f>
        <v>080066502575</v>
      </c>
      <c r="F1607" s="3">
        <v>45849</v>
      </c>
      <c r="G1607">
        <v>202604</v>
      </c>
      <c r="H1607" t="s">
        <v>75</v>
      </c>
      <c r="I1607" t="s">
        <v>76</v>
      </c>
      <c r="J1607" t="s">
        <v>77</v>
      </c>
      <c r="K1607" t="s">
        <v>78</v>
      </c>
      <c r="L1607" t="s">
        <v>1128</v>
      </c>
      <c r="M1607" t="s">
        <v>1129</v>
      </c>
      <c r="N1607" t="s">
        <v>2083</v>
      </c>
      <c r="O1607" t="s">
        <v>82</v>
      </c>
      <c r="P1607" t="str">
        <f>"4170048294                    "</f>
        <v xml:space="preserve">4170048294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22.6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71.2</v>
      </c>
      <c r="BM1607">
        <v>10.68</v>
      </c>
      <c r="BN1607">
        <v>81.88</v>
      </c>
      <c r="BO1607">
        <v>81.88</v>
      </c>
      <c r="BQ1607" t="s">
        <v>2084</v>
      </c>
      <c r="BR1607" t="s">
        <v>84</v>
      </c>
      <c r="BS1607" s="3">
        <v>45852</v>
      </c>
      <c r="BT1607" s="4">
        <v>0.34444444444444444</v>
      </c>
      <c r="BU1607" t="s">
        <v>2085</v>
      </c>
      <c r="BV1607" t="s">
        <v>98</v>
      </c>
      <c r="BY1607">
        <v>1200</v>
      </c>
      <c r="BZ1607" t="s">
        <v>89</v>
      </c>
      <c r="CA1607" t="s">
        <v>1133</v>
      </c>
      <c r="CC1607" t="s">
        <v>1129</v>
      </c>
      <c r="CD1607">
        <v>7600</v>
      </c>
      <c r="CE1607" t="s">
        <v>239</v>
      </c>
      <c r="CF1607" s="3">
        <v>45853</v>
      </c>
      <c r="CI1607">
        <v>1</v>
      </c>
      <c r="CJ1607">
        <v>1</v>
      </c>
      <c r="CK1607">
        <v>21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"080066502593"</f>
        <v>080066502593</v>
      </c>
      <c r="F1608" s="3">
        <v>45849</v>
      </c>
      <c r="G1608">
        <v>202604</v>
      </c>
      <c r="H1608" t="s">
        <v>75</v>
      </c>
      <c r="I1608" t="s">
        <v>76</v>
      </c>
      <c r="J1608" t="s">
        <v>77</v>
      </c>
      <c r="K1608" t="s">
        <v>78</v>
      </c>
      <c r="L1608" t="s">
        <v>92</v>
      </c>
      <c r="M1608" t="s">
        <v>93</v>
      </c>
      <c r="N1608" t="s">
        <v>1805</v>
      </c>
      <c r="O1608" t="s">
        <v>82</v>
      </c>
      <c r="P1608" t="str">
        <f>"4170048286                    "</f>
        <v xml:space="preserve">4170048286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22.6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0.3</v>
      </c>
      <c r="BK1608">
        <v>1</v>
      </c>
      <c r="BL1608">
        <v>71.2</v>
      </c>
      <c r="BM1608">
        <v>10.68</v>
      </c>
      <c r="BN1608">
        <v>81.88</v>
      </c>
      <c r="BO1608">
        <v>81.88</v>
      </c>
      <c r="BQ1608" t="s">
        <v>1806</v>
      </c>
      <c r="BR1608" t="s">
        <v>84</v>
      </c>
      <c r="BS1608" s="3">
        <v>45852</v>
      </c>
      <c r="BT1608" s="4">
        <v>0.63541666666666663</v>
      </c>
      <c r="BU1608" t="s">
        <v>2235</v>
      </c>
      <c r="BV1608" t="s">
        <v>86</v>
      </c>
      <c r="BW1608" t="s">
        <v>395</v>
      </c>
      <c r="BX1608" t="s">
        <v>220</v>
      </c>
      <c r="BY1608">
        <v>1350</v>
      </c>
      <c r="BZ1608" t="s">
        <v>89</v>
      </c>
      <c r="CA1608" t="s">
        <v>100</v>
      </c>
      <c r="CC1608" t="s">
        <v>93</v>
      </c>
      <c r="CD1608">
        <v>4060</v>
      </c>
      <c r="CE1608" t="s">
        <v>1868</v>
      </c>
      <c r="CF1608" s="3">
        <v>45853</v>
      </c>
      <c r="CI1608">
        <v>1</v>
      </c>
      <c r="CJ1608">
        <v>1</v>
      </c>
      <c r="CK1608">
        <v>21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"080066502594"</f>
        <v>080066502594</v>
      </c>
      <c r="F1609" s="3">
        <v>45849</v>
      </c>
      <c r="G1609">
        <v>202604</v>
      </c>
      <c r="H1609" t="s">
        <v>75</v>
      </c>
      <c r="I1609" t="s">
        <v>76</v>
      </c>
      <c r="J1609" t="s">
        <v>77</v>
      </c>
      <c r="K1609" t="s">
        <v>78</v>
      </c>
      <c r="L1609" t="s">
        <v>135</v>
      </c>
      <c r="M1609" t="s">
        <v>136</v>
      </c>
      <c r="N1609" t="s">
        <v>1924</v>
      </c>
      <c r="O1609" t="s">
        <v>82</v>
      </c>
      <c r="P1609" t="str">
        <f>"4170048339                    "</f>
        <v xml:space="preserve">4170048339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22.6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71.2</v>
      </c>
      <c r="BM1609">
        <v>10.68</v>
      </c>
      <c r="BN1609">
        <v>81.88</v>
      </c>
      <c r="BO1609">
        <v>81.88</v>
      </c>
      <c r="BQ1609" t="s">
        <v>1925</v>
      </c>
      <c r="BR1609" t="s">
        <v>84</v>
      </c>
      <c r="BS1609" s="3">
        <v>45852</v>
      </c>
      <c r="BT1609" s="4">
        <v>0.59722222222222221</v>
      </c>
      <c r="BU1609" t="s">
        <v>2236</v>
      </c>
      <c r="BV1609" t="s">
        <v>86</v>
      </c>
      <c r="BY1609">
        <v>1200</v>
      </c>
      <c r="BZ1609" t="s">
        <v>89</v>
      </c>
      <c r="CA1609" t="s">
        <v>349</v>
      </c>
      <c r="CC1609" t="s">
        <v>136</v>
      </c>
      <c r="CD1609">
        <v>3201</v>
      </c>
      <c r="CE1609" t="s">
        <v>239</v>
      </c>
      <c r="CF1609" s="3">
        <v>45853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"080066502611"</f>
        <v>080066502611</v>
      </c>
      <c r="F1610" s="3">
        <v>45849</v>
      </c>
      <c r="G1610">
        <v>202604</v>
      </c>
      <c r="H1610" t="s">
        <v>75</v>
      </c>
      <c r="I1610" t="s">
        <v>76</v>
      </c>
      <c r="J1610" t="s">
        <v>77</v>
      </c>
      <c r="K1610" t="s">
        <v>78</v>
      </c>
      <c r="L1610" t="s">
        <v>1370</v>
      </c>
      <c r="M1610" t="s">
        <v>1371</v>
      </c>
      <c r="N1610" t="s">
        <v>2237</v>
      </c>
      <c r="O1610" t="s">
        <v>82</v>
      </c>
      <c r="P1610" t="str">
        <f>"4170048381                    "</f>
        <v xml:space="preserve">4170048381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43.78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0.3</v>
      </c>
      <c r="BK1610">
        <v>1</v>
      </c>
      <c r="BL1610">
        <v>137.94</v>
      </c>
      <c r="BM1610">
        <v>20.69</v>
      </c>
      <c r="BN1610">
        <v>158.63</v>
      </c>
      <c r="BO1610">
        <v>158.63</v>
      </c>
      <c r="BQ1610" t="s">
        <v>2238</v>
      </c>
      <c r="BR1610" t="s">
        <v>84</v>
      </c>
      <c r="BS1610" s="3">
        <v>45852</v>
      </c>
      <c r="BT1610" s="4">
        <v>0.4152777777777778</v>
      </c>
      <c r="BU1610" t="s">
        <v>2239</v>
      </c>
      <c r="BV1610" t="s">
        <v>98</v>
      </c>
      <c r="BY1610">
        <v>1350</v>
      </c>
      <c r="BZ1610" t="s">
        <v>89</v>
      </c>
      <c r="CA1610" t="s">
        <v>522</v>
      </c>
      <c r="CC1610" t="s">
        <v>1371</v>
      </c>
      <c r="CD1610" s="5" t="s">
        <v>2240</v>
      </c>
      <c r="CE1610" t="s">
        <v>1868</v>
      </c>
      <c r="CF1610" s="3">
        <v>45853</v>
      </c>
      <c r="CI1610">
        <v>1</v>
      </c>
      <c r="CJ1610">
        <v>1</v>
      </c>
      <c r="CK1610">
        <v>23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"080066502614"</f>
        <v>080066502614</v>
      </c>
      <c r="F1611" s="3">
        <v>45849</v>
      </c>
      <c r="G1611">
        <v>202604</v>
      </c>
      <c r="H1611" t="s">
        <v>75</v>
      </c>
      <c r="I1611" t="s">
        <v>76</v>
      </c>
      <c r="J1611" t="s">
        <v>77</v>
      </c>
      <c r="K1611" t="s">
        <v>78</v>
      </c>
      <c r="L1611" t="s">
        <v>146</v>
      </c>
      <c r="M1611" t="s">
        <v>146</v>
      </c>
      <c r="N1611" t="s">
        <v>147</v>
      </c>
      <c r="O1611" t="s">
        <v>82</v>
      </c>
      <c r="P1611" t="str">
        <f>"4170048124                    "</f>
        <v xml:space="preserve">4170048124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43.78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137.94</v>
      </c>
      <c r="BM1611">
        <v>20.69</v>
      </c>
      <c r="BN1611">
        <v>158.63</v>
      </c>
      <c r="BO1611">
        <v>158.63</v>
      </c>
      <c r="BQ1611" t="s">
        <v>764</v>
      </c>
      <c r="BR1611" t="s">
        <v>84</v>
      </c>
      <c r="BS1611" s="3">
        <v>45852</v>
      </c>
      <c r="BT1611" s="4">
        <v>0.52222222222222225</v>
      </c>
      <c r="BU1611" t="s">
        <v>149</v>
      </c>
      <c r="BV1611" t="s">
        <v>98</v>
      </c>
      <c r="BY1611">
        <v>1200</v>
      </c>
      <c r="BZ1611" t="s">
        <v>89</v>
      </c>
      <c r="CA1611" t="s">
        <v>150</v>
      </c>
      <c r="CC1611" t="s">
        <v>146</v>
      </c>
      <c r="CD1611">
        <v>7646</v>
      </c>
      <c r="CE1611" t="s">
        <v>239</v>
      </c>
      <c r="CF1611" s="3">
        <v>45853</v>
      </c>
      <c r="CI1611">
        <v>1</v>
      </c>
      <c r="CJ1611">
        <v>1</v>
      </c>
      <c r="CK1611">
        <v>23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"080066502623"</f>
        <v>080066502623</v>
      </c>
      <c r="F1612" s="3">
        <v>45849</v>
      </c>
      <c r="G1612">
        <v>202604</v>
      </c>
      <c r="H1612" t="s">
        <v>75</v>
      </c>
      <c r="I1612" t="s">
        <v>76</v>
      </c>
      <c r="J1612" t="s">
        <v>77</v>
      </c>
      <c r="K1612" t="s">
        <v>78</v>
      </c>
      <c r="L1612" t="s">
        <v>240</v>
      </c>
      <c r="M1612" t="s">
        <v>241</v>
      </c>
      <c r="N1612" t="s">
        <v>2027</v>
      </c>
      <c r="O1612" t="s">
        <v>82</v>
      </c>
      <c r="P1612" t="str">
        <f>"4170048290                    "</f>
        <v xml:space="preserve">4170048290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17.649999999999999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0.3</v>
      </c>
      <c r="BK1612">
        <v>1</v>
      </c>
      <c r="BL1612">
        <v>55.61</v>
      </c>
      <c r="BM1612">
        <v>8.34</v>
      </c>
      <c r="BN1612">
        <v>63.95</v>
      </c>
      <c r="BO1612">
        <v>63.95</v>
      </c>
      <c r="BQ1612" t="s">
        <v>2028</v>
      </c>
      <c r="BR1612" t="s">
        <v>84</v>
      </c>
      <c r="BS1612" s="3">
        <v>45852</v>
      </c>
      <c r="BT1612" s="4">
        <v>0.39583333333333331</v>
      </c>
      <c r="BU1612" t="s">
        <v>2241</v>
      </c>
      <c r="BV1612" t="s">
        <v>98</v>
      </c>
      <c r="BY1612">
        <v>1350</v>
      </c>
      <c r="BZ1612" t="s">
        <v>89</v>
      </c>
      <c r="CA1612" t="s">
        <v>451</v>
      </c>
      <c r="CC1612" t="s">
        <v>241</v>
      </c>
      <c r="CD1612">
        <v>2049</v>
      </c>
      <c r="CE1612" t="s">
        <v>1868</v>
      </c>
      <c r="CF1612" s="3">
        <v>45852</v>
      </c>
      <c r="CI1612">
        <v>1</v>
      </c>
      <c r="CJ1612">
        <v>1</v>
      </c>
      <c r="CK1612">
        <v>22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"080066502626"</f>
        <v>080066502626</v>
      </c>
      <c r="F1613" s="3">
        <v>45849</v>
      </c>
      <c r="G1613">
        <v>202604</v>
      </c>
      <c r="H1613" t="s">
        <v>75</v>
      </c>
      <c r="I1613" t="s">
        <v>76</v>
      </c>
      <c r="J1613" t="s">
        <v>77</v>
      </c>
      <c r="K1613" t="s">
        <v>78</v>
      </c>
      <c r="L1613" t="s">
        <v>168</v>
      </c>
      <c r="M1613" t="s">
        <v>169</v>
      </c>
      <c r="N1613" t="s">
        <v>206</v>
      </c>
      <c r="O1613" t="s">
        <v>82</v>
      </c>
      <c r="P1613" t="str">
        <f>"4170047832                    "</f>
        <v xml:space="preserve">4170047832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22.6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71.2</v>
      </c>
      <c r="BM1613">
        <v>10.68</v>
      </c>
      <c r="BN1613">
        <v>81.88</v>
      </c>
      <c r="BO1613">
        <v>81.88</v>
      </c>
      <c r="BQ1613" t="s">
        <v>207</v>
      </c>
      <c r="BR1613" t="s">
        <v>84</v>
      </c>
      <c r="BS1613" s="3">
        <v>45852</v>
      </c>
      <c r="BT1613" s="4">
        <v>0.37986111111111109</v>
      </c>
      <c r="BU1613" t="s">
        <v>208</v>
      </c>
      <c r="BV1613" t="s">
        <v>98</v>
      </c>
      <c r="BY1613">
        <v>1200</v>
      </c>
      <c r="BZ1613" t="s">
        <v>89</v>
      </c>
      <c r="CA1613" t="s">
        <v>196</v>
      </c>
      <c r="CC1613" t="s">
        <v>169</v>
      </c>
      <c r="CD1613">
        <v>6001</v>
      </c>
      <c r="CE1613" t="s">
        <v>239</v>
      </c>
      <c r="CF1613" s="3">
        <v>45852</v>
      </c>
      <c r="CI1613">
        <v>1</v>
      </c>
      <c r="CJ1613">
        <v>1</v>
      </c>
      <c r="CK1613">
        <v>21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"080066502645"</f>
        <v>080066502645</v>
      </c>
      <c r="F1614" s="3">
        <v>45849</v>
      </c>
      <c r="G1614">
        <v>202604</v>
      </c>
      <c r="H1614" t="s">
        <v>75</v>
      </c>
      <c r="I1614" t="s">
        <v>76</v>
      </c>
      <c r="J1614" t="s">
        <v>77</v>
      </c>
      <c r="K1614" t="s">
        <v>78</v>
      </c>
      <c r="L1614" t="s">
        <v>122</v>
      </c>
      <c r="M1614" t="s">
        <v>123</v>
      </c>
      <c r="N1614" t="s">
        <v>267</v>
      </c>
      <c r="O1614" t="s">
        <v>82</v>
      </c>
      <c r="P1614" t="str">
        <f>"4170048203                    "</f>
        <v xml:space="preserve">4170048203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22.6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71.2</v>
      </c>
      <c r="BM1614">
        <v>10.68</v>
      </c>
      <c r="BN1614">
        <v>81.88</v>
      </c>
      <c r="BO1614">
        <v>81.88</v>
      </c>
      <c r="BQ1614" t="s">
        <v>268</v>
      </c>
      <c r="BR1614" t="s">
        <v>84</v>
      </c>
      <c r="BS1614" s="3">
        <v>45852</v>
      </c>
      <c r="BT1614" s="4">
        <v>0.37777777777777777</v>
      </c>
      <c r="BU1614" t="s">
        <v>722</v>
      </c>
      <c r="BV1614" t="s">
        <v>98</v>
      </c>
      <c r="BY1614">
        <v>1200</v>
      </c>
      <c r="BZ1614" t="s">
        <v>89</v>
      </c>
      <c r="CA1614" t="s">
        <v>166</v>
      </c>
      <c r="CC1614" t="s">
        <v>123</v>
      </c>
      <c r="CD1614">
        <v>3610</v>
      </c>
      <c r="CE1614" t="s">
        <v>239</v>
      </c>
      <c r="CF1614" s="3">
        <v>45853</v>
      </c>
      <c r="CI1614">
        <v>1</v>
      </c>
      <c r="CJ1614">
        <v>1</v>
      </c>
      <c r="CK1614">
        <v>21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"080066502666"</f>
        <v>080066502666</v>
      </c>
      <c r="F1615" s="3">
        <v>45849</v>
      </c>
      <c r="G1615">
        <v>202604</v>
      </c>
      <c r="H1615" t="s">
        <v>75</v>
      </c>
      <c r="I1615" t="s">
        <v>76</v>
      </c>
      <c r="J1615" t="s">
        <v>77</v>
      </c>
      <c r="K1615" t="s">
        <v>78</v>
      </c>
      <c r="L1615" t="s">
        <v>146</v>
      </c>
      <c r="M1615" t="s">
        <v>146</v>
      </c>
      <c r="N1615" t="s">
        <v>986</v>
      </c>
      <c r="O1615" t="s">
        <v>82</v>
      </c>
      <c r="P1615" t="str">
        <f>"4170048283                    "</f>
        <v xml:space="preserve">4170048283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43.78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137.94</v>
      </c>
      <c r="BM1615">
        <v>20.69</v>
      </c>
      <c r="BN1615">
        <v>158.63</v>
      </c>
      <c r="BO1615">
        <v>158.63</v>
      </c>
      <c r="BQ1615" t="s">
        <v>987</v>
      </c>
      <c r="BR1615" t="s">
        <v>84</v>
      </c>
      <c r="BS1615" s="3">
        <v>45852</v>
      </c>
      <c r="BT1615" s="4">
        <v>0.48888888888888887</v>
      </c>
      <c r="BU1615" t="s">
        <v>1115</v>
      </c>
      <c r="BV1615" t="s">
        <v>98</v>
      </c>
      <c r="BY1615">
        <v>1200</v>
      </c>
      <c r="BZ1615" t="s">
        <v>89</v>
      </c>
      <c r="CA1615" t="s">
        <v>150</v>
      </c>
      <c r="CC1615" t="s">
        <v>146</v>
      </c>
      <c r="CD1615">
        <v>7646</v>
      </c>
      <c r="CE1615" t="s">
        <v>239</v>
      </c>
      <c r="CF1615" s="3">
        <v>45853</v>
      </c>
      <c r="CI1615">
        <v>1</v>
      </c>
      <c r="CJ1615">
        <v>1</v>
      </c>
      <c r="CK1615">
        <v>23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"080066502679"</f>
        <v>080066502679</v>
      </c>
      <c r="F1616" s="3">
        <v>45849</v>
      </c>
      <c r="G1616">
        <v>202604</v>
      </c>
      <c r="H1616" t="s">
        <v>75</v>
      </c>
      <c r="I1616" t="s">
        <v>76</v>
      </c>
      <c r="J1616" t="s">
        <v>77</v>
      </c>
      <c r="K1616" t="s">
        <v>78</v>
      </c>
      <c r="L1616" t="s">
        <v>295</v>
      </c>
      <c r="M1616" t="s">
        <v>296</v>
      </c>
      <c r="N1616" t="s">
        <v>1063</v>
      </c>
      <c r="O1616" t="s">
        <v>82</v>
      </c>
      <c r="P1616" t="str">
        <f>"4170048298                    "</f>
        <v xml:space="preserve">4170048298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17.649999999999999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55.61</v>
      </c>
      <c r="BM1616">
        <v>8.34</v>
      </c>
      <c r="BN1616">
        <v>63.95</v>
      </c>
      <c r="BO1616">
        <v>63.95</v>
      </c>
      <c r="BQ1616" t="s">
        <v>1064</v>
      </c>
      <c r="BR1616" t="s">
        <v>84</v>
      </c>
      <c r="BS1616" s="3">
        <v>45852</v>
      </c>
      <c r="BT1616" s="4">
        <v>0.37291666666666667</v>
      </c>
      <c r="BU1616" t="s">
        <v>1065</v>
      </c>
      <c r="BV1616" t="s">
        <v>98</v>
      </c>
      <c r="BY1616">
        <v>1200</v>
      </c>
      <c r="BZ1616" t="s">
        <v>89</v>
      </c>
      <c r="CA1616" t="s">
        <v>300</v>
      </c>
      <c r="CC1616" t="s">
        <v>296</v>
      </c>
      <c r="CD1616">
        <v>1459</v>
      </c>
      <c r="CE1616" t="s">
        <v>239</v>
      </c>
      <c r="CF1616" s="3">
        <v>45853</v>
      </c>
      <c r="CI1616">
        <v>1</v>
      </c>
      <c r="CJ1616">
        <v>1</v>
      </c>
      <c r="CK1616">
        <v>22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"080066502686"</f>
        <v>080066502686</v>
      </c>
      <c r="F1617" s="3">
        <v>45849</v>
      </c>
      <c r="G1617">
        <v>202604</v>
      </c>
      <c r="H1617" t="s">
        <v>75</v>
      </c>
      <c r="I1617" t="s">
        <v>76</v>
      </c>
      <c r="J1617" t="s">
        <v>77</v>
      </c>
      <c r="K1617" t="s">
        <v>78</v>
      </c>
      <c r="L1617" t="s">
        <v>75</v>
      </c>
      <c r="M1617" t="s">
        <v>76</v>
      </c>
      <c r="N1617" t="s">
        <v>701</v>
      </c>
      <c r="O1617" t="s">
        <v>82</v>
      </c>
      <c r="P1617" t="str">
        <f>"4170048237                    "</f>
        <v xml:space="preserve">4170048237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17.649999999999999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55.61</v>
      </c>
      <c r="BM1617">
        <v>8.34</v>
      </c>
      <c r="BN1617">
        <v>63.95</v>
      </c>
      <c r="BO1617">
        <v>63.95</v>
      </c>
      <c r="BQ1617" t="s">
        <v>702</v>
      </c>
      <c r="BR1617" t="s">
        <v>84</v>
      </c>
      <c r="BS1617" s="3">
        <v>45852</v>
      </c>
      <c r="BT1617" s="4">
        <v>0.34444444444444444</v>
      </c>
      <c r="BU1617" t="s">
        <v>703</v>
      </c>
      <c r="BV1617" t="s">
        <v>98</v>
      </c>
      <c r="BY1617">
        <v>1200</v>
      </c>
      <c r="BZ1617" t="s">
        <v>89</v>
      </c>
      <c r="CA1617" t="s">
        <v>617</v>
      </c>
      <c r="CC1617" t="s">
        <v>76</v>
      </c>
      <c r="CD1617">
        <v>1645</v>
      </c>
      <c r="CE1617" t="s">
        <v>1170</v>
      </c>
      <c r="CF1617" s="3">
        <v>45853</v>
      </c>
      <c r="CI1617">
        <v>1</v>
      </c>
      <c r="CJ1617">
        <v>1</v>
      </c>
      <c r="CK1617">
        <v>22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"080066502699"</f>
        <v>080066502699</v>
      </c>
      <c r="F1618" s="3">
        <v>45849</v>
      </c>
      <c r="G1618">
        <v>202604</v>
      </c>
      <c r="H1618" t="s">
        <v>75</v>
      </c>
      <c r="I1618" t="s">
        <v>76</v>
      </c>
      <c r="J1618" t="s">
        <v>77</v>
      </c>
      <c r="K1618" t="s">
        <v>78</v>
      </c>
      <c r="L1618" t="s">
        <v>260</v>
      </c>
      <c r="M1618" t="s">
        <v>261</v>
      </c>
      <c r="N1618" t="s">
        <v>2242</v>
      </c>
      <c r="O1618" t="s">
        <v>82</v>
      </c>
      <c r="P1618" t="str">
        <f>"4170048293                    "</f>
        <v xml:space="preserve">4170048293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43.78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137.94</v>
      </c>
      <c r="BM1618">
        <v>20.69</v>
      </c>
      <c r="BN1618">
        <v>158.63</v>
      </c>
      <c r="BO1618">
        <v>158.63</v>
      </c>
      <c r="BQ1618" t="s">
        <v>2243</v>
      </c>
      <c r="BR1618" t="s">
        <v>84</v>
      </c>
      <c r="BS1618" s="3">
        <v>45852</v>
      </c>
      <c r="BT1618" s="4">
        <v>0.4375</v>
      </c>
      <c r="BU1618" t="s">
        <v>2244</v>
      </c>
      <c r="BV1618" t="s">
        <v>98</v>
      </c>
      <c r="BY1618">
        <v>1200</v>
      </c>
      <c r="BZ1618" t="s">
        <v>89</v>
      </c>
      <c r="CA1618" t="s">
        <v>721</v>
      </c>
      <c r="CC1618" t="s">
        <v>261</v>
      </c>
      <c r="CD1618">
        <v>1911</v>
      </c>
      <c r="CE1618" t="s">
        <v>239</v>
      </c>
      <c r="CF1618" s="3">
        <v>45853</v>
      </c>
      <c r="CI1618">
        <v>1</v>
      </c>
      <c r="CJ1618">
        <v>1</v>
      </c>
      <c r="CK1618">
        <v>23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"080066499391"</f>
        <v>080066499391</v>
      </c>
      <c r="F1619" s="3">
        <v>45849</v>
      </c>
      <c r="G1619">
        <v>202604</v>
      </c>
      <c r="H1619" t="s">
        <v>75</v>
      </c>
      <c r="I1619" t="s">
        <v>76</v>
      </c>
      <c r="J1619" t="s">
        <v>77</v>
      </c>
      <c r="K1619" t="s">
        <v>78</v>
      </c>
      <c r="L1619" t="s">
        <v>92</v>
      </c>
      <c r="M1619" t="s">
        <v>93</v>
      </c>
      <c r="N1619" t="s">
        <v>749</v>
      </c>
      <c r="O1619" t="s">
        <v>82</v>
      </c>
      <c r="P1619" t="str">
        <f>"4170048250                    "</f>
        <v xml:space="preserve">4170048250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1.1000000000000001</v>
      </c>
      <c r="BK1619">
        <v>1.5</v>
      </c>
      <c r="BL1619">
        <v>0</v>
      </c>
      <c r="BM1619">
        <v>0</v>
      </c>
      <c r="BN1619">
        <v>0</v>
      </c>
      <c r="BO1619">
        <v>0</v>
      </c>
      <c r="BQ1619" t="s">
        <v>750</v>
      </c>
      <c r="BR1619" t="s">
        <v>84</v>
      </c>
      <c r="BS1619" s="3">
        <v>45849</v>
      </c>
      <c r="BT1619" s="4">
        <v>0.55833333333333335</v>
      </c>
      <c r="BU1619" t="s">
        <v>435</v>
      </c>
      <c r="BV1619" t="s">
        <v>98</v>
      </c>
      <c r="BY1619">
        <v>5320</v>
      </c>
      <c r="BZ1619" t="s">
        <v>425</v>
      </c>
      <c r="CA1619" t="s">
        <v>2245</v>
      </c>
      <c r="CC1619" t="s">
        <v>93</v>
      </c>
      <c r="CD1619">
        <v>4001</v>
      </c>
      <c r="CE1619" t="s">
        <v>117</v>
      </c>
      <c r="CF1619" s="3">
        <v>45850</v>
      </c>
      <c r="CI1619">
        <v>1</v>
      </c>
      <c r="CJ1619">
        <v>0</v>
      </c>
      <c r="CK1619">
        <v>-1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"080066503271"</f>
        <v>080066503271</v>
      </c>
      <c r="F1620" s="3">
        <v>45849</v>
      </c>
      <c r="G1620">
        <v>202604</v>
      </c>
      <c r="H1620" t="s">
        <v>75</v>
      </c>
      <c r="I1620" t="s">
        <v>76</v>
      </c>
      <c r="J1620" t="s">
        <v>77</v>
      </c>
      <c r="K1620" t="s">
        <v>78</v>
      </c>
      <c r="L1620" t="s">
        <v>398</v>
      </c>
      <c r="M1620" t="s">
        <v>399</v>
      </c>
      <c r="N1620" t="s">
        <v>2246</v>
      </c>
      <c r="O1620" t="s">
        <v>95</v>
      </c>
      <c r="P1620" t="str">
        <f>"4170048306                    "</f>
        <v xml:space="preserve">4170048306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33.72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2</v>
      </c>
      <c r="BI1620">
        <v>6</v>
      </c>
      <c r="BJ1620">
        <v>5.9</v>
      </c>
      <c r="BK1620">
        <v>6</v>
      </c>
      <c r="BL1620">
        <v>112.11</v>
      </c>
      <c r="BM1620">
        <v>16.82</v>
      </c>
      <c r="BN1620">
        <v>128.93</v>
      </c>
      <c r="BO1620">
        <v>128.93</v>
      </c>
      <c r="BQ1620" t="s">
        <v>2247</v>
      </c>
      <c r="BR1620" t="s">
        <v>84</v>
      </c>
      <c r="BS1620" s="3">
        <v>45852</v>
      </c>
      <c r="BT1620" s="4">
        <v>0.38263888888888886</v>
      </c>
      <c r="BU1620" t="s">
        <v>2248</v>
      </c>
      <c r="BV1620" t="s">
        <v>98</v>
      </c>
      <c r="BY1620">
        <v>29372</v>
      </c>
      <c r="BZ1620" t="s">
        <v>99</v>
      </c>
      <c r="CA1620" t="s">
        <v>2249</v>
      </c>
      <c r="CC1620" t="s">
        <v>399</v>
      </c>
      <c r="CD1620">
        <v>1501</v>
      </c>
      <c r="CE1620" t="s">
        <v>91</v>
      </c>
      <c r="CF1620" s="3">
        <v>45853</v>
      </c>
      <c r="CI1620">
        <v>1</v>
      </c>
      <c r="CJ1620">
        <v>1</v>
      </c>
      <c r="CK1620">
        <v>42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"080066503280"</f>
        <v>080066503280</v>
      </c>
      <c r="F1621" s="3">
        <v>45849</v>
      </c>
      <c r="G1621">
        <v>202604</v>
      </c>
      <c r="H1621" t="s">
        <v>75</v>
      </c>
      <c r="I1621" t="s">
        <v>76</v>
      </c>
      <c r="J1621" t="s">
        <v>77</v>
      </c>
      <c r="K1621" t="s">
        <v>78</v>
      </c>
      <c r="L1621" t="s">
        <v>240</v>
      </c>
      <c r="M1621" t="s">
        <v>241</v>
      </c>
      <c r="N1621" t="s">
        <v>447</v>
      </c>
      <c r="O1621" t="s">
        <v>82</v>
      </c>
      <c r="P1621" t="str">
        <f>"4170048334                    "</f>
        <v xml:space="preserve">4170048334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17.649999999999999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0.3</v>
      </c>
      <c r="BK1621">
        <v>1</v>
      </c>
      <c r="BL1621">
        <v>55.61</v>
      </c>
      <c r="BM1621">
        <v>8.34</v>
      </c>
      <c r="BN1621">
        <v>63.95</v>
      </c>
      <c r="BO1621">
        <v>63.95</v>
      </c>
      <c r="BQ1621" t="s">
        <v>448</v>
      </c>
      <c r="BR1621" t="s">
        <v>84</v>
      </c>
      <c r="BS1621" s="3">
        <v>45852</v>
      </c>
      <c r="BT1621" s="4">
        <v>0.38680555555555557</v>
      </c>
      <c r="BU1621" t="s">
        <v>2192</v>
      </c>
      <c r="BV1621" t="s">
        <v>98</v>
      </c>
      <c r="BY1621">
        <v>1350</v>
      </c>
      <c r="BZ1621" t="s">
        <v>89</v>
      </c>
      <c r="CA1621" t="s">
        <v>451</v>
      </c>
      <c r="CC1621" t="s">
        <v>241</v>
      </c>
      <c r="CD1621">
        <v>2094</v>
      </c>
      <c r="CE1621" t="s">
        <v>1868</v>
      </c>
      <c r="CF1621" s="3">
        <v>45852</v>
      </c>
      <c r="CI1621">
        <v>1</v>
      </c>
      <c r="CJ1621">
        <v>1</v>
      </c>
      <c r="CK1621">
        <v>22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"080066503289"</f>
        <v>080066503289</v>
      </c>
      <c r="F1622" s="3">
        <v>45849</v>
      </c>
      <c r="G1622">
        <v>202604</v>
      </c>
      <c r="H1622" t="s">
        <v>75</v>
      </c>
      <c r="I1622" t="s">
        <v>76</v>
      </c>
      <c r="J1622" t="s">
        <v>77</v>
      </c>
      <c r="K1622" t="s">
        <v>78</v>
      </c>
      <c r="L1622" t="s">
        <v>135</v>
      </c>
      <c r="M1622" t="s">
        <v>136</v>
      </c>
      <c r="N1622" t="s">
        <v>379</v>
      </c>
      <c r="O1622" t="s">
        <v>82</v>
      </c>
      <c r="P1622" t="str">
        <f>"4170048267                    "</f>
        <v xml:space="preserve">4170048267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22.6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0.3</v>
      </c>
      <c r="BK1622">
        <v>1</v>
      </c>
      <c r="BL1622">
        <v>71.2</v>
      </c>
      <c r="BM1622">
        <v>10.68</v>
      </c>
      <c r="BN1622">
        <v>81.88</v>
      </c>
      <c r="BO1622">
        <v>81.88</v>
      </c>
      <c r="BQ1622" t="s">
        <v>380</v>
      </c>
      <c r="BR1622" t="s">
        <v>84</v>
      </c>
      <c r="BS1622" s="3">
        <v>45852</v>
      </c>
      <c r="BT1622" s="4">
        <v>0.52083333333333337</v>
      </c>
      <c r="BU1622" t="s">
        <v>2019</v>
      </c>
      <c r="BV1622" t="s">
        <v>98</v>
      </c>
      <c r="BY1622">
        <v>1350</v>
      </c>
      <c r="BZ1622" t="s">
        <v>89</v>
      </c>
      <c r="CA1622" t="s">
        <v>382</v>
      </c>
      <c r="CC1622" t="s">
        <v>136</v>
      </c>
      <c r="CD1622">
        <v>3212</v>
      </c>
      <c r="CE1622" t="s">
        <v>1868</v>
      </c>
      <c r="CF1622" s="3">
        <v>45852</v>
      </c>
      <c r="CI1622">
        <v>2</v>
      </c>
      <c r="CJ1622">
        <v>1</v>
      </c>
      <c r="CK1622">
        <v>21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"080066503292"</f>
        <v>080066503292</v>
      </c>
      <c r="F1623" s="3">
        <v>45849</v>
      </c>
      <c r="G1623">
        <v>202604</v>
      </c>
      <c r="H1623" t="s">
        <v>75</v>
      </c>
      <c r="I1623" t="s">
        <v>76</v>
      </c>
      <c r="J1623" t="s">
        <v>77</v>
      </c>
      <c r="K1623" t="s">
        <v>78</v>
      </c>
      <c r="L1623" t="s">
        <v>151</v>
      </c>
      <c r="M1623" t="s">
        <v>152</v>
      </c>
      <c r="N1623" t="s">
        <v>2250</v>
      </c>
      <c r="O1623" t="s">
        <v>95</v>
      </c>
      <c r="P1623" t="str">
        <f>"4170048128                    "</f>
        <v xml:space="preserve">4170048128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43.7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2</v>
      </c>
      <c r="BI1623">
        <v>9</v>
      </c>
      <c r="BJ1623">
        <v>3.5</v>
      </c>
      <c r="BK1623">
        <v>9</v>
      </c>
      <c r="BL1623">
        <v>143.55000000000001</v>
      </c>
      <c r="BM1623">
        <v>21.53</v>
      </c>
      <c r="BN1623">
        <v>165.08</v>
      </c>
      <c r="BO1623">
        <v>165.08</v>
      </c>
      <c r="BQ1623" t="s">
        <v>2251</v>
      </c>
      <c r="BR1623" t="s">
        <v>84</v>
      </c>
      <c r="BS1623" s="3">
        <v>45852</v>
      </c>
      <c r="BT1623" s="4">
        <v>0.35694444444444445</v>
      </c>
      <c r="BU1623" t="s">
        <v>2252</v>
      </c>
      <c r="BV1623" t="s">
        <v>98</v>
      </c>
      <c r="BY1623">
        <v>17416</v>
      </c>
      <c r="BZ1623" t="s">
        <v>99</v>
      </c>
      <c r="CA1623" t="s">
        <v>2176</v>
      </c>
      <c r="CC1623" t="s">
        <v>152</v>
      </c>
      <c r="CD1623" s="5" t="s">
        <v>1141</v>
      </c>
      <c r="CE1623" t="s">
        <v>117</v>
      </c>
      <c r="CF1623" s="3">
        <v>45853</v>
      </c>
      <c r="CI1623">
        <v>1</v>
      </c>
      <c r="CJ1623">
        <v>1</v>
      </c>
      <c r="CK1623">
        <v>41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"080066503308"</f>
        <v>080066503308</v>
      </c>
      <c r="F1624" s="3">
        <v>45849</v>
      </c>
      <c r="G1624">
        <v>202604</v>
      </c>
      <c r="H1624" t="s">
        <v>75</v>
      </c>
      <c r="I1624" t="s">
        <v>76</v>
      </c>
      <c r="J1624" t="s">
        <v>77</v>
      </c>
      <c r="K1624" t="s">
        <v>78</v>
      </c>
      <c r="L1624" t="s">
        <v>305</v>
      </c>
      <c r="M1624" t="s">
        <v>306</v>
      </c>
      <c r="N1624" t="s">
        <v>1320</v>
      </c>
      <c r="O1624" t="s">
        <v>82</v>
      </c>
      <c r="P1624" t="str">
        <f>"4170048323                    "</f>
        <v xml:space="preserve">4170048323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22.6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0.3</v>
      </c>
      <c r="BK1624">
        <v>1</v>
      </c>
      <c r="BL1624">
        <v>71.2</v>
      </c>
      <c r="BM1624">
        <v>10.68</v>
      </c>
      <c r="BN1624">
        <v>81.88</v>
      </c>
      <c r="BO1624">
        <v>81.88</v>
      </c>
      <c r="BQ1624" t="s">
        <v>308</v>
      </c>
      <c r="BR1624" t="s">
        <v>84</v>
      </c>
      <c r="BS1624" s="3">
        <v>45852</v>
      </c>
      <c r="BT1624" s="4">
        <v>0.48541666666666666</v>
      </c>
      <c r="BU1624" t="s">
        <v>2253</v>
      </c>
      <c r="BV1624" t="s">
        <v>86</v>
      </c>
      <c r="BY1624">
        <v>1350</v>
      </c>
      <c r="BZ1624" t="s">
        <v>89</v>
      </c>
      <c r="CA1624" t="s">
        <v>2174</v>
      </c>
      <c r="CC1624" t="s">
        <v>306</v>
      </c>
      <c r="CD1624">
        <v>5201</v>
      </c>
      <c r="CE1624" t="s">
        <v>1868</v>
      </c>
      <c r="CF1624" s="3">
        <v>45853</v>
      </c>
      <c r="CI1624">
        <v>1</v>
      </c>
      <c r="CJ1624">
        <v>1</v>
      </c>
      <c r="CK1624">
        <v>21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"080066503318"</f>
        <v>080066503318</v>
      </c>
      <c r="F1625" s="3">
        <v>45849</v>
      </c>
      <c r="G1625">
        <v>202604</v>
      </c>
      <c r="H1625" t="s">
        <v>75</v>
      </c>
      <c r="I1625" t="s">
        <v>76</v>
      </c>
      <c r="J1625" t="s">
        <v>77</v>
      </c>
      <c r="K1625" t="s">
        <v>78</v>
      </c>
      <c r="L1625" t="s">
        <v>390</v>
      </c>
      <c r="M1625" t="s">
        <v>391</v>
      </c>
      <c r="N1625" t="s">
        <v>1940</v>
      </c>
      <c r="O1625" t="s">
        <v>82</v>
      </c>
      <c r="P1625" t="str">
        <f>"4170048241                    "</f>
        <v xml:space="preserve">4170048241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17.649999999999999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1.1000000000000001</v>
      </c>
      <c r="BK1625">
        <v>2</v>
      </c>
      <c r="BL1625">
        <v>55.61</v>
      </c>
      <c r="BM1625">
        <v>8.34</v>
      </c>
      <c r="BN1625">
        <v>63.95</v>
      </c>
      <c r="BO1625">
        <v>63.95</v>
      </c>
      <c r="BQ1625" t="s">
        <v>2254</v>
      </c>
      <c r="BR1625" t="s">
        <v>84</v>
      </c>
      <c r="BS1625" s="3">
        <v>45852</v>
      </c>
      <c r="BT1625" s="4">
        <v>0.41041666666666665</v>
      </c>
      <c r="BU1625" t="s">
        <v>1942</v>
      </c>
      <c r="BV1625" t="s">
        <v>98</v>
      </c>
      <c r="BY1625">
        <v>5320</v>
      </c>
      <c r="BZ1625" t="s">
        <v>89</v>
      </c>
      <c r="CA1625" t="s">
        <v>1943</v>
      </c>
      <c r="CC1625" t="s">
        <v>391</v>
      </c>
      <c r="CD1625">
        <v>1724</v>
      </c>
      <c r="CE1625" t="s">
        <v>117</v>
      </c>
      <c r="CF1625" s="3">
        <v>45852</v>
      </c>
      <c r="CI1625">
        <v>1</v>
      </c>
      <c r="CJ1625">
        <v>1</v>
      </c>
      <c r="CK1625">
        <v>22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"080066503324"</f>
        <v>080066503324</v>
      </c>
      <c r="F1626" s="3">
        <v>45849</v>
      </c>
      <c r="G1626">
        <v>202604</v>
      </c>
      <c r="H1626" t="s">
        <v>75</v>
      </c>
      <c r="I1626" t="s">
        <v>76</v>
      </c>
      <c r="J1626" t="s">
        <v>77</v>
      </c>
      <c r="K1626" t="s">
        <v>78</v>
      </c>
      <c r="L1626" t="s">
        <v>240</v>
      </c>
      <c r="M1626" t="s">
        <v>241</v>
      </c>
      <c r="N1626" t="s">
        <v>1808</v>
      </c>
      <c r="O1626" t="s">
        <v>82</v>
      </c>
      <c r="P1626" t="str">
        <f>"4170048194                    "</f>
        <v xml:space="preserve">4170048194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17.649999999999999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0.3</v>
      </c>
      <c r="BK1626">
        <v>1</v>
      </c>
      <c r="BL1626">
        <v>55.61</v>
      </c>
      <c r="BM1626">
        <v>8.34</v>
      </c>
      <c r="BN1626">
        <v>63.95</v>
      </c>
      <c r="BO1626">
        <v>63.95</v>
      </c>
      <c r="BQ1626" t="s">
        <v>1809</v>
      </c>
      <c r="BR1626" t="s">
        <v>84</v>
      </c>
      <c r="BS1626" s="3">
        <v>45852</v>
      </c>
      <c r="BT1626" s="4">
        <v>0.40902777777777777</v>
      </c>
      <c r="BU1626" t="s">
        <v>405</v>
      </c>
      <c r="BV1626" t="s">
        <v>98</v>
      </c>
      <c r="BY1626">
        <v>1350</v>
      </c>
      <c r="BZ1626" t="s">
        <v>89</v>
      </c>
      <c r="CA1626" t="s">
        <v>245</v>
      </c>
      <c r="CC1626" t="s">
        <v>241</v>
      </c>
      <c r="CD1626">
        <v>2013</v>
      </c>
      <c r="CE1626" t="s">
        <v>1868</v>
      </c>
      <c r="CF1626" s="3">
        <v>45853</v>
      </c>
      <c r="CI1626">
        <v>1</v>
      </c>
      <c r="CJ1626">
        <v>1</v>
      </c>
      <c r="CK1626">
        <v>22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"080066503334"</f>
        <v>080066503334</v>
      </c>
      <c r="F1627" s="3">
        <v>45849</v>
      </c>
      <c r="G1627">
        <v>202604</v>
      </c>
      <c r="H1627" t="s">
        <v>75</v>
      </c>
      <c r="I1627" t="s">
        <v>76</v>
      </c>
      <c r="J1627" t="s">
        <v>77</v>
      </c>
      <c r="K1627" t="s">
        <v>78</v>
      </c>
      <c r="L1627" t="s">
        <v>503</v>
      </c>
      <c r="M1627" t="s">
        <v>504</v>
      </c>
      <c r="N1627" t="s">
        <v>505</v>
      </c>
      <c r="O1627" t="s">
        <v>82</v>
      </c>
      <c r="P1627" t="str">
        <f>"4170048244                    "</f>
        <v xml:space="preserve">4170048244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43.78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0.3</v>
      </c>
      <c r="BK1627">
        <v>1</v>
      </c>
      <c r="BL1627">
        <v>137.94</v>
      </c>
      <c r="BM1627">
        <v>20.69</v>
      </c>
      <c r="BN1627">
        <v>158.63</v>
      </c>
      <c r="BO1627">
        <v>158.63</v>
      </c>
      <c r="BQ1627" t="s">
        <v>506</v>
      </c>
      <c r="BR1627" t="s">
        <v>84</v>
      </c>
      <c r="BS1627" s="3">
        <v>45852</v>
      </c>
      <c r="BT1627" s="4">
        <v>0.43819444444444444</v>
      </c>
      <c r="BU1627" t="s">
        <v>1235</v>
      </c>
      <c r="BV1627" t="s">
        <v>98</v>
      </c>
      <c r="BY1627">
        <v>1350</v>
      </c>
      <c r="BZ1627" t="s">
        <v>89</v>
      </c>
      <c r="CA1627" t="s">
        <v>508</v>
      </c>
      <c r="CC1627" t="s">
        <v>504</v>
      </c>
      <c r="CD1627">
        <v>7130</v>
      </c>
      <c r="CE1627" t="s">
        <v>1868</v>
      </c>
      <c r="CF1627" s="3">
        <v>45853</v>
      </c>
      <c r="CI1627">
        <v>1</v>
      </c>
      <c r="CJ1627">
        <v>1</v>
      </c>
      <c r="CK1627">
        <v>23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"080066503337"</f>
        <v>080066503337</v>
      </c>
      <c r="F1628" s="3">
        <v>45849</v>
      </c>
      <c r="G1628">
        <v>202604</v>
      </c>
      <c r="H1628" t="s">
        <v>75</v>
      </c>
      <c r="I1628" t="s">
        <v>76</v>
      </c>
      <c r="J1628" t="s">
        <v>77</v>
      </c>
      <c r="K1628" t="s">
        <v>78</v>
      </c>
      <c r="L1628" t="s">
        <v>197</v>
      </c>
      <c r="M1628" t="s">
        <v>198</v>
      </c>
      <c r="N1628" t="s">
        <v>1192</v>
      </c>
      <c r="O1628" t="s">
        <v>82</v>
      </c>
      <c r="P1628" t="str">
        <f>"4170048316                    "</f>
        <v xml:space="preserve">4170048316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17.649999999999999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1.1000000000000001</v>
      </c>
      <c r="BK1628">
        <v>2</v>
      </c>
      <c r="BL1628">
        <v>55.61</v>
      </c>
      <c r="BM1628">
        <v>8.34</v>
      </c>
      <c r="BN1628">
        <v>63.95</v>
      </c>
      <c r="BO1628">
        <v>63.95</v>
      </c>
      <c r="BQ1628" t="s">
        <v>1193</v>
      </c>
      <c r="BR1628" t="s">
        <v>84</v>
      </c>
      <c r="BS1628" s="3">
        <v>45852</v>
      </c>
      <c r="BT1628" s="4">
        <v>0.36458333333333331</v>
      </c>
      <c r="BU1628" t="s">
        <v>1194</v>
      </c>
      <c r="BV1628" t="s">
        <v>98</v>
      </c>
      <c r="BY1628">
        <v>5320</v>
      </c>
      <c r="BZ1628" t="s">
        <v>89</v>
      </c>
      <c r="CA1628" t="s">
        <v>318</v>
      </c>
      <c r="CC1628" t="s">
        <v>198</v>
      </c>
      <c r="CD1628">
        <v>1428</v>
      </c>
      <c r="CE1628" t="s">
        <v>117</v>
      </c>
      <c r="CF1628" s="3">
        <v>45852</v>
      </c>
      <c r="CI1628">
        <v>1</v>
      </c>
      <c r="CJ1628">
        <v>1</v>
      </c>
      <c r="CK1628">
        <v>22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"080066503343"</f>
        <v>080066503343</v>
      </c>
      <c r="F1629" s="3">
        <v>45849</v>
      </c>
      <c r="G1629">
        <v>202604</v>
      </c>
      <c r="H1629" t="s">
        <v>75</v>
      </c>
      <c r="I1629" t="s">
        <v>76</v>
      </c>
      <c r="J1629" t="s">
        <v>77</v>
      </c>
      <c r="K1629" t="s">
        <v>78</v>
      </c>
      <c r="L1629" t="s">
        <v>146</v>
      </c>
      <c r="M1629" t="s">
        <v>146</v>
      </c>
      <c r="N1629" t="s">
        <v>633</v>
      </c>
      <c r="O1629" t="s">
        <v>82</v>
      </c>
      <c r="P1629" t="str">
        <f>"4170048302                    "</f>
        <v xml:space="preserve">4170048302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43.78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0.3</v>
      </c>
      <c r="BK1629">
        <v>1</v>
      </c>
      <c r="BL1629">
        <v>137.94</v>
      </c>
      <c r="BM1629">
        <v>20.69</v>
      </c>
      <c r="BN1629">
        <v>158.63</v>
      </c>
      <c r="BO1629">
        <v>158.63</v>
      </c>
      <c r="BQ1629" t="s">
        <v>634</v>
      </c>
      <c r="BR1629" t="s">
        <v>84</v>
      </c>
      <c r="BS1629" s="3">
        <v>45852</v>
      </c>
      <c r="BT1629" s="4">
        <v>0.48888888888888887</v>
      </c>
      <c r="BU1629" t="s">
        <v>1115</v>
      </c>
      <c r="BV1629" t="s">
        <v>98</v>
      </c>
      <c r="BY1629">
        <v>1350</v>
      </c>
      <c r="BZ1629" t="s">
        <v>89</v>
      </c>
      <c r="CA1629" t="s">
        <v>150</v>
      </c>
      <c r="CC1629" t="s">
        <v>146</v>
      </c>
      <c r="CD1629">
        <v>7646</v>
      </c>
      <c r="CE1629" t="s">
        <v>1868</v>
      </c>
      <c r="CF1629" s="3">
        <v>45853</v>
      </c>
      <c r="CI1629">
        <v>1</v>
      </c>
      <c r="CJ1629">
        <v>1</v>
      </c>
      <c r="CK1629">
        <v>23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"080066503354"</f>
        <v>080066503354</v>
      </c>
      <c r="F1630" s="3">
        <v>45849</v>
      </c>
      <c r="G1630">
        <v>202604</v>
      </c>
      <c r="H1630" t="s">
        <v>75</v>
      </c>
      <c r="I1630" t="s">
        <v>76</v>
      </c>
      <c r="J1630" t="s">
        <v>77</v>
      </c>
      <c r="K1630" t="s">
        <v>78</v>
      </c>
      <c r="L1630" t="s">
        <v>79</v>
      </c>
      <c r="M1630" t="s">
        <v>80</v>
      </c>
      <c r="N1630" t="s">
        <v>1816</v>
      </c>
      <c r="O1630" t="s">
        <v>82</v>
      </c>
      <c r="P1630" t="str">
        <f>"4170048187                    "</f>
        <v xml:space="preserve">4170048187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112.92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10</v>
      </c>
      <c r="BJ1630">
        <v>1.8</v>
      </c>
      <c r="BK1630">
        <v>10</v>
      </c>
      <c r="BL1630">
        <v>355.76</v>
      </c>
      <c r="BM1630">
        <v>53.36</v>
      </c>
      <c r="BN1630">
        <v>409.12</v>
      </c>
      <c r="BO1630">
        <v>409.12</v>
      </c>
      <c r="BQ1630" t="s">
        <v>1817</v>
      </c>
      <c r="BR1630" t="s">
        <v>84</v>
      </c>
      <c r="BS1630" s="3">
        <v>45852</v>
      </c>
      <c r="BT1630" s="4">
        <v>0.63055555555555554</v>
      </c>
      <c r="BU1630" t="s">
        <v>2037</v>
      </c>
      <c r="BV1630" t="s">
        <v>86</v>
      </c>
      <c r="BW1630" t="s">
        <v>87</v>
      </c>
      <c r="BX1630" t="s">
        <v>1185</v>
      </c>
      <c r="BY1630">
        <v>9044</v>
      </c>
      <c r="BZ1630" t="s">
        <v>89</v>
      </c>
      <c r="CA1630" t="s">
        <v>90</v>
      </c>
      <c r="CC1630" t="s">
        <v>80</v>
      </c>
      <c r="CD1630">
        <v>7550</v>
      </c>
      <c r="CE1630" t="s">
        <v>117</v>
      </c>
      <c r="CF1630" s="3">
        <v>45853</v>
      </c>
      <c r="CI1630">
        <v>1</v>
      </c>
      <c r="CJ1630">
        <v>1</v>
      </c>
      <c r="CK1630">
        <v>21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"080066503360"</f>
        <v>080066503360</v>
      </c>
      <c r="F1631" s="3">
        <v>45849</v>
      </c>
      <c r="G1631">
        <v>202604</v>
      </c>
      <c r="H1631" t="s">
        <v>75</v>
      </c>
      <c r="I1631" t="s">
        <v>76</v>
      </c>
      <c r="J1631" t="s">
        <v>77</v>
      </c>
      <c r="K1631" t="s">
        <v>78</v>
      </c>
      <c r="L1631" t="s">
        <v>146</v>
      </c>
      <c r="M1631" t="s">
        <v>146</v>
      </c>
      <c r="N1631" t="s">
        <v>147</v>
      </c>
      <c r="O1631" t="s">
        <v>82</v>
      </c>
      <c r="P1631" t="str">
        <f>"4170048235                    "</f>
        <v xml:space="preserve">4170048235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43.78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0.3</v>
      </c>
      <c r="BK1631">
        <v>1</v>
      </c>
      <c r="BL1631">
        <v>137.94</v>
      </c>
      <c r="BM1631">
        <v>20.69</v>
      </c>
      <c r="BN1631">
        <v>158.63</v>
      </c>
      <c r="BO1631">
        <v>158.63</v>
      </c>
      <c r="BQ1631" t="s">
        <v>148</v>
      </c>
      <c r="BR1631" t="s">
        <v>84</v>
      </c>
      <c r="BS1631" s="3">
        <v>45852</v>
      </c>
      <c r="BT1631" s="4">
        <v>0.52222222222222225</v>
      </c>
      <c r="BU1631" t="s">
        <v>149</v>
      </c>
      <c r="BV1631" t="s">
        <v>98</v>
      </c>
      <c r="BY1631">
        <v>1350</v>
      </c>
      <c r="BZ1631" t="s">
        <v>89</v>
      </c>
      <c r="CA1631" t="s">
        <v>150</v>
      </c>
      <c r="CC1631" t="s">
        <v>146</v>
      </c>
      <c r="CD1631">
        <v>7646</v>
      </c>
      <c r="CE1631" t="s">
        <v>1868</v>
      </c>
      <c r="CF1631" s="3">
        <v>45853</v>
      </c>
      <c r="CI1631">
        <v>1</v>
      </c>
      <c r="CJ1631">
        <v>1</v>
      </c>
      <c r="CK1631">
        <v>23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"080066503376"</f>
        <v>080066503376</v>
      </c>
      <c r="F1632" s="3">
        <v>45849</v>
      </c>
      <c r="G1632">
        <v>202604</v>
      </c>
      <c r="H1632" t="s">
        <v>75</v>
      </c>
      <c r="I1632" t="s">
        <v>76</v>
      </c>
      <c r="J1632" t="s">
        <v>77</v>
      </c>
      <c r="K1632" t="s">
        <v>78</v>
      </c>
      <c r="L1632" t="s">
        <v>1128</v>
      </c>
      <c r="M1632" t="s">
        <v>1129</v>
      </c>
      <c r="N1632" t="s">
        <v>2083</v>
      </c>
      <c r="O1632" t="s">
        <v>82</v>
      </c>
      <c r="P1632" t="str">
        <f>"4170048228                    "</f>
        <v xml:space="preserve">4170048228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22.6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1.1000000000000001</v>
      </c>
      <c r="BK1632">
        <v>1.5</v>
      </c>
      <c r="BL1632">
        <v>71.2</v>
      </c>
      <c r="BM1632">
        <v>10.68</v>
      </c>
      <c r="BN1632">
        <v>81.88</v>
      </c>
      <c r="BO1632">
        <v>81.88</v>
      </c>
      <c r="BQ1632" t="s">
        <v>2084</v>
      </c>
      <c r="BR1632" t="s">
        <v>84</v>
      </c>
      <c r="BS1632" s="3">
        <v>45852</v>
      </c>
      <c r="BT1632" s="4">
        <v>0.34444444444444444</v>
      </c>
      <c r="BU1632" t="s">
        <v>2085</v>
      </c>
      <c r="BV1632" t="s">
        <v>98</v>
      </c>
      <c r="BY1632">
        <v>5320</v>
      </c>
      <c r="BZ1632" t="s">
        <v>89</v>
      </c>
      <c r="CA1632" t="s">
        <v>1133</v>
      </c>
      <c r="CC1632" t="s">
        <v>1129</v>
      </c>
      <c r="CD1632">
        <v>7600</v>
      </c>
      <c r="CE1632" t="s">
        <v>117</v>
      </c>
      <c r="CF1632" s="3">
        <v>45853</v>
      </c>
      <c r="CI1632">
        <v>1</v>
      </c>
      <c r="CJ1632">
        <v>1</v>
      </c>
      <c r="CK1632">
        <v>21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"080066503398"</f>
        <v>080066503398</v>
      </c>
      <c r="F1633" s="3">
        <v>45849</v>
      </c>
      <c r="G1633">
        <v>202604</v>
      </c>
      <c r="H1633" t="s">
        <v>75</v>
      </c>
      <c r="I1633" t="s">
        <v>76</v>
      </c>
      <c r="J1633" t="s">
        <v>77</v>
      </c>
      <c r="K1633" t="s">
        <v>78</v>
      </c>
      <c r="L1633" t="s">
        <v>168</v>
      </c>
      <c r="M1633" t="s">
        <v>169</v>
      </c>
      <c r="N1633" t="s">
        <v>1125</v>
      </c>
      <c r="O1633" t="s">
        <v>82</v>
      </c>
      <c r="P1633" t="str">
        <f>"4170048171                    "</f>
        <v xml:space="preserve">4170048171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67.760000000000005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6</v>
      </c>
      <c r="BJ1633">
        <v>2.4</v>
      </c>
      <c r="BK1633">
        <v>6</v>
      </c>
      <c r="BL1633">
        <v>213.48</v>
      </c>
      <c r="BM1633">
        <v>32.020000000000003</v>
      </c>
      <c r="BN1633">
        <v>245.5</v>
      </c>
      <c r="BO1633">
        <v>245.5</v>
      </c>
      <c r="BQ1633" t="s">
        <v>1126</v>
      </c>
      <c r="BR1633" t="s">
        <v>84</v>
      </c>
      <c r="BS1633" s="3">
        <v>45852</v>
      </c>
      <c r="BT1633" s="4">
        <v>0.42083333333333334</v>
      </c>
      <c r="BU1633" t="s">
        <v>2255</v>
      </c>
      <c r="BV1633" t="s">
        <v>98</v>
      </c>
      <c r="BY1633">
        <v>12152</v>
      </c>
      <c r="BZ1633" t="s">
        <v>89</v>
      </c>
      <c r="CA1633" t="s">
        <v>415</v>
      </c>
      <c r="CC1633" t="s">
        <v>169</v>
      </c>
      <c r="CD1633">
        <v>6012</v>
      </c>
      <c r="CE1633" t="s">
        <v>91</v>
      </c>
      <c r="CF1633" s="3">
        <v>45852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"080066503403"</f>
        <v>080066503403</v>
      </c>
      <c r="F1634" s="3">
        <v>45849</v>
      </c>
      <c r="G1634">
        <v>202604</v>
      </c>
      <c r="H1634" t="s">
        <v>75</v>
      </c>
      <c r="I1634" t="s">
        <v>76</v>
      </c>
      <c r="J1634" t="s">
        <v>77</v>
      </c>
      <c r="K1634" t="s">
        <v>78</v>
      </c>
      <c r="L1634" t="s">
        <v>240</v>
      </c>
      <c r="M1634" t="s">
        <v>241</v>
      </c>
      <c r="N1634" t="s">
        <v>610</v>
      </c>
      <c r="O1634" t="s">
        <v>82</v>
      </c>
      <c r="P1634" t="str">
        <f>"4170048279                    "</f>
        <v xml:space="preserve">4170048279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17.649999999999999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0.3</v>
      </c>
      <c r="BK1634">
        <v>1</v>
      </c>
      <c r="BL1634">
        <v>55.61</v>
      </c>
      <c r="BM1634">
        <v>8.34</v>
      </c>
      <c r="BN1634">
        <v>63.95</v>
      </c>
      <c r="BO1634">
        <v>63.95</v>
      </c>
      <c r="BQ1634" t="s">
        <v>611</v>
      </c>
      <c r="BR1634" t="s">
        <v>84</v>
      </c>
      <c r="BS1634" s="3">
        <v>45852</v>
      </c>
      <c r="BT1634" s="4">
        <v>0.41736111111111113</v>
      </c>
      <c r="BU1634" t="s">
        <v>1629</v>
      </c>
      <c r="BV1634" t="s">
        <v>98</v>
      </c>
      <c r="BY1634">
        <v>1350</v>
      </c>
      <c r="BZ1634" t="s">
        <v>89</v>
      </c>
      <c r="CA1634" t="s">
        <v>451</v>
      </c>
      <c r="CC1634" t="s">
        <v>241</v>
      </c>
      <c r="CD1634">
        <v>2197</v>
      </c>
      <c r="CE1634" t="s">
        <v>1868</v>
      </c>
      <c r="CF1634" s="3">
        <v>45852</v>
      </c>
      <c r="CI1634">
        <v>1</v>
      </c>
      <c r="CJ1634">
        <v>1</v>
      </c>
      <c r="CK1634">
        <v>22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"080066503581"</f>
        <v>080066503581</v>
      </c>
      <c r="F1635" s="3">
        <v>45849</v>
      </c>
      <c r="G1635">
        <v>202604</v>
      </c>
      <c r="H1635" t="s">
        <v>75</v>
      </c>
      <c r="I1635" t="s">
        <v>76</v>
      </c>
      <c r="J1635" t="s">
        <v>77</v>
      </c>
      <c r="K1635" t="s">
        <v>78</v>
      </c>
      <c r="L1635" t="s">
        <v>329</v>
      </c>
      <c r="M1635" t="s">
        <v>330</v>
      </c>
      <c r="N1635" t="s">
        <v>331</v>
      </c>
      <c r="O1635" t="s">
        <v>82</v>
      </c>
      <c r="P1635" t="str">
        <f>"4170048307                    "</f>
        <v xml:space="preserve">4170048307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43.78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0.3</v>
      </c>
      <c r="BK1635">
        <v>1</v>
      </c>
      <c r="BL1635">
        <v>137.94</v>
      </c>
      <c r="BM1635">
        <v>20.69</v>
      </c>
      <c r="BN1635">
        <v>158.63</v>
      </c>
      <c r="BO1635">
        <v>158.63</v>
      </c>
      <c r="BQ1635" t="s">
        <v>332</v>
      </c>
      <c r="BR1635" t="s">
        <v>84</v>
      </c>
      <c r="BS1635" s="3">
        <v>45852</v>
      </c>
      <c r="BT1635" s="4">
        <v>0.54722222222222228</v>
      </c>
      <c r="BU1635" t="s">
        <v>2256</v>
      </c>
      <c r="BV1635" t="s">
        <v>98</v>
      </c>
      <c r="BY1635">
        <v>1350</v>
      </c>
      <c r="BZ1635" t="s">
        <v>89</v>
      </c>
      <c r="CA1635" t="s">
        <v>1153</v>
      </c>
      <c r="CC1635" t="s">
        <v>330</v>
      </c>
      <c r="CD1635">
        <v>6300</v>
      </c>
      <c r="CE1635" t="s">
        <v>1868</v>
      </c>
      <c r="CF1635" s="3">
        <v>45852</v>
      </c>
      <c r="CI1635">
        <v>2</v>
      </c>
      <c r="CJ1635">
        <v>1</v>
      </c>
      <c r="CK1635">
        <v>23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"080066503606"</f>
        <v>080066503606</v>
      </c>
      <c r="F1636" s="3">
        <v>45849</v>
      </c>
      <c r="G1636">
        <v>202604</v>
      </c>
      <c r="H1636" t="s">
        <v>75</v>
      </c>
      <c r="I1636" t="s">
        <v>76</v>
      </c>
      <c r="J1636" t="s">
        <v>77</v>
      </c>
      <c r="K1636" t="s">
        <v>78</v>
      </c>
      <c r="L1636" t="s">
        <v>174</v>
      </c>
      <c r="M1636" t="s">
        <v>175</v>
      </c>
      <c r="N1636" t="s">
        <v>352</v>
      </c>
      <c r="O1636" t="s">
        <v>82</v>
      </c>
      <c r="P1636" t="str">
        <f>"4170048289                    "</f>
        <v xml:space="preserve">4170048289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22.6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0.3</v>
      </c>
      <c r="BK1636">
        <v>1</v>
      </c>
      <c r="BL1636">
        <v>71.2</v>
      </c>
      <c r="BM1636">
        <v>10.68</v>
      </c>
      <c r="BN1636">
        <v>81.88</v>
      </c>
      <c r="BO1636">
        <v>81.88</v>
      </c>
      <c r="BQ1636" t="s">
        <v>1994</v>
      </c>
      <c r="BR1636" t="s">
        <v>84</v>
      </c>
      <c r="BS1636" s="3">
        <v>45852</v>
      </c>
      <c r="BT1636" s="4">
        <v>0.43125000000000002</v>
      </c>
      <c r="BU1636" t="s">
        <v>1995</v>
      </c>
      <c r="BV1636" t="s">
        <v>98</v>
      </c>
      <c r="BY1636">
        <v>1350</v>
      </c>
      <c r="BZ1636" t="s">
        <v>89</v>
      </c>
      <c r="CA1636" t="s">
        <v>173</v>
      </c>
      <c r="CC1636" t="s">
        <v>175</v>
      </c>
      <c r="CD1636">
        <v>6220</v>
      </c>
      <c r="CE1636" t="s">
        <v>1868</v>
      </c>
      <c r="CF1636" s="3">
        <v>45852</v>
      </c>
      <c r="CI1636">
        <v>1</v>
      </c>
      <c r="CJ1636">
        <v>1</v>
      </c>
      <c r="CK1636">
        <v>21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"080066503630"</f>
        <v>080066503630</v>
      </c>
      <c r="F1637" s="3">
        <v>45849</v>
      </c>
      <c r="G1637">
        <v>202604</v>
      </c>
      <c r="H1637" t="s">
        <v>75</v>
      </c>
      <c r="I1637" t="s">
        <v>76</v>
      </c>
      <c r="J1637" t="s">
        <v>77</v>
      </c>
      <c r="K1637" t="s">
        <v>78</v>
      </c>
      <c r="L1637" t="s">
        <v>146</v>
      </c>
      <c r="M1637" t="s">
        <v>146</v>
      </c>
      <c r="N1637" t="s">
        <v>147</v>
      </c>
      <c r="O1637" t="s">
        <v>82</v>
      </c>
      <c r="P1637" t="str">
        <f>"4170048200                    "</f>
        <v xml:space="preserve">4170048200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43.78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0.3</v>
      </c>
      <c r="BK1637">
        <v>1</v>
      </c>
      <c r="BL1637">
        <v>137.94</v>
      </c>
      <c r="BM1637">
        <v>20.69</v>
      </c>
      <c r="BN1637">
        <v>158.63</v>
      </c>
      <c r="BO1637">
        <v>158.63</v>
      </c>
      <c r="BQ1637" t="s">
        <v>148</v>
      </c>
      <c r="BR1637" t="s">
        <v>84</v>
      </c>
      <c r="BS1637" s="3">
        <v>45852</v>
      </c>
      <c r="BT1637" s="4">
        <v>0.52222222222222225</v>
      </c>
      <c r="BU1637" t="s">
        <v>149</v>
      </c>
      <c r="BV1637" t="s">
        <v>98</v>
      </c>
      <c r="BY1637">
        <v>1350</v>
      </c>
      <c r="BZ1637" t="s">
        <v>89</v>
      </c>
      <c r="CA1637" t="s">
        <v>150</v>
      </c>
      <c r="CC1637" t="s">
        <v>146</v>
      </c>
      <c r="CD1637">
        <v>7646</v>
      </c>
      <c r="CE1637" t="s">
        <v>1868</v>
      </c>
      <c r="CF1637" s="3">
        <v>45853</v>
      </c>
      <c r="CI1637">
        <v>1</v>
      </c>
      <c r="CJ1637">
        <v>1</v>
      </c>
      <c r="CK1637">
        <v>23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"080066503668"</f>
        <v>080066503668</v>
      </c>
      <c r="F1638" s="3">
        <v>45849</v>
      </c>
      <c r="G1638">
        <v>202604</v>
      </c>
      <c r="H1638" t="s">
        <v>75</v>
      </c>
      <c r="I1638" t="s">
        <v>76</v>
      </c>
      <c r="J1638" t="s">
        <v>77</v>
      </c>
      <c r="K1638" t="s">
        <v>78</v>
      </c>
      <c r="L1638" t="s">
        <v>168</v>
      </c>
      <c r="M1638" t="s">
        <v>169</v>
      </c>
      <c r="N1638" t="s">
        <v>924</v>
      </c>
      <c r="O1638" t="s">
        <v>82</v>
      </c>
      <c r="P1638" t="str">
        <f>"4170048224                    "</f>
        <v xml:space="preserve">4170048224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22.6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0.3</v>
      </c>
      <c r="BK1638">
        <v>1</v>
      </c>
      <c r="BL1638">
        <v>71.2</v>
      </c>
      <c r="BM1638">
        <v>10.68</v>
      </c>
      <c r="BN1638">
        <v>81.88</v>
      </c>
      <c r="BO1638">
        <v>81.88</v>
      </c>
      <c r="BQ1638" t="s">
        <v>925</v>
      </c>
      <c r="BR1638" t="s">
        <v>84</v>
      </c>
      <c r="BS1638" s="3">
        <v>45852</v>
      </c>
      <c r="BT1638" s="4">
        <v>0.40138888888888891</v>
      </c>
      <c r="BU1638" t="s">
        <v>2122</v>
      </c>
      <c r="BV1638" t="s">
        <v>98</v>
      </c>
      <c r="BY1638">
        <v>1350</v>
      </c>
      <c r="BZ1638" t="s">
        <v>89</v>
      </c>
      <c r="CA1638" t="s">
        <v>196</v>
      </c>
      <c r="CC1638" t="s">
        <v>169</v>
      </c>
      <c r="CD1638">
        <v>6056</v>
      </c>
      <c r="CE1638" t="s">
        <v>1868</v>
      </c>
      <c r="CF1638" s="3">
        <v>45852</v>
      </c>
      <c r="CI1638">
        <v>1</v>
      </c>
      <c r="CJ1638">
        <v>1</v>
      </c>
      <c r="CK1638">
        <v>21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"080066503716"</f>
        <v>080066503716</v>
      </c>
      <c r="F1639" s="3">
        <v>45849</v>
      </c>
      <c r="G1639">
        <v>202604</v>
      </c>
      <c r="H1639" t="s">
        <v>75</v>
      </c>
      <c r="I1639" t="s">
        <v>76</v>
      </c>
      <c r="J1639" t="s">
        <v>77</v>
      </c>
      <c r="K1639" t="s">
        <v>78</v>
      </c>
      <c r="L1639" t="s">
        <v>79</v>
      </c>
      <c r="M1639" t="s">
        <v>80</v>
      </c>
      <c r="N1639" t="s">
        <v>698</v>
      </c>
      <c r="O1639" t="s">
        <v>82</v>
      </c>
      <c r="P1639" t="str">
        <f>"4170048233                    "</f>
        <v xml:space="preserve">4170048233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56.47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5</v>
      </c>
      <c r="BJ1639">
        <v>1.7</v>
      </c>
      <c r="BK1639">
        <v>5</v>
      </c>
      <c r="BL1639">
        <v>177.91</v>
      </c>
      <c r="BM1639">
        <v>26.69</v>
      </c>
      <c r="BN1639">
        <v>204.6</v>
      </c>
      <c r="BO1639">
        <v>204.6</v>
      </c>
      <c r="BQ1639" t="s">
        <v>699</v>
      </c>
      <c r="BR1639" t="s">
        <v>84</v>
      </c>
      <c r="BS1639" s="3">
        <v>45852</v>
      </c>
      <c r="BT1639" s="4">
        <v>0.41805555555555557</v>
      </c>
      <c r="BU1639" t="s">
        <v>700</v>
      </c>
      <c r="BV1639" t="s">
        <v>98</v>
      </c>
      <c r="BY1639">
        <v>8512</v>
      </c>
      <c r="BZ1639" t="s">
        <v>89</v>
      </c>
      <c r="CA1639" t="s">
        <v>289</v>
      </c>
      <c r="CC1639" t="s">
        <v>80</v>
      </c>
      <c r="CD1639">
        <v>7561</v>
      </c>
      <c r="CE1639" t="s">
        <v>117</v>
      </c>
      <c r="CF1639" s="3">
        <v>45853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"080066503751"</f>
        <v>080066503751</v>
      </c>
      <c r="F1640" s="3">
        <v>45849</v>
      </c>
      <c r="G1640">
        <v>202604</v>
      </c>
      <c r="H1640" t="s">
        <v>75</v>
      </c>
      <c r="I1640" t="s">
        <v>76</v>
      </c>
      <c r="J1640" t="s">
        <v>77</v>
      </c>
      <c r="K1640" t="s">
        <v>78</v>
      </c>
      <c r="L1640" t="s">
        <v>79</v>
      </c>
      <c r="M1640" t="s">
        <v>80</v>
      </c>
      <c r="N1640" t="s">
        <v>1816</v>
      </c>
      <c r="O1640" t="s">
        <v>82</v>
      </c>
      <c r="P1640" t="str">
        <f>"4170048192                    "</f>
        <v xml:space="preserve">4170048192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124.21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11</v>
      </c>
      <c r="BJ1640">
        <v>3.4</v>
      </c>
      <c r="BK1640">
        <v>11</v>
      </c>
      <c r="BL1640">
        <v>391.33</v>
      </c>
      <c r="BM1640">
        <v>58.7</v>
      </c>
      <c r="BN1640">
        <v>450.03</v>
      </c>
      <c r="BO1640">
        <v>450.03</v>
      </c>
      <c r="BQ1640" t="s">
        <v>1817</v>
      </c>
      <c r="BR1640" t="s">
        <v>84</v>
      </c>
      <c r="BS1640" s="3">
        <v>45852</v>
      </c>
      <c r="BT1640" s="4">
        <v>0.63194444444444442</v>
      </c>
      <c r="BU1640" t="s">
        <v>2139</v>
      </c>
      <c r="BV1640" t="s">
        <v>86</v>
      </c>
      <c r="BW1640" t="s">
        <v>87</v>
      </c>
      <c r="BX1640" t="s">
        <v>1185</v>
      </c>
      <c r="BY1640">
        <v>16965</v>
      </c>
      <c r="BZ1640" t="s">
        <v>89</v>
      </c>
      <c r="CA1640" t="s">
        <v>90</v>
      </c>
      <c r="CC1640" t="s">
        <v>80</v>
      </c>
      <c r="CD1640">
        <v>7550</v>
      </c>
      <c r="CE1640" t="s">
        <v>117</v>
      </c>
      <c r="CF1640" s="3">
        <v>45853</v>
      </c>
      <c r="CI1640">
        <v>1</v>
      </c>
      <c r="CJ1640">
        <v>1</v>
      </c>
      <c r="CK1640">
        <v>21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"080066503795"</f>
        <v>080066503795</v>
      </c>
      <c r="F1641" s="3">
        <v>45849</v>
      </c>
      <c r="G1641">
        <v>202604</v>
      </c>
      <c r="H1641" t="s">
        <v>75</v>
      </c>
      <c r="I1641" t="s">
        <v>76</v>
      </c>
      <c r="J1641" t="s">
        <v>77</v>
      </c>
      <c r="K1641" t="s">
        <v>78</v>
      </c>
      <c r="L1641" t="s">
        <v>240</v>
      </c>
      <c r="M1641" t="s">
        <v>241</v>
      </c>
      <c r="N1641" t="s">
        <v>2141</v>
      </c>
      <c r="O1641" t="s">
        <v>82</v>
      </c>
      <c r="P1641" t="str">
        <f>"4170048199                    "</f>
        <v xml:space="preserve">4170048199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17.649999999999999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1.7</v>
      </c>
      <c r="BK1641">
        <v>2</v>
      </c>
      <c r="BL1641">
        <v>55.61</v>
      </c>
      <c r="BM1641">
        <v>8.34</v>
      </c>
      <c r="BN1641">
        <v>63.95</v>
      </c>
      <c r="BO1641">
        <v>63.95</v>
      </c>
      <c r="BQ1641" t="s">
        <v>2142</v>
      </c>
      <c r="BR1641" t="s">
        <v>84</v>
      </c>
      <c r="BS1641" s="3">
        <v>45852</v>
      </c>
      <c r="BT1641" s="4">
        <v>0.375</v>
      </c>
      <c r="BU1641" t="s">
        <v>2143</v>
      </c>
      <c r="BV1641" t="s">
        <v>98</v>
      </c>
      <c r="BY1641">
        <v>8512</v>
      </c>
      <c r="BZ1641" t="s">
        <v>89</v>
      </c>
      <c r="CA1641" t="s">
        <v>245</v>
      </c>
      <c r="CC1641" t="s">
        <v>241</v>
      </c>
      <c r="CD1641">
        <v>2190</v>
      </c>
      <c r="CE1641" t="s">
        <v>117</v>
      </c>
      <c r="CF1641" s="3">
        <v>45853</v>
      </c>
      <c r="CI1641">
        <v>1</v>
      </c>
      <c r="CJ1641">
        <v>1</v>
      </c>
      <c r="CK1641">
        <v>22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"080066503846"</f>
        <v>080066503846</v>
      </c>
      <c r="F1642" s="3">
        <v>45849</v>
      </c>
      <c r="G1642">
        <v>202604</v>
      </c>
      <c r="H1642" t="s">
        <v>75</v>
      </c>
      <c r="I1642" t="s">
        <v>76</v>
      </c>
      <c r="J1642" t="s">
        <v>77</v>
      </c>
      <c r="K1642" t="s">
        <v>78</v>
      </c>
      <c r="L1642" t="s">
        <v>554</v>
      </c>
      <c r="M1642" t="s">
        <v>555</v>
      </c>
      <c r="N1642" t="s">
        <v>556</v>
      </c>
      <c r="O1642" t="s">
        <v>82</v>
      </c>
      <c r="P1642" t="str">
        <f>"4170047642                    "</f>
        <v xml:space="preserve">4170047642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22.6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0.9</v>
      </c>
      <c r="BK1642">
        <v>1</v>
      </c>
      <c r="BL1642">
        <v>71.2</v>
      </c>
      <c r="BM1642">
        <v>10.68</v>
      </c>
      <c r="BN1642">
        <v>81.88</v>
      </c>
      <c r="BO1642">
        <v>81.88</v>
      </c>
      <c r="BQ1642" t="s">
        <v>557</v>
      </c>
      <c r="BR1642" t="s">
        <v>84</v>
      </c>
      <c r="BS1642" s="3">
        <v>45852</v>
      </c>
      <c r="BT1642" s="4">
        <v>0.34791666666666665</v>
      </c>
      <c r="BU1642" t="s">
        <v>558</v>
      </c>
      <c r="BV1642" t="s">
        <v>98</v>
      </c>
      <c r="BY1642">
        <v>4560</v>
      </c>
      <c r="BZ1642" t="s">
        <v>89</v>
      </c>
      <c r="CA1642" t="s">
        <v>559</v>
      </c>
      <c r="CC1642" t="s">
        <v>555</v>
      </c>
      <c r="CD1642" s="5" t="s">
        <v>560</v>
      </c>
      <c r="CE1642" t="s">
        <v>117</v>
      </c>
      <c r="CF1642" s="3">
        <v>45852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"080066503854"</f>
        <v>080066503854</v>
      </c>
      <c r="F1643" s="3">
        <v>45849</v>
      </c>
      <c r="G1643">
        <v>202604</v>
      </c>
      <c r="H1643" t="s">
        <v>75</v>
      </c>
      <c r="I1643" t="s">
        <v>76</v>
      </c>
      <c r="J1643" t="s">
        <v>77</v>
      </c>
      <c r="K1643" t="s">
        <v>78</v>
      </c>
      <c r="L1643" t="s">
        <v>168</v>
      </c>
      <c r="M1643" t="s">
        <v>169</v>
      </c>
      <c r="N1643" t="s">
        <v>2257</v>
      </c>
      <c r="O1643" t="s">
        <v>82</v>
      </c>
      <c r="P1643" t="str">
        <f>"4170048236                    "</f>
        <v xml:space="preserve">4170048236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22.6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0.3</v>
      </c>
      <c r="BK1643">
        <v>1</v>
      </c>
      <c r="BL1643">
        <v>71.2</v>
      </c>
      <c r="BM1643">
        <v>10.68</v>
      </c>
      <c r="BN1643">
        <v>81.88</v>
      </c>
      <c r="BO1643">
        <v>81.88</v>
      </c>
      <c r="BQ1643" t="s">
        <v>2258</v>
      </c>
      <c r="BR1643" t="s">
        <v>84</v>
      </c>
      <c r="BS1643" s="3">
        <v>45852</v>
      </c>
      <c r="BT1643" s="4">
        <v>0.41666666666666669</v>
      </c>
      <c r="BU1643" t="s">
        <v>2259</v>
      </c>
      <c r="BV1643" t="s">
        <v>98</v>
      </c>
      <c r="BY1643">
        <v>1350</v>
      </c>
      <c r="BZ1643" t="s">
        <v>89</v>
      </c>
      <c r="CA1643" t="s">
        <v>205</v>
      </c>
      <c r="CC1643" t="s">
        <v>169</v>
      </c>
      <c r="CD1643">
        <v>6000</v>
      </c>
      <c r="CE1643" t="s">
        <v>1868</v>
      </c>
      <c r="CF1643" s="3">
        <v>45853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"080066503876"</f>
        <v>080066503876</v>
      </c>
      <c r="F1644" s="3">
        <v>45849</v>
      </c>
      <c r="G1644">
        <v>202604</v>
      </c>
      <c r="H1644" t="s">
        <v>75</v>
      </c>
      <c r="I1644" t="s">
        <v>76</v>
      </c>
      <c r="J1644" t="s">
        <v>77</v>
      </c>
      <c r="K1644" t="s">
        <v>78</v>
      </c>
      <c r="L1644" t="s">
        <v>580</v>
      </c>
      <c r="M1644" t="s">
        <v>581</v>
      </c>
      <c r="N1644" t="s">
        <v>582</v>
      </c>
      <c r="O1644" t="s">
        <v>82</v>
      </c>
      <c r="P1644" t="str">
        <f>"4170048357                    "</f>
        <v xml:space="preserve">4170048357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22.6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0.3</v>
      </c>
      <c r="BK1644">
        <v>1</v>
      </c>
      <c r="BL1644">
        <v>71.2</v>
      </c>
      <c r="BM1644">
        <v>10.68</v>
      </c>
      <c r="BN1644">
        <v>81.88</v>
      </c>
      <c r="BO1644">
        <v>81.88</v>
      </c>
      <c r="BQ1644" t="s">
        <v>583</v>
      </c>
      <c r="BR1644" t="s">
        <v>84</v>
      </c>
      <c r="BS1644" s="3">
        <v>45852</v>
      </c>
      <c r="BT1644" s="4">
        <v>0.36527777777777776</v>
      </c>
      <c r="BU1644" t="s">
        <v>584</v>
      </c>
      <c r="BV1644" t="s">
        <v>98</v>
      </c>
      <c r="BY1644">
        <v>1350</v>
      </c>
      <c r="BZ1644" t="s">
        <v>89</v>
      </c>
      <c r="CA1644" t="s">
        <v>585</v>
      </c>
      <c r="CC1644" t="s">
        <v>581</v>
      </c>
      <c r="CD1644">
        <v>4302</v>
      </c>
      <c r="CE1644" t="s">
        <v>1868</v>
      </c>
      <c r="CF1644" s="3">
        <v>45853</v>
      </c>
      <c r="CI1644">
        <v>1</v>
      </c>
      <c r="CJ1644">
        <v>1</v>
      </c>
      <c r="CK1644">
        <v>21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"080066503887"</f>
        <v>080066503887</v>
      </c>
      <c r="F1645" s="3">
        <v>45849</v>
      </c>
      <c r="G1645">
        <v>202604</v>
      </c>
      <c r="H1645" t="s">
        <v>75</v>
      </c>
      <c r="I1645" t="s">
        <v>76</v>
      </c>
      <c r="J1645" t="s">
        <v>77</v>
      </c>
      <c r="K1645" t="s">
        <v>78</v>
      </c>
      <c r="L1645" t="s">
        <v>240</v>
      </c>
      <c r="M1645" t="s">
        <v>241</v>
      </c>
      <c r="N1645" t="s">
        <v>447</v>
      </c>
      <c r="O1645" t="s">
        <v>82</v>
      </c>
      <c r="P1645" t="str">
        <f>"4170048325                    "</f>
        <v xml:space="preserve">4170048325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17.649999999999999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5</v>
      </c>
      <c r="BJ1645">
        <v>0.6</v>
      </c>
      <c r="BK1645">
        <v>5</v>
      </c>
      <c r="BL1645">
        <v>55.61</v>
      </c>
      <c r="BM1645">
        <v>8.34</v>
      </c>
      <c r="BN1645">
        <v>63.95</v>
      </c>
      <c r="BO1645">
        <v>63.95</v>
      </c>
      <c r="BQ1645" t="s">
        <v>448</v>
      </c>
      <c r="BR1645" t="s">
        <v>84</v>
      </c>
      <c r="BS1645" s="3">
        <v>45852</v>
      </c>
      <c r="BT1645" s="4">
        <v>0.38680555555555557</v>
      </c>
      <c r="BU1645" t="s">
        <v>2192</v>
      </c>
      <c r="BV1645" t="s">
        <v>98</v>
      </c>
      <c r="BY1645">
        <v>3192</v>
      </c>
      <c r="BZ1645" t="s">
        <v>89</v>
      </c>
      <c r="CA1645" t="s">
        <v>451</v>
      </c>
      <c r="CC1645" t="s">
        <v>241</v>
      </c>
      <c r="CD1645">
        <v>2094</v>
      </c>
      <c r="CE1645" t="s">
        <v>266</v>
      </c>
      <c r="CF1645" s="3">
        <v>45852</v>
      </c>
      <c r="CI1645">
        <v>1</v>
      </c>
      <c r="CJ1645">
        <v>1</v>
      </c>
      <c r="CK1645">
        <v>22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"080066503915"</f>
        <v>080066503915</v>
      </c>
      <c r="F1646" s="3">
        <v>45849</v>
      </c>
      <c r="G1646">
        <v>202604</v>
      </c>
      <c r="H1646" t="s">
        <v>75</v>
      </c>
      <c r="I1646" t="s">
        <v>76</v>
      </c>
      <c r="J1646" t="s">
        <v>77</v>
      </c>
      <c r="K1646" t="s">
        <v>78</v>
      </c>
      <c r="L1646" t="s">
        <v>79</v>
      </c>
      <c r="M1646" t="s">
        <v>80</v>
      </c>
      <c r="N1646" t="s">
        <v>1414</v>
      </c>
      <c r="O1646" t="s">
        <v>82</v>
      </c>
      <c r="P1646" t="str">
        <f>"4170048333                    "</f>
        <v xml:space="preserve">4170048333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33.89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2.7</v>
      </c>
      <c r="BK1646">
        <v>3</v>
      </c>
      <c r="BL1646">
        <v>106.77</v>
      </c>
      <c r="BM1646">
        <v>16.02</v>
      </c>
      <c r="BN1646">
        <v>122.79</v>
      </c>
      <c r="BO1646">
        <v>122.79</v>
      </c>
      <c r="BQ1646" t="s">
        <v>1415</v>
      </c>
      <c r="BR1646" t="s">
        <v>84</v>
      </c>
      <c r="BS1646" s="3">
        <v>45852</v>
      </c>
      <c r="BT1646" s="4">
        <v>0.61319444444444449</v>
      </c>
      <c r="BU1646" t="s">
        <v>1416</v>
      </c>
      <c r="BV1646" t="s">
        <v>86</v>
      </c>
      <c r="BW1646" t="s">
        <v>87</v>
      </c>
      <c r="BX1646" t="s">
        <v>88</v>
      </c>
      <c r="BY1646">
        <v>13500</v>
      </c>
      <c r="BZ1646" t="s">
        <v>89</v>
      </c>
      <c r="CA1646" t="s">
        <v>522</v>
      </c>
      <c r="CC1646" t="s">
        <v>80</v>
      </c>
      <c r="CD1646">
        <v>7460</v>
      </c>
      <c r="CE1646" t="s">
        <v>1868</v>
      </c>
      <c r="CF1646" s="3">
        <v>45853</v>
      </c>
      <c r="CI1646">
        <v>1</v>
      </c>
      <c r="CJ1646">
        <v>1</v>
      </c>
      <c r="CK1646">
        <v>21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"080066503937"</f>
        <v>080066503937</v>
      </c>
      <c r="F1647" s="3">
        <v>45849</v>
      </c>
      <c r="G1647">
        <v>202604</v>
      </c>
      <c r="H1647" t="s">
        <v>75</v>
      </c>
      <c r="I1647" t="s">
        <v>76</v>
      </c>
      <c r="J1647" t="s">
        <v>77</v>
      </c>
      <c r="K1647" t="s">
        <v>78</v>
      </c>
      <c r="L1647" t="s">
        <v>102</v>
      </c>
      <c r="M1647" t="s">
        <v>103</v>
      </c>
      <c r="N1647" t="s">
        <v>352</v>
      </c>
      <c r="O1647" t="s">
        <v>82</v>
      </c>
      <c r="P1647" t="str">
        <f>"4170048314                    "</f>
        <v xml:space="preserve">4170048314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47.26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3</v>
      </c>
      <c r="BJ1647">
        <v>2.1</v>
      </c>
      <c r="BK1647">
        <v>3</v>
      </c>
      <c r="BL1647">
        <v>148.88999999999999</v>
      </c>
      <c r="BM1647">
        <v>22.33</v>
      </c>
      <c r="BN1647">
        <v>171.22</v>
      </c>
      <c r="BO1647">
        <v>171.22</v>
      </c>
      <c r="BQ1647" t="s">
        <v>353</v>
      </c>
      <c r="BR1647" t="s">
        <v>84</v>
      </c>
      <c r="BS1647" s="3">
        <v>45853</v>
      </c>
      <c r="BT1647" s="4">
        <v>0.4861111111111111</v>
      </c>
      <c r="BU1647" t="s">
        <v>2260</v>
      </c>
      <c r="BV1647" t="s">
        <v>86</v>
      </c>
      <c r="BW1647" t="s">
        <v>395</v>
      </c>
      <c r="BX1647" t="s">
        <v>675</v>
      </c>
      <c r="BY1647">
        <v>10640</v>
      </c>
      <c r="BZ1647" t="s">
        <v>89</v>
      </c>
      <c r="CC1647" t="s">
        <v>103</v>
      </c>
      <c r="CD1647">
        <v>1754</v>
      </c>
      <c r="CE1647" t="s">
        <v>117</v>
      </c>
      <c r="CF1647" s="3">
        <v>45854</v>
      </c>
      <c r="CI1647">
        <v>1</v>
      </c>
      <c r="CJ1647">
        <v>2</v>
      </c>
      <c r="CK1647">
        <v>24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"080066503940"</f>
        <v>080066503940</v>
      </c>
      <c r="F1648" s="3">
        <v>45849</v>
      </c>
      <c r="G1648">
        <v>202604</v>
      </c>
      <c r="H1648" t="s">
        <v>75</v>
      </c>
      <c r="I1648" t="s">
        <v>76</v>
      </c>
      <c r="J1648" t="s">
        <v>77</v>
      </c>
      <c r="K1648" t="s">
        <v>78</v>
      </c>
      <c r="L1648" t="s">
        <v>1408</v>
      </c>
      <c r="M1648" t="s">
        <v>1409</v>
      </c>
      <c r="N1648" t="s">
        <v>2261</v>
      </c>
      <c r="O1648" t="s">
        <v>82</v>
      </c>
      <c r="P1648" t="str">
        <f>"4170048332                    "</f>
        <v xml:space="preserve">4170048332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43.78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0.3</v>
      </c>
      <c r="BK1648">
        <v>1</v>
      </c>
      <c r="BL1648">
        <v>137.94</v>
      </c>
      <c r="BM1648">
        <v>20.69</v>
      </c>
      <c r="BN1648">
        <v>158.63</v>
      </c>
      <c r="BO1648">
        <v>158.63</v>
      </c>
      <c r="BQ1648" t="s">
        <v>2262</v>
      </c>
      <c r="BR1648" t="s">
        <v>84</v>
      </c>
      <c r="BS1648" s="3">
        <v>45852</v>
      </c>
      <c r="BT1648" s="4">
        <v>0.65694444444444444</v>
      </c>
      <c r="BU1648" t="s">
        <v>2263</v>
      </c>
      <c r="BV1648" t="s">
        <v>98</v>
      </c>
      <c r="BY1648">
        <v>1350</v>
      </c>
      <c r="BZ1648" t="s">
        <v>89</v>
      </c>
      <c r="CC1648" t="s">
        <v>1409</v>
      </c>
      <c r="CD1648">
        <v>2310</v>
      </c>
      <c r="CE1648" t="s">
        <v>1868</v>
      </c>
      <c r="CF1648" s="3">
        <v>45852</v>
      </c>
      <c r="CI1648">
        <v>1</v>
      </c>
      <c r="CJ1648">
        <v>1</v>
      </c>
      <c r="CK1648">
        <v>23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"080066503975"</f>
        <v>080066503975</v>
      </c>
      <c r="F1649" s="3">
        <v>45849</v>
      </c>
      <c r="G1649">
        <v>202604</v>
      </c>
      <c r="H1649" t="s">
        <v>75</v>
      </c>
      <c r="I1649" t="s">
        <v>76</v>
      </c>
      <c r="J1649" t="s">
        <v>77</v>
      </c>
      <c r="K1649" t="s">
        <v>78</v>
      </c>
      <c r="L1649" t="s">
        <v>168</v>
      </c>
      <c r="M1649" t="s">
        <v>169</v>
      </c>
      <c r="N1649" t="s">
        <v>420</v>
      </c>
      <c r="O1649" t="s">
        <v>82</v>
      </c>
      <c r="P1649" t="str">
        <f>"4170048126                    "</f>
        <v xml:space="preserve">4170048126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22.6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2</v>
      </c>
      <c r="BJ1649">
        <v>1.1000000000000001</v>
      </c>
      <c r="BK1649">
        <v>2</v>
      </c>
      <c r="BL1649">
        <v>71.2</v>
      </c>
      <c r="BM1649">
        <v>10.68</v>
      </c>
      <c r="BN1649">
        <v>81.88</v>
      </c>
      <c r="BO1649">
        <v>81.88</v>
      </c>
      <c r="BQ1649" t="s">
        <v>421</v>
      </c>
      <c r="BR1649" t="s">
        <v>84</v>
      </c>
      <c r="BS1649" s="3">
        <v>45852</v>
      </c>
      <c r="BT1649" s="4">
        <v>0.39097222222222222</v>
      </c>
      <c r="BU1649" t="s">
        <v>1121</v>
      </c>
      <c r="BV1649" t="s">
        <v>98</v>
      </c>
      <c r="BY1649">
        <v>5320</v>
      </c>
      <c r="BZ1649" t="s">
        <v>89</v>
      </c>
      <c r="CA1649" t="s">
        <v>423</v>
      </c>
      <c r="CC1649" t="s">
        <v>169</v>
      </c>
      <c r="CD1649">
        <v>6001</v>
      </c>
      <c r="CE1649" t="s">
        <v>117</v>
      </c>
      <c r="CF1649" s="3">
        <v>45852</v>
      </c>
      <c r="CI1649">
        <v>1</v>
      </c>
      <c r="CJ1649">
        <v>1</v>
      </c>
      <c r="CK1649">
        <v>21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"080066503977"</f>
        <v>080066503977</v>
      </c>
      <c r="F1650" s="3">
        <v>45849</v>
      </c>
      <c r="G1650">
        <v>202604</v>
      </c>
      <c r="H1650" t="s">
        <v>75</v>
      </c>
      <c r="I1650" t="s">
        <v>76</v>
      </c>
      <c r="J1650" t="s">
        <v>77</v>
      </c>
      <c r="K1650" t="s">
        <v>78</v>
      </c>
      <c r="L1650" t="s">
        <v>197</v>
      </c>
      <c r="M1650" t="s">
        <v>198</v>
      </c>
      <c r="N1650" t="s">
        <v>1209</v>
      </c>
      <c r="O1650" t="s">
        <v>82</v>
      </c>
      <c r="P1650" t="str">
        <f>"4170048258                    "</f>
        <v xml:space="preserve">4170048258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17.649999999999999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0.3</v>
      </c>
      <c r="BK1650">
        <v>1</v>
      </c>
      <c r="BL1650">
        <v>55.61</v>
      </c>
      <c r="BM1650">
        <v>8.34</v>
      </c>
      <c r="BN1650">
        <v>63.95</v>
      </c>
      <c r="BO1650">
        <v>63.95</v>
      </c>
      <c r="BQ1650" t="s">
        <v>1210</v>
      </c>
      <c r="BR1650" t="s">
        <v>84</v>
      </c>
      <c r="BS1650" s="3">
        <v>45852</v>
      </c>
      <c r="BT1650" s="4">
        <v>0.34027777777777779</v>
      </c>
      <c r="BU1650" t="s">
        <v>2264</v>
      </c>
      <c r="BV1650" t="s">
        <v>98</v>
      </c>
      <c r="BY1650">
        <v>1350</v>
      </c>
      <c r="BZ1650" t="s">
        <v>89</v>
      </c>
      <c r="CA1650" t="s">
        <v>1799</v>
      </c>
      <c r="CC1650" t="s">
        <v>198</v>
      </c>
      <c r="CD1650">
        <v>1406</v>
      </c>
      <c r="CE1650" t="s">
        <v>1868</v>
      </c>
      <c r="CF1650" s="3">
        <v>45852</v>
      </c>
      <c r="CI1650">
        <v>1</v>
      </c>
      <c r="CJ1650">
        <v>1</v>
      </c>
      <c r="CK1650">
        <v>22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"080066503999"</f>
        <v>080066503999</v>
      </c>
      <c r="F1651" s="3">
        <v>45849</v>
      </c>
      <c r="G1651">
        <v>202604</v>
      </c>
      <c r="H1651" t="s">
        <v>75</v>
      </c>
      <c r="I1651" t="s">
        <v>76</v>
      </c>
      <c r="J1651" t="s">
        <v>77</v>
      </c>
      <c r="K1651" t="s">
        <v>78</v>
      </c>
      <c r="L1651" t="s">
        <v>168</v>
      </c>
      <c r="M1651" t="s">
        <v>169</v>
      </c>
      <c r="N1651" t="s">
        <v>202</v>
      </c>
      <c r="O1651" t="s">
        <v>82</v>
      </c>
      <c r="P1651" t="str">
        <f>"4170048324                    "</f>
        <v xml:space="preserve">4170048324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22.6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0.3</v>
      </c>
      <c r="BK1651">
        <v>1</v>
      </c>
      <c r="BL1651">
        <v>71.2</v>
      </c>
      <c r="BM1651">
        <v>10.68</v>
      </c>
      <c r="BN1651">
        <v>81.88</v>
      </c>
      <c r="BO1651">
        <v>81.88</v>
      </c>
      <c r="BQ1651" t="s">
        <v>203</v>
      </c>
      <c r="BR1651" t="s">
        <v>84</v>
      </c>
      <c r="BS1651" s="3">
        <v>45852</v>
      </c>
      <c r="BT1651" s="4">
        <v>0.38333333333333336</v>
      </c>
      <c r="BU1651" t="s">
        <v>1713</v>
      </c>
      <c r="BV1651" t="s">
        <v>98</v>
      </c>
      <c r="BY1651">
        <v>1350</v>
      </c>
      <c r="BZ1651" t="s">
        <v>89</v>
      </c>
      <c r="CA1651" t="s">
        <v>205</v>
      </c>
      <c r="CC1651" t="s">
        <v>169</v>
      </c>
      <c r="CD1651">
        <v>6001</v>
      </c>
      <c r="CE1651" t="s">
        <v>1868</v>
      </c>
      <c r="CF1651" s="3">
        <v>45853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"080066504006"</f>
        <v>080066504006</v>
      </c>
      <c r="F1652" s="3">
        <v>45849</v>
      </c>
      <c r="G1652">
        <v>202604</v>
      </c>
      <c r="H1652" t="s">
        <v>75</v>
      </c>
      <c r="I1652" t="s">
        <v>76</v>
      </c>
      <c r="J1652" t="s">
        <v>77</v>
      </c>
      <c r="K1652" t="s">
        <v>78</v>
      </c>
      <c r="L1652" t="s">
        <v>111</v>
      </c>
      <c r="M1652" t="s">
        <v>112</v>
      </c>
      <c r="N1652" t="s">
        <v>113</v>
      </c>
      <c r="O1652" t="s">
        <v>82</v>
      </c>
      <c r="P1652" t="str">
        <f>"4170048288                    "</f>
        <v xml:space="preserve">4170048288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63.56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3</v>
      </c>
      <c r="BJ1652">
        <v>1.1000000000000001</v>
      </c>
      <c r="BK1652">
        <v>3</v>
      </c>
      <c r="BL1652">
        <v>200.24</v>
      </c>
      <c r="BM1652">
        <v>30.04</v>
      </c>
      <c r="BN1652">
        <v>230.28</v>
      </c>
      <c r="BO1652">
        <v>230.28</v>
      </c>
      <c r="BQ1652" t="s">
        <v>537</v>
      </c>
      <c r="BR1652" t="s">
        <v>84</v>
      </c>
      <c r="BS1652" s="3">
        <v>45852</v>
      </c>
      <c r="BT1652" s="4">
        <v>0.4375</v>
      </c>
      <c r="BU1652" t="s">
        <v>2265</v>
      </c>
      <c r="BV1652" t="s">
        <v>98</v>
      </c>
      <c r="BY1652">
        <v>5320</v>
      </c>
      <c r="BZ1652" t="s">
        <v>89</v>
      </c>
      <c r="CA1652" t="s">
        <v>116</v>
      </c>
      <c r="CC1652" t="s">
        <v>112</v>
      </c>
      <c r="CD1652">
        <v>1871</v>
      </c>
      <c r="CE1652" t="s">
        <v>117</v>
      </c>
      <c r="CF1652" s="3">
        <v>45853</v>
      </c>
      <c r="CI1652">
        <v>1</v>
      </c>
      <c r="CJ1652">
        <v>1</v>
      </c>
      <c r="CK1652">
        <v>23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"080066504064"</f>
        <v>080066504064</v>
      </c>
      <c r="F1653" s="3">
        <v>45849</v>
      </c>
      <c r="G1653">
        <v>202604</v>
      </c>
      <c r="H1653" t="s">
        <v>75</v>
      </c>
      <c r="I1653" t="s">
        <v>76</v>
      </c>
      <c r="J1653" t="s">
        <v>77</v>
      </c>
      <c r="K1653" t="s">
        <v>78</v>
      </c>
      <c r="L1653" t="s">
        <v>704</v>
      </c>
      <c r="M1653" t="s">
        <v>705</v>
      </c>
      <c r="N1653" t="s">
        <v>829</v>
      </c>
      <c r="O1653" t="s">
        <v>82</v>
      </c>
      <c r="P1653" t="str">
        <f>"4170048319                    "</f>
        <v xml:space="preserve">4170048319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43.78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0.3</v>
      </c>
      <c r="BK1653">
        <v>1</v>
      </c>
      <c r="BL1653">
        <v>137.94</v>
      </c>
      <c r="BM1653">
        <v>20.69</v>
      </c>
      <c r="BN1653">
        <v>158.63</v>
      </c>
      <c r="BO1653">
        <v>158.63</v>
      </c>
      <c r="BQ1653" t="s">
        <v>830</v>
      </c>
      <c r="BR1653" t="s">
        <v>84</v>
      </c>
      <c r="BS1653" s="3">
        <v>45852</v>
      </c>
      <c r="BT1653" s="4">
        <v>0.5083333333333333</v>
      </c>
      <c r="BU1653" t="s">
        <v>2230</v>
      </c>
      <c r="BV1653" t="s">
        <v>98</v>
      </c>
      <c r="BY1653">
        <v>1350</v>
      </c>
      <c r="BZ1653" t="s">
        <v>89</v>
      </c>
      <c r="CA1653" t="s">
        <v>1665</v>
      </c>
      <c r="CC1653" t="s">
        <v>705</v>
      </c>
      <c r="CD1653">
        <v>6850</v>
      </c>
      <c r="CE1653" t="s">
        <v>1868</v>
      </c>
      <c r="CF1653" s="3">
        <v>45853</v>
      </c>
      <c r="CI1653">
        <v>2</v>
      </c>
      <c r="CJ1653">
        <v>1</v>
      </c>
      <c r="CK1653">
        <v>23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"080066504097"</f>
        <v>080066504097</v>
      </c>
      <c r="F1654" s="3">
        <v>45849</v>
      </c>
      <c r="G1654">
        <v>202604</v>
      </c>
      <c r="H1654" t="s">
        <v>75</v>
      </c>
      <c r="I1654" t="s">
        <v>76</v>
      </c>
      <c r="J1654" t="s">
        <v>77</v>
      </c>
      <c r="K1654" t="s">
        <v>78</v>
      </c>
      <c r="L1654" t="s">
        <v>704</v>
      </c>
      <c r="M1654" t="s">
        <v>705</v>
      </c>
      <c r="N1654" t="s">
        <v>829</v>
      </c>
      <c r="O1654" t="s">
        <v>82</v>
      </c>
      <c r="P1654" t="str">
        <f>"4170048321                    "</f>
        <v xml:space="preserve">4170048321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43.78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0.3</v>
      </c>
      <c r="BK1654">
        <v>1</v>
      </c>
      <c r="BL1654">
        <v>137.94</v>
      </c>
      <c r="BM1654">
        <v>20.69</v>
      </c>
      <c r="BN1654">
        <v>158.63</v>
      </c>
      <c r="BO1654">
        <v>158.63</v>
      </c>
      <c r="BQ1654" t="s">
        <v>830</v>
      </c>
      <c r="BR1654" t="s">
        <v>84</v>
      </c>
      <c r="BS1654" s="3">
        <v>45852</v>
      </c>
      <c r="BT1654" s="4">
        <v>0.5083333333333333</v>
      </c>
      <c r="BU1654" t="s">
        <v>2230</v>
      </c>
      <c r="BV1654" t="s">
        <v>98</v>
      </c>
      <c r="BY1654">
        <v>1350</v>
      </c>
      <c r="BZ1654" t="s">
        <v>89</v>
      </c>
      <c r="CA1654" t="s">
        <v>1665</v>
      </c>
      <c r="CC1654" t="s">
        <v>705</v>
      </c>
      <c r="CD1654">
        <v>6850</v>
      </c>
      <c r="CE1654" t="s">
        <v>1868</v>
      </c>
      <c r="CF1654" s="3">
        <v>45853</v>
      </c>
      <c r="CI1654">
        <v>2</v>
      </c>
      <c r="CJ1654">
        <v>1</v>
      </c>
      <c r="CK1654">
        <v>23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"080066504316"</f>
        <v>080066504316</v>
      </c>
      <c r="F1655" s="3">
        <v>45849</v>
      </c>
      <c r="G1655">
        <v>202604</v>
      </c>
      <c r="H1655" t="s">
        <v>75</v>
      </c>
      <c r="I1655" t="s">
        <v>76</v>
      </c>
      <c r="J1655" t="s">
        <v>77</v>
      </c>
      <c r="K1655" t="s">
        <v>78</v>
      </c>
      <c r="L1655" t="s">
        <v>240</v>
      </c>
      <c r="M1655" t="s">
        <v>241</v>
      </c>
      <c r="N1655" t="s">
        <v>242</v>
      </c>
      <c r="O1655" t="s">
        <v>82</v>
      </c>
      <c r="P1655" t="str">
        <f>"4170048364                    "</f>
        <v xml:space="preserve">4170048364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17.649999999999999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55.61</v>
      </c>
      <c r="BM1655">
        <v>8.34</v>
      </c>
      <c r="BN1655">
        <v>63.95</v>
      </c>
      <c r="BO1655">
        <v>63.95</v>
      </c>
      <c r="BQ1655" t="s">
        <v>243</v>
      </c>
      <c r="BR1655" t="s">
        <v>84</v>
      </c>
      <c r="BS1655" s="3">
        <v>45852</v>
      </c>
      <c r="BT1655" s="4">
        <v>0.375</v>
      </c>
      <c r="BU1655" t="s">
        <v>244</v>
      </c>
      <c r="BV1655" t="s">
        <v>98</v>
      </c>
      <c r="BY1655">
        <v>1200</v>
      </c>
      <c r="BZ1655" t="s">
        <v>89</v>
      </c>
      <c r="CA1655" t="s">
        <v>245</v>
      </c>
      <c r="CC1655" t="s">
        <v>241</v>
      </c>
      <c r="CD1655">
        <v>2091</v>
      </c>
      <c r="CE1655" t="s">
        <v>239</v>
      </c>
      <c r="CF1655" s="3">
        <v>45853</v>
      </c>
      <c r="CI1655">
        <v>1</v>
      </c>
      <c r="CJ1655">
        <v>1</v>
      </c>
      <c r="CK1655">
        <v>22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"080066504342"</f>
        <v>080066504342</v>
      </c>
      <c r="F1656" s="3">
        <v>45849</v>
      </c>
      <c r="G1656">
        <v>202604</v>
      </c>
      <c r="H1656" t="s">
        <v>75</v>
      </c>
      <c r="I1656" t="s">
        <v>76</v>
      </c>
      <c r="J1656" t="s">
        <v>77</v>
      </c>
      <c r="K1656" t="s">
        <v>78</v>
      </c>
      <c r="L1656" t="s">
        <v>135</v>
      </c>
      <c r="M1656" t="s">
        <v>136</v>
      </c>
      <c r="N1656" t="s">
        <v>416</v>
      </c>
      <c r="O1656" t="s">
        <v>82</v>
      </c>
      <c r="P1656" t="str">
        <f>"4170048368                    "</f>
        <v xml:space="preserve">4170048368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45.18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4</v>
      </c>
      <c r="BJ1656">
        <v>1.7</v>
      </c>
      <c r="BK1656">
        <v>4</v>
      </c>
      <c r="BL1656">
        <v>142.34</v>
      </c>
      <c r="BM1656">
        <v>21.35</v>
      </c>
      <c r="BN1656">
        <v>163.69</v>
      </c>
      <c r="BO1656">
        <v>163.69</v>
      </c>
      <c r="BQ1656" t="s">
        <v>417</v>
      </c>
      <c r="BR1656" t="s">
        <v>84</v>
      </c>
      <c r="BS1656" s="3">
        <v>45852</v>
      </c>
      <c r="BT1656" s="4">
        <v>0.53888888888888886</v>
      </c>
      <c r="BU1656" t="s">
        <v>2266</v>
      </c>
      <c r="BV1656" t="s">
        <v>98</v>
      </c>
      <c r="BY1656">
        <v>8512</v>
      </c>
      <c r="BZ1656" t="s">
        <v>89</v>
      </c>
      <c r="CA1656" t="s">
        <v>522</v>
      </c>
      <c r="CC1656" t="s">
        <v>136</v>
      </c>
      <c r="CD1656">
        <v>3201</v>
      </c>
      <c r="CE1656" t="s">
        <v>117</v>
      </c>
      <c r="CF1656" s="3">
        <v>45853</v>
      </c>
      <c r="CI1656">
        <v>1</v>
      </c>
      <c r="CJ1656">
        <v>1</v>
      </c>
      <c r="CK1656">
        <v>21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"080066504361"</f>
        <v>080066504361</v>
      </c>
      <c r="F1657" s="3">
        <v>45849</v>
      </c>
      <c r="G1657">
        <v>202604</v>
      </c>
      <c r="H1657" t="s">
        <v>75</v>
      </c>
      <c r="I1657" t="s">
        <v>76</v>
      </c>
      <c r="J1657" t="s">
        <v>77</v>
      </c>
      <c r="K1657" t="s">
        <v>78</v>
      </c>
      <c r="L1657" t="s">
        <v>79</v>
      </c>
      <c r="M1657" t="s">
        <v>80</v>
      </c>
      <c r="N1657" t="s">
        <v>1816</v>
      </c>
      <c r="O1657" t="s">
        <v>82</v>
      </c>
      <c r="P1657" t="str">
        <f>"4170048191                    "</f>
        <v xml:space="preserve">4170048191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112.92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2</v>
      </c>
      <c r="BI1657">
        <v>10</v>
      </c>
      <c r="BJ1657">
        <v>3.4</v>
      </c>
      <c r="BK1657">
        <v>10</v>
      </c>
      <c r="BL1657">
        <v>355.76</v>
      </c>
      <c r="BM1657">
        <v>53.36</v>
      </c>
      <c r="BN1657">
        <v>409.12</v>
      </c>
      <c r="BO1657">
        <v>409.12</v>
      </c>
      <c r="BQ1657" t="s">
        <v>1817</v>
      </c>
      <c r="BR1657" t="s">
        <v>84</v>
      </c>
      <c r="BS1657" s="3">
        <v>45852</v>
      </c>
      <c r="BT1657" s="4">
        <v>0.63124999999999998</v>
      </c>
      <c r="BU1657" t="s">
        <v>2037</v>
      </c>
      <c r="BV1657" t="s">
        <v>86</v>
      </c>
      <c r="BW1657" t="s">
        <v>87</v>
      </c>
      <c r="BX1657" t="s">
        <v>1185</v>
      </c>
      <c r="BY1657">
        <v>8512</v>
      </c>
      <c r="BZ1657" t="s">
        <v>89</v>
      </c>
      <c r="CA1657" t="s">
        <v>90</v>
      </c>
      <c r="CC1657" t="s">
        <v>80</v>
      </c>
      <c r="CD1657">
        <v>7550</v>
      </c>
      <c r="CE1657" t="s">
        <v>1468</v>
      </c>
      <c r="CF1657" s="3">
        <v>45853</v>
      </c>
      <c r="CI1657">
        <v>1</v>
      </c>
      <c r="CJ1657">
        <v>1</v>
      </c>
      <c r="CK1657">
        <v>21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"080066504485"</f>
        <v>080066504485</v>
      </c>
      <c r="F1658" s="3">
        <v>45849</v>
      </c>
      <c r="G1658">
        <v>202604</v>
      </c>
      <c r="H1658" t="s">
        <v>75</v>
      </c>
      <c r="I1658" t="s">
        <v>76</v>
      </c>
      <c r="J1658" t="s">
        <v>77</v>
      </c>
      <c r="K1658" t="s">
        <v>78</v>
      </c>
      <c r="L1658" t="s">
        <v>151</v>
      </c>
      <c r="M1658" t="s">
        <v>152</v>
      </c>
      <c r="N1658" t="s">
        <v>510</v>
      </c>
      <c r="O1658" t="s">
        <v>95</v>
      </c>
      <c r="P1658" t="str">
        <f>"4170048341                    "</f>
        <v xml:space="preserve">4170048341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290.88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5</v>
      </c>
      <c r="BI1658">
        <v>71</v>
      </c>
      <c r="BJ1658">
        <v>151.5</v>
      </c>
      <c r="BK1658">
        <v>152</v>
      </c>
      <c r="BL1658">
        <v>922.29</v>
      </c>
      <c r="BM1658">
        <v>138.34</v>
      </c>
      <c r="BN1658">
        <v>1060.6300000000001</v>
      </c>
      <c r="BO1658">
        <v>1060.6300000000001</v>
      </c>
      <c r="BQ1658" t="s">
        <v>511</v>
      </c>
      <c r="BR1658" t="s">
        <v>84</v>
      </c>
      <c r="BS1658" s="3">
        <v>45852</v>
      </c>
      <c r="BT1658" s="4">
        <v>0.3611111111111111</v>
      </c>
      <c r="BU1658" t="s">
        <v>2267</v>
      </c>
      <c r="BV1658" t="s">
        <v>98</v>
      </c>
      <c r="BY1658">
        <v>645346</v>
      </c>
      <c r="BZ1658" t="s">
        <v>99</v>
      </c>
      <c r="CA1658" t="s">
        <v>1486</v>
      </c>
      <c r="CC1658" t="s">
        <v>152</v>
      </c>
      <c r="CD1658" s="5" t="s">
        <v>389</v>
      </c>
      <c r="CE1658" t="s">
        <v>117</v>
      </c>
      <c r="CF1658" s="3">
        <v>45852</v>
      </c>
      <c r="CI1658">
        <v>1</v>
      </c>
      <c r="CJ1658">
        <v>1</v>
      </c>
      <c r="CK1658">
        <v>41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"080066504554"</f>
        <v>080066504554</v>
      </c>
      <c r="F1659" s="3">
        <v>45849</v>
      </c>
      <c r="G1659">
        <v>202604</v>
      </c>
      <c r="H1659" t="s">
        <v>75</v>
      </c>
      <c r="I1659" t="s">
        <v>76</v>
      </c>
      <c r="J1659" t="s">
        <v>77</v>
      </c>
      <c r="K1659" t="s">
        <v>78</v>
      </c>
      <c r="L1659" t="s">
        <v>168</v>
      </c>
      <c r="M1659" t="s">
        <v>169</v>
      </c>
      <c r="N1659" t="s">
        <v>412</v>
      </c>
      <c r="O1659" t="s">
        <v>82</v>
      </c>
      <c r="P1659" t="str">
        <f>"4170048313                    "</f>
        <v xml:space="preserve">4170048313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22.6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2</v>
      </c>
      <c r="BJ1659">
        <v>0.9</v>
      </c>
      <c r="BK1659">
        <v>2</v>
      </c>
      <c r="BL1659">
        <v>71.2</v>
      </c>
      <c r="BM1659">
        <v>10.68</v>
      </c>
      <c r="BN1659">
        <v>81.88</v>
      </c>
      <c r="BO1659">
        <v>81.88</v>
      </c>
      <c r="BQ1659" t="s">
        <v>413</v>
      </c>
      <c r="BR1659" t="s">
        <v>84</v>
      </c>
      <c r="BS1659" s="3">
        <v>45852</v>
      </c>
      <c r="BT1659" s="4">
        <v>0.37013888888888891</v>
      </c>
      <c r="BU1659" t="s">
        <v>414</v>
      </c>
      <c r="BV1659" t="s">
        <v>98</v>
      </c>
      <c r="BY1659">
        <v>4275</v>
      </c>
      <c r="BZ1659" t="s">
        <v>89</v>
      </c>
      <c r="CA1659" t="s">
        <v>415</v>
      </c>
      <c r="CC1659" t="s">
        <v>169</v>
      </c>
      <c r="CD1659">
        <v>6001</v>
      </c>
      <c r="CE1659" t="s">
        <v>117</v>
      </c>
      <c r="CF1659" s="3">
        <v>45852</v>
      </c>
      <c r="CI1659">
        <v>1</v>
      </c>
      <c r="CJ1659">
        <v>1</v>
      </c>
      <c r="CK1659">
        <v>21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"080066504579"</f>
        <v>080066504579</v>
      </c>
      <c r="F1660" s="3">
        <v>45849</v>
      </c>
      <c r="G1660">
        <v>202604</v>
      </c>
      <c r="H1660" t="s">
        <v>75</v>
      </c>
      <c r="I1660" t="s">
        <v>76</v>
      </c>
      <c r="J1660" t="s">
        <v>77</v>
      </c>
      <c r="K1660" t="s">
        <v>78</v>
      </c>
      <c r="L1660" t="s">
        <v>79</v>
      </c>
      <c r="M1660" t="s">
        <v>80</v>
      </c>
      <c r="N1660" t="s">
        <v>1816</v>
      </c>
      <c r="O1660" t="s">
        <v>82</v>
      </c>
      <c r="P1660" t="str">
        <f>"4170048193                    "</f>
        <v xml:space="preserve">4170048193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124.21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11</v>
      </c>
      <c r="BJ1660">
        <v>3.4</v>
      </c>
      <c r="BK1660">
        <v>11</v>
      </c>
      <c r="BL1660">
        <v>391.33</v>
      </c>
      <c r="BM1660">
        <v>58.7</v>
      </c>
      <c r="BN1660">
        <v>450.03</v>
      </c>
      <c r="BO1660">
        <v>450.03</v>
      </c>
      <c r="BQ1660" t="s">
        <v>1817</v>
      </c>
      <c r="BR1660" t="s">
        <v>84</v>
      </c>
      <c r="BS1660" s="3">
        <v>45852</v>
      </c>
      <c r="BT1660" s="4">
        <v>0.6333333333333333</v>
      </c>
      <c r="BU1660" t="s">
        <v>2037</v>
      </c>
      <c r="BV1660" t="s">
        <v>86</v>
      </c>
      <c r="BW1660" t="s">
        <v>1395</v>
      </c>
      <c r="BX1660" t="s">
        <v>1185</v>
      </c>
      <c r="BY1660">
        <v>16965</v>
      </c>
      <c r="BZ1660" t="s">
        <v>89</v>
      </c>
      <c r="CA1660" t="s">
        <v>90</v>
      </c>
      <c r="CC1660" t="s">
        <v>80</v>
      </c>
      <c r="CD1660">
        <v>7550</v>
      </c>
      <c r="CE1660" t="s">
        <v>117</v>
      </c>
      <c r="CF1660" s="3">
        <v>45853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"080066504604"</f>
        <v>080066504604</v>
      </c>
      <c r="F1661" s="3">
        <v>45849</v>
      </c>
      <c r="G1661">
        <v>202604</v>
      </c>
      <c r="H1661" t="s">
        <v>75</v>
      </c>
      <c r="I1661" t="s">
        <v>76</v>
      </c>
      <c r="J1661" t="s">
        <v>77</v>
      </c>
      <c r="K1661" t="s">
        <v>78</v>
      </c>
      <c r="L1661" t="s">
        <v>151</v>
      </c>
      <c r="M1661" t="s">
        <v>152</v>
      </c>
      <c r="N1661" t="s">
        <v>2227</v>
      </c>
      <c r="O1661" t="s">
        <v>82</v>
      </c>
      <c r="P1661" t="str">
        <f>"4170048326                    "</f>
        <v xml:space="preserve">4170048326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22.6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1.9</v>
      </c>
      <c r="BK1661">
        <v>2</v>
      </c>
      <c r="BL1661">
        <v>71.2</v>
      </c>
      <c r="BM1661">
        <v>10.68</v>
      </c>
      <c r="BN1661">
        <v>81.88</v>
      </c>
      <c r="BO1661">
        <v>81.88</v>
      </c>
      <c r="BQ1661" t="s">
        <v>2228</v>
      </c>
      <c r="BR1661" t="s">
        <v>84</v>
      </c>
      <c r="BS1661" s="3">
        <v>45852</v>
      </c>
      <c r="BT1661" s="4">
        <v>0.35486111111111113</v>
      </c>
      <c r="BU1661" t="s">
        <v>2229</v>
      </c>
      <c r="BV1661" t="s">
        <v>98</v>
      </c>
      <c r="BY1661">
        <v>9600</v>
      </c>
      <c r="BZ1661" t="s">
        <v>89</v>
      </c>
      <c r="CA1661" t="s">
        <v>513</v>
      </c>
      <c r="CC1661" t="s">
        <v>152</v>
      </c>
      <c r="CD1661" s="5" t="s">
        <v>1141</v>
      </c>
      <c r="CE1661" t="s">
        <v>117</v>
      </c>
      <c r="CF1661" s="3">
        <v>45852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"080066504632"</f>
        <v>080066504632</v>
      </c>
      <c r="F1662" s="3">
        <v>45849</v>
      </c>
      <c r="G1662">
        <v>202604</v>
      </c>
      <c r="H1662" t="s">
        <v>75</v>
      </c>
      <c r="I1662" t="s">
        <v>76</v>
      </c>
      <c r="J1662" t="s">
        <v>77</v>
      </c>
      <c r="K1662" t="s">
        <v>78</v>
      </c>
      <c r="L1662" t="s">
        <v>554</v>
      </c>
      <c r="M1662" t="s">
        <v>555</v>
      </c>
      <c r="N1662" t="s">
        <v>2268</v>
      </c>
      <c r="O1662" t="s">
        <v>82</v>
      </c>
      <c r="P1662" t="str">
        <f>"4170048331                    "</f>
        <v xml:space="preserve">4170048331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22.6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1.9</v>
      </c>
      <c r="BK1662">
        <v>2</v>
      </c>
      <c r="BL1662">
        <v>71.2</v>
      </c>
      <c r="BM1662">
        <v>10.68</v>
      </c>
      <c r="BN1662">
        <v>81.88</v>
      </c>
      <c r="BO1662">
        <v>81.88</v>
      </c>
      <c r="BQ1662" t="s">
        <v>2269</v>
      </c>
      <c r="BR1662" t="s">
        <v>84</v>
      </c>
      <c r="BS1662" s="3">
        <v>45852</v>
      </c>
      <c r="BT1662" s="4">
        <v>0.39513888888888887</v>
      </c>
      <c r="BU1662" t="s">
        <v>2270</v>
      </c>
      <c r="BV1662" t="s">
        <v>98</v>
      </c>
      <c r="BY1662">
        <v>9600</v>
      </c>
      <c r="BZ1662" t="s">
        <v>89</v>
      </c>
      <c r="CA1662" t="s">
        <v>2271</v>
      </c>
      <c r="CC1662" t="s">
        <v>555</v>
      </c>
      <c r="CD1662" s="5" t="s">
        <v>560</v>
      </c>
      <c r="CE1662" t="s">
        <v>117</v>
      </c>
      <c r="CF1662" s="3">
        <v>45852</v>
      </c>
      <c r="CI1662">
        <v>1</v>
      </c>
      <c r="CJ1662">
        <v>1</v>
      </c>
      <c r="CK1662">
        <v>21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"080066504652"</f>
        <v>080066504652</v>
      </c>
      <c r="F1663" s="3">
        <v>45849</v>
      </c>
      <c r="G1663">
        <v>202604</v>
      </c>
      <c r="H1663" t="s">
        <v>75</v>
      </c>
      <c r="I1663" t="s">
        <v>76</v>
      </c>
      <c r="J1663" t="s">
        <v>77</v>
      </c>
      <c r="K1663" t="s">
        <v>78</v>
      </c>
      <c r="L1663" t="s">
        <v>79</v>
      </c>
      <c r="M1663" t="s">
        <v>80</v>
      </c>
      <c r="N1663" t="s">
        <v>698</v>
      </c>
      <c r="O1663" t="s">
        <v>82</v>
      </c>
      <c r="P1663" t="str">
        <f>"4170048229                    "</f>
        <v xml:space="preserve">4170048229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22.6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1.9</v>
      </c>
      <c r="BK1663">
        <v>2</v>
      </c>
      <c r="BL1663">
        <v>71.2</v>
      </c>
      <c r="BM1663">
        <v>10.68</v>
      </c>
      <c r="BN1663">
        <v>81.88</v>
      </c>
      <c r="BO1663">
        <v>81.88</v>
      </c>
      <c r="BQ1663" t="s">
        <v>699</v>
      </c>
      <c r="BR1663" t="s">
        <v>84</v>
      </c>
      <c r="BS1663" s="3">
        <v>45852</v>
      </c>
      <c r="BT1663" s="4">
        <v>0.41805555555555557</v>
      </c>
      <c r="BU1663" t="s">
        <v>700</v>
      </c>
      <c r="BV1663" t="s">
        <v>98</v>
      </c>
      <c r="BY1663">
        <v>9600</v>
      </c>
      <c r="BZ1663" t="s">
        <v>89</v>
      </c>
      <c r="CA1663" t="s">
        <v>289</v>
      </c>
      <c r="CC1663" t="s">
        <v>80</v>
      </c>
      <c r="CD1663">
        <v>7561</v>
      </c>
      <c r="CE1663" t="s">
        <v>117</v>
      </c>
      <c r="CF1663" s="3">
        <v>45853</v>
      </c>
      <c r="CI1663">
        <v>1</v>
      </c>
      <c r="CJ1663">
        <v>1</v>
      </c>
      <c r="CK1663">
        <v>21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"080066504667"</f>
        <v>080066504667</v>
      </c>
      <c r="F1664" s="3">
        <v>45849</v>
      </c>
      <c r="G1664">
        <v>202604</v>
      </c>
      <c r="H1664" t="s">
        <v>75</v>
      </c>
      <c r="I1664" t="s">
        <v>76</v>
      </c>
      <c r="J1664" t="s">
        <v>77</v>
      </c>
      <c r="K1664" t="s">
        <v>78</v>
      </c>
      <c r="L1664" t="s">
        <v>305</v>
      </c>
      <c r="M1664" t="s">
        <v>306</v>
      </c>
      <c r="N1664" t="s">
        <v>1154</v>
      </c>
      <c r="O1664" t="s">
        <v>82</v>
      </c>
      <c r="P1664" t="str">
        <f>"4170048317                    "</f>
        <v xml:space="preserve">4170048317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67.760000000000005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4</v>
      </c>
      <c r="BJ1664">
        <v>6</v>
      </c>
      <c r="BK1664">
        <v>6</v>
      </c>
      <c r="BL1664">
        <v>213.48</v>
      </c>
      <c r="BM1664">
        <v>32.020000000000003</v>
      </c>
      <c r="BN1664">
        <v>245.5</v>
      </c>
      <c r="BO1664">
        <v>245.5</v>
      </c>
      <c r="BQ1664" t="s">
        <v>1155</v>
      </c>
      <c r="BR1664" t="s">
        <v>84</v>
      </c>
      <c r="BS1664" s="3">
        <v>45852</v>
      </c>
      <c r="BT1664" s="4">
        <v>0.65625</v>
      </c>
      <c r="BU1664" t="s">
        <v>2272</v>
      </c>
      <c r="BV1664" t="s">
        <v>86</v>
      </c>
      <c r="BY1664">
        <v>30056</v>
      </c>
      <c r="BZ1664" t="s">
        <v>89</v>
      </c>
      <c r="CC1664" t="s">
        <v>306</v>
      </c>
      <c r="CD1664">
        <v>5201</v>
      </c>
      <c r="CE1664" t="s">
        <v>91</v>
      </c>
      <c r="CF1664" s="3">
        <v>45852</v>
      </c>
      <c r="CI1664">
        <v>1</v>
      </c>
      <c r="CJ1664">
        <v>1</v>
      </c>
      <c r="CK1664">
        <v>21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"080066504738"</f>
        <v>080066504738</v>
      </c>
      <c r="F1665" s="3">
        <v>45849</v>
      </c>
      <c r="G1665">
        <v>202604</v>
      </c>
      <c r="H1665" t="s">
        <v>75</v>
      </c>
      <c r="I1665" t="s">
        <v>76</v>
      </c>
      <c r="J1665" t="s">
        <v>77</v>
      </c>
      <c r="K1665" t="s">
        <v>78</v>
      </c>
      <c r="L1665" t="s">
        <v>92</v>
      </c>
      <c r="M1665" t="s">
        <v>93</v>
      </c>
      <c r="N1665" t="s">
        <v>1893</v>
      </c>
      <c r="O1665" t="s">
        <v>82</v>
      </c>
      <c r="P1665" t="str">
        <f>"4170048369                    "</f>
        <v xml:space="preserve">4170048369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22.6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</v>
      </c>
      <c r="BK1665">
        <v>1</v>
      </c>
      <c r="BL1665">
        <v>71.2</v>
      </c>
      <c r="BM1665">
        <v>10.68</v>
      </c>
      <c r="BN1665">
        <v>81.88</v>
      </c>
      <c r="BO1665">
        <v>81.88</v>
      </c>
      <c r="BQ1665" t="s">
        <v>1894</v>
      </c>
      <c r="BR1665" t="s">
        <v>84</v>
      </c>
      <c r="BS1665" s="3">
        <v>45852</v>
      </c>
      <c r="BT1665" s="4">
        <v>0.56874999999999998</v>
      </c>
      <c r="BU1665" t="s">
        <v>2273</v>
      </c>
      <c r="BV1665" t="s">
        <v>86</v>
      </c>
      <c r="BW1665" t="s">
        <v>194</v>
      </c>
      <c r="BX1665" t="s">
        <v>739</v>
      </c>
      <c r="BY1665">
        <v>45</v>
      </c>
      <c r="BZ1665" t="s">
        <v>89</v>
      </c>
      <c r="CA1665" t="s">
        <v>2024</v>
      </c>
      <c r="CC1665" t="s">
        <v>93</v>
      </c>
      <c r="CD1665">
        <v>4001</v>
      </c>
      <c r="CE1665" t="s">
        <v>1868</v>
      </c>
      <c r="CF1665" s="3">
        <v>45853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"080066504770"</f>
        <v>080066504770</v>
      </c>
      <c r="F1666" s="3">
        <v>45849</v>
      </c>
      <c r="G1666">
        <v>202604</v>
      </c>
      <c r="H1666" t="s">
        <v>75</v>
      </c>
      <c r="I1666" t="s">
        <v>76</v>
      </c>
      <c r="J1666" t="s">
        <v>77</v>
      </c>
      <c r="K1666" t="s">
        <v>78</v>
      </c>
      <c r="L1666" t="s">
        <v>79</v>
      </c>
      <c r="M1666" t="s">
        <v>80</v>
      </c>
      <c r="N1666" t="s">
        <v>1996</v>
      </c>
      <c r="O1666" t="s">
        <v>82</v>
      </c>
      <c r="P1666" t="str">
        <f>"4170048393                    "</f>
        <v xml:space="preserve">4170048393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22.6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0.3</v>
      </c>
      <c r="BK1666">
        <v>1</v>
      </c>
      <c r="BL1666">
        <v>71.2</v>
      </c>
      <c r="BM1666">
        <v>10.68</v>
      </c>
      <c r="BN1666">
        <v>81.88</v>
      </c>
      <c r="BO1666">
        <v>81.88</v>
      </c>
      <c r="BQ1666" t="s">
        <v>1997</v>
      </c>
      <c r="BR1666" t="s">
        <v>84</v>
      </c>
      <c r="BS1666" s="3">
        <v>45852</v>
      </c>
      <c r="BT1666" s="4">
        <v>0.42499999999999999</v>
      </c>
      <c r="BU1666" t="s">
        <v>2172</v>
      </c>
      <c r="BV1666" t="s">
        <v>98</v>
      </c>
      <c r="BY1666">
        <v>1350</v>
      </c>
      <c r="BZ1666" t="s">
        <v>89</v>
      </c>
      <c r="CA1666" t="s">
        <v>658</v>
      </c>
      <c r="CC1666" t="s">
        <v>80</v>
      </c>
      <c r="CD1666">
        <v>7405</v>
      </c>
      <c r="CE1666" t="s">
        <v>1868</v>
      </c>
      <c r="CF1666" s="3">
        <v>45853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"080066504797"</f>
        <v>080066504797</v>
      </c>
      <c r="F1667" s="3">
        <v>45849</v>
      </c>
      <c r="G1667">
        <v>202604</v>
      </c>
      <c r="H1667" t="s">
        <v>75</v>
      </c>
      <c r="I1667" t="s">
        <v>76</v>
      </c>
      <c r="J1667" t="s">
        <v>77</v>
      </c>
      <c r="K1667" t="s">
        <v>78</v>
      </c>
      <c r="L1667" t="s">
        <v>704</v>
      </c>
      <c r="M1667" t="s">
        <v>705</v>
      </c>
      <c r="N1667" t="s">
        <v>848</v>
      </c>
      <c r="O1667" t="s">
        <v>82</v>
      </c>
      <c r="P1667" t="str">
        <f>"4170048367                    "</f>
        <v xml:space="preserve">4170048367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43.78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0.3</v>
      </c>
      <c r="BK1667">
        <v>1</v>
      </c>
      <c r="BL1667">
        <v>137.94</v>
      </c>
      <c r="BM1667">
        <v>20.69</v>
      </c>
      <c r="BN1667">
        <v>158.63</v>
      </c>
      <c r="BO1667">
        <v>158.63</v>
      </c>
      <c r="BQ1667" t="s">
        <v>849</v>
      </c>
      <c r="BR1667" t="s">
        <v>84</v>
      </c>
      <c r="BS1667" s="3">
        <v>45852</v>
      </c>
      <c r="BT1667" s="4">
        <v>0.52013888888888893</v>
      </c>
      <c r="BU1667" t="s">
        <v>2274</v>
      </c>
      <c r="BV1667" t="s">
        <v>98</v>
      </c>
      <c r="BY1667">
        <v>1350</v>
      </c>
      <c r="BZ1667" t="s">
        <v>89</v>
      </c>
      <c r="CA1667" t="s">
        <v>1665</v>
      </c>
      <c r="CC1667" t="s">
        <v>705</v>
      </c>
      <c r="CD1667">
        <v>6850</v>
      </c>
      <c r="CE1667" t="s">
        <v>1868</v>
      </c>
      <c r="CF1667" s="3">
        <v>45853</v>
      </c>
      <c r="CI1667">
        <v>2</v>
      </c>
      <c r="CJ1667">
        <v>1</v>
      </c>
      <c r="CK1667">
        <v>23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"080066504836"</f>
        <v>080066504836</v>
      </c>
      <c r="F1668" s="3">
        <v>45849</v>
      </c>
      <c r="G1668">
        <v>202604</v>
      </c>
      <c r="H1668" t="s">
        <v>75</v>
      </c>
      <c r="I1668" t="s">
        <v>76</v>
      </c>
      <c r="J1668" t="s">
        <v>77</v>
      </c>
      <c r="K1668" t="s">
        <v>78</v>
      </c>
      <c r="L1668" t="s">
        <v>75</v>
      </c>
      <c r="M1668" t="s">
        <v>76</v>
      </c>
      <c r="N1668" t="s">
        <v>701</v>
      </c>
      <c r="O1668" t="s">
        <v>82</v>
      </c>
      <c r="P1668" t="str">
        <f>"4170048363                    "</f>
        <v xml:space="preserve">4170048363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17.649999999999999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0.3</v>
      </c>
      <c r="BK1668">
        <v>1</v>
      </c>
      <c r="BL1668">
        <v>55.61</v>
      </c>
      <c r="BM1668">
        <v>8.34</v>
      </c>
      <c r="BN1668">
        <v>63.95</v>
      </c>
      <c r="BO1668">
        <v>63.95</v>
      </c>
      <c r="BQ1668" t="s">
        <v>702</v>
      </c>
      <c r="BR1668" t="s">
        <v>84</v>
      </c>
      <c r="BS1668" s="3">
        <v>45852</v>
      </c>
      <c r="BT1668" s="4">
        <v>0.34444444444444444</v>
      </c>
      <c r="BU1668" t="s">
        <v>703</v>
      </c>
      <c r="BV1668" t="s">
        <v>98</v>
      </c>
      <c r="BY1668">
        <v>1350</v>
      </c>
      <c r="BZ1668" t="s">
        <v>89</v>
      </c>
      <c r="CA1668" t="s">
        <v>617</v>
      </c>
      <c r="CC1668" t="s">
        <v>76</v>
      </c>
      <c r="CD1668">
        <v>1645</v>
      </c>
      <c r="CE1668" t="s">
        <v>1868</v>
      </c>
      <c r="CF1668" s="3">
        <v>45853</v>
      </c>
      <c r="CI1668">
        <v>1</v>
      </c>
      <c r="CJ1668">
        <v>1</v>
      </c>
      <c r="CK1668">
        <v>22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"080066504897"</f>
        <v>080066504897</v>
      </c>
      <c r="F1669" s="3">
        <v>45849</v>
      </c>
      <c r="G1669">
        <v>202604</v>
      </c>
      <c r="H1669" t="s">
        <v>75</v>
      </c>
      <c r="I1669" t="s">
        <v>76</v>
      </c>
      <c r="J1669" t="s">
        <v>77</v>
      </c>
      <c r="K1669" t="s">
        <v>78</v>
      </c>
      <c r="L1669" t="s">
        <v>240</v>
      </c>
      <c r="M1669" t="s">
        <v>241</v>
      </c>
      <c r="N1669" t="s">
        <v>242</v>
      </c>
      <c r="O1669" t="s">
        <v>82</v>
      </c>
      <c r="P1669" t="str">
        <f>"4170048366                    "</f>
        <v xml:space="preserve">4170048366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17.649999999999999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0.3</v>
      </c>
      <c r="BK1669">
        <v>1</v>
      </c>
      <c r="BL1669">
        <v>55.61</v>
      </c>
      <c r="BM1669">
        <v>8.34</v>
      </c>
      <c r="BN1669">
        <v>63.95</v>
      </c>
      <c r="BO1669">
        <v>63.95</v>
      </c>
      <c r="BQ1669" t="s">
        <v>243</v>
      </c>
      <c r="BR1669" t="s">
        <v>84</v>
      </c>
      <c r="BS1669" s="3">
        <v>45852</v>
      </c>
      <c r="BT1669" s="4">
        <v>0.375</v>
      </c>
      <c r="BU1669" t="s">
        <v>244</v>
      </c>
      <c r="BV1669" t="s">
        <v>98</v>
      </c>
      <c r="BY1669">
        <v>1350</v>
      </c>
      <c r="BZ1669" t="s">
        <v>89</v>
      </c>
      <c r="CA1669" t="s">
        <v>245</v>
      </c>
      <c r="CC1669" t="s">
        <v>241</v>
      </c>
      <c r="CD1669">
        <v>2091</v>
      </c>
      <c r="CE1669" t="s">
        <v>1868</v>
      </c>
      <c r="CF1669" s="3">
        <v>45853</v>
      </c>
      <c r="CI1669">
        <v>1</v>
      </c>
      <c r="CJ1669">
        <v>1</v>
      </c>
      <c r="CK1669">
        <v>22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"080066504932"</f>
        <v>080066504932</v>
      </c>
      <c r="F1670" s="3">
        <v>45849</v>
      </c>
      <c r="G1670">
        <v>202604</v>
      </c>
      <c r="H1670" t="s">
        <v>75</v>
      </c>
      <c r="I1670" t="s">
        <v>76</v>
      </c>
      <c r="J1670" t="s">
        <v>77</v>
      </c>
      <c r="K1670" t="s">
        <v>78</v>
      </c>
      <c r="L1670" t="s">
        <v>79</v>
      </c>
      <c r="M1670" t="s">
        <v>80</v>
      </c>
      <c r="N1670" t="s">
        <v>1218</v>
      </c>
      <c r="O1670" t="s">
        <v>82</v>
      </c>
      <c r="P1670" t="str">
        <f>"4170048356                    "</f>
        <v xml:space="preserve">4170048356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22.6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0.3</v>
      </c>
      <c r="BK1670">
        <v>1</v>
      </c>
      <c r="BL1670">
        <v>71.2</v>
      </c>
      <c r="BM1670">
        <v>10.68</v>
      </c>
      <c r="BN1670">
        <v>81.88</v>
      </c>
      <c r="BO1670">
        <v>81.88</v>
      </c>
      <c r="BQ1670" t="s">
        <v>1219</v>
      </c>
      <c r="BR1670" t="s">
        <v>84</v>
      </c>
      <c r="BS1670" s="3">
        <v>45852</v>
      </c>
      <c r="BT1670" s="4">
        <v>0.3840277777777778</v>
      </c>
      <c r="BU1670" t="s">
        <v>2275</v>
      </c>
      <c r="BV1670" t="s">
        <v>98</v>
      </c>
      <c r="BY1670">
        <v>1350</v>
      </c>
      <c r="BZ1670" t="s">
        <v>89</v>
      </c>
      <c r="CA1670" t="s">
        <v>2223</v>
      </c>
      <c r="CC1670" t="s">
        <v>80</v>
      </c>
      <c r="CD1670">
        <v>7764</v>
      </c>
      <c r="CE1670" t="s">
        <v>158</v>
      </c>
      <c r="CF1670" s="3">
        <v>45853</v>
      </c>
      <c r="CI1670">
        <v>1</v>
      </c>
      <c r="CJ1670">
        <v>1</v>
      </c>
      <c r="CK1670">
        <v>21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"080066504983"</f>
        <v>080066504983</v>
      </c>
      <c r="F1671" s="3">
        <v>45849</v>
      </c>
      <c r="G1671">
        <v>202604</v>
      </c>
      <c r="H1671" t="s">
        <v>75</v>
      </c>
      <c r="I1671" t="s">
        <v>76</v>
      </c>
      <c r="J1671" t="s">
        <v>77</v>
      </c>
      <c r="K1671" t="s">
        <v>78</v>
      </c>
      <c r="L1671" t="s">
        <v>197</v>
      </c>
      <c r="M1671" t="s">
        <v>198</v>
      </c>
      <c r="N1671" t="s">
        <v>1192</v>
      </c>
      <c r="O1671" t="s">
        <v>82</v>
      </c>
      <c r="P1671" t="str">
        <f>"4170048315                    "</f>
        <v xml:space="preserve">4170048315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17.649999999999999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2</v>
      </c>
      <c r="BJ1671">
        <v>4.9000000000000004</v>
      </c>
      <c r="BK1671">
        <v>5</v>
      </c>
      <c r="BL1671">
        <v>55.61</v>
      </c>
      <c r="BM1671">
        <v>8.34</v>
      </c>
      <c r="BN1671">
        <v>63.95</v>
      </c>
      <c r="BO1671">
        <v>63.95</v>
      </c>
      <c r="BQ1671" t="s">
        <v>1193</v>
      </c>
      <c r="BR1671" t="s">
        <v>84</v>
      </c>
      <c r="BS1671" s="3">
        <v>45852</v>
      </c>
      <c r="BT1671" s="4">
        <v>0.36458333333333331</v>
      </c>
      <c r="BU1671" t="s">
        <v>1194</v>
      </c>
      <c r="BV1671" t="s">
        <v>98</v>
      </c>
      <c r="BY1671">
        <v>24480</v>
      </c>
      <c r="BZ1671" t="s">
        <v>89</v>
      </c>
      <c r="CA1671" t="s">
        <v>318</v>
      </c>
      <c r="CC1671" t="s">
        <v>198</v>
      </c>
      <c r="CD1671">
        <v>1428</v>
      </c>
      <c r="CE1671" t="s">
        <v>91</v>
      </c>
      <c r="CF1671" s="3">
        <v>45852</v>
      </c>
      <c r="CI1671">
        <v>1</v>
      </c>
      <c r="CJ1671">
        <v>1</v>
      </c>
      <c r="CK1671">
        <v>22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"080066504989"</f>
        <v>080066504989</v>
      </c>
      <c r="F1672" s="3">
        <v>45849</v>
      </c>
      <c r="G1672">
        <v>202604</v>
      </c>
      <c r="H1672" t="s">
        <v>75</v>
      </c>
      <c r="I1672" t="s">
        <v>76</v>
      </c>
      <c r="J1672" t="s">
        <v>77</v>
      </c>
      <c r="K1672" t="s">
        <v>78</v>
      </c>
      <c r="L1672" t="s">
        <v>92</v>
      </c>
      <c r="M1672" t="s">
        <v>93</v>
      </c>
      <c r="N1672" t="s">
        <v>334</v>
      </c>
      <c r="O1672" t="s">
        <v>82</v>
      </c>
      <c r="P1672" t="str">
        <f>"4170048376                    "</f>
        <v xml:space="preserve">4170048376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22.6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0.3</v>
      </c>
      <c r="BK1672">
        <v>1</v>
      </c>
      <c r="BL1672">
        <v>71.2</v>
      </c>
      <c r="BM1672">
        <v>10.68</v>
      </c>
      <c r="BN1672">
        <v>81.88</v>
      </c>
      <c r="BO1672">
        <v>81.88</v>
      </c>
      <c r="BQ1672" t="s">
        <v>335</v>
      </c>
      <c r="BR1672" t="s">
        <v>84</v>
      </c>
      <c r="BS1672" s="3">
        <v>45852</v>
      </c>
      <c r="BT1672" s="4">
        <v>0.39930555555555558</v>
      </c>
      <c r="BU1672" t="s">
        <v>2218</v>
      </c>
      <c r="BV1672" t="s">
        <v>98</v>
      </c>
      <c r="BY1672">
        <v>1350</v>
      </c>
      <c r="BZ1672" t="s">
        <v>89</v>
      </c>
      <c r="CA1672" t="s">
        <v>337</v>
      </c>
      <c r="CC1672" t="s">
        <v>93</v>
      </c>
      <c r="CD1672">
        <v>4052</v>
      </c>
      <c r="CE1672" t="s">
        <v>1868</v>
      </c>
      <c r="CF1672" s="3">
        <v>45853</v>
      </c>
      <c r="CI1672">
        <v>1</v>
      </c>
      <c r="CJ1672">
        <v>1</v>
      </c>
      <c r="CK1672">
        <v>21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"080066505023"</f>
        <v>080066505023</v>
      </c>
      <c r="F1673" s="3">
        <v>45849</v>
      </c>
      <c r="G1673">
        <v>202604</v>
      </c>
      <c r="H1673" t="s">
        <v>75</v>
      </c>
      <c r="I1673" t="s">
        <v>76</v>
      </c>
      <c r="J1673" t="s">
        <v>77</v>
      </c>
      <c r="K1673" t="s">
        <v>78</v>
      </c>
      <c r="L1673" t="s">
        <v>240</v>
      </c>
      <c r="M1673" t="s">
        <v>241</v>
      </c>
      <c r="N1673" t="s">
        <v>2276</v>
      </c>
      <c r="O1673" t="s">
        <v>82</v>
      </c>
      <c r="P1673" t="str">
        <f>"4170048373                    "</f>
        <v xml:space="preserve">4170048373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17.649999999999999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0.3</v>
      </c>
      <c r="BK1673">
        <v>1</v>
      </c>
      <c r="BL1673">
        <v>55.61</v>
      </c>
      <c r="BM1673">
        <v>8.34</v>
      </c>
      <c r="BN1673">
        <v>63.95</v>
      </c>
      <c r="BO1673">
        <v>63.95</v>
      </c>
      <c r="BQ1673" t="s">
        <v>2277</v>
      </c>
      <c r="BR1673" t="s">
        <v>84</v>
      </c>
      <c r="BS1673" s="3">
        <v>45852</v>
      </c>
      <c r="BT1673" s="4">
        <v>0.57986111111111116</v>
      </c>
      <c r="BU1673" t="s">
        <v>2278</v>
      </c>
      <c r="BV1673" t="s">
        <v>86</v>
      </c>
      <c r="BY1673">
        <v>1350</v>
      </c>
      <c r="BZ1673" t="s">
        <v>89</v>
      </c>
      <c r="CA1673" t="s">
        <v>617</v>
      </c>
      <c r="CC1673" t="s">
        <v>241</v>
      </c>
      <c r="CD1673">
        <v>2000</v>
      </c>
      <c r="CE1673" t="s">
        <v>1868</v>
      </c>
      <c r="CF1673" s="3">
        <v>45853</v>
      </c>
      <c r="CI1673">
        <v>1</v>
      </c>
      <c r="CJ1673">
        <v>1</v>
      </c>
      <c r="CK1673">
        <v>22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"080066505028"</f>
        <v>080066505028</v>
      </c>
      <c r="F1674" s="3">
        <v>45849</v>
      </c>
      <c r="G1674">
        <v>202604</v>
      </c>
      <c r="H1674" t="s">
        <v>75</v>
      </c>
      <c r="I1674" t="s">
        <v>76</v>
      </c>
      <c r="J1674" t="s">
        <v>77</v>
      </c>
      <c r="K1674" t="s">
        <v>78</v>
      </c>
      <c r="L1674" t="s">
        <v>168</v>
      </c>
      <c r="M1674" t="s">
        <v>169</v>
      </c>
      <c r="N1674" t="s">
        <v>206</v>
      </c>
      <c r="O1674" t="s">
        <v>82</v>
      </c>
      <c r="P1674" t="str">
        <f>"4170048358                    "</f>
        <v xml:space="preserve">4170048358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22.6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1.9</v>
      </c>
      <c r="BK1674">
        <v>2</v>
      </c>
      <c r="BL1674">
        <v>71.2</v>
      </c>
      <c r="BM1674">
        <v>10.68</v>
      </c>
      <c r="BN1674">
        <v>81.88</v>
      </c>
      <c r="BO1674">
        <v>81.88</v>
      </c>
      <c r="BQ1674" t="s">
        <v>207</v>
      </c>
      <c r="BR1674" t="s">
        <v>84</v>
      </c>
      <c r="BS1674" s="3">
        <v>45852</v>
      </c>
      <c r="BT1674" s="4">
        <v>0.37986111111111109</v>
      </c>
      <c r="BU1674" t="s">
        <v>208</v>
      </c>
      <c r="BV1674" t="s">
        <v>98</v>
      </c>
      <c r="BY1674">
        <v>9600</v>
      </c>
      <c r="BZ1674" t="s">
        <v>89</v>
      </c>
      <c r="CA1674" t="s">
        <v>196</v>
      </c>
      <c r="CC1674" t="s">
        <v>169</v>
      </c>
      <c r="CD1674">
        <v>6001</v>
      </c>
      <c r="CE1674" t="s">
        <v>117</v>
      </c>
      <c r="CF1674" s="3">
        <v>45852</v>
      </c>
      <c r="CI1674">
        <v>1</v>
      </c>
      <c r="CJ1674">
        <v>1</v>
      </c>
      <c r="CK1674">
        <v>21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"080066505079"</f>
        <v>080066505079</v>
      </c>
      <c r="F1675" s="3">
        <v>45849</v>
      </c>
      <c r="G1675">
        <v>202604</v>
      </c>
      <c r="H1675" t="s">
        <v>75</v>
      </c>
      <c r="I1675" t="s">
        <v>76</v>
      </c>
      <c r="J1675" t="s">
        <v>77</v>
      </c>
      <c r="K1675" t="s">
        <v>78</v>
      </c>
      <c r="L1675" t="s">
        <v>79</v>
      </c>
      <c r="M1675" t="s">
        <v>80</v>
      </c>
      <c r="N1675" t="s">
        <v>1996</v>
      </c>
      <c r="O1675" t="s">
        <v>82</v>
      </c>
      <c r="P1675" t="str">
        <f>"4170048396                    "</f>
        <v xml:space="preserve">4170048396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28.24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2.5</v>
      </c>
      <c r="BK1675">
        <v>2.5</v>
      </c>
      <c r="BL1675">
        <v>88.98</v>
      </c>
      <c r="BM1675">
        <v>13.35</v>
      </c>
      <c r="BN1675">
        <v>102.33</v>
      </c>
      <c r="BO1675">
        <v>102.33</v>
      </c>
      <c r="BQ1675" t="s">
        <v>1997</v>
      </c>
      <c r="BR1675" t="s">
        <v>84</v>
      </c>
      <c r="BS1675" s="3">
        <v>45852</v>
      </c>
      <c r="BT1675" s="4">
        <v>0.42499999999999999</v>
      </c>
      <c r="BU1675" t="s">
        <v>2279</v>
      </c>
      <c r="BV1675" t="s">
        <v>98</v>
      </c>
      <c r="BY1675">
        <v>12600</v>
      </c>
      <c r="BZ1675" t="s">
        <v>89</v>
      </c>
      <c r="CA1675" t="s">
        <v>658</v>
      </c>
      <c r="CC1675" t="s">
        <v>80</v>
      </c>
      <c r="CD1675">
        <v>7405</v>
      </c>
      <c r="CE1675" t="s">
        <v>91</v>
      </c>
      <c r="CF1675" s="3">
        <v>45853</v>
      </c>
      <c r="CI1675">
        <v>1</v>
      </c>
      <c r="CJ1675">
        <v>1</v>
      </c>
      <c r="CK1675">
        <v>21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"080066505088"</f>
        <v>080066505088</v>
      </c>
      <c r="F1676" s="3">
        <v>45849</v>
      </c>
      <c r="G1676">
        <v>202604</v>
      </c>
      <c r="H1676" t="s">
        <v>75</v>
      </c>
      <c r="I1676" t="s">
        <v>76</v>
      </c>
      <c r="J1676" t="s">
        <v>77</v>
      </c>
      <c r="K1676" t="s">
        <v>78</v>
      </c>
      <c r="L1676" t="s">
        <v>240</v>
      </c>
      <c r="M1676" t="s">
        <v>241</v>
      </c>
      <c r="N1676" t="s">
        <v>242</v>
      </c>
      <c r="O1676" t="s">
        <v>82</v>
      </c>
      <c r="P1676" t="str">
        <f>"4170048365                    "</f>
        <v xml:space="preserve">4170048365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17.649999999999999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0.3</v>
      </c>
      <c r="BK1676">
        <v>1</v>
      </c>
      <c r="BL1676">
        <v>55.61</v>
      </c>
      <c r="BM1676">
        <v>8.34</v>
      </c>
      <c r="BN1676">
        <v>63.95</v>
      </c>
      <c r="BO1676">
        <v>63.95</v>
      </c>
      <c r="BQ1676" t="s">
        <v>243</v>
      </c>
      <c r="BR1676" t="s">
        <v>84</v>
      </c>
      <c r="BS1676" s="3">
        <v>45852</v>
      </c>
      <c r="BT1676" s="4">
        <v>0.3611111111111111</v>
      </c>
      <c r="BU1676" t="s">
        <v>244</v>
      </c>
      <c r="BV1676" t="s">
        <v>98</v>
      </c>
      <c r="BY1676">
        <v>1350</v>
      </c>
      <c r="BZ1676" t="s">
        <v>89</v>
      </c>
      <c r="CA1676" t="s">
        <v>245</v>
      </c>
      <c r="CC1676" t="s">
        <v>241</v>
      </c>
      <c r="CD1676">
        <v>2091</v>
      </c>
      <c r="CE1676" t="s">
        <v>1868</v>
      </c>
      <c r="CF1676" s="3">
        <v>45853</v>
      </c>
      <c r="CI1676">
        <v>1</v>
      </c>
      <c r="CJ1676">
        <v>1</v>
      </c>
      <c r="CK1676">
        <v>22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"080066505129"</f>
        <v>080066505129</v>
      </c>
      <c r="F1677" s="3">
        <v>45849</v>
      </c>
      <c r="G1677">
        <v>202604</v>
      </c>
      <c r="H1677" t="s">
        <v>75</v>
      </c>
      <c r="I1677" t="s">
        <v>76</v>
      </c>
      <c r="J1677" t="s">
        <v>77</v>
      </c>
      <c r="K1677" t="s">
        <v>78</v>
      </c>
      <c r="L1677" t="s">
        <v>295</v>
      </c>
      <c r="M1677" t="s">
        <v>296</v>
      </c>
      <c r="N1677" t="s">
        <v>2280</v>
      </c>
      <c r="O1677" t="s">
        <v>311</v>
      </c>
      <c r="P1677" t="str">
        <f>"4170048344                    "</f>
        <v xml:space="preserve">4170048344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19.64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9</v>
      </c>
      <c r="BJ1677">
        <v>4.5</v>
      </c>
      <c r="BK1677">
        <v>9</v>
      </c>
      <c r="BL1677">
        <v>61.87</v>
      </c>
      <c r="BM1677">
        <v>9.2799999999999994</v>
      </c>
      <c r="BN1677">
        <v>71.150000000000006</v>
      </c>
      <c r="BO1677">
        <v>71.150000000000006</v>
      </c>
      <c r="BQ1677" t="s">
        <v>2281</v>
      </c>
      <c r="BR1677" t="s">
        <v>84</v>
      </c>
      <c r="BS1677" s="3">
        <v>45852</v>
      </c>
      <c r="BT1677" s="4">
        <v>0.52916666666666667</v>
      </c>
      <c r="BU1677" t="s">
        <v>2282</v>
      </c>
      <c r="BV1677" t="s">
        <v>98</v>
      </c>
      <c r="BY1677">
        <v>22620</v>
      </c>
      <c r="BZ1677" t="s">
        <v>99</v>
      </c>
      <c r="CA1677" t="s">
        <v>2212</v>
      </c>
      <c r="CC1677" t="s">
        <v>296</v>
      </c>
      <c r="CD1677">
        <v>1459</v>
      </c>
      <c r="CE1677" t="s">
        <v>117</v>
      </c>
      <c r="CF1677" s="3">
        <v>45853</v>
      </c>
      <c r="CI1677">
        <v>1</v>
      </c>
      <c r="CJ1677">
        <v>1</v>
      </c>
      <c r="CK1677">
        <v>32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"080066505150"</f>
        <v>080066505150</v>
      </c>
      <c r="F1678" s="3">
        <v>45849</v>
      </c>
      <c r="G1678">
        <v>202604</v>
      </c>
      <c r="H1678" t="s">
        <v>75</v>
      </c>
      <c r="I1678" t="s">
        <v>76</v>
      </c>
      <c r="J1678" t="s">
        <v>77</v>
      </c>
      <c r="K1678" t="s">
        <v>78</v>
      </c>
      <c r="L1678" t="s">
        <v>75</v>
      </c>
      <c r="M1678" t="s">
        <v>76</v>
      </c>
      <c r="N1678" t="s">
        <v>562</v>
      </c>
      <c r="O1678" t="s">
        <v>82</v>
      </c>
      <c r="P1678" t="str">
        <f>"4170048370                    "</f>
        <v xml:space="preserve">4170048370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17.649999999999999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0.3</v>
      </c>
      <c r="BK1678">
        <v>1</v>
      </c>
      <c r="BL1678">
        <v>55.61</v>
      </c>
      <c r="BM1678">
        <v>8.34</v>
      </c>
      <c r="BN1678">
        <v>63.95</v>
      </c>
      <c r="BO1678">
        <v>63.95</v>
      </c>
      <c r="BQ1678" t="s">
        <v>563</v>
      </c>
      <c r="BR1678" t="s">
        <v>84</v>
      </c>
      <c r="BS1678" s="3">
        <v>45852</v>
      </c>
      <c r="BT1678" s="4">
        <v>0.35902777777777778</v>
      </c>
      <c r="BU1678" t="s">
        <v>2155</v>
      </c>
      <c r="BV1678" t="s">
        <v>98</v>
      </c>
      <c r="BY1678">
        <v>1350</v>
      </c>
      <c r="BZ1678" t="s">
        <v>89</v>
      </c>
      <c r="CA1678" t="s">
        <v>565</v>
      </c>
      <c r="CC1678" t="s">
        <v>76</v>
      </c>
      <c r="CD1678">
        <v>1619</v>
      </c>
      <c r="CE1678" t="s">
        <v>1868</v>
      </c>
      <c r="CF1678" s="3">
        <v>45852</v>
      </c>
      <c r="CI1678">
        <v>1</v>
      </c>
      <c r="CJ1678">
        <v>1</v>
      </c>
      <c r="CK1678">
        <v>22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"080066505192"</f>
        <v>080066505192</v>
      </c>
      <c r="F1679" s="3">
        <v>45849</v>
      </c>
      <c r="G1679">
        <v>202604</v>
      </c>
      <c r="H1679" t="s">
        <v>75</v>
      </c>
      <c r="I1679" t="s">
        <v>76</v>
      </c>
      <c r="J1679" t="s">
        <v>77</v>
      </c>
      <c r="K1679" t="s">
        <v>78</v>
      </c>
      <c r="L1679" t="s">
        <v>146</v>
      </c>
      <c r="M1679" t="s">
        <v>146</v>
      </c>
      <c r="N1679" t="s">
        <v>986</v>
      </c>
      <c r="O1679" t="s">
        <v>82</v>
      </c>
      <c r="P1679" t="str">
        <f>"4170048380                    "</f>
        <v xml:space="preserve">4170048380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43.78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1.7</v>
      </c>
      <c r="BK1679">
        <v>2</v>
      </c>
      <c r="BL1679">
        <v>137.94</v>
      </c>
      <c r="BM1679">
        <v>20.69</v>
      </c>
      <c r="BN1679">
        <v>158.63</v>
      </c>
      <c r="BO1679">
        <v>158.63</v>
      </c>
      <c r="BQ1679" t="s">
        <v>987</v>
      </c>
      <c r="BR1679" t="s">
        <v>84</v>
      </c>
      <c r="BS1679" s="3">
        <v>45852</v>
      </c>
      <c r="BT1679" s="4">
        <v>0.48888888888888887</v>
      </c>
      <c r="BU1679" t="s">
        <v>1115</v>
      </c>
      <c r="BV1679" t="s">
        <v>98</v>
      </c>
      <c r="BY1679">
        <v>8512</v>
      </c>
      <c r="BZ1679" t="s">
        <v>89</v>
      </c>
      <c r="CA1679" t="s">
        <v>150</v>
      </c>
      <c r="CC1679" t="s">
        <v>146</v>
      </c>
      <c r="CD1679">
        <v>7646</v>
      </c>
      <c r="CE1679" t="s">
        <v>117</v>
      </c>
      <c r="CF1679" s="3">
        <v>45853</v>
      </c>
      <c r="CI1679">
        <v>1</v>
      </c>
      <c r="CJ1679">
        <v>1</v>
      </c>
      <c r="CK1679">
        <v>23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"080066505264"</f>
        <v>080066505264</v>
      </c>
      <c r="F1680" s="3">
        <v>45849</v>
      </c>
      <c r="G1680">
        <v>202604</v>
      </c>
      <c r="H1680" t="s">
        <v>75</v>
      </c>
      <c r="I1680" t="s">
        <v>76</v>
      </c>
      <c r="J1680" t="s">
        <v>77</v>
      </c>
      <c r="K1680" t="s">
        <v>78</v>
      </c>
      <c r="L1680" t="s">
        <v>554</v>
      </c>
      <c r="M1680" t="s">
        <v>555</v>
      </c>
      <c r="N1680" t="s">
        <v>556</v>
      </c>
      <c r="O1680" t="s">
        <v>82</v>
      </c>
      <c r="P1680" t="str">
        <f>"4170048349                    "</f>
        <v xml:space="preserve">4170048349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39.53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3.4</v>
      </c>
      <c r="BK1680">
        <v>3.5</v>
      </c>
      <c r="BL1680">
        <v>124.55</v>
      </c>
      <c r="BM1680">
        <v>18.68</v>
      </c>
      <c r="BN1680">
        <v>143.22999999999999</v>
      </c>
      <c r="BO1680">
        <v>143.22999999999999</v>
      </c>
      <c r="BQ1680" t="s">
        <v>557</v>
      </c>
      <c r="BR1680" t="s">
        <v>84</v>
      </c>
      <c r="BS1680" s="3">
        <v>45852</v>
      </c>
      <c r="BT1680" s="4">
        <v>0.34791666666666665</v>
      </c>
      <c r="BU1680" t="s">
        <v>558</v>
      </c>
      <c r="BV1680" t="s">
        <v>98</v>
      </c>
      <c r="BY1680">
        <v>16965</v>
      </c>
      <c r="BZ1680" t="s">
        <v>89</v>
      </c>
      <c r="CA1680" t="s">
        <v>559</v>
      </c>
      <c r="CC1680" t="s">
        <v>555</v>
      </c>
      <c r="CD1680" s="5" t="s">
        <v>560</v>
      </c>
      <c r="CE1680" t="s">
        <v>117</v>
      </c>
      <c r="CF1680" s="3">
        <v>45852</v>
      </c>
      <c r="CI1680">
        <v>1</v>
      </c>
      <c r="CJ1680">
        <v>1</v>
      </c>
      <c r="CK1680">
        <v>21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"080066505287"</f>
        <v>080066505287</v>
      </c>
      <c r="F1681" s="3">
        <v>45849</v>
      </c>
      <c r="G1681">
        <v>202604</v>
      </c>
      <c r="H1681" t="s">
        <v>75</v>
      </c>
      <c r="I1681" t="s">
        <v>76</v>
      </c>
      <c r="J1681" t="s">
        <v>77</v>
      </c>
      <c r="K1681" t="s">
        <v>78</v>
      </c>
      <c r="L1681" t="s">
        <v>128</v>
      </c>
      <c r="M1681" t="s">
        <v>129</v>
      </c>
      <c r="N1681" t="s">
        <v>2038</v>
      </c>
      <c r="O1681" t="s">
        <v>82</v>
      </c>
      <c r="P1681" t="str">
        <f>"4170048352                    "</f>
        <v xml:space="preserve">4170048352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43.78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0.3</v>
      </c>
      <c r="BK1681">
        <v>1</v>
      </c>
      <c r="BL1681">
        <v>137.94</v>
      </c>
      <c r="BM1681">
        <v>20.69</v>
      </c>
      <c r="BN1681">
        <v>158.63</v>
      </c>
      <c r="BO1681">
        <v>158.63</v>
      </c>
      <c r="BQ1681" t="s">
        <v>2039</v>
      </c>
      <c r="BR1681" t="s">
        <v>84</v>
      </c>
      <c r="BS1681" s="3">
        <v>45852</v>
      </c>
      <c r="BT1681" s="4">
        <v>0.42916666666666664</v>
      </c>
      <c r="BU1681" t="s">
        <v>2283</v>
      </c>
      <c r="BV1681" t="s">
        <v>98</v>
      </c>
      <c r="BY1681">
        <v>1350</v>
      </c>
      <c r="BZ1681" t="s">
        <v>89</v>
      </c>
      <c r="CA1681" t="s">
        <v>2284</v>
      </c>
      <c r="CC1681" t="s">
        <v>129</v>
      </c>
      <c r="CD1681" s="5" t="s">
        <v>134</v>
      </c>
      <c r="CE1681" t="s">
        <v>1868</v>
      </c>
      <c r="CF1681" s="3">
        <v>45853</v>
      </c>
      <c r="CI1681">
        <v>1</v>
      </c>
      <c r="CJ1681">
        <v>1</v>
      </c>
      <c r="CK1681">
        <v>23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"080066505330"</f>
        <v>080066505330</v>
      </c>
      <c r="F1682" s="3">
        <v>45849</v>
      </c>
      <c r="G1682">
        <v>202604</v>
      </c>
      <c r="H1682" t="s">
        <v>75</v>
      </c>
      <c r="I1682" t="s">
        <v>76</v>
      </c>
      <c r="J1682" t="s">
        <v>77</v>
      </c>
      <c r="K1682" t="s">
        <v>78</v>
      </c>
      <c r="L1682" t="s">
        <v>221</v>
      </c>
      <c r="M1682" t="s">
        <v>222</v>
      </c>
      <c r="N1682" t="s">
        <v>223</v>
      </c>
      <c r="O1682" t="s">
        <v>82</v>
      </c>
      <c r="P1682" t="str">
        <f>"4170048398                    "</f>
        <v xml:space="preserve">4170048398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43.78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</v>
      </c>
      <c r="BJ1682">
        <v>1.9</v>
      </c>
      <c r="BK1682">
        <v>2</v>
      </c>
      <c r="BL1682">
        <v>137.94</v>
      </c>
      <c r="BM1682">
        <v>20.69</v>
      </c>
      <c r="BN1682">
        <v>158.63</v>
      </c>
      <c r="BO1682">
        <v>158.63</v>
      </c>
      <c r="BQ1682" t="s">
        <v>224</v>
      </c>
      <c r="BR1682" t="s">
        <v>84</v>
      </c>
      <c r="BS1682" s="3">
        <v>45852</v>
      </c>
      <c r="BT1682" s="4">
        <v>0.33333333333333331</v>
      </c>
      <c r="BU1682" t="s">
        <v>1494</v>
      </c>
      <c r="BV1682" t="s">
        <v>98</v>
      </c>
      <c r="BY1682">
        <v>9600</v>
      </c>
      <c r="BZ1682" t="s">
        <v>89</v>
      </c>
      <c r="CC1682" t="s">
        <v>222</v>
      </c>
      <c r="CD1682">
        <v>2740</v>
      </c>
      <c r="CE1682" t="s">
        <v>117</v>
      </c>
      <c r="CF1682" s="3">
        <v>45853</v>
      </c>
      <c r="CI1682">
        <v>1</v>
      </c>
      <c r="CJ1682">
        <v>1</v>
      </c>
      <c r="CK1682">
        <v>23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"080066505405"</f>
        <v>080066505405</v>
      </c>
      <c r="F1683" s="3">
        <v>45849</v>
      </c>
      <c r="G1683">
        <v>202604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2285</v>
      </c>
      <c r="O1683" t="s">
        <v>311</v>
      </c>
      <c r="P1683" t="str">
        <f>"4170047664                    "</f>
        <v xml:space="preserve">4170047664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25.58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12</v>
      </c>
      <c r="BJ1683">
        <v>9.1</v>
      </c>
      <c r="BK1683">
        <v>12</v>
      </c>
      <c r="BL1683">
        <v>80.59</v>
      </c>
      <c r="BM1683">
        <v>12.09</v>
      </c>
      <c r="BN1683">
        <v>92.68</v>
      </c>
      <c r="BO1683">
        <v>92.68</v>
      </c>
      <c r="BQ1683" t="s">
        <v>2286</v>
      </c>
      <c r="BR1683" t="s">
        <v>84</v>
      </c>
      <c r="BS1683" s="3">
        <v>45852</v>
      </c>
      <c r="BT1683" s="4">
        <v>0.59305555555555556</v>
      </c>
      <c r="BU1683" t="s">
        <v>2287</v>
      </c>
      <c r="BV1683" t="s">
        <v>98</v>
      </c>
      <c r="BY1683">
        <v>45375</v>
      </c>
      <c r="BZ1683" t="s">
        <v>99</v>
      </c>
      <c r="CA1683" t="s">
        <v>769</v>
      </c>
      <c r="CC1683" t="s">
        <v>76</v>
      </c>
      <c r="CD1683">
        <v>1620</v>
      </c>
      <c r="CE1683" t="s">
        <v>1377</v>
      </c>
      <c r="CF1683" s="3">
        <v>45853</v>
      </c>
      <c r="CI1683">
        <v>1</v>
      </c>
      <c r="CJ1683">
        <v>1</v>
      </c>
      <c r="CK1683">
        <v>32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"080066505437"</f>
        <v>080066505437</v>
      </c>
      <c r="F1684" s="3">
        <v>45849</v>
      </c>
      <c r="G1684">
        <v>202604</v>
      </c>
      <c r="H1684" t="s">
        <v>75</v>
      </c>
      <c r="I1684" t="s">
        <v>76</v>
      </c>
      <c r="J1684" t="s">
        <v>77</v>
      </c>
      <c r="K1684" t="s">
        <v>78</v>
      </c>
      <c r="L1684" t="s">
        <v>79</v>
      </c>
      <c r="M1684" t="s">
        <v>80</v>
      </c>
      <c r="N1684" t="s">
        <v>1561</v>
      </c>
      <c r="O1684" t="s">
        <v>82</v>
      </c>
      <c r="P1684" t="str">
        <f>"4170048387                    "</f>
        <v xml:space="preserve">4170048387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33.89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3</v>
      </c>
      <c r="BJ1684">
        <v>1.7</v>
      </c>
      <c r="BK1684">
        <v>3</v>
      </c>
      <c r="BL1684">
        <v>106.77</v>
      </c>
      <c r="BM1684">
        <v>16.02</v>
      </c>
      <c r="BN1684">
        <v>122.79</v>
      </c>
      <c r="BO1684">
        <v>122.79</v>
      </c>
      <c r="BQ1684" t="s">
        <v>1562</v>
      </c>
      <c r="BR1684" t="s">
        <v>84</v>
      </c>
      <c r="BS1684" s="3">
        <v>45852</v>
      </c>
      <c r="BT1684" s="4">
        <v>0.51249999999999996</v>
      </c>
      <c r="BU1684" t="s">
        <v>2288</v>
      </c>
      <c r="BV1684" t="s">
        <v>98</v>
      </c>
      <c r="BY1684">
        <v>8512</v>
      </c>
      <c r="BZ1684" t="s">
        <v>89</v>
      </c>
      <c r="CA1684" t="s">
        <v>2289</v>
      </c>
      <c r="CC1684" t="s">
        <v>80</v>
      </c>
      <c r="CD1684">
        <v>7975</v>
      </c>
      <c r="CE1684" t="s">
        <v>117</v>
      </c>
      <c r="CF1684" s="3">
        <v>45853</v>
      </c>
      <c r="CI1684">
        <v>1</v>
      </c>
      <c r="CJ1684">
        <v>1</v>
      </c>
      <c r="CK1684">
        <v>21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"080066505488"</f>
        <v>080066505488</v>
      </c>
      <c r="F1685" s="3">
        <v>45849</v>
      </c>
      <c r="G1685">
        <v>202604</v>
      </c>
      <c r="H1685" t="s">
        <v>75</v>
      </c>
      <c r="I1685" t="s">
        <v>76</v>
      </c>
      <c r="J1685" t="s">
        <v>77</v>
      </c>
      <c r="K1685" t="s">
        <v>78</v>
      </c>
      <c r="L1685" t="s">
        <v>295</v>
      </c>
      <c r="M1685" t="s">
        <v>296</v>
      </c>
      <c r="N1685" t="s">
        <v>2280</v>
      </c>
      <c r="O1685" t="s">
        <v>95</v>
      </c>
      <c r="P1685" t="str">
        <f>"4170048343                    "</f>
        <v xml:space="preserve">4170048343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48.51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2</v>
      </c>
      <c r="BI1685">
        <v>30</v>
      </c>
      <c r="BJ1685">
        <v>13.6</v>
      </c>
      <c r="BK1685">
        <v>30</v>
      </c>
      <c r="BL1685">
        <v>158.69999999999999</v>
      </c>
      <c r="BM1685">
        <v>23.81</v>
      </c>
      <c r="BN1685">
        <v>182.51</v>
      </c>
      <c r="BO1685">
        <v>182.51</v>
      </c>
      <c r="BQ1685" t="s">
        <v>2281</v>
      </c>
      <c r="BR1685" t="s">
        <v>84</v>
      </c>
      <c r="BS1685" s="3">
        <v>45852</v>
      </c>
      <c r="BT1685" s="4">
        <v>0.52986111111111112</v>
      </c>
      <c r="BU1685" t="s">
        <v>2282</v>
      </c>
      <c r="BV1685" t="s">
        <v>98</v>
      </c>
      <c r="BY1685">
        <v>67872</v>
      </c>
      <c r="BZ1685" t="s">
        <v>99</v>
      </c>
      <c r="CA1685" t="s">
        <v>2212</v>
      </c>
      <c r="CC1685" t="s">
        <v>296</v>
      </c>
      <c r="CD1685">
        <v>1459</v>
      </c>
      <c r="CE1685" t="s">
        <v>91</v>
      </c>
      <c r="CF1685" s="3">
        <v>45853</v>
      </c>
      <c r="CI1685">
        <v>1</v>
      </c>
      <c r="CJ1685">
        <v>1</v>
      </c>
      <c r="CK1685">
        <v>42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"080066505626"</f>
        <v>080066505626</v>
      </c>
      <c r="F1686" s="3">
        <v>45849</v>
      </c>
      <c r="G1686">
        <v>202604</v>
      </c>
      <c r="H1686" t="s">
        <v>75</v>
      </c>
      <c r="I1686" t="s">
        <v>76</v>
      </c>
      <c r="J1686" t="s">
        <v>77</v>
      </c>
      <c r="K1686" t="s">
        <v>78</v>
      </c>
      <c r="L1686" t="s">
        <v>79</v>
      </c>
      <c r="M1686" t="s">
        <v>80</v>
      </c>
      <c r="N1686" t="s">
        <v>141</v>
      </c>
      <c r="O1686" t="s">
        <v>82</v>
      </c>
      <c r="P1686" t="str">
        <f>"4170048392                    "</f>
        <v xml:space="preserve">4170048392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22.6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0.3</v>
      </c>
      <c r="BK1686">
        <v>1</v>
      </c>
      <c r="BL1686">
        <v>71.2</v>
      </c>
      <c r="BM1686">
        <v>10.68</v>
      </c>
      <c r="BN1686">
        <v>81.88</v>
      </c>
      <c r="BO1686">
        <v>81.88</v>
      </c>
      <c r="BQ1686" t="s">
        <v>142</v>
      </c>
      <c r="BR1686" t="s">
        <v>84</v>
      </c>
      <c r="BS1686" s="3">
        <v>45852</v>
      </c>
      <c r="BT1686" s="4">
        <v>0.38194444444444442</v>
      </c>
      <c r="BU1686" t="s">
        <v>356</v>
      </c>
      <c r="BV1686" t="s">
        <v>98</v>
      </c>
      <c r="BY1686">
        <v>1350</v>
      </c>
      <c r="BZ1686" t="s">
        <v>89</v>
      </c>
      <c r="CA1686" t="s">
        <v>144</v>
      </c>
      <c r="CC1686" t="s">
        <v>80</v>
      </c>
      <c r="CD1686">
        <v>7441</v>
      </c>
      <c r="CE1686" t="s">
        <v>1868</v>
      </c>
      <c r="CF1686" s="3">
        <v>45853</v>
      </c>
      <c r="CI1686">
        <v>1</v>
      </c>
      <c r="CJ1686">
        <v>1</v>
      </c>
      <c r="CK1686">
        <v>21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"080066505657"</f>
        <v>080066505657</v>
      </c>
      <c r="F1687" s="3">
        <v>45849</v>
      </c>
      <c r="G1687">
        <v>202604</v>
      </c>
      <c r="H1687" t="s">
        <v>75</v>
      </c>
      <c r="I1687" t="s">
        <v>76</v>
      </c>
      <c r="J1687" t="s">
        <v>77</v>
      </c>
      <c r="K1687" t="s">
        <v>78</v>
      </c>
      <c r="L1687" t="s">
        <v>151</v>
      </c>
      <c r="M1687" t="s">
        <v>152</v>
      </c>
      <c r="N1687" t="s">
        <v>2290</v>
      </c>
      <c r="O1687" t="s">
        <v>82</v>
      </c>
      <c r="P1687" t="str">
        <f>"4170048394                    "</f>
        <v xml:space="preserve">4170048394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22.6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</v>
      </c>
      <c r="BK1687">
        <v>1</v>
      </c>
      <c r="BL1687">
        <v>71.2</v>
      </c>
      <c r="BM1687">
        <v>10.68</v>
      </c>
      <c r="BN1687">
        <v>81.88</v>
      </c>
      <c r="BO1687">
        <v>81.88</v>
      </c>
      <c r="BQ1687" t="s">
        <v>2291</v>
      </c>
      <c r="BR1687" t="s">
        <v>84</v>
      </c>
      <c r="BS1687" s="3">
        <v>45852</v>
      </c>
      <c r="BT1687" s="4">
        <v>0.3972222222222222</v>
      </c>
      <c r="BU1687" t="s">
        <v>2292</v>
      </c>
      <c r="BV1687" t="s">
        <v>98</v>
      </c>
      <c r="BY1687">
        <v>45</v>
      </c>
      <c r="BZ1687" t="s">
        <v>89</v>
      </c>
      <c r="CA1687" t="s">
        <v>388</v>
      </c>
      <c r="CC1687" t="s">
        <v>152</v>
      </c>
      <c r="CD1687" s="5" t="s">
        <v>389</v>
      </c>
      <c r="CE1687" t="s">
        <v>1868</v>
      </c>
      <c r="CF1687" s="3">
        <v>45852</v>
      </c>
      <c r="CI1687">
        <v>1</v>
      </c>
      <c r="CJ1687">
        <v>1</v>
      </c>
      <c r="CK1687">
        <v>21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"080066505727"</f>
        <v>080066505727</v>
      </c>
      <c r="F1688" s="3">
        <v>45849</v>
      </c>
      <c r="G1688">
        <v>202604</v>
      </c>
      <c r="H1688" t="s">
        <v>75</v>
      </c>
      <c r="I1688" t="s">
        <v>76</v>
      </c>
      <c r="J1688" t="s">
        <v>77</v>
      </c>
      <c r="K1688" t="s">
        <v>78</v>
      </c>
      <c r="L1688" t="s">
        <v>102</v>
      </c>
      <c r="M1688" t="s">
        <v>103</v>
      </c>
      <c r="N1688" t="s">
        <v>2293</v>
      </c>
      <c r="O1688" t="s">
        <v>82</v>
      </c>
      <c r="P1688" t="str">
        <f>"4170048125                    "</f>
        <v xml:space="preserve">4170048125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31.78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0.3</v>
      </c>
      <c r="BK1688">
        <v>1</v>
      </c>
      <c r="BL1688">
        <v>100.13</v>
      </c>
      <c r="BM1688">
        <v>15.02</v>
      </c>
      <c r="BN1688">
        <v>115.15</v>
      </c>
      <c r="BO1688">
        <v>115.15</v>
      </c>
      <c r="BQ1688" t="s">
        <v>2294</v>
      </c>
      <c r="BR1688" t="s">
        <v>84</v>
      </c>
      <c r="BS1688" s="3">
        <v>45852</v>
      </c>
      <c r="BT1688" s="4">
        <v>0.42222222222222222</v>
      </c>
      <c r="BU1688" t="s">
        <v>2295</v>
      </c>
      <c r="BV1688" t="s">
        <v>98</v>
      </c>
      <c r="BY1688">
        <v>1350</v>
      </c>
      <c r="BZ1688" t="s">
        <v>89</v>
      </c>
      <c r="CA1688" t="s">
        <v>2296</v>
      </c>
      <c r="CC1688" t="s">
        <v>103</v>
      </c>
      <c r="CD1688">
        <v>1739</v>
      </c>
      <c r="CE1688" t="s">
        <v>1868</v>
      </c>
      <c r="CF1688" s="3">
        <v>45852</v>
      </c>
      <c r="CI1688">
        <v>1</v>
      </c>
      <c r="CJ1688">
        <v>1</v>
      </c>
      <c r="CK1688">
        <v>24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"080066505782"</f>
        <v>080066505782</v>
      </c>
      <c r="F1689" s="3">
        <v>45849</v>
      </c>
      <c r="G1689">
        <v>202604</v>
      </c>
      <c r="H1689" t="s">
        <v>75</v>
      </c>
      <c r="I1689" t="s">
        <v>76</v>
      </c>
      <c r="J1689" t="s">
        <v>77</v>
      </c>
      <c r="K1689" t="s">
        <v>78</v>
      </c>
      <c r="L1689" t="s">
        <v>79</v>
      </c>
      <c r="M1689" t="s">
        <v>80</v>
      </c>
      <c r="N1689" t="s">
        <v>931</v>
      </c>
      <c r="O1689" t="s">
        <v>82</v>
      </c>
      <c r="P1689" t="str">
        <f>"4170047553                    "</f>
        <v xml:space="preserve">4170047553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22.6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0.3</v>
      </c>
      <c r="BK1689">
        <v>1</v>
      </c>
      <c r="BL1689">
        <v>71.2</v>
      </c>
      <c r="BM1689">
        <v>10.68</v>
      </c>
      <c r="BN1689">
        <v>81.88</v>
      </c>
      <c r="BO1689">
        <v>81.88</v>
      </c>
      <c r="BQ1689" t="s">
        <v>932</v>
      </c>
      <c r="BR1689" t="s">
        <v>84</v>
      </c>
      <c r="BS1689" s="3">
        <v>45852</v>
      </c>
      <c r="BT1689" s="4">
        <v>0.3972222222222222</v>
      </c>
      <c r="BU1689" t="s">
        <v>933</v>
      </c>
      <c r="BV1689" t="s">
        <v>98</v>
      </c>
      <c r="BY1689">
        <v>1350</v>
      </c>
      <c r="BZ1689" t="s">
        <v>89</v>
      </c>
      <c r="CA1689" t="s">
        <v>934</v>
      </c>
      <c r="CC1689" t="s">
        <v>80</v>
      </c>
      <c r="CD1689">
        <v>7535</v>
      </c>
      <c r="CE1689" t="s">
        <v>1868</v>
      </c>
      <c r="CF1689" s="3">
        <v>45853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"080066505815"</f>
        <v>080066505815</v>
      </c>
      <c r="F1690" s="3">
        <v>45849</v>
      </c>
      <c r="G1690">
        <v>202604</v>
      </c>
      <c r="H1690" t="s">
        <v>75</v>
      </c>
      <c r="I1690" t="s">
        <v>76</v>
      </c>
      <c r="J1690" t="s">
        <v>77</v>
      </c>
      <c r="K1690" t="s">
        <v>78</v>
      </c>
      <c r="L1690" t="s">
        <v>151</v>
      </c>
      <c r="M1690" t="s">
        <v>152</v>
      </c>
      <c r="N1690" t="s">
        <v>1568</v>
      </c>
      <c r="O1690" t="s">
        <v>82</v>
      </c>
      <c r="P1690" t="str">
        <f>"4170047871                    "</f>
        <v xml:space="preserve">4170047871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22.6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71.2</v>
      </c>
      <c r="BM1690">
        <v>10.68</v>
      </c>
      <c r="BN1690">
        <v>81.88</v>
      </c>
      <c r="BO1690">
        <v>81.88</v>
      </c>
      <c r="BQ1690" t="s">
        <v>1569</v>
      </c>
      <c r="BR1690" t="s">
        <v>84</v>
      </c>
      <c r="BS1690" s="3">
        <v>45852</v>
      </c>
      <c r="BT1690" s="4">
        <v>0.3125</v>
      </c>
      <c r="BU1690" t="s">
        <v>2297</v>
      </c>
      <c r="BV1690" t="s">
        <v>98</v>
      </c>
      <c r="BY1690">
        <v>1200</v>
      </c>
      <c r="BZ1690" t="s">
        <v>89</v>
      </c>
      <c r="CA1690" t="s">
        <v>906</v>
      </c>
      <c r="CC1690" t="s">
        <v>152</v>
      </c>
      <c r="CD1690" s="5" t="s">
        <v>907</v>
      </c>
      <c r="CE1690" t="s">
        <v>239</v>
      </c>
      <c r="CF1690" s="3">
        <v>45852</v>
      </c>
      <c r="CI1690">
        <v>1</v>
      </c>
      <c r="CJ1690">
        <v>1</v>
      </c>
      <c r="CK1690">
        <v>21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"080066505834"</f>
        <v>080066505834</v>
      </c>
      <c r="F1691" s="3">
        <v>45849</v>
      </c>
      <c r="G1691">
        <v>202604</v>
      </c>
      <c r="H1691" t="s">
        <v>75</v>
      </c>
      <c r="I1691" t="s">
        <v>76</v>
      </c>
      <c r="J1691" t="s">
        <v>77</v>
      </c>
      <c r="K1691" t="s">
        <v>78</v>
      </c>
      <c r="L1691" t="s">
        <v>1768</v>
      </c>
      <c r="M1691" t="s">
        <v>1769</v>
      </c>
      <c r="N1691" t="s">
        <v>1770</v>
      </c>
      <c r="O1691" t="s">
        <v>82</v>
      </c>
      <c r="P1691" t="str">
        <f>"4170048395                    "</f>
        <v xml:space="preserve">4170048395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43.78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0.3</v>
      </c>
      <c r="BK1691">
        <v>1</v>
      </c>
      <c r="BL1691">
        <v>137.94</v>
      </c>
      <c r="BM1691">
        <v>20.69</v>
      </c>
      <c r="BN1691">
        <v>158.63</v>
      </c>
      <c r="BO1691">
        <v>158.63</v>
      </c>
      <c r="BQ1691" t="s">
        <v>1771</v>
      </c>
      <c r="BR1691" t="s">
        <v>84</v>
      </c>
      <c r="BS1691" s="3">
        <v>45852</v>
      </c>
      <c r="BT1691" s="4">
        <v>0.43402777777777779</v>
      </c>
      <c r="BU1691" t="s">
        <v>1772</v>
      </c>
      <c r="BV1691" t="s">
        <v>98</v>
      </c>
      <c r="BY1691">
        <v>1350</v>
      </c>
      <c r="BZ1691" t="s">
        <v>89</v>
      </c>
      <c r="CA1691" t="s">
        <v>1773</v>
      </c>
      <c r="CC1691" t="s">
        <v>1769</v>
      </c>
      <c r="CD1691">
        <v>2302</v>
      </c>
      <c r="CE1691" t="s">
        <v>1868</v>
      </c>
      <c r="CF1691" s="3">
        <v>45852</v>
      </c>
      <c r="CI1691">
        <v>1</v>
      </c>
      <c r="CJ1691">
        <v>1</v>
      </c>
      <c r="CK1691">
        <v>23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"080066505847"</f>
        <v>080066505847</v>
      </c>
      <c r="F1692" s="3">
        <v>45849</v>
      </c>
      <c r="G1692">
        <v>202604</v>
      </c>
      <c r="H1692" t="s">
        <v>75</v>
      </c>
      <c r="I1692" t="s">
        <v>76</v>
      </c>
      <c r="J1692" t="s">
        <v>77</v>
      </c>
      <c r="K1692" t="s">
        <v>78</v>
      </c>
      <c r="L1692" t="s">
        <v>240</v>
      </c>
      <c r="M1692" t="s">
        <v>241</v>
      </c>
      <c r="N1692" t="s">
        <v>242</v>
      </c>
      <c r="O1692" t="s">
        <v>82</v>
      </c>
      <c r="P1692" t="str">
        <f>"4170048122                    "</f>
        <v xml:space="preserve">4170048122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17.649999999999999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55.61</v>
      </c>
      <c r="BM1692">
        <v>8.34</v>
      </c>
      <c r="BN1692">
        <v>63.95</v>
      </c>
      <c r="BO1692">
        <v>63.95</v>
      </c>
      <c r="BQ1692" t="s">
        <v>243</v>
      </c>
      <c r="BR1692" t="s">
        <v>84</v>
      </c>
      <c r="BS1692" s="3">
        <v>45852</v>
      </c>
      <c r="BT1692" s="4">
        <v>0.375</v>
      </c>
      <c r="BU1692" t="s">
        <v>244</v>
      </c>
      <c r="BV1692" t="s">
        <v>98</v>
      </c>
      <c r="BY1692">
        <v>1200</v>
      </c>
      <c r="BZ1692" t="s">
        <v>89</v>
      </c>
      <c r="CA1692" t="s">
        <v>245</v>
      </c>
      <c r="CC1692" t="s">
        <v>241</v>
      </c>
      <c r="CD1692">
        <v>2091</v>
      </c>
      <c r="CE1692" t="s">
        <v>239</v>
      </c>
      <c r="CF1692" s="3">
        <v>45853</v>
      </c>
      <c r="CI1692">
        <v>1</v>
      </c>
      <c r="CJ1692">
        <v>1</v>
      </c>
      <c r="CK1692">
        <v>22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"080066505865"</f>
        <v>080066505865</v>
      </c>
      <c r="F1693" s="3">
        <v>45849</v>
      </c>
      <c r="G1693">
        <v>202604</v>
      </c>
      <c r="H1693" t="s">
        <v>75</v>
      </c>
      <c r="I1693" t="s">
        <v>76</v>
      </c>
      <c r="J1693" t="s">
        <v>77</v>
      </c>
      <c r="K1693" t="s">
        <v>78</v>
      </c>
      <c r="L1693" t="s">
        <v>246</v>
      </c>
      <c r="M1693" t="s">
        <v>247</v>
      </c>
      <c r="N1693" t="s">
        <v>248</v>
      </c>
      <c r="O1693" t="s">
        <v>82</v>
      </c>
      <c r="P1693" t="str">
        <f>"4170047626                    "</f>
        <v xml:space="preserve">4170047626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31.78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0.3</v>
      </c>
      <c r="BK1693">
        <v>1</v>
      </c>
      <c r="BL1693">
        <v>100.13</v>
      </c>
      <c r="BM1693">
        <v>15.02</v>
      </c>
      <c r="BN1693">
        <v>115.15</v>
      </c>
      <c r="BO1693">
        <v>115.15</v>
      </c>
      <c r="BQ1693" t="s">
        <v>249</v>
      </c>
      <c r="BR1693" t="s">
        <v>84</v>
      </c>
      <c r="BS1693" s="3">
        <v>45852</v>
      </c>
      <c r="BT1693" s="4">
        <v>0.42708333333333331</v>
      </c>
      <c r="BU1693" t="s">
        <v>2298</v>
      </c>
      <c r="BV1693" t="s">
        <v>98</v>
      </c>
      <c r="BY1693">
        <v>1350</v>
      </c>
      <c r="BZ1693" t="s">
        <v>89</v>
      </c>
      <c r="CA1693" t="s">
        <v>251</v>
      </c>
      <c r="CC1693" t="s">
        <v>247</v>
      </c>
      <c r="CD1693">
        <v>1438</v>
      </c>
      <c r="CE1693" t="s">
        <v>1868</v>
      </c>
      <c r="CF1693" s="3">
        <v>45852</v>
      </c>
      <c r="CI1693">
        <v>1</v>
      </c>
      <c r="CJ1693">
        <v>1</v>
      </c>
      <c r="CK1693">
        <v>24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"080066505886"</f>
        <v>080066505886</v>
      </c>
      <c r="F1694" s="3">
        <v>45849</v>
      </c>
      <c r="G1694">
        <v>202604</v>
      </c>
      <c r="H1694" t="s">
        <v>75</v>
      </c>
      <c r="I1694" t="s">
        <v>76</v>
      </c>
      <c r="J1694" t="s">
        <v>77</v>
      </c>
      <c r="K1694" t="s">
        <v>78</v>
      </c>
      <c r="L1694" t="s">
        <v>174</v>
      </c>
      <c r="M1694" t="s">
        <v>175</v>
      </c>
      <c r="N1694" t="s">
        <v>352</v>
      </c>
      <c r="O1694" t="s">
        <v>82</v>
      </c>
      <c r="P1694" t="str">
        <f>"4170048374                    "</f>
        <v xml:space="preserve">4170048374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50.82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3</v>
      </c>
      <c r="BJ1694">
        <v>4.3</v>
      </c>
      <c r="BK1694">
        <v>4.5</v>
      </c>
      <c r="BL1694">
        <v>160.12</v>
      </c>
      <c r="BM1694">
        <v>24.02</v>
      </c>
      <c r="BN1694">
        <v>184.14</v>
      </c>
      <c r="BO1694">
        <v>184.14</v>
      </c>
      <c r="BQ1694" t="s">
        <v>1994</v>
      </c>
      <c r="BR1694" t="s">
        <v>84</v>
      </c>
      <c r="BS1694" s="3">
        <v>45852</v>
      </c>
      <c r="BT1694" s="4">
        <v>0.43125000000000002</v>
      </c>
      <c r="BU1694" t="s">
        <v>1995</v>
      </c>
      <c r="BV1694" t="s">
        <v>98</v>
      </c>
      <c r="BY1694">
        <v>21280</v>
      </c>
      <c r="BZ1694" t="s">
        <v>89</v>
      </c>
      <c r="CA1694" s="5" t="s">
        <v>2299</v>
      </c>
      <c r="CC1694" t="s">
        <v>175</v>
      </c>
      <c r="CD1694">
        <v>6220</v>
      </c>
      <c r="CE1694" t="s">
        <v>91</v>
      </c>
      <c r="CF1694" s="3">
        <v>45852</v>
      </c>
      <c r="CI1694">
        <v>1</v>
      </c>
      <c r="CJ1694">
        <v>1</v>
      </c>
      <c r="CK1694">
        <v>21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"080066505892"</f>
        <v>080066505892</v>
      </c>
      <c r="F1695" s="3">
        <v>45849</v>
      </c>
      <c r="G1695">
        <v>202604</v>
      </c>
      <c r="H1695" t="s">
        <v>75</v>
      </c>
      <c r="I1695" t="s">
        <v>76</v>
      </c>
      <c r="J1695" t="s">
        <v>77</v>
      </c>
      <c r="K1695" t="s">
        <v>78</v>
      </c>
      <c r="L1695" t="s">
        <v>151</v>
      </c>
      <c r="M1695" t="s">
        <v>152</v>
      </c>
      <c r="N1695" t="s">
        <v>1212</v>
      </c>
      <c r="O1695" t="s">
        <v>82</v>
      </c>
      <c r="P1695" t="str">
        <f>"4170048386                    "</f>
        <v xml:space="preserve">4170048386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22.6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0.3</v>
      </c>
      <c r="BK1695">
        <v>1</v>
      </c>
      <c r="BL1695">
        <v>71.2</v>
      </c>
      <c r="BM1695">
        <v>10.68</v>
      </c>
      <c r="BN1695">
        <v>81.88</v>
      </c>
      <c r="BO1695">
        <v>81.88</v>
      </c>
      <c r="BQ1695" t="s">
        <v>1213</v>
      </c>
      <c r="BR1695" t="s">
        <v>84</v>
      </c>
      <c r="BS1695" s="3">
        <v>45852</v>
      </c>
      <c r="BT1695" s="4">
        <v>0.44791666666666669</v>
      </c>
      <c r="BU1695" t="s">
        <v>2144</v>
      </c>
      <c r="BV1695" t="s">
        <v>86</v>
      </c>
      <c r="BW1695" t="s">
        <v>395</v>
      </c>
      <c r="BX1695" t="s">
        <v>1972</v>
      </c>
      <c r="BY1695">
        <v>1350</v>
      </c>
      <c r="BZ1695" t="s">
        <v>89</v>
      </c>
      <c r="CA1695" t="s">
        <v>716</v>
      </c>
      <c r="CC1695" t="s">
        <v>152</v>
      </c>
      <c r="CD1695" s="5" t="s">
        <v>717</v>
      </c>
      <c r="CE1695" t="s">
        <v>1868</v>
      </c>
      <c r="CF1695" s="3">
        <v>45852</v>
      </c>
      <c r="CI1695">
        <v>1</v>
      </c>
      <c r="CJ1695">
        <v>1</v>
      </c>
      <c r="CK1695">
        <v>21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"080066505931"</f>
        <v>080066505931</v>
      </c>
      <c r="F1696" s="3">
        <v>45849</v>
      </c>
      <c r="G1696">
        <v>202604</v>
      </c>
      <c r="H1696" t="s">
        <v>75</v>
      </c>
      <c r="I1696" t="s">
        <v>76</v>
      </c>
      <c r="J1696" t="s">
        <v>77</v>
      </c>
      <c r="K1696" t="s">
        <v>78</v>
      </c>
      <c r="L1696" t="s">
        <v>92</v>
      </c>
      <c r="M1696" t="s">
        <v>93</v>
      </c>
      <c r="N1696" t="s">
        <v>334</v>
      </c>
      <c r="O1696" t="s">
        <v>82</v>
      </c>
      <c r="P1696" t="str">
        <f>"4170048391                    "</f>
        <v xml:space="preserve">4170048391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22.6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2</v>
      </c>
      <c r="BJ1696">
        <v>1.7</v>
      </c>
      <c r="BK1696">
        <v>2</v>
      </c>
      <c r="BL1696">
        <v>71.2</v>
      </c>
      <c r="BM1696">
        <v>10.68</v>
      </c>
      <c r="BN1696">
        <v>81.88</v>
      </c>
      <c r="BO1696">
        <v>81.88</v>
      </c>
      <c r="BQ1696" t="s">
        <v>335</v>
      </c>
      <c r="BR1696" t="s">
        <v>84</v>
      </c>
      <c r="BS1696" s="3">
        <v>45852</v>
      </c>
      <c r="BT1696" s="4">
        <v>0.40138888888888891</v>
      </c>
      <c r="BU1696" t="s">
        <v>2218</v>
      </c>
      <c r="BV1696" t="s">
        <v>98</v>
      </c>
      <c r="BY1696">
        <v>8550</v>
      </c>
      <c r="BZ1696" t="s">
        <v>89</v>
      </c>
      <c r="CA1696" t="s">
        <v>337</v>
      </c>
      <c r="CC1696" t="s">
        <v>93</v>
      </c>
      <c r="CD1696">
        <v>4052</v>
      </c>
      <c r="CE1696" t="s">
        <v>266</v>
      </c>
      <c r="CF1696" s="3">
        <v>45853</v>
      </c>
      <c r="CI1696">
        <v>1</v>
      </c>
      <c r="CJ1696">
        <v>1</v>
      </c>
      <c r="CK1696">
        <v>21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"080066505958"</f>
        <v>080066505958</v>
      </c>
      <c r="F1697" s="3">
        <v>45849</v>
      </c>
      <c r="G1697">
        <v>202604</v>
      </c>
      <c r="H1697" t="s">
        <v>75</v>
      </c>
      <c r="I1697" t="s">
        <v>76</v>
      </c>
      <c r="J1697" t="s">
        <v>77</v>
      </c>
      <c r="K1697" t="s">
        <v>78</v>
      </c>
      <c r="L1697" t="s">
        <v>240</v>
      </c>
      <c r="M1697" t="s">
        <v>241</v>
      </c>
      <c r="N1697" t="s">
        <v>2141</v>
      </c>
      <c r="O1697" t="s">
        <v>82</v>
      </c>
      <c r="P1697" t="str">
        <f>"4170048404                    "</f>
        <v xml:space="preserve">4170048404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17.649999999999999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1.2</v>
      </c>
      <c r="BK1697">
        <v>2</v>
      </c>
      <c r="BL1697">
        <v>55.61</v>
      </c>
      <c r="BM1697">
        <v>8.34</v>
      </c>
      <c r="BN1697">
        <v>63.95</v>
      </c>
      <c r="BO1697">
        <v>63.95</v>
      </c>
      <c r="BQ1697" t="s">
        <v>2142</v>
      </c>
      <c r="BR1697" t="s">
        <v>84</v>
      </c>
      <c r="BS1697" s="3">
        <v>45852</v>
      </c>
      <c r="BT1697" s="4">
        <v>0.40902777777777777</v>
      </c>
      <c r="BU1697" t="s">
        <v>405</v>
      </c>
      <c r="BV1697" t="s">
        <v>98</v>
      </c>
      <c r="BY1697">
        <v>6200</v>
      </c>
      <c r="BZ1697" t="s">
        <v>89</v>
      </c>
      <c r="CA1697" t="s">
        <v>245</v>
      </c>
      <c r="CC1697" t="s">
        <v>241</v>
      </c>
      <c r="CD1697">
        <v>2190</v>
      </c>
      <c r="CE1697" t="s">
        <v>91</v>
      </c>
      <c r="CF1697" s="3">
        <v>45853</v>
      </c>
      <c r="CI1697">
        <v>1</v>
      </c>
      <c r="CJ1697">
        <v>1</v>
      </c>
      <c r="CK1697">
        <v>22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"080066505990"</f>
        <v>080066505990</v>
      </c>
      <c r="F1698" s="3">
        <v>45849</v>
      </c>
      <c r="G1698">
        <v>202604</v>
      </c>
      <c r="H1698" t="s">
        <v>75</v>
      </c>
      <c r="I1698" t="s">
        <v>76</v>
      </c>
      <c r="J1698" t="s">
        <v>77</v>
      </c>
      <c r="K1698" t="s">
        <v>78</v>
      </c>
      <c r="L1698" t="s">
        <v>704</v>
      </c>
      <c r="M1698" t="s">
        <v>705</v>
      </c>
      <c r="N1698" t="s">
        <v>829</v>
      </c>
      <c r="O1698" t="s">
        <v>82</v>
      </c>
      <c r="P1698" t="str">
        <f>"4170047581                    "</f>
        <v xml:space="preserve">4170047581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182.19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7</v>
      </c>
      <c r="BJ1698">
        <v>8.9</v>
      </c>
      <c r="BK1698">
        <v>9</v>
      </c>
      <c r="BL1698">
        <v>573.99</v>
      </c>
      <c r="BM1698">
        <v>86.1</v>
      </c>
      <c r="BN1698">
        <v>660.09</v>
      </c>
      <c r="BO1698">
        <v>660.09</v>
      </c>
      <c r="BQ1698" t="s">
        <v>830</v>
      </c>
      <c r="BR1698" t="s">
        <v>84</v>
      </c>
      <c r="BS1698" s="3">
        <v>45852</v>
      </c>
      <c r="BT1698" s="4">
        <v>0.52986111111111112</v>
      </c>
      <c r="BU1698" t="s">
        <v>2300</v>
      </c>
      <c r="BV1698" t="s">
        <v>98</v>
      </c>
      <c r="BY1698">
        <v>44640</v>
      </c>
      <c r="BZ1698" t="s">
        <v>89</v>
      </c>
      <c r="CA1698" t="s">
        <v>1665</v>
      </c>
      <c r="CC1698" t="s">
        <v>705</v>
      </c>
      <c r="CD1698">
        <v>6850</v>
      </c>
      <c r="CE1698" t="s">
        <v>117</v>
      </c>
      <c r="CF1698" s="3">
        <v>45853</v>
      </c>
      <c r="CI1698">
        <v>2</v>
      </c>
      <c r="CJ1698">
        <v>1</v>
      </c>
      <c r="CK1698">
        <v>23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"080066506030"</f>
        <v>080066506030</v>
      </c>
      <c r="F1699" s="3">
        <v>45849</v>
      </c>
      <c r="G1699">
        <v>202604</v>
      </c>
      <c r="H1699" t="s">
        <v>75</v>
      </c>
      <c r="I1699" t="s">
        <v>76</v>
      </c>
      <c r="J1699" t="s">
        <v>77</v>
      </c>
      <c r="K1699" t="s">
        <v>78</v>
      </c>
      <c r="L1699" t="s">
        <v>240</v>
      </c>
      <c r="M1699" t="s">
        <v>241</v>
      </c>
      <c r="N1699" t="s">
        <v>2301</v>
      </c>
      <c r="O1699" t="s">
        <v>311</v>
      </c>
      <c r="P1699" t="str">
        <f>"4170048397                    "</f>
        <v xml:space="preserve">4170048397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17.66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5</v>
      </c>
      <c r="BJ1699">
        <v>2.5</v>
      </c>
      <c r="BK1699">
        <v>5</v>
      </c>
      <c r="BL1699">
        <v>55.63</v>
      </c>
      <c r="BM1699">
        <v>8.34</v>
      </c>
      <c r="BN1699">
        <v>63.97</v>
      </c>
      <c r="BO1699">
        <v>63.97</v>
      </c>
      <c r="BQ1699" t="s">
        <v>2302</v>
      </c>
      <c r="BR1699" t="s">
        <v>84</v>
      </c>
      <c r="BS1699" s="3">
        <v>45852</v>
      </c>
      <c r="BT1699" s="4">
        <v>0.36736111111111114</v>
      </c>
      <c r="BU1699" t="s">
        <v>2303</v>
      </c>
      <c r="BV1699" t="s">
        <v>98</v>
      </c>
      <c r="BY1699">
        <v>12312</v>
      </c>
      <c r="BZ1699" t="s">
        <v>99</v>
      </c>
      <c r="CA1699" t="s">
        <v>1738</v>
      </c>
      <c r="CC1699" t="s">
        <v>241</v>
      </c>
      <c r="CD1699">
        <v>2001</v>
      </c>
      <c r="CE1699" t="s">
        <v>91</v>
      </c>
      <c r="CF1699" s="3">
        <v>45853</v>
      </c>
      <c r="CI1699">
        <v>1</v>
      </c>
      <c r="CJ1699">
        <v>1</v>
      </c>
      <c r="CK1699">
        <v>32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"080066506073"</f>
        <v>080066506073</v>
      </c>
      <c r="F1700" s="3">
        <v>45849</v>
      </c>
      <c r="G1700">
        <v>202604</v>
      </c>
      <c r="H1700" t="s">
        <v>75</v>
      </c>
      <c r="I1700" t="s">
        <v>76</v>
      </c>
      <c r="J1700" t="s">
        <v>77</v>
      </c>
      <c r="K1700" t="s">
        <v>78</v>
      </c>
      <c r="L1700" t="s">
        <v>75</v>
      </c>
      <c r="M1700" t="s">
        <v>76</v>
      </c>
      <c r="N1700" t="s">
        <v>118</v>
      </c>
      <c r="O1700" t="s">
        <v>95</v>
      </c>
      <c r="P1700" t="str">
        <f>"4170048379                    "</f>
        <v xml:space="preserve">4170048379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49.49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16</v>
      </c>
      <c r="BJ1700">
        <v>30.9</v>
      </c>
      <c r="BK1700">
        <v>31</v>
      </c>
      <c r="BL1700">
        <v>161.80000000000001</v>
      </c>
      <c r="BM1700">
        <v>24.27</v>
      </c>
      <c r="BN1700">
        <v>186.07</v>
      </c>
      <c r="BO1700">
        <v>186.07</v>
      </c>
      <c r="BQ1700" t="s">
        <v>119</v>
      </c>
      <c r="BR1700" t="s">
        <v>84</v>
      </c>
      <c r="BS1700" s="3">
        <v>45852</v>
      </c>
      <c r="BT1700" s="4">
        <v>0.31666666666666665</v>
      </c>
      <c r="BU1700" t="s">
        <v>832</v>
      </c>
      <c r="BV1700" t="s">
        <v>98</v>
      </c>
      <c r="BY1700">
        <v>154560</v>
      </c>
      <c r="BZ1700" t="s">
        <v>99</v>
      </c>
      <c r="CA1700" t="s">
        <v>213</v>
      </c>
      <c r="CC1700" t="s">
        <v>76</v>
      </c>
      <c r="CD1700">
        <v>1600</v>
      </c>
      <c r="CE1700" t="s">
        <v>117</v>
      </c>
      <c r="CF1700" s="3">
        <v>45852</v>
      </c>
      <c r="CI1700">
        <v>1</v>
      </c>
      <c r="CJ1700">
        <v>1</v>
      </c>
      <c r="CK1700">
        <v>42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"080066506108"</f>
        <v>080066506108</v>
      </c>
      <c r="F1701" s="3">
        <v>45849</v>
      </c>
      <c r="G1701">
        <v>202604</v>
      </c>
      <c r="H1701" t="s">
        <v>75</v>
      </c>
      <c r="I1701" t="s">
        <v>76</v>
      </c>
      <c r="J1701" t="s">
        <v>77</v>
      </c>
      <c r="K1701" t="s">
        <v>78</v>
      </c>
      <c r="L1701" t="s">
        <v>135</v>
      </c>
      <c r="M1701" t="s">
        <v>136</v>
      </c>
      <c r="N1701" t="s">
        <v>416</v>
      </c>
      <c r="O1701" t="s">
        <v>82</v>
      </c>
      <c r="P1701" t="str">
        <f>"4170048401                    "</f>
        <v xml:space="preserve">4170048401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135.5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12</v>
      </c>
      <c r="BJ1701">
        <v>1.7</v>
      </c>
      <c r="BK1701">
        <v>12</v>
      </c>
      <c r="BL1701">
        <v>426.9</v>
      </c>
      <c r="BM1701">
        <v>64.040000000000006</v>
      </c>
      <c r="BN1701">
        <v>490.94</v>
      </c>
      <c r="BO1701">
        <v>490.94</v>
      </c>
      <c r="BQ1701" t="s">
        <v>417</v>
      </c>
      <c r="BR1701" t="s">
        <v>84</v>
      </c>
      <c r="BS1701" s="3">
        <v>45852</v>
      </c>
      <c r="BT1701" s="4">
        <v>0.53888888888888886</v>
      </c>
      <c r="BU1701" t="s">
        <v>2304</v>
      </c>
      <c r="BV1701" t="s">
        <v>98</v>
      </c>
      <c r="BY1701">
        <v>8550</v>
      </c>
      <c r="BZ1701" t="s">
        <v>89</v>
      </c>
      <c r="CA1701" t="s">
        <v>522</v>
      </c>
      <c r="CC1701" t="s">
        <v>136</v>
      </c>
      <c r="CD1701">
        <v>3201</v>
      </c>
      <c r="CE1701" t="s">
        <v>117</v>
      </c>
      <c r="CF1701" s="3">
        <v>45853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"080066506131"</f>
        <v>080066506131</v>
      </c>
      <c r="F1702" s="3">
        <v>45849</v>
      </c>
      <c r="G1702">
        <v>202604</v>
      </c>
      <c r="H1702" t="s">
        <v>75</v>
      </c>
      <c r="I1702" t="s">
        <v>76</v>
      </c>
      <c r="J1702" t="s">
        <v>77</v>
      </c>
      <c r="K1702" t="s">
        <v>78</v>
      </c>
      <c r="L1702" t="s">
        <v>75</v>
      </c>
      <c r="M1702" t="s">
        <v>76</v>
      </c>
      <c r="N1702" t="s">
        <v>118</v>
      </c>
      <c r="O1702" t="s">
        <v>82</v>
      </c>
      <c r="P1702" t="str">
        <f>"4170048144                    "</f>
        <v xml:space="preserve">4170048144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17.649999999999999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2.1</v>
      </c>
      <c r="BK1702">
        <v>3</v>
      </c>
      <c r="BL1702">
        <v>55.61</v>
      </c>
      <c r="BM1702">
        <v>8.34</v>
      </c>
      <c r="BN1702">
        <v>63.95</v>
      </c>
      <c r="BO1702">
        <v>63.95</v>
      </c>
      <c r="BQ1702" t="s">
        <v>119</v>
      </c>
      <c r="BR1702" t="s">
        <v>84</v>
      </c>
      <c r="BS1702" s="3">
        <v>45852</v>
      </c>
      <c r="BT1702" s="4">
        <v>0.30972222222222223</v>
      </c>
      <c r="BU1702" t="s">
        <v>832</v>
      </c>
      <c r="BV1702" t="s">
        <v>98</v>
      </c>
      <c r="BY1702">
        <v>10640</v>
      </c>
      <c r="BZ1702" t="s">
        <v>89</v>
      </c>
      <c r="CA1702" t="s">
        <v>213</v>
      </c>
      <c r="CC1702" t="s">
        <v>76</v>
      </c>
      <c r="CD1702">
        <v>1600</v>
      </c>
      <c r="CE1702" t="s">
        <v>117</v>
      </c>
      <c r="CF1702" s="3">
        <v>45852</v>
      </c>
      <c r="CI1702">
        <v>1</v>
      </c>
      <c r="CJ1702">
        <v>1</v>
      </c>
      <c r="CK1702">
        <v>22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"080066506164"</f>
        <v>080066506164</v>
      </c>
      <c r="F1703" s="3">
        <v>45849</v>
      </c>
      <c r="G1703">
        <v>202604</v>
      </c>
      <c r="H1703" t="s">
        <v>75</v>
      </c>
      <c r="I1703" t="s">
        <v>76</v>
      </c>
      <c r="J1703" t="s">
        <v>77</v>
      </c>
      <c r="K1703" t="s">
        <v>78</v>
      </c>
      <c r="L1703" t="s">
        <v>168</v>
      </c>
      <c r="M1703" t="s">
        <v>169</v>
      </c>
      <c r="N1703" t="s">
        <v>773</v>
      </c>
      <c r="O1703" t="s">
        <v>82</v>
      </c>
      <c r="P1703" t="str">
        <f>"4170048388                    "</f>
        <v xml:space="preserve">4170048388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33.89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1.7</v>
      </c>
      <c r="BK1703">
        <v>3</v>
      </c>
      <c r="BL1703">
        <v>106.77</v>
      </c>
      <c r="BM1703">
        <v>16.02</v>
      </c>
      <c r="BN1703">
        <v>122.79</v>
      </c>
      <c r="BO1703">
        <v>122.79</v>
      </c>
      <c r="BQ1703" t="s">
        <v>774</v>
      </c>
      <c r="BR1703" t="s">
        <v>84</v>
      </c>
      <c r="BS1703" s="3">
        <v>45852</v>
      </c>
      <c r="BT1703" s="4">
        <v>0.39027777777777778</v>
      </c>
      <c r="BU1703" t="s">
        <v>2305</v>
      </c>
      <c r="BV1703" t="s">
        <v>98</v>
      </c>
      <c r="BY1703">
        <v>8512</v>
      </c>
      <c r="BZ1703" t="s">
        <v>89</v>
      </c>
      <c r="CA1703" t="s">
        <v>345</v>
      </c>
      <c r="CC1703" t="s">
        <v>169</v>
      </c>
      <c r="CD1703">
        <v>6020</v>
      </c>
      <c r="CE1703" t="s">
        <v>117</v>
      </c>
      <c r="CF1703" s="3">
        <v>45853</v>
      </c>
      <c r="CI1703">
        <v>1</v>
      </c>
      <c r="CJ1703">
        <v>1</v>
      </c>
      <c r="CK1703">
        <v>21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"080066506206"</f>
        <v>080066506206</v>
      </c>
      <c r="F1704" s="3">
        <v>45849</v>
      </c>
      <c r="G1704">
        <v>202604</v>
      </c>
      <c r="H1704" t="s">
        <v>75</v>
      </c>
      <c r="I1704" t="s">
        <v>76</v>
      </c>
      <c r="J1704" t="s">
        <v>77</v>
      </c>
      <c r="K1704" t="s">
        <v>78</v>
      </c>
      <c r="L1704" t="s">
        <v>168</v>
      </c>
      <c r="M1704" t="s">
        <v>169</v>
      </c>
      <c r="N1704" t="s">
        <v>206</v>
      </c>
      <c r="O1704" t="s">
        <v>82</v>
      </c>
      <c r="P1704" t="str">
        <f>"4170048359                    "</f>
        <v xml:space="preserve">4170048359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22.6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0.6</v>
      </c>
      <c r="BK1704">
        <v>1</v>
      </c>
      <c r="BL1704">
        <v>71.2</v>
      </c>
      <c r="BM1704">
        <v>10.68</v>
      </c>
      <c r="BN1704">
        <v>81.88</v>
      </c>
      <c r="BO1704">
        <v>81.88</v>
      </c>
      <c r="BQ1704" t="s">
        <v>207</v>
      </c>
      <c r="BR1704" t="s">
        <v>84</v>
      </c>
      <c r="BS1704" s="3">
        <v>45852</v>
      </c>
      <c r="BT1704" s="4">
        <v>0.37986111111111109</v>
      </c>
      <c r="BU1704" t="s">
        <v>208</v>
      </c>
      <c r="BV1704" t="s">
        <v>98</v>
      </c>
      <c r="BY1704">
        <v>3192</v>
      </c>
      <c r="BZ1704" t="s">
        <v>89</v>
      </c>
      <c r="CA1704" t="s">
        <v>196</v>
      </c>
      <c r="CC1704" t="s">
        <v>169</v>
      </c>
      <c r="CD1704">
        <v>6001</v>
      </c>
      <c r="CE1704" t="s">
        <v>266</v>
      </c>
      <c r="CF1704" s="3">
        <v>45852</v>
      </c>
      <c r="CI1704">
        <v>1</v>
      </c>
      <c r="CJ1704">
        <v>1</v>
      </c>
      <c r="CK1704">
        <v>21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"080066506238"</f>
        <v>080066506238</v>
      </c>
      <c r="F1705" s="3">
        <v>45849</v>
      </c>
      <c r="G1705">
        <v>202604</v>
      </c>
      <c r="H1705" t="s">
        <v>75</v>
      </c>
      <c r="I1705" t="s">
        <v>76</v>
      </c>
      <c r="J1705" t="s">
        <v>77</v>
      </c>
      <c r="K1705" t="s">
        <v>78</v>
      </c>
      <c r="L1705" t="s">
        <v>79</v>
      </c>
      <c r="M1705" t="s">
        <v>80</v>
      </c>
      <c r="N1705" t="s">
        <v>492</v>
      </c>
      <c r="O1705" t="s">
        <v>82</v>
      </c>
      <c r="P1705" t="str">
        <f>"4170048402                    "</f>
        <v xml:space="preserve">4170048402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45.18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4</v>
      </c>
      <c r="BJ1705">
        <v>1.7</v>
      </c>
      <c r="BK1705">
        <v>4</v>
      </c>
      <c r="BL1705">
        <v>142.34</v>
      </c>
      <c r="BM1705">
        <v>21.35</v>
      </c>
      <c r="BN1705">
        <v>163.69</v>
      </c>
      <c r="BO1705">
        <v>163.69</v>
      </c>
      <c r="BQ1705" t="s">
        <v>493</v>
      </c>
      <c r="BR1705" t="s">
        <v>84</v>
      </c>
      <c r="BS1705" s="3">
        <v>45852</v>
      </c>
      <c r="BT1705" s="4">
        <v>0.38958333333333334</v>
      </c>
      <c r="BU1705" t="s">
        <v>494</v>
      </c>
      <c r="BV1705" t="s">
        <v>98</v>
      </c>
      <c r="BY1705">
        <v>8512</v>
      </c>
      <c r="BZ1705" t="s">
        <v>89</v>
      </c>
      <c r="CA1705" t="s">
        <v>495</v>
      </c>
      <c r="CC1705" t="s">
        <v>80</v>
      </c>
      <c r="CD1705">
        <v>7800</v>
      </c>
      <c r="CE1705" t="s">
        <v>117</v>
      </c>
      <c r="CF1705" s="3">
        <v>45853</v>
      </c>
      <c r="CI1705">
        <v>1</v>
      </c>
      <c r="CJ1705">
        <v>1</v>
      </c>
      <c r="CK1705">
        <v>21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"080066506250"</f>
        <v>080066506250</v>
      </c>
      <c r="F1706" s="3">
        <v>45849</v>
      </c>
      <c r="G1706">
        <v>202604</v>
      </c>
      <c r="H1706" t="s">
        <v>75</v>
      </c>
      <c r="I1706" t="s">
        <v>76</v>
      </c>
      <c r="J1706" t="s">
        <v>77</v>
      </c>
      <c r="K1706" t="s">
        <v>78</v>
      </c>
      <c r="L1706" t="s">
        <v>329</v>
      </c>
      <c r="M1706" t="s">
        <v>330</v>
      </c>
      <c r="N1706" t="s">
        <v>331</v>
      </c>
      <c r="O1706" t="s">
        <v>82</v>
      </c>
      <c r="P1706" t="str">
        <f>"4170048389                    "</f>
        <v xml:space="preserve">4170048389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43.78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0.3</v>
      </c>
      <c r="BK1706">
        <v>1</v>
      </c>
      <c r="BL1706">
        <v>137.94</v>
      </c>
      <c r="BM1706">
        <v>20.69</v>
      </c>
      <c r="BN1706">
        <v>158.63</v>
      </c>
      <c r="BO1706">
        <v>158.63</v>
      </c>
      <c r="BQ1706" t="s">
        <v>332</v>
      </c>
      <c r="BR1706" t="s">
        <v>84</v>
      </c>
      <c r="BS1706" s="3">
        <v>45852</v>
      </c>
      <c r="BT1706" s="4">
        <v>0.54722222222222228</v>
      </c>
      <c r="BU1706" t="s">
        <v>2256</v>
      </c>
      <c r="BV1706" t="s">
        <v>98</v>
      </c>
      <c r="BY1706">
        <v>1350</v>
      </c>
      <c r="BZ1706" t="s">
        <v>89</v>
      </c>
      <c r="CA1706" t="s">
        <v>1153</v>
      </c>
      <c r="CC1706" t="s">
        <v>330</v>
      </c>
      <c r="CD1706">
        <v>6300</v>
      </c>
      <c r="CE1706" t="s">
        <v>1868</v>
      </c>
      <c r="CF1706" s="3">
        <v>45852</v>
      </c>
      <c r="CI1706">
        <v>2</v>
      </c>
      <c r="CJ1706">
        <v>1</v>
      </c>
      <c r="CK1706">
        <v>23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"080066506276"</f>
        <v>080066506276</v>
      </c>
      <c r="F1707" s="3">
        <v>45849</v>
      </c>
      <c r="G1707">
        <v>202604</v>
      </c>
      <c r="H1707" t="s">
        <v>75</v>
      </c>
      <c r="I1707" t="s">
        <v>76</v>
      </c>
      <c r="J1707" t="s">
        <v>77</v>
      </c>
      <c r="K1707" t="s">
        <v>78</v>
      </c>
      <c r="L1707" t="s">
        <v>554</v>
      </c>
      <c r="M1707" t="s">
        <v>555</v>
      </c>
      <c r="N1707" t="s">
        <v>556</v>
      </c>
      <c r="O1707" t="s">
        <v>82</v>
      </c>
      <c r="P1707" t="str">
        <f>"4170048278                    "</f>
        <v xml:space="preserve">4170048278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22.6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0.3</v>
      </c>
      <c r="BK1707">
        <v>1</v>
      </c>
      <c r="BL1707">
        <v>71.2</v>
      </c>
      <c r="BM1707">
        <v>10.68</v>
      </c>
      <c r="BN1707">
        <v>81.88</v>
      </c>
      <c r="BO1707">
        <v>81.88</v>
      </c>
      <c r="BQ1707" t="s">
        <v>557</v>
      </c>
      <c r="BR1707" t="s">
        <v>84</v>
      </c>
      <c r="BS1707" s="3">
        <v>45852</v>
      </c>
      <c r="BT1707" s="4">
        <v>0.35</v>
      </c>
      <c r="BU1707" t="s">
        <v>558</v>
      </c>
      <c r="BV1707" t="s">
        <v>98</v>
      </c>
      <c r="BY1707">
        <v>1350</v>
      </c>
      <c r="BZ1707" t="s">
        <v>89</v>
      </c>
      <c r="CA1707" t="s">
        <v>559</v>
      </c>
      <c r="CC1707" t="s">
        <v>555</v>
      </c>
      <c r="CD1707" s="5" t="s">
        <v>560</v>
      </c>
      <c r="CE1707" t="s">
        <v>1868</v>
      </c>
      <c r="CF1707" s="3">
        <v>45852</v>
      </c>
      <c r="CI1707">
        <v>1</v>
      </c>
      <c r="CJ1707">
        <v>1</v>
      </c>
      <c r="CK1707">
        <v>21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"080066506303"</f>
        <v>080066506303</v>
      </c>
      <c r="F1708" s="3">
        <v>45849</v>
      </c>
      <c r="G1708">
        <v>202604</v>
      </c>
      <c r="H1708" t="s">
        <v>75</v>
      </c>
      <c r="I1708" t="s">
        <v>76</v>
      </c>
      <c r="J1708" t="s">
        <v>77</v>
      </c>
      <c r="K1708" t="s">
        <v>78</v>
      </c>
      <c r="L1708" t="s">
        <v>79</v>
      </c>
      <c r="M1708" t="s">
        <v>80</v>
      </c>
      <c r="N1708" t="s">
        <v>1775</v>
      </c>
      <c r="O1708" t="s">
        <v>82</v>
      </c>
      <c r="P1708" t="str">
        <f>"4170048403                    "</f>
        <v xml:space="preserve">4170048403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90.34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8</v>
      </c>
      <c r="BJ1708">
        <v>1.9</v>
      </c>
      <c r="BK1708">
        <v>8</v>
      </c>
      <c r="BL1708">
        <v>284.62</v>
      </c>
      <c r="BM1708">
        <v>42.69</v>
      </c>
      <c r="BN1708">
        <v>327.31</v>
      </c>
      <c r="BO1708">
        <v>327.31</v>
      </c>
      <c r="BQ1708" t="s">
        <v>1776</v>
      </c>
      <c r="BR1708" t="s">
        <v>84</v>
      </c>
      <c r="BS1708" s="3">
        <v>45852</v>
      </c>
      <c r="BT1708" s="4">
        <v>0.40069444444444446</v>
      </c>
      <c r="BU1708" t="s">
        <v>933</v>
      </c>
      <c r="BV1708" t="s">
        <v>98</v>
      </c>
      <c r="BY1708">
        <v>9600</v>
      </c>
      <c r="BZ1708" t="s">
        <v>89</v>
      </c>
      <c r="CA1708" t="s">
        <v>934</v>
      </c>
      <c r="CC1708" t="s">
        <v>80</v>
      </c>
      <c r="CD1708">
        <v>7530</v>
      </c>
      <c r="CE1708" t="s">
        <v>117</v>
      </c>
      <c r="CF1708" s="3">
        <v>45853</v>
      </c>
      <c r="CI1708">
        <v>1</v>
      </c>
      <c r="CJ1708">
        <v>1</v>
      </c>
      <c r="CK1708">
        <v>21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"080066506319"</f>
        <v>080066506319</v>
      </c>
      <c r="F1709" s="3">
        <v>45849</v>
      </c>
      <c r="G1709">
        <v>202604</v>
      </c>
      <c r="H1709" t="s">
        <v>75</v>
      </c>
      <c r="I1709" t="s">
        <v>76</v>
      </c>
      <c r="J1709" t="s">
        <v>77</v>
      </c>
      <c r="K1709" t="s">
        <v>78</v>
      </c>
      <c r="L1709" t="s">
        <v>305</v>
      </c>
      <c r="M1709" t="s">
        <v>306</v>
      </c>
      <c r="N1709" t="s">
        <v>1320</v>
      </c>
      <c r="O1709" t="s">
        <v>82</v>
      </c>
      <c r="P1709" t="str">
        <f>"4170047777                    "</f>
        <v xml:space="preserve">4170047777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22.6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</v>
      </c>
      <c r="BJ1709">
        <v>1.9</v>
      </c>
      <c r="BK1709">
        <v>2</v>
      </c>
      <c r="BL1709">
        <v>71.2</v>
      </c>
      <c r="BM1709">
        <v>10.68</v>
      </c>
      <c r="BN1709">
        <v>81.88</v>
      </c>
      <c r="BO1709">
        <v>81.88</v>
      </c>
      <c r="BQ1709" t="s">
        <v>308</v>
      </c>
      <c r="BR1709" t="s">
        <v>84</v>
      </c>
      <c r="BS1709" s="3">
        <v>45852</v>
      </c>
      <c r="BT1709" s="4">
        <v>0.30833333333333335</v>
      </c>
      <c r="BU1709" t="s">
        <v>2173</v>
      </c>
      <c r="BV1709" t="s">
        <v>98</v>
      </c>
      <c r="BY1709">
        <v>9600</v>
      </c>
      <c r="BZ1709" t="s">
        <v>89</v>
      </c>
      <c r="CA1709" t="s">
        <v>2174</v>
      </c>
      <c r="CC1709" t="s">
        <v>306</v>
      </c>
      <c r="CD1709">
        <v>5201</v>
      </c>
      <c r="CE1709" t="s">
        <v>117</v>
      </c>
      <c r="CF1709" s="3">
        <v>45853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"080066506354"</f>
        <v>080066506354</v>
      </c>
      <c r="F1710" s="3">
        <v>45849</v>
      </c>
      <c r="G1710">
        <v>202604</v>
      </c>
      <c r="H1710" t="s">
        <v>75</v>
      </c>
      <c r="I1710" t="s">
        <v>76</v>
      </c>
      <c r="J1710" t="s">
        <v>77</v>
      </c>
      <c r="K1710" t="s">
        <v>78</v>
      </c>
      <c r="L1710" t="s">
        <v>168</v>
      </c>
      <c r="M1710" t="s">
        <v>169</v>
      </c>
      <c r="N1710" t="s">
        <v>206</v>
      </c>
      <c r="O1710" t="s">
        <v>82</v>
      </c>
      <c r="P1710" t="str">
        <f>"4170048361                    "</f>
        <v xml:space="preserve">4170048361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101.63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4</v>
      </c>
      <c r="BJ1710">
        <v>8.8000000000000007</v>
      </c>
      <c r="BK1710">
        <v>9</v>
      </c>
      <c r="BL1710">
        <v>320.19</v>
      </c>
      <c r="BM1710">
        <v>48.03</v>
      </c>
      <c r="BN1710">
        <v>368.22</v>
      </c>
      <c r="BO1710">
        <v>368.22</v>
      </c>
      <c r="BQ1710" t="s">
        <v>207</v>
      </c>
      <c r="BR1710" t="s">
        <v>84</v>
      </c>
      <c r="BS1710" s="3">
        <v>45852</v>
      </c>
      <c r="BT1710" s="4">
        <v>0.37986111111111109</v>
      </c>
      <c r="BU1710" t="s">
        <v>208</v>
      </c>
      <c r="BV1710" t="s">
        <v>98</v>
      </c>
      <c r="BY1710">
        <v>43884</v>
      </c>
      <c r="BZ1710" t="s">
        <v>89</v>
      </c>
      <c r="CA1710" t="s">
        <v>196</v>
      </c>
      <c r="CC1710" t="s">
        <v>169</v>
      </c>
      <c r="CD1710">
        <v>6001</v>
      </c>
      <c r="CE1710" t="s">
        <v>91</v>
      </c>
      <c r="CF1710" s="3">
        <v>45852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"080066506398"</f>
        <v>080066506398</v>
      </c>
      <c r="F1711" s="3">
        <v>45849</v>
      </c>
      <c r="G1711">
        <v>202604</v>
      </c>
      <c r="H1711" t="s">
        <v>75</v>
      </c>
      <c r="I1711" t="s">
        <v>76</v>
      </c>
      <c r="J1711" t="s">
        <v>77</v>
      </c>
      <c r="K1711" t="s">
        <v>78</v>
      </c>
      <c r="L1711" t="s">
        <v>135</v>
      </c>
      <c r="M1711" t="s">
        <v>136</v>
      </c>
      <c r="N1711" t="s">
        <v>1149</v>
      </c>
      <c r="O1711" t="s">
        <v>82</v>
      </c>
      <c r="P1711" t="str">
        <f>"4170047815                    "</f>
        <v xml:space="preserve">4170047815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56.47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5</v>
      </c>
      <c r="BJ1711">
        <v>4.3</v>
      </c>
      <c r="BK1711">
        <v>5</v>
      </c>
      <c r="BL1711">
        <v>177.91</v>
      </c>
      <c r="BM1711">
        <v>26.69</v>
      </c>
      <c r="BN1711">
        <v>204.6</v>
      </c>
      <c r="BO1711">
        <v>204.6</v>
      </c>
      <c r="BQ1711" t="s">
        <v>1150</v>
      </c>
      <c r="BR1711" t="s">
        <v>84</v>
      </c>
      <c r="BS1711" s="3">
        <v>45852</v>
      </c>
      <c r="BT1711" s="4">
        <v>0.6430555555555556</v>
      </c>
      <c r="BU1711" t="s">
        <v>2306</v>
      </c>
      <c r="BV1711" t="s">
        <v>98</v>
      </c>
      <c r="BY1711">
        <v>21560</v>
      </c>
      <c r="BZ1711" t="s">
        <v>89</v>
      </c>
      <c r="CA1711" t="s">
        <v>349</v>
      </c>
      <c r="CC1711" t="s">
        <v>136</v>
      </c>
      <c r="CD1711">
        <v>3201</v>
      </c>
      <c r="CE1711" t="s">
        <v>91</v>
      </c>
      <c r="CF1711" s="3">
        <v>45853</v>
      </c>
      <c r="CI1711">
        <v>5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"R080066454051"</f>
        <v>R080066454051</v>
      </c>
      <c r="F1712" s="3">
        <v>45849</v>
      </c>
      <c r="G1712">
        <v>202604</v>
      </c>
      <c r="H1712" t="s">
        <v>79</v>
      </c>
      <c r="I1712" t="s">
        <v>80</v>
      </c>
      <c r="J1712" t="s">
        <v>1816</v>
      </c>
      <c r="K1712" t="s">
        <v>78</v>
      </c>
      <c r="L1712" t="s">
        <v>79</v>
      </c>
      <c r="M1712" t="s">
        <v>80</v>
      </c>
      <c r="N1712" t="s">
        <v>1816</v>
      </c>
      <c r="O1712" t="s">
        <v>82</v>
      </c>
      <c r="P1712" t="str">
        <f>"4170047723                    "</f>
        <v xml:space="preserve">4170047723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17.649999999999999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0.3</v>
      </c>
      <c r="BK1712">
        <v>1</v>
      </c>
      <c r="BL1712">
        <v>55.61</v>
      </c>
      <c r="BM1712">
        <v>8.34</v>
      </c>
      <c r="BN1712">
        <v>63.95</v>
      </c>
      <c r="BO1712">
        <v>63.95</v>
      </c>
      <c r="BQ1712" t="s">
        <v>2190</v>
      </c>
      <c r="BR1712" t="s">
        <v>1817</v>
      </c>
      <c r="BS1712" s="3">
        <v>45852</v>
      </c>
      <c r="BT1712" s="4">
        <v>0.63402777777777775</v>
      </c>
      <c r="BU1712" t="s">
        <v>2037</v>
      </c>
      <c r="BV1712" t="s">
        <v>86</v>
      </c>
      <c r="BW1712" t="s">
        <v>1395</v>
      </c>
      <c r="BX1712" t="s">
        <v>1420</v>
      </c>
      <c r="BY1712">
        <v>1350</v>
      </c>
      <c r="BZ1712" t="s">
        <v>89</v>
      </c>
      <c r="CA1712" t="s">
        <v>90</v>
      </c>
      <c r="CC1712" t="s">
        <v>80</v>
      </c>
      <c r="CD1712">
        <v>7550</v>
      </c>
      <c r="CE1712" t="s">
        <v>239</v>
      </c>
      <c r="CF1712" s="3">
        <v>45853</v>
      </c>
      <c r="CI1712">
        <v>1</v>
      </c>
      <c r="CJ1712">
        <v>1</v>
      </c>
      <c r="CK1712">
        <v>22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"R080066454147"</f>
        <v>R080066454147</v>
      </c>
      <c r="F1713" s="3">
        <v>45849</v>
      </c>
      <c r="G1713">
        <v>202604</v>
      </c>
      <c r="H1713" t="s">
        <v>79</v>
      </c>
      <c r="I1713" t="s">
        <v>80</v>
      </c>
      <c r="J1713" t="s">
        <v>1816</v>
      </c>
      <c r="K1713" t="s">
        <v>78</v>
      </c>
      <c r="L1713" t="s">
        <v>79</v>
      </c>
      <c r="M1713" t="s">
        <v>80</v>
      </c>
      <c r="N1713" t="s">
        <v>1816</v>
      </c>
      <c r="O1713" t="s">
        <v>82</v>
      </c>
      <c r="P1713" t="str">
        <f>"4170047722                    "</f>
        <v xml:space="preserve">4170047722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17.649999999999999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0.3</v>
      </c>
      <c r="BK1713">
        <v>1</v>
      </c>
      <c r="BL1713">
        <v>55.61</v>
      </c>
      <c r="BM1713">
        <v>8.34</v>
      </c>
      <c r="BN1713">
        <v>63.95</v>
      </c>
      <c r="BO1713">
        <v>63.95</v>
      </c>
      <c r="BQ1713" t="s">
        <v>2190</v>
      </c>
      <c r="BR1713" t="s">
        <v>1817</v>
      </c>
      <c r="BS1713" s="3">
        <v>45852</v>
      </c>
      <c r="BT1713" s="4">
        <v>0.6333333333333333</v>
      </c>
      <c r="BU1713" t="s">
        <v>2037</v>
      </c>
      <c r="BV1713" t="s">
        <v>86</v>
      </c>
      <c r="BW1713" t="s">
        <v>1395</v>
      </c>
      <c r="BX1713" t="s">
        <v>1420</v>
      </c>
      <c r="BY1713">
        <v>1350</v>
      </c>
      <c r="BZ1713" t="s">
        <v>89</v>
      </c>
      <c r="CA1713" t="s">
        <v>90</v>
      </c>
      <c r="CC1713" t="s">
        <v>80</v>
      </c>
      <c r="CD1713">
        <v>7550</v>
      </c>
      <c r="CE1713" t="s">
        <v>239</v>
      </c>
      <c r="CF1713" s="3">
        <v>45853</v>
      </c>
      <c r="CI1713">
        <v>1</v>
      </c>
      <c r="CJ1713">
        <v>1</v>
      </c>
      <c r="CK1713">
        <v>22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"080011565781"</f>
        <v>080011565781</v>
      </c>
      <c r="F1714" s="3">
        <v>45852</v>
      </c>
      <c r="G1714">
        <v>202604</v>
      </c>
      <c r="H1714" t="s">
        <v>598</v>
      </c>
      <c r="I1714" t="s">
        <v>599</v>
      </c>
      <c r="J1714" t="s">
        <v>2307</v>
      </c>
      <c r="K1714" t="s">
        <v>78</v>
      </c>
      <c r="L1714" t="s">
        <v>75</v>
      </c>
      <c r="M1714" t="s">
        <v>76</v>
      </c>
      <c r="N1714" t="s">
        <v>228</v>
      </c>
      <c r="O1714" t="s">
        <v>82</v>
      </c>
      <c r="P1714" t="str">
        <f>"ZA1001396134                  "</f>
        <v xml:space="preserve">ZA1001396134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33.89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3</v>
      </c>
      <c r="BJ1714">
        <v>2.2999999999999998</v>
      </c>
      <c r="BK1714">
        <v>3</v>
      </c>
      <c r="BL1714">
        <v>106.77</v>
      </c>
      <c r="BM1714">
        <v>16.02</v>
      </c>
      <c r="BN1714">
        <v>122.79</v>
      </c>
      <c r="BO1714">
        <v>122.79</v>
      </c>
      <c r="BP1714" t="s">
        <v>587</v>
      </c>
      <c r="BQ1714" t="s">
        <v>230</v>
      </c>
      <c r="BR1714" t="s">
        <v>2308</v>
      </c>
      <c r="BS1714" s="3">
        <v>45853</v>
      </c>
      <c r="BT1714" s="4">
        <v>0.36249999999999999</v>
      </c>
      <c r="BU1714" t="s">
        <v>1899</v>
      </c>
      <c r="BV1714" t="s">
        <v>98</v>
      </c>
      <c r="BY1714">
        <v>11400</v>
      </c>
      <c r="BZ1714" t="s">
        <v>89</v>
      </c>
      <c r="CA1714" t="s">
        <v>304</v>
      </c>
      <c r="CC1714" t="s">
        <v>76</v>
      </c>
      <c r="CD1714">
        <v>1618</v>
      </c>
      <c r="CE1714" t="s">
        <v>233</v>
      </c>
      <c r="CF1714" s="3">
        <v>45853</v>
      </c>
      <c r="CI1714">
        <v>1</v>
      </c>
      <c r="CJ1714">
        <v>1</v>
      </c>
      <c r="CK1714">
        <v>21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"080066534963"</f>
        <v>080066534963</v>
      </c>
      <c r="F1715" s="3">
        <v>45852</v>
      </c>
      <c r="G1715">
        <v>202604</v>
      </c>
      <c r="H1715" t="s">
        <v>75</v>
      </c>
      <c r="I1715" t="s">
        <v>76</v>
      </c>
      <c r="J1715" t="s">
        <v>77</v>
      </c>
      <c r="K1715" t="s">
        <v>78</v>
      </c>
      <c r="L1715" t="s">
        <v>79</v>
      </c>
      <c r="M1715" t="s">
        <v>80</v>
      </c>
      <c r="N1715" t="s">
        <v>2063</v>
      </c>
      <c r="O1715" t="s">
        <v>82</v>
      </c>
      <c r="P1715" t="str">
        <f>"4170048422                    "</f>
        <v xml:space="preserve">4170048422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22.6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71.2</v>
      </c>
      <c r="BM1715">
        <v>10.68</v>
      </c>
      <c r="BN1715">
        <v>81.88</v>
      </c>
      <c r="BO1715">
        <v>81.88</v>
      </c>
      <c r="BQ1715" t="s">
        <v>2064</v>
      </c>
      <c r="BR1715" t="s">
        <v>84</v>
      </c>
      <c r="BS1715" s="3">
        <v>45853</v>
      </c>
      <c r="BT1715" s="4">
        <v>0.38263888888888886</v>
      </c>
      <c r="BU1715" t="s">
        <v>635</v>
      </c>
      <c r="BV1715" t="s">
        <v>98</v>
      </c>
      <c r="BY1715">
        <v>1200</v>
      </c>
      <c r="BZ1715" t="s">
        <v>89</v>
      </c>
      <c r="CA1715" t="s">
        <v>579</v>
      </c>
      <c r="CC1715" t="s">
        <v>80</v>
      </c>
      <c r="CD1715">
        <v>7480</v>
      </c>
      <c r="CE1715" t="s">
        <v>239</v>
      </c>
      <c r="CF1715" s="3">
        <v>45854</v>
      </c>
      <c r="CI1715">
        <v>1</v>
      </c>
      <c r="CJ1715">
        <v>1</v>
      </c>
      <c r="CK1715">
        <v>21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"080066534992"</f>
        <v>080066534992</v>
      </c>
      <c r="F1716" s="3">
        <v>45852</v>
      </c>
      <c r="G1716">
        <v>202604</v>
      </c>
      <c r="H1716" t="s">
        <v>75</v>
      </c>
      <c r="I1716" t="s">
        <v>76</v>
      </c>
      <c r="J1716" t="s">
        <v>77</v>
      </c>
      <c r="K1716" t="s">
        <v>78</v>
      </c>
      <c r="L1716" t="s">
        <v>146</v>
      </c>
      <c r="M1716" t="s">
        <v>146</v>
      </c>
      <c r="N1716" t="s">
        <v>986</v>
      </c>
      <c r="O1716" t="s">
        <v>82</v>
      </c>
      <c r="P1716" t="str">
        <f>"4170048418                    "</f>
        <v xml:space="preserve">4170048418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43.78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137.94</v>
      </c>
      <c r="BM1716">
        <v>20.69</v>
      </c>
      <c r="BN1716">
        <v>158.63</v>
      </c>
      <c r="BO1716">
        <v>158.63</v>
      </c>
      <c r="BQ1716" t="s">
        <v>987</v>
      </c>
      <c r="BR1716" t="s">
        <v>84</v>
      </c>
      <c r="BS1716" s="3">
        <v>45853</v>
      </c>
      <c r="BT1716" s="4">
        <v>0.50694444444444442</v>
      </c>
      <c r="BU1716" t="s">
        <v>635</v>
      </c>
      <c r="BV1716" t="s">
        <v>98</v>
      </c>
      <c r="BY1716">
        <v>1200</v>
      </c>
      <c r="BZ1716" t="s">
        <v>89</v>
      </c>
      <c r="CA1716" t="s">
        <v>2309</v>
      </c>
      <c r="CC1716" t="s">
        <v>146</v>
      </c>
      <c r="CD1716">
        <v>7646</v>
      </c>
      <c r="CE1716" t="s">
        <v>239</v>
      </c>
      <c r="CF1716" s="3">
        <v>45854</v>
      </c>
      <c r="CI1716">
        <v>1</v>
      </c>
      <c r="CJ1716">
        <v>1</v>
      </c>
      <c r="CK1716">
        <v>23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"080066535060"</f>
        <v>080066535060</v>
      </c>
      <c r="F1717" s="3">
        <v>45852</v>
      </c>
      <c r="G1717">
        <v>202604</v>
      </c>
      <c r="H1717" t="s">
        <v>75</v>
      </c>
      <c r="I1717" t="s">
        <v>76</v>
      </c>
      <c r="J1717" t="s">
        <v>77</v>
      </c>
      <c r="K1717" t="s">
        <v>78</v>
      </c>
      <c r="L1717" t="s">
        <v>197</v>
      </c>
      <c r="M1717" t="s">
        <v>198</v>
      </c>
      <c r="N1717" t="s">
        <v>1192</v>
      </c>
      <c r="O1717" t="s">
        <v>82</v>
      </c>
      <c r="P1717" t="str">
        <f>"4170048537                    "</f>
        <v xml:space="preserve">4170048537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17.649999999999999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55.61</v>
      </c>
      <c r="BM1717">
        <v>8.34</v>
      </c>
      <c r="BN1717">
        <v>63.95</v>
      </c>
      <c r="BO1717">
        <v>63.95</v>
      </c>
      <c r="BQ1717" t="s">
        <v>1193</v>
      </c>
      <c r="BR1717" t="s">
        <v>84</v>
      </c>
      <c r="BS1717" s="3">
        <v>45853</v>
      </c>
      <c r="BT1717" s="4">
        <v>0.47430555555555554</v>
      </c>
      <c r="BU1717" t="s">
        <v>1194</v>
      </c>
      <c r="BV1717" t="s">
        <v>86</v>
      </c>
      <c r="BY1717">
        <v>1140</v>
      </c>
      <c r="BZ1717" t="s">
        <v>89</v>
      </c>
      <c r="CC1717" t="s">
        <v>198</v>
      </c>
      <c r="CD1717">
        <v>1428</v>
      </c>
      <c r="CE1717" t="s">
        <v>214</v>
      </c>
      <c r="CF1717" s="3">
        <v>45853</v>
      </c>
      <c r="CI1717">
        <v>1</v>
      </c>
      <c r="CJ1717">
        <v>1</v>
      </c>
      <c r="CK1717">
        <v>22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"080066535123"</f>
        <v>080066535123</v>
      </c>
      <c r="F1718" s="3">
        <v>45852</v>
      </c>
      <c r="G1718">
        <v>202604</v>
      </c>
      <c r="H1718" t="s">
        <v>75</v>
      </c>
      <c r="I1718" t="s">
        <v>76</v>
      </c>
      <c r="J1718" t="s">
        <v>77</v>
      </c>
      <c r="K1718" t="s">
        <v>78</v>
      </c>
      <c r="L1718" t="s">
        <v>329</v>
      </c>
      <c r="M1718" t="s">
        <v>330</v>
      </c>
      <c r="N1718" t="s">
        <v>331</v>
      </c>
      <c r="O1718" t="s">
        <v>82</v>
      </c>
      <c r="P1718" t="str">
        <f>"4170048427                    "</f>
        <v xml:space="preserve">4170048427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43.78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137.94</v>
      </c>
      <c r="BM1718">
        <v>20.69</v>
      </c>
      <c r="BN1718">
        <v>158.63</v>
      </c>
      <c r="BO1718">
        <v>158.63</v>
      </c>
      <c r="BQ1718" t="s">
        <v>332</v>
      </c>
      <c r="BR1718" t="s">
        <v>84</v>
      </c>
      <c r="BS1718" s="3">
        <v>45853</v>
      </c>
      <c r="BT1718" s="4">
        <v>0.39444444444444443</v>
      </c>
      <c r="BU1718" t="s">
        <v>333</v>
      </c>
      <c r="BV1718" t="s">
        <v>98</v>
      </c>
      <c r="BY1718">
        <v>1200</v>
      </c>
      <c r="BZ1718" t="s">
        <v>89</v>
      </c>
      <c r="CA1718" t="s">
        <v>1153</v>
      </c>
      <c r="CC1718" t="s">
        <v>330</v>
      </c>
      <c r="CD1718">
        <v>6300</v>
      </c>
      <c r="CE1718" t="s">
        <v>239</v>
      </c>
      <c r="CF1718" s="3">
        <v>45853</v>
      </c>
      <c r="CI1718">
        <v>2</v>
      </c>
      <c r="CJ1718">
        <v>1</v>
      </c>
      <c r="CK1718">
        <v>23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"080066535185"</f>
        <v>080066535185</v>
      </c>
      <c r="F1719" s="3">
        <v>45852</v>
      </c>
      <c r="G1719">
        <v>202604</v>
      </c>
      <c r="H1719" t="s">
        <v>75</v>
      </c>
      <c r="I1719" t="s">
        <v>76</v>
      </c>
      <c r="J1719" t="s">
        <v>77</v>
      </c>
      <c r="K1719" t="s">
        <v>78</v>
      </c>
      <c r="L1719" t="s">
        <v>79</v>
      </c>
      <c r="M1719" t="s">
        <v>80</v>
      </c>
      <c r="N1719" t="s">
        <v>1775</v>
      </c>
      <c r="O1719" t="s">
        <v>82</v>
      </c>
      <c r="P1719" t="str">
        <f>"4170048451                    "</f>
        <v xml:space="preserve">4170048451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22.6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71.2</v>
      </c>
      <c r="BM1719">
        <v>10.68</v>
      </c>
      <c r="BN1719">
        <v>81.88</v>
      </c>
      <c r="BO1719">
        <v>81.88</v>
      </c>
      <c r="BQ1719" t="s">
        <v>1776</v>
      </c>
      <c r="BR1719" t="s">
        <v>84</v>
      </c>
      <c r="BS1719" s="3">
        <v>45853</v>
      </c>
      <c r="BT1719" s="4">
        <v>0.38194444444444442</v>
      </c>
      <c r="BU1719" t="s">
        <v>2310</v>
      </c>
      <c r="BV1719" t="s">
        <v>98</v>
      </c>
      <c r="BY1719">
        <v>1200</v>
      </c>
      <c r="BZ1719" t="s">
        <v>89</v>
      </c>
      <c r="CA1719" t="s">
        <v>2311</v>
      </c>
      <c r="CC1719" t="s">
        <v>80</v>
      </c>
      <c r="CD1719">
        <v>7530</v>
      </c>
      <c r="CE1719" t="s">
        <v>239</v>
      </c>
      <c r="CF1719" s="3">
        <v>45854</v>
      </c>
      <c r="CI1719">
        <v>1</v>
      </c>
      <c r="CJ1719">
        <v>1</v>
      </c>
      <c r="CK1719">
        <v>21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"080066535221"</f>
        <v>080066535221</v>
      </c>
      <c r="F1720" s="3">
        <v>45852</v>
      </c>
      <c r="G1720">
        <v>202604</v>
      </c>
      <c r="H1720" t="s">
        <v>75</v>
      </c>
      <c r="I1720" t="s">
        <v>76</v>
      </c>
      <c r="J1720" t="s">
        <v>77</v>
      </c>
      <c r="K1720" t="s">
        <v>78</v>
      </c>
      <c r="L1720" t="s">
        <v>146</v>
      </c>
      <c r="M1720" t="s">
        <v>146</v>
      </c>
      <c r="N1720" t="s">
        <v>147</v>
      </c>
      <c r="O1720" t="s">
        <v>82</v>
      </c>
      <c r="P1720" t="str">
        <f>"4170048479                    "</f>
        <v xml:space="preserve">4170048479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43.78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137.94</v>
      </c>
      <c r="BM1720">
        <v>20.69</v>
      </c>
      <c r="BN1720">
        <v>158.63</v>
      </c>
      <c r="BO1720">
        <v>158.63</v>
      </c>
      <c r="BQ1720" t="s">
        <v>764</v>
      </c>
      <c r="BR1720" t="s">
        <v>84</v>
      </c>
      <c r="BS1720" s="3">
        <v>45853</v>
      </c>
      <c r="BT1720" s="4">
        <v>0.49652777777777779</v>
      </c>
      <c r="BU1720" t="s">
        <v>149</v>
      </c>
      <c r="BV1720" t="s">
        <v>98</v>
      </c>
      <c r="BY1720">
        <v>1200</v>
      </c>
      <c r="BZ1720" t="s">
        <v>89</v>
      </c>
      <c r="CA1720" t="s">
        <v>2309</v>
      </c>
      <c r="CC1720" t="s">
        <v>146</v>
      </c>
      <c r="CD1720">
        <v>7646</v>
      </c>
      <c r="CE1720" t="s">
        <v>239</v>
      </c>
      <c r="CF1720" s="3">
        <v>45854</v>
      </c>
      <c r="CI1720">
        <v>1</v>
      </c>
      <c r="CJ1720">
        <v>1</v>
      </c>
      <c r="CK1720">
        <v>23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"080066535282"</f>
        <v>080066535282</v>
      </c>
      <c r="F1721" s="3">
        <v>45852</v>
      </c>
      <c r="G1721">
        <v>202604</v>
      </c>
      <c r="H1721" t="s">
        <v>75</v>
      </c>
      <c r="I1721" t="s">
        <v>76</v>
      </c>
      <c r="J1721" t="s">
        <v>77</v>
      </c>
      <c r="K1721" t="s">
        <v>78</v>
      </c>
      <c r="L1721" t="s">
        <v>1882</v>
      </c>
      <c r="M1721" t="s">
        <v>1883</v>
      </c>
      <c r="N1721" t="s">
        <v>1884</v>
      </c>
      <c r="O1721" t="s">
        <v>82</v>
      </c>
      <c r="P1721" t="str">
        <f>"4170048508                    "</f>
        <v xml:space="preserve">4170048508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43.78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137.94</v>
      </c>
      <c r="BM1721">
        <v>20.69</v>
      </c>
      <c r="BN1721">
        <v>158.63</v>
      </c>
      <c r="BO1721">
        <v>158.63</v>
      </c>
      <c r="BQ1721" t="s">
        <v>1885</v>
      </c>
      <c r="BR1721" t="s">
        <v>84</v>
      </c>
      <c r="BS1721" s="3">
        <v>45853</v>
      </c>
      <c r="BT1721" s="4">
        <v>0.41666666666666669</v>
      </c>
      <c r="BU1721" t="s">
        <v>2312</v>
      </c>
      <c r="BV1721" t="s">
        <v>98</v>
      </c>
      <c r="BY1721">
        <v>1200</v>
      </c>
      <c r="BZ1721" t="s">
        <v>1887</v>
      </c>
      <c r="CA1721" t="s">
        <v>1888</v>
      </c>
      <c r="CC1721" t="s">
        <v>1883</v>
      </c>
      <c r="CD1721">
        <v>3236</v>
      </c>
      <c r="CE1721" t="s">
        <v>239</v>
      </c>
      <c r="CF1721" s="3">
        <v>45854</v>
      </c>
      <c r="CI1721">
        <v>5</v>
      </c>
      <c r="CJ1721">
        <v>1</v>
      </c>
      <c r="CK1721">
        <v>23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"080066535309"</f>
        <v>080066535309</v>
      </c>
      <c r="F1722" s="3">
        <v>45852</v>
      </c>
      <c r="G1722">
        <v>202604</v>
      </c>
      <c r="H1722" t="s">
        <v>75</v>
      </c>
      <c r="I1722" t="s">
        <v>76</v>
      </c>
      <c r="J1722" t="s">
        <v>77</v>
      </c>
      <c r="K1722" t="s">
        <v>78</v>
      </c>
      <c r="L1722" t="s">
        <v>92</v>
      </c>
      <c r="M1722" t="s">
        <v>93</v>
      </c>
      <c r="N1722" t="s">
        <v>1893</v>
      </c>
      <c r="O1722" t="s">
        <v>82</v>
      </c>
      <c r="P1722" t="str">
        <f>"4170048477                    "</f>
        <v xml:space="preserve">4170048477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22.6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71.2</v>
      </c>
      <c r="BM1722">
        <v>10.68</v>
      </c>
      <c r="BN1722">
        <v>81.88</v>
      </c>
      <c r="BO1722">
        <v>81.88</v>
      </c>
      <c r="BQ1722" t="s">
        <v>1894</v>
      </c>
      <c r="BR1722" t="s">
        <v>84</v>
      </c>
      <c r="BS1722" s="3">
        <v>45853</v>
      </c>
      <c r="BT1722" s="4">
        <v>0.66041666666666665</v>
      </c>
      <c r="BU1722" t="s">
        <v>2023</v>
      </c>
      <c r="BV1722" t="s">
        <v>86</v>
      </c>
      <c r="BW1722" t="s">
        <v>194</v>
      </c>
      <c r="BX1722" t="s">
        <v>739</v>
      </c>
      <c r="BY1722">
        <v>1200</v>
      </c>
      <c r="BZ1722" t="s">
        <v>89</v>
      </c>
      <c r="CA1722" t="s">
        <v>2024</v>
      </c>
      <c r="CC1722" t="s">
        <v>93</v>
      </c>
      <c r="CD1722">
        <v>4001</v>
      </c>
      <c r="CE1722" t="s">
        <v>239</v>
      </c>
      <c r="CF1722" s="3">
        <v>45853</v>
      </c>
      <c r="CI1722">
        <v>1</v>
      </c>
      <c r="CJ1722">
        <v>1</v>
      </c>
      <c r="CK1722">
        <v>21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"080066535346"</f>
        <v>080066535346</v>
      </c>
      <c r="F1723" s="3">
        <v>45852</v>
      </c>
      <c r="G1723">
        <v>202604</v>
      </c>
      <c r="H1723" t="s">
        <v>75</v>
      </c>
      <c r="I1723" t="s">
        <v>76</v>
      </c>
      <c r="J1723" t="s">
        <v>77</v>
      </c>
      <c r="K1723" t="s">
        <v>78</v>
      </c>
      <c r="L1723" t="s">
        <v>92</v>
      </c>
      <c r="M1723" t="s">
        <v>93</v>
      </c>
      <c r="N1723" t="s">
        <v>749</v>
      </c>
      <c r="O1723" t="s">
        <v>82</v>
      </c>
      <c r="P1723" t="str">
        <f>"4170048509                    "</f>
        <v xml:space="preserve">4170048509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22.6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71.2</v>
      </c>
      <c r="BM1723">
        <v>10.68</v>
      </c>
      <c r="BN1723">
        <v>81.88</v>
      </c>
      <c r="BO1723">
        <v>81.88</v>
      </c>
      <c r="BQ1723" t="s">
        <v>750</v>
      </c>
      <c r="BR1723" t="s">
        <v>84</v>
      </c>
      <c r="BS1723" s="3">
        <v>45853</v>
      </c>
      <c r="BT1723" s="4">
        <v>0.41805555555555557</v>
      </c>
      <c r="BU1723" t="s">
        <v>751</v>
      </c>
      <c r="BV1723" t="s">
        <v>98</v>
      </c>
      <c r="BY1723">
        <v>1200</v>
      </c>
      <c r="BZ1723" t="s">
        <v>89</v>
      </c>
      <c r="CA1723" t="s">
        <v>491</v>
      </c>
      <c r="CC1723" t="s">
        <v>93</v>
      </c>
      <c r="CD1723">
        <v>4001</v>
      </c>
      <c r="CE1723" t="s">
        <v>239</v>
      </c>
      <c r="CF1723" s="3">
        <v>45853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"080066535395"</f>
        <v>080066535395</v>
      </c>
      <c r="F1724" s="3">
        <v>45852</v>
      </c>
      <c r="G1724">
        <v>202604</v>
      </c>
      <c r="H1724" t="s">
        <v>75</v>
      </c>
      <c r="I1724" t="s">
        <v>76</v>
      </c>
      <c r="J1724" t="s">
        <v>77</v>
      </c>
      <c r="K1724" t="s">
        <v>78</v>
      </c>
      <c r="L1724" t="s">
        <v>79</v>
      </c>
      <c r="M1724" t="s">
        <v>80</v>
      </c>
      <c r="N1724" t="s">
        <v>1996</v>
      </c>
      <c r="O1724" t="s">
        <v>82</v>
      </c>
      <c r="P1724" t="str">
        <f>"4170048489                    "</f>
        <v xml:space="preserve">4170048489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71.2</v>
      </c>
      <c r="BM1724">
        <v>10.68</v>
      </c>
      <c r="BN1724">
        <v>81.88</v>
      </c>
      <c r="BO1724">
        <v>81.88</v>
      </c>
      <c r="BQ1724" t="s">
        <v>1997</v>
      </c>
      <c r="BR1724" t="s">
        <v>84</v>
      </c>
      <c r="BS1724" s="3">
        <v>45853</v>
      </c>
      <c r="BT1724" s="4">
        <v>0.40069444444444446</v>
      </c>
      <c r="BU1724" t="s">
        <v>2313</v>
      </c>
      <c r="BV1724" t="s">
        <v>98</v>
      </c>
      <c r="BY1724">
        <v>1200</v>
      </c>
      <c r="BZ1724" t="s">
        <v>89</v>
      </c>
      <c r="CA1724" t="s">
        <v>658</v>
      </c>
      <c r="CC1724" t="s">
        <v>80</v>
      </c>
      <c r="CD1724">
        <v>7405</v>
      </c>
      <c r="CE1724" t="s">
        <v>239</v>
      </c>
      <c r="CF1724" s="3">
        <v>45854</v>
      </c>
      <c r="CI1724">
        <v>1</v>
      </c>
      <c r="CJ1724">
        <v>1</v>
      </c>
      <c r="CK1724">
        <v>21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"080066535443"</f>
        <v>080066535443</v>
      </c>
      <c r="F1725" s="3">
        <v>45852</v>
      </c>
      <c r="G1725">
        <v>202604</v>
      </c>
      <c r="H1725" t="s">
        <v>75</v>
      </c>
      <c r="I1725" t="s">
        <v>76</v>
      </c>
      <c r="J1725" t="s">
        <v>77</v>
      </c>
      <c r="K1725" t="s">
        <v>78</v>
      </c>
      <c r="L1725" t="s">
        <v>92</v>
      </c>
      <c r="M1725" t="s">
        <v>93</v>
      </c>
      <c r="N1725" t="s">
        <v>749</v>
      </c>
      <c r="O1725" t="s">
        <v>82</v>
      </c>
      <c r="P1725" t="str">
        <f>"4170048414                    "</f>
        <v xml:space="preserve">4170048414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22.6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1.1000000000000001</v>
      </c>
      <c r="BK1725">
        <v>1.5</v>
      </c>
      <c r="BL1725">
        <v>71.2</v>
      </c>
      <c r="BM1725">
        <v>10.68</v>
      </c>
      <c r="BN1725">
        <v>81.88</v>
      </c>
      <c r="BO1725">
        <v>81.88</v>
      </c>
      <c r="BQ1725" t="s">
        <v>750</v>
      </c>
      <c r="BR1725" t="s">
        <v>84</v>
      </c>
      <c r="BS1725" s="3">
        <v>45853</v>
      </c>
      <c r="BT1725" s="4">
        <v>0.41805555555555557</v>
      </c>
      <c r="BU1725" t="s">
        <v>751</v>
      </c>
      <c r="BV1725" t="s">
        <v>98</v>
      </c>
      <c r="BY1725">
        <v>5320</v>
      </c>
      <c r="BZ1725" t="s">
        <v>89</v>
      </c>
      <c r="CA1725" t="s">
        <v>491</v>
      </c>
      <c r="CC1725" t="s">
        <v>93</v>
      </c>
      <c r="CD1725">
        <v>4001</v>
      </c>
      <c r="CE1725" t="s">
        <v>117</v>
      </c>
      <c r="CF1725" s="3">
        <v>45853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"080066535505"</f>
        <v>080066535505</v>
      </c>
      <c r="F1726" s="3">
        <v>45852</v>
      </c>
      <c r="G1726">
        <v>202604</v>
      </c>
      <c r="H1726" t="s">
        <v>75</v>
      </c>
      <c r="I1726" t="s">
        <v>76</v>
      </c>
      <c r="J1726" t="s">
        <v>77</v>
      </c>
      <c r="K1726" t="s">
        <v>78</v>
      </c>
      <c r="L1726" t="s">
        <v>503</v>
      </c>
      <c r="M1726" t="s">
        <v>504</v>
      </c>
      <c r="N1726" t="s">
        <v>505</v>
      </c>
      <c r="O1726" t="s">
        <v>82</v>
      </c>
      <c r="P1726" t="str">
        <f>"4170048423                    "</f>
        <v xml:space="preserve">4170048423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43.78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1.1000000000000001</v>
      </c>
      <c r="BK1726">
        <v>1.5</v>
      </c>
      <c r="BL1726">
        <v>137.94</v>
      </c>
      <c r="BM1726">
        <v>20.69</v>
      </c>
      <c r="BN1726">
        <v>158.63</v>
      </c>
      <c r="BO1726">
        <v>158.63</v>
      </c>
      <c r="BQ1726" t="s">
        <v>506</v>
      </c>
      <c r="BR1726" t="s">
        <v>84</v>
      </c>
      <c r="BS1726" s="3">
        <v>45853</v>
      </c>
      <c r="BT1726" s="4">
        <v>0.46458333333333335</v>
      </c>
      <c r="BU1726" t="s">
        <v>507</v>
      </c>
      <c r="BV1726" t="s">
        <v>98</v>
      </c>
      <c r="BY1726">
        <v>5320</v>
      </c>
      <c r="BZ1726" t="s">
        <v>89</v>
      </c>
      <c r="CA1726" t="s">
        <v>508</v>
      </c>
      <c r="CC1726" t="s">
        <v>504</v>
      </c>
      <c r="CD1726">
        <v>7130</v>
      </c>
      <c r="CE1726" t="s">
        <v>117</v>
      </c>
      <c r="CF1726" s="3">
        <v>45854</v>
      </c>
      <c r="CI1726">
        <v>1</v>
      </c>
      <c r="CJ1726">
        <v>1</v>
      </c>
      <c r="CK1726">
        <v>23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"080066535553"</f>
        <v>080066535553</v>
      </c>
      <c r="F1727" s="3">
        <v>45852</v>
      </c>
      <c r="G1727">
        <v>202604</v>
      </c>
      <c r="H1727" t="s">
        <v>75</v>
      </c>
      <c r="I1727" t="s">
        <v>76</v>
      </c>
      <c r="J1727" t="s">
        <v>77</v>
      </c>
      <c r="K1727" t="s">
        <v>78</v>
      </c>
      <c r="L1727" t="s">
        <v>240</v>
      </c>
      <c r="M1727" t="s">
        <v>241</v>
      </c>
      <c r="N1727" t="s">
        <v>2314</v>
      </c>
      <c r="O1727" t="s">
        <v>82</v>
      </c>
      <c r="P1727" t="str">
        <f>"4170048492                    "</f>
        <v xml:space="preserve">4170048492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17.649999999999999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1.1000000000000001</v>
      </c>
      <c r="BK1727">
        <v>2</v>
      </c>
      <c r="BL1727">
        <v>55.61</v>
      </c>
      <c r="BM1727">
        <v>8.34</v>
      </c>
      <c r="BN1727">
        <v>63.95</v>
      </c>
      <c r="BO1727">
        <v>63.95</v>
      </c>
      <c r="BQ1727" t="s">
        <v>2315</v>
      </c>
      <c r="BR1727" t="s">
        <v>84</v>
      </c>
      <c r="BS1727" s="3">
        <v>45853</v>
      </c>
      <c r="BT1727" s="4">
        <v>0.39513888888888887</v>
      </c>
      <c r="BU1727" t="s">
        <v>2316</v>
      </c>
      <c r="BV1727" t="s">
        <v>98</v>
      </c>
      <c r="BY1727">
        <v>5320</v>
      </c>
      <c r="BZ1727" t="s">
        <v>89</v>
      </c>
      <c r="CA1727" t="s">
        <v>451</v>
      </c>
      <c r="CC1727" t="s">
        <v>241</v>
      </c>
      <c r="CD1727">
        <v>2094</v>
      </c>
      <c r="CE1727" t="s">
        <v>117</v>
      </c>
      <c r="CF1727" s="3">
        <v>45854</v>
      </c>
      <c r="CI1727">
        <v>1</v>
      </c>
      <c r="CJ1727">
        <v>1</v>
      </c>
      <c r="CK1727">
        <v>22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"080066536458"</f>
        <v>080066536458</v>
      </c>
      <c r="F1728" s="3">
        <v>45852</v>
      </c>
      <c r="G1728">
        <v>202604</v>
      </c>
      <c r="H1728" t="s">
        <v>75</v>
      </c>
      <c r="I1728" t="s">
        <v>76</v>
      </c>
      <c r="J1728" t="s">
        <v>77</v>
      </c>
      <c r="K1728" t="s">
        <v>78</v>
      </c>
      <c r="L1728" t="s">
        <v>329</v>
      </c>
      <c r="M1728" t="s">
        <v>330</v>
      </c>
      <c r="N1728" t="s">
        <v>331</v>
      </c>
      <c r="O1728" t="s">
        <v>82</v>
      </c>
      <c r="P1728" t="str">
        <f>"4170048511                    "</f>
        <v xml:space="preserve">4170048511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43.78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1.7</v>
      </c>
      <c r="BK1728">
        <v>2</v>
      </c>
      <c r="BL1728">
        <v>137.94</v>
      </c>
      <c r="BM1728">
        <v>20.69</v>
      </c>
      <c r="BN1728">
        <v>158.63</v>
      </c>
      <c r="BO1728">
        <v>158.63</v>
      </c>
      <c r="BQ1728" t="s">
        <v>332</v>
      </c>
      <c r="BR1728" t="s">
        <v>84</v>
      </c>
      <c r="BS1728" s="3">
        <v>45853</v>
      </c>
      <c r="BT1728" s="4">
        <v>0.39444444444444443</v>
      </c>
      <c r="BU1728" t="s">
        <v>333</v>
      </c>
      <c r="BV1728" t="s">
        <v>98</v>
      </c>
      <c r="BY1728">
        <v>8550</v>
      </c>
      <c r="BZ1728" t="s">
        <v>89</v>
      </c>
      <c r="CA1728" t="s">
        <v>1153</v>
      </c>
      <c r="CC1728" t="s">
        <v>330</v>
      </c>
      <c r="CD1728">
        <v>6300</v>
      </c>
      <c r="CE1728" t="s">
        <v>117</v>
      </c>
      <c r="CF1728" s="3">
        <v>45853</v>
      </c>
      <c r="CI1728">
        <v>2</v>
      </c>
      <c r="CJ1728">
        <v>1</v>
      </c>
      <c r="CK1728">
        <v>23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"080066536523"</f>
        <v>080066536523</v>
      </c>
      <c r="F1729" s="3">
        <v>45852</v>
      </c>
      <c r="G1729">
        <v>202604</v>
      </c>
      <c r="H1729" t="s">
        <v>75</v>
      </c>
      <c r="I1729" t="s">
        <v>76</v>
      </c>
      <c r="J1729" t="s">
        <v>77</v>
      </c>
      <c r="K1729" t="s">
        <v>78</v>
      </c>
      <c r="L1729" t="s">
        <v>128</v>
      </c>
      <c r="M1729" t="s">
        <v>129</v>
      </c>
      <c r="N1729" t="s">
        <v>130</v>
      </c>
      <c r="O1729" t="s">
        <v>82</v>
      </c>
      <c r="P1729" t="str">
        <f>"4170048438                    "</f>
        <v xml:space="preserve">4170048438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43.78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0.9</v>
      </c>
      <c r="BK1729">
        <v>1</v>
      </c>
      <c r="BL1729">
        <v>137.94</v>
      </c>
      <c r="BM1729">
        <v>20.69</v>
      </c>
      <c r="BN1729">
        <v>158.63</v>
      </c>
      <c r="BO1729">
        <v>158.63</v>
      </c>
      <c r="BQ1729" t="s">
        <v>131</v>
      </c>
      <c r="BR1729" t="s">
        <v>84</v>
      </c>
      <c r="BS1729" s="3">
        <v>45853</v>
      </c>
      <c r="BT1729" s="4">
        <v>0.42638888888888887</v>
      </c>
      <c r="BU1729" t="s">
        <v>1274</v>
      </c>
      <c r="BV1729" t="s">
        <v>98</v>
      </c>
      <c r="BY1729">
        <v>4560</v>
      </c>
      <c r="BZ1729" t="s">
        <v>89</v>
      </c>
      <c r="CA1729" t="s">
        <v>133</v>
      </c>
      <c r="CC1729" t="s">
        <v>129</v>
      </c>
      <c r="CD1729" s="5" t="s">
        <v>134</v>
      </c>
      <c r="CE1729" t="s">
        <v>117</v>
      </c>
      <c r="CF1729" s="3">
        <v>45854</v>
      </c>
      <c r="CI1729">
        <v>1</v>
      </c>
      <c r="CJ1729">
        <v>1</v>
      </c>
      <c r="CK1729">
        <v>23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"080066536580"</f>
        <v>080066536580</v>
      </c>
      <c r="F1730" s="3">
        <v>45852</v>
      </c>
      <c r="G1730">
        <v>202604</v>
      </c>
      <c r="H1730" t="s">
        <v>75</v>
      </c>
      <c r="I1730" t="s">
        <v>76</v>
      </c>
      <c r="J1730" t="s">
        <v>77</v>
      </c>
      <c r="K1730" t="s">
        <v>78</v>
      </c>
      <c r="L1730" t="s">
        <v>92</v>
      </c>
      <c r="M1730" t="s">
        <v>93</v>
      </c>
      <c r="N1730" t="s">
        <v>749</v>
      </c>
      <c r="O1730" t="s">
        <v>82</v>
      </c>
      <c r="P1730" t="str">
        <f>"4170048543                    "</f>
        <v xml:space="preserve">4170048543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62.11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3</v>
      </c>
      <c r="BJ1730">
        <v>5.4</v>
      </c>
      <c r="BK1730">
        <v>5.5</v>
      </c>
      <c r="BL1730">
        <v>195.69</v>
      </c>
      <c r="BM1730">
        <v>29.35</v>
      </c>
      <c r="BN1730">
        <v>225.04</v>
      </c>
      <c r="BO1730">
        <v>225.04</v>
      </c>
      <c r="BQ1730" t="s">
        <v>750</v>
      </c>
      <c r="BR1730" t="s">
        <v>84</v>
      </c>
      <c r="BS1730" s="3">
        <v>45853</v>
      </c>
      <c r="BT1730" s="4">
        <v>0.41805555555555557</v>
      </c>
      <c r="BU1730" t="s">
        <v>751</v>
      </c>
      <c r="BV1730" t="s">
        <v>98</v>
      </c>
      <c r="BY1730">
        <v>27090</v>
      </c>
      <c r="BZ1730" t="s">
        <v>89</v>
      </c>
      <c r="CA1730" t="s">
        <v>491</v>
      </c>
      <c r="CC1730" t="s">
        <v>93</v>
      </c>
      <c r="CD1730">
        <v>4001</v>
      </c>
      <c r="CE1730" t="s">
        <v>91</v>
      </c>
      <c r="CF1730" s="3">
        <v>45853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"080066536630"</f>
        <v>080066536630</v>
      </c>
      <c r="F1731" s="3">
        <v>45852</v>
      </c>
      <c r="G1731">
        <v>202604</v>
      </c>
      <c r="H1731" t="s">
        <v>75</v>
      </c>
      <c r="I1731" t="s">
        <v>76</v>
      </c>
      <c r="J1731" t="s">
        <v>77</v>
      </c>
      <c r="K1731" t="s">
        <v>78</v>
      </c>
      <c r="L1731" t="s">
        <v>135</v>
      </c>
      <c r="M1731" t="s">
        <v>136</v>
      </c>
      <c r="N1731" t="s">
        <v>416</v>
      </c>
      <c r="O1731" t="s">
        <v>82</v>
      </c>
      <c r="P1731" t="str">
        <f>"4170048522                    "</f>
        <v xml:space="preserve">4170048522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112.92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2</v>
      </c>
      <c r="BI1731">
        <v>10</v>
      </c>
      <c r="BJ1731">
        <v>3.6</v>
      </c>
      <c r="BK1731">
        <v>10</v>
      </c>
      <c r="BL1731">
        <v>355.76</v>
      </c>
      <c r="BM1731">
        <v>53.36</v>
      </c>
      <c r="BN1731">
        <v>409.12</v>
      </c>
      <c r="BO1731">
        <v>409.12</v>
      </c>
      <c r="BQ1731" t="s">
        <v>417</v>
      </c>
      <c r="BR1731" t="s">
        <v>84</v>
      </c>
      <c r="BS1731" s="3">
        <v>45853</v>
      </c>
      <c r="BT1731" s="4">
        <v>0.41666666666666669</v>
      </c>
      <c r="BU1731" t="s">
        <v>2317</v>
      </c>
      <c r="BV1731" t="s">
        <v>98</v>
      </c>
      <c r="BY1731">
        <v>18112</v>
      </c>
      <c r="BZ1731" t="s">
        <v>89</v>
      </c>
      <c r="CA1731" t="s">
        <v>522</v>
      </c>
      <c r="CC1731" t="s">
        <v>136</v>
      </c>
      <c r="CD1731">
        <v>3201</v>
      </c>
      <c r="CE1731" t="s">
        <v>117</v>
      </c>
      <c r="CF1731" s="3">
        <v>45853</v>
      </c>
      <c r="CI1731">
        <v>1</v>
      </c>
      <c r="CJ1731">
        <v>1</v>
      </c>
      <c r="CK1731">
        <v>21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"080066536707"</f>
        <v>080066536707</v>
      </c>
      <c r="F1732" s="3">
        <v>45852</v>
      </c>
      <c r="G1732">
        <v>202604</v>
      </c>
      <c r="H1732" t="s">
        <v>75</v>
      </c>
      <c r="I1732" t="s">
        <v>76</v>
      </c>
      <c r="J1732" t="s">
        <v>77</v>
      </c>
      <c r="K1732" t="s">
        <v>78</v>
      </c>
      <c r="L1732" t="s">
        <v>305</v>
      </c>
      <c r="M1732" t="s">
        <v>306</v>
      </c>
      <c r="N1732" t="s">
        <v>640</v>
      </c>
      <c r="O1732" t="s">
        <v>82</v>
      </c>
      <c r="P1732" t="str">
        <f>"4170048460                    "</f>
        <v xml:space="preserve">4170048460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33.89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3</v>
      </c>
      <c r="BJ1732">
        <v>1.9</v>
      </c>
      <c r="BK1732">
        <v>3</v>
      </c>
      <c r="BL1732">
        <v>106.77</v>
      </c>
      <c r="BM1732">
        <v>16.02</v>
      </c>
      <c r="BN1732">
        <v>122.79</v>
      </c>
      <c r="BO1732">
        <v>122.79</v>
      </c>
      <c r="BQ1732" t="s">
        <v>641</v>
      </c>
      <c r="BR1732" t="s">
        <v>84</v>
      </c>
      <c r="BS1732" s="3">
        <v>45853</v>
      </c>
      <c r="BT1732" s="4">
        <v>0.4375</v>
      </c>
      <c r="BU1732" t="s">
        <v>2318</v>
      </c>
      <c r="BV1732" t="s">
        <v>98</v>
      </c>
      <c r="BY1732">
        <v>9600</v>
      </c>
      <c r="BZ1732" t="s">
        <v>89</v>
      </c>
      <c r="CA1732" t="s">
        <v>310</v>
      </c>
      <c r="CC1732" t="s">
        <v>306</v>
      </c>
      <c r="CD1732">
        <v>5201</v>
      </c>
      <c r="CE1732" t="s">
        <v>117</v>
      </c>
      <c r="CF1732" s="3">
        <v>45853</v>
      </c>
      <c r="CI1732">
        <v>1</v>
      </c>
      <c r="CJ1732">
        <v>1</v>
      </c>
      <c r="CK1732">
        <v>21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"080066536775"</f>
        <v>080066536775</v>
      </c>
      <c r="F1733" s="3">
        <v>45852</v>
      </c>
      <c r="G1733">
        <v>202604</v>
      </c>
      <c r="H1733" t="s">
        <v>75</v>
      </c>
      <c r="I1733" t="s">
        <v>76</v>
      </c>
      <c r="J1733" t="s">
        <v>77</v>
      </c>
      <c r="K1733" t="s">
        <v>78</v>
      </c>
      <c r="L1733" t="s">
        <v>79</v>
      </c>
      <c r="M1733" t="s">
        <v>80</v>
      </c>
      <c r="N1733" t="s">
        <v>2319</v>
      </c>
      <c r="O1733" t="s">
        <v>82</v>
      </c>
      <c r="P1733" t="str">
        <f>"4170048535                    "</f>
        <v xml:space="preserve">4170048535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22.6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1.1000000000000001</v>
      </c>
      <c r="BK1733">
        <v>1.5</v>
      </c>
      <c r="BL1733">
        <v>71.2</v>
      </c>
      <c r="BM1733">
        <v>10.68</v>
      </c>
      <c r="BN1733">
        <v>81.88</v>
      </c>
      <c r="BO1733">
        <v>81.88</v>
      </c>
      <c r="BQ1733" t="s">
        <v>2320</v>
      </c>
      <c r="BR1733" t="s">
        <v>84</v>
      </c>
      <c r="BS1733" s="3">
        <v>45853</v>
      </c>
      <c r="BT1733" s="4">
        <v>0.34861111111111109</v>
      </c>
      <c r="BU1733" t="s">
        <v>2321</v>
      </c>
      <c r="BV1733" t="s">
        <v>98</v>
      </c>
      <c r="BY1733">
        <v>5320</v>
      </c>
      <c r="BZ1733" t="s">
        <v>89</v>
      </c>
      <c r="CA1733" t="s">
        <v>289</v>
      </c>
      <c r="CC1733" t="s">
        <v>80</v>
      </c>
      <c r="CD1733">
        <v>7530</v>
      </c>
      <c r="CE1733" t="s">
        <v>117</v>
      </c>
      <c r="CF1733" s="3">
        <v>45854</v>
      </c>
      <c r="CI1733">
        <v>1</v>
      </c>
      <c r="CJ1733">
        <v>1</v>
      </c>
      <c r="CK1733">
        <v>21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"080066537145"</f>
        <v>080066537145</v>
      </c>
      <c r="F1734" s="3">
        <v>45852</v>
      </c>
      <c r="G1734">
        <v>202604</v>
      </c>
      <c r="H1734" t="s">
        <v>75</v>
      </c>
      <c r="I1734" t="s">
        <v>76</v>
      </c>
      <c r="J1734" t="s">
        <v>77</v>
      </c>
      <c r="K1734" t="s">
        <v>78</v>
      </c>
      <c r="L1734" t="s">
        <v>79</v>
      </c>
      <c r="M1734" t="s">
        <v>80</v>
      </c>
      <c r="N1734" t="s">
        <v>286</v>
      </c>
      <c r="O1734" t="s">
        <v>82</v>
      </c>
      <c r="P1734" t="str">
        <f>"4170048458                    "</f>
        <v xml:space="preserve">4170048458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22.6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71.2</v>
      </c>
      <c r="BM1734">
        <v>10.68</v>
      </c>
      <c r="BN1734">
        <v>81.88</v>
      </c>
      <c r="BO1734">
        <v>81.88</v>
      </c>
      <c r="BQ1734" t="s">
        <v>287</v>
      </c>
      <c r="BR1734" t="s">
        <v>84</v>
      </c>
      <c r="BS1734" s="3">
        <v>45853</v>
      </c>
      <c r="BT1734" s="4">
        <v>0.32291666666666669</v>
      </c>
      <c r="BU1734" t="s">
        <v>2322</v>
      </c>
      <c r="BV1734" t="s">
        <v>98</v>
      </c>
      <c r="BY1734">
        <v>1200</v>
      </c>
      <c r="BZ1734" t="s">
        <v>89</v>
      </c>
      <c r="CA1734" t="s">
        <v>289</v>
      </c>
      <c r="CC1734" t="s">
        <v>80</v>
      </c>
      <c r="CD1734">
        <v>7530</v>
      </c>
      <c r="CE1734" t="s">
        <v>239</v>
      </c>
      <c r="CF1734" s="3">
        <v>45854</v>
      </c>
      <c r="CI1734">
        <v>1</v>
      </c>
      <c r="CJ1734">
        <v>1</v>
      </c>
      <c r="CK1734">
        <v>21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"080066537185"</f>
        <v>080066537185</v>
      </c>
      <c r="F1735" s="3">
        <v>45852</v>
      </c>
      <c r="G1735">
        <v>202604</v>
      </c>
      <c r="H1735" t="s">
        <v>75</v>
      </c>
      <c r="I1735" t="s">
        <v>76</v>
      </c>
      <c r="J1735" t="s">
        <v>77</v>
      </c>
      <c r="K1735" t="s">
        <v>78</v>
      </c>
      <c r="L1735" t="s">
        <v>305</v>
      </c>
      <c r="M1735" t="s">
        <v>306</v>
      </c>
      <c r="N1735" t="s">
        <v>640</v>
      </c>
      <c r="O1735" t="s">
        <v>82</v>
      </c>
      <c r="P1735" t="str">
        <f>"4170048440                    "</f>
        <v xml:space="preserve">4170048440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22.6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0.3</v>
      </c>
      <c r="BK1735">
        <v>1</v>
      </c>
      <c r="BL1735">
        <v>71.2</v>
      </c>
      <c r="BM1735">
        <v>10.68</v>
      </c>
      <c r="BN1735">
        <v>81.88</v>
      </c>
      <c r="BO1735">
        <v>81.88</v>
      </c>
      <c r="BQ1735" t="s">
        <v>641</v>
      </c>
      <c r="BR1735" t="s">
        <v>84</v>
      </c>
      <c r="BS1735" s="3">
        <v>45853</v>
      </c>
      <c r="BT1735" s="4">
        <v>0.4375</v>
      </c>
      <c r="BU1735" t="s">
        <v>2318</v>
      </c>
      <c r="BV1735" t="s">
        <v>98</v>
      </c>
      <c r="BY1735">
        <v>1350</v>
      </c>
      <c r="BZ1735" t="s">
        <v>89</v>
      </c>
      <c r="CA1735" t="s">
        <v>310</v>
      </c>
      <c r="CC1735" t="s">
        <v>306</v>
      </c>
      <c r="CD1735">
        <v>5201</v>
      </c>
      <c r="CE1735" t="s">
        <v>1868</v>
      </c>
      <c r="CF1735" s="3">
        <v>45853</v>
      </c>
      <c r="CI1735">
        <v>1</v>
      </c>
      <c r="CJ1735">
        <v>1</v>
      </c>
      <c r="CK1735">
        <v>21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"080066537242"</f>
        <v>080066537242</v>
      </c>
      <c r="F1736" s="3">
        <v>45852</v>
      </c>
      <c r="G1736">
        <v>202604</v>
      </c>
      <c r="H1736" t="s">
        <v>75</v>
      </c>
      <c r="I1736" t="s">
        <v>76</v>
      </c>
      <c r="J1736" t="s">
        <v>77</v>
      </c>
      <c r="K1736" t="s">
        <v>78</v>
      </c>
      <c r="L1736" t="s">
        <v>151</v>
      </c>
      <c r="M1736" t="s">
        <v>152</v>
      </c>
      <c r="N1736" t="s">
        <v>500</v>
      </c>
      <c r="O1736" t="s">
        <v>82</v>
      </c>
      <c r="P1736" t="str">
        <f>"4170048540                    "</f>
        <v xml:space="preserve">4170048540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22.6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71.2</v>
      </c>
      <c r="BM1736">
        <v>10.68</v>
      </c>
      <c r="BN1736">
        <v>81.88</v>
      </c>
      <c r="BO1736">
        <v>81.88</v>
      </c>
      <c r="BQ1736" t="s">
        <v>501</v>
      </c>
      <c r="BR1736" t="s">
        <v>84</v>
      </c>
      <c r="BS1736" s="3">
        <v>45853</v>
      </c>
      <c r="BT1736" s="4">
        <v>0.43611111111111112</v>
      </c>
      <c r="BU1736" t="s">
        <v>1722</v>
      </c>
      <c r="BV1736" t="s">
        <v>98</v>
      </c>
      <c r="BY1736">
        <v>1200</v>
      </c>
      <c r="BZ1736" t="s">
        <v>89</v>
      </c>
      <c r="CA1736" t="s">
        <v>388</v>
      </c>
      <c r="CC1736" t="s">
        <v>152</v>
      </c>
      <c r="CD1736" s="5" t="s">
        <v>157</v>
      </c>
      <c r="CE1736" t="s">
        <v>239</v>
      </c>
      <c r="CF1736" s="3">
        <v>45853</v>
      </c>
      <c r="CI1736">
        <v>1</v>
      </c>
      <c r="CJ1736">
        <v>1</v>
      </c>
      <c r="CK1736">
        <v>21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"080066537257"</f>
        <v>080066537257</v>
      </c>
      <c r="F1737" s="3">
        <v>45852</v>
      </c>
      <c r="G1737">
        <v>202604</v>
      </c>
      <c r="H1737" t="s">
        <v>75</v>
      </c>
      <c r="I1737" t="s">
        <v>76</v>
      </c>
      <c r="J1737" t="s">
        <v>77</v>
      </c>
      <c r="K1737" t="s">
        <v>78</v>
      </c>
      <c r="L1737" t="s">
        <v>168</v>
      </c>
      <c r="M1737" t="s">
        <v>169</v>
      </c>
      <c r="N1737" t="s">
        <v>206</v>
      </c>
      <c r="O1737" t="s">
        <v>82</v>
      </c>
      <c r="P1737" t="str">
        <f>"4170048533                    "</f>
        <v xml:space="preserve">4170048533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22.6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0.3</v>
      </c>
      <c r="BK1737">
        <v>1</v>
      </c>
      <c r="BL1737">
        <v>71.2</v>
      </c>
      <c r="BM1737">
        <v>10.68</v>
      </c>
      <c r="BN1737">
        <v>81.88</v>
      </c>
      <c r="BO1737">
        <v>81.88</v>
      </c>
      <c r="BQ1737" t="s">
        <v>207</v>
      </c>
      <c r="BR1737" t="s">
        <v>84</v>
      </c>
      <c r="BS1737" s="3">
        <v>45853</v>
      </c>
      <c r="BT1737" s="4">
        <v>0.37569444444444444</v>
      </c>
      <c r="BU1737" t="s">
        <v>208</v>
      </c>
      <c r="BV1737" t="s">
        <v>98</v>
      </c>
      <c r="BY1737">
        <v>1350</v>
      </c>
      <c r="BZ1737" t="s">
        <v>89</v>
      </c>
      <c r="CA1737" t="s">
        <v>196</v>
      </c>
      <c r="CC1737" t="s">
        <v>169</v>
      </c>
      <c r="CD1737">
        <v>6001</v>
      </c>
      <c r="CE1737" t="s">
        <v>1868</v>
      </c>
      <c r="CF1737" s="3">
        <v>45853</v>
      </c>
      <c r="CI1737">
        <v>1</v>
      </c>
      <c r="CJ1737">
        <v>1</v>
      </c>
      <c r="CK1737">
        <v>21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"080066537373"</f>
        <v>080066537373</v>
      </c>
      <c r="F1738" s="3">
        <v>45852</v>
      </c>
      <c r="G1738">
        <v>202604</v>
      </c>
      <c r="H1738" t="s">
        <v>75</v>
      </c>
      <c r="I1738" t="s">
        <v>76</v>
      </c>
      <c r="J1738" t="s">
        <v>77</v>
      </c>
      <c r="K1738" t="s">
        <v>78</v>
      </c>
      <c r="L1738" t="s">
        <v>168</v>
      </c>
      <c r="M1738" t="s">
        <v>169</v>
      </c>
      <c r="N1738" t="s">
        <v>206</v>
      </c>
      <c r="O1738" t="s">
        <v>82</v>
      </c>
      <c r="P1738" t="str">
        <f>"4170048441                    "</f>
        <v xml:space="preserve">4170048441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22.6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71.2</v>
      </c>
      <c r="BM1738">
        <v>10.68</v>
      </c>
      <c r="BN1738">
        <v>81.88</v>
      </c>
      <c r="BO1738">
        <v>81.88</v>
      </c>
      <c r="BQ1738" t="s">
        <v>207</v>
      </c>
      <c r="BR1738" t="s">
        <v>84</v>
      </c>
      <c r="BS1738" s="3">
        <v>45853</v>
      </c>
      <c r="BT1738" s="4">
        <v>0.37569444444444444</v>
      </c>
      <c r="BU1738" t="s">
        <v>208</v>
      </c>
      <c r="BV1738" t="s">
        <v>98</v>
      </c>
      <c r="BY1738">
        <v>1200</v>
      </c>
      <c r="BZ1738" t="s">
        <v>89</v>
      </c>
      <c r="CA1738" t="s">
        <v>196</v>
      </c>
      <c r="CC1738" t="s">
        <v>169</v>
      </c>
      <c r="CD1738">
        <v>6001</v>
      </c>
      <c r="CE1738" t="s">
        <v>239</v>
      </c>
      <c r="CF1738" s="3">
        <v>45853</v>
      </c>
      <c r="CI1738">
        <v>1</v>
      </c>
      <c r="CJ1738">
        <v>1</v>
      </c>
      <c r="CK1738">
        <v>21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"080066537420"</f>
        <v>080066537420</v>
      </c>
      <c r="F1739" s="3">
        <v>45852</v>
      </c>
      <c r="G1739">
        <v>202604</v>
      </c>
      <c r="H1739" t="s">
        <v>75</v>
      </c>
      <c r="I1739" t="s">
        <v>76</v>
      </c>
      <c r="J1739" t="s">
        <v>77</v>
      </c>
      <c r="K1739" t="s">
        <v>78</v>
      </c>
      <c r="L1739" t="s">
        <v>151</v>
      </c>
      <c r="M1739" t="s">
        <v>152</v>
      </c>
      <c r="N1739" t="s">
        <v>2250</v>
      </c>
      <c r="O1739" t="s">
        <v>82</v>
      </c>
      <c r="P1739" t="str">
        <f>"4170048483                    "</f>
        <v xml:space="preserve">4170048483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22.6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71.2</v>
      </c>
      <c r="BM1739">
        <v>10.68</v>
      </c>
      <c r="BN1739">
        <v>81.88</v>
      </c>
      <c r="BO1739">
        <v>81.88</v>
      </c>
      <c r="BQ1739" t="s">
        <v>2251</v>
      </c>
      <c r="BR1739" t="s">
        <v>84</v>
      </c>
      <c r="BS1739" s="3">
        <v>45853</v>
      </c>
      <c r="BT1739" s="4">
        <v>0.43055555555555558</v>
      </c>
      <c r="BU1739" t="s">
        <v>2323</v>
      </c>
      <c r="BV1739" t="s">
        <v>98</v>
      </c>
      <c r="BY1739">
        <v>1200</v>
      </c>
      <c r="BZ1739" t="s">
        <v>89</v>
      </c>
      <c r="CA1739" t="s">
        <v>518</v>
      </c>
      <c r="CC1739" t="s">
        <v>152</v>
      </c>
      <c r="CD1739" s="5" t="s">
        <v>1141</v>
      </c>
      <c r="CE1739" t="s">
        <v>239</v>
      </c>
      <c r="CF1739" s="3">
        <v>45853</v>
      </c>
      <c r="CI1739">
        <v>1</v>
      </c>
      <c r="CJ1739">
        <v>1</v>
      </c>
      <c r="CK1739">
        <v>21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"080066537455"</f>
        <v>080066537455</v>
      </c>
      <c r="F1740" s="3">
        <v>45852</v>
      </c>
      <c r="G1740">
        <v>202604</v>
      </c>
      <c r="H1740" t="s">
        <v>75</v>
      </c>
      <c r="I1740" t="s">
        <v>76</v>
      </c>
      <c r="J1740" t="s">
        <v>77</v>
      </c>
      <c r="K1740" t="s">
        <v>78</v>
      </c>
      <c r="L1740" t="s">
        <v>146</v>
      </c>
      <c r="M1740" t="s">
        <v>146</v>
      </c>
      <c r="N1740" t="s">
        <v>1134</v>
      </c>
      <c r="O1740" t="s">
        <v>82</v>
      </c>
      <c r="P1740" t="str">
        <f>"4170048541                    "</f>
        <v xml:space="preserve">4170048541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43.78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137.94</v>
      </c>
      <c r="BM1740">
        <v>20.69</v>
      </c>
      <c r="BN1740">
        <v>158.63</v>
      </c>
      <c r="BO1740">
        <v>158.63</v>
      </c>
      <c r="BQ1740" t="s">
        <v>1135</v>
      </c>
      <c r="BR1740" t="s">
        <v>84</v>
      </c>
      <c r="BS1740" s="3">
        <v>45853</v>
      </c>
      <c r="BT1740" s="4">
        <v>0.51041666666666663</v>
      </c>
      <c r="BU1740" t="s">
        <v>2324</v>
      </c>
      <c r="BV1740" t="s">
        <v>98</v>
      </c>
      <c r="BY1740">
        <v>1200</v>
      </c>
      <c r="BZ1740" t="s">
        <v>89</v>
      </c>
      <c r="CA1740" t="s">
        <v>2309</v>
      </c>
      <c r="CC1740" t="s">
        <v>146</v>
      </c>
      <c r="CD1740">
        <v>7646</v>
      </c>
      <c r="CE1740" t="s">
        <v>239</v>
      </c>
      <c r="CF1740" s="3">
        <v>45854</v>
      </c>
      <c r="CI1740">
        <v>1</v>
      </c>
      <c r="CJ1740">
        <v>1</v>
      </c>
      <c r="CK1740">
        <v>23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"080066537479"</f>
        <v>080066537479</v>
      </c>
      <c r="F1741" s="3">
        <v>45852</v>
      </c>
      <c r="G1741">
        <v>202604</v>
      </c>
      <c r="H1741" t="s">
        <v>75</v>
      </c>
      <c r="I1741" t="s">
        <v>76</v>
      </c>
      <c r="J1741" t="s">
        <v>77</v>
      </c>
      <c r="K1741" t="s">
        <v>78</v>
      </c>
      <c r="L1741" t="s">
        <v>79</v>
      </c>
      <c r="M1741" t="s">
        <v>80</v>
      </c>
      <c r="N1741" t="s">
        <v>2170</v>
      </c>
      <c r="O1741" t="s">
        <v>82</v>
      </c>
      <c r="P1741" t="str">
        <f>"4170048482                    "</f>
        <v xml:space="preserve">4170048482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22.6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0.3</v>
      </c>
      <c r="BK1741">
        <v>1</v>
      </c>
      <c r="BL1741">
        <v>71.2</v>
      </c>
      <c r="BM1741">
        <v>10.68</v>
      </c>
      <c r="BN1741">
        <v>81.88</v>
      </c>
      <c r="BO1741">
        <v>81.88</v>
      </c>
      <c r="BQ1741" t="s">
        <v>2171</v>
      </c>
      <c r="BR1741" t="s">
        <v>84</v>
      </c>
      <c r="BS1741" s="3">
        <v>45852</v>
      </c>
      <c r="BT1741" s="4">
        <v>0.41666666666666669</v>
      </c>
      <c r="BU1741" t="s">
        <v>1457</v>
      </c>
      <c r="BV1741" t="s">
        <v>98</v>
      </c>
      <c r="BY1741">
        <v>1350</v>
      </c>
      <c r="CC1741" t="s">
        <v>80</v>
      </c>
      <c r="CD1741">
        <v>7405</v>
      </c>
      <c r="CE1741" t="s">
        <v>158</v>
      </c>
      <c r="CF1741" s="3">
        <v>45860</v>
      </c>
      <c r="CI1741">
        <v>1</v>
      </c>
      <c r="CJ1741">
        <v>0</v>
      </c>
      <c r="CK1741">
        <v>21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"080066537503"</f>
        <v>080066537503</v>
      </c>
      <c r="F1742" s="3">
        <v>45852</v>
      </c>
      <c r="G1742">
        <v>202604</v>
      </c>
      <c r="H1742" t="s">
        <v>75</v>
      </c>
      <c r="I1742" t="s">
        <v>76</v>
      </c>
      <c r="J1742" t="s">
        <v>77</v>
      </c>
      <c r="K1742" t="s">
        <v>78</v>
      </c>
      <c r="L1742" t="s">
        <v>240</v>
      </c>
      <c r="M1742" t="s">
        <v>241</v>
      </c>
      <c r="N1742" t="s">
        <v>628</v>
      </c>
      <c r="O1742" t="s">
        <v>82</v>
      </c>
      <c r="P1742" t="str">
        <f>"4170048470                    "</f>
        <v xml:space="preserve">4170048470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17.649999999999999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55.61</v>
      </c>
      <c r="BM1742">
        <v>8.34</v>
      </c>
      <c r="BN1742">
        <v>63.95</v>
      </c>
      <c r="BO1742">
        <v>63.95</v>
      </c>
      <c r="BQ1742" t="s">
        <v>629</v>
      </c>
      <c r="BR1742" t="s">
        <v>84</v>
      </c>
      <c r="BS1742" s="3">
        <v>45853</v>
      </c>
      <c r="BT1742" s="4">
        <v>0.34652777777777777</v>
      </c>
      <c r="BU1742" t="s">
        <v>2325</v>
      </c>
      <c r="BV1742" t="s">
        <v>98</v>
      </c>
      <c r="BY1742">
        <v>1200</v>
      </c>
      <c r="BZ1742" t="s">
        <v>89</v>
      </c>
      <c r="CA1742" t="s">
        <v>1300</v>
      </c>
      <c r="CC1742" t="s">
        <v>241</v>
      </c>
      <c r="CD1742">
        <v>2013</v>
      </c>
      <c r="CE1742" t="s">
        <v>239</v>
      </c>
      <c r="CF1742" s="3">
        <v>45855</v>
      </c>
      <c r="CI1742">
        <v>1</v>
      </c>
      <c r="CJ1742">
        <v>1</v>
      </c>
      <c r="CK1742">
        <v>22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"080066537543"</f>
        <v>080066537543</v>
      </c>
      <c r="F1743" s="3">
        <v>45852</v>
      </c>
      <c r="G1743">
        <v>202604</v>
      </c>
      <c r="H1743" t="s">
        <v>75</v>
      </c>
      <c r="I1743" t="s">
        <v>76</v>
      </c>
      <c r="J1743" t="s">
        <v>77</v>
      </c>
      <c r="K1743" t="s">
        <v>78</v>
      </c>
      <c r="L1743" t="s">
        <v>580</v>
      </c>
      <c r="M1743" t="s">
        <v>581</v>
      </c>
      <c r="N1743" t="s">
        <v>582</v>
      </c>
      <c r="O1743" t="s">
        <v>82</v>
      </c>
      <c r="P1743" t="str">
        <f>"4170048447                    "</f>
        <v xml:space="preserve">4170048447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22.6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71.2</v>
      </c>
      <c r="BM1743">
        <v>10.68</v>
      </c>
      <c r="BN1743">
        <v>81.88</v>
      </c>
      <c r="BO1743">
        <v>81.88</v>
      </c>
      <c r="BQ1743" t="s">
        <v>583</v>
      </c>
      <c r="BR1743" t="s">
        <v>84</v>
      </c>
      <c r="BS1743" s="3">
        <v>45853</v>
      </c>
      <c r="BT1743" s="4">
        <v>0.39513888888888887</v>
      </c>
      <c r="BU1743" t="s">
        <v>584</v>
      </c>
      <c r="BV1743" t="s">
        <v>98</v>
      </c>
      <c r="BY1743">
        <v>1200</v>
      </c>
      <c r="BZ1743" t="s">
        <v>89</v>
      </c>
      <c r="CA1743" t="s">
        <v>585</v>
      </c>
      <c r="CC1743" t="s">
        <v>581</v>
      </c>
      <c r="CD1743">
        <v>4302</v>
      </c>
      <c r="CE1743" t="s">
        <v>239</v>
      </c>
      <c r="CF1743" s="3">
        <v>45853</v>
      </c>
      <c r="CI1743">
        <v>1</v>
      </c>
      <c r="CJ1743">
        <v>1</v>
      </c>
      <c r="CK1743">
        <v>21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"080066537573"</f>
        <v>080066537573</v>
      </c>
      <c r="F1744" s="3">
        <v>45852</v>
      </c>
      <c r="G1744">
        <v>202604</v>
      </c>
      <c r="H1744" t="s">
        <v>75</v>
      </c>
      <c r="I1744" t="s">
        <v>76</v>
      </c>
      <c r="J1744" t="s">
        <v>77</v>
      </c>
      <c r="K1744" t="s">
        <v>78</v>
      </c>
      <c r="L1744" t="s">
        <v>79</v>
      </c>
      <c r="M1744" t="s">
        <v>80</v>
      </c>
      <c r="N1744" t="s">
        <v>2170</v>
      </c>
      <c r="O1744" t="s">
        <v>82</v>
      </c>
      <c r="P1744" t="str">
        <f>"4170048482                    "</f>
        <v xml:space="preserve">4170048482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22.6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0.3</v>
      </c>
      <c r="BK1744">
        <v>1</v>
      </c>
      <c r="BL1744">
        <v>71.2</v>
      </c>
      <c r="BM1744">
        <v>10.68</v>
      </c>
      <c r="BN1744">
        <v>81.88</v>
      </c>
      <c r="BO1744">
        <v>81.88</v>
      </c>
      <c r="BQ1744" t="s">
        <v>2171</v>
      </c>
      <c r="BR1744" t="s">
        <v>84</v>
      </c>
      <c r="BS1744" s="3">
        <v>45853</v>
      </c>
      <c r="BT1744" s="4">
        <v>0.40138888888888891</v>
      </c>
      <c r="BU1744" t="s">
        <v>2313</v>
      </c>
      <c r="BV1744" t="s">
        <v>98</v>
      </c>
      <c r="BY1744">
        <v>1350</v>
      </c>
      <c r="BZ1744" t="s">
        <v>89</v>
      </c>
      <c r="CA1744" t="s">
        <v>658</v>
      </c>
      <c r="CC1744" t="s">
        <v>80</v>
      </c>
      <c r="CD1744">
        <v>7405</v>
      </c>
      <c r="CE1744" t="s">
        <v>1868</v>
      </c>
      <c r="CF1744" s="3">
        <v>45854</v>
      </c>
      <c r="CI1744">
        <v>1</v>
      </c>
      <c r="CJ1744">
        <v>1</v>
      </c>
      <c r="CK1744">
        <v>21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"080066537619"</f>
        <v>080066537619</v>
      </c>
      <c r="F1745" s="3">
        <v>45852</v>
      </c>
      <c r="G1745">
        <v>202604</v>
      </c>
      <c r="H1745" t="s">
        <v>75</v>
      </c>
      <c r="I1745" t="s">
        <v>76</v>
      </c>
      <c r="J1745" t="s">
        <v>77</v>
      </c>
      <c r="K1745" t="s">
        <v>78</v>
      </c>
      <c r="L1745" t="s">
        <v>79</v>
      </c>
      <c r="M1745" t="s">
        <v>80</v>
      </c>
      <c r="N1745" t="s">
        <v>286</v>
      </c>
      <c r="O1745" t="s">
        <v>82</v>
      </c>
      <c r="P1745" t="str">
        <f>"4170048506                    "</f>
        <v xml:space="preserve">4170048506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22.6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0.3</v>
      </c>
      <c r="BK1745">
        <v>1</v>
      </c>
      <c r="BL1745">
        <v>71.2</v>
      </c>
      <c r="BM1745">
        <v>10.68</v>
      </c>
      <c r="BN1745">
        <v>81.88</v>
      </c>
      <c r="BO1745">
        <v>81.88</v>
      </c>
      <c r="BQ1745" t="s">
        <v>287</v>
      </c>
      <c r="BR1745" t="s">
        <v>84</v>
      </c>
      <c r="BS1745" s="3">
        <v>45853</v>
      </c>
      <c r="BT1745" s="4">
        <v>0.32291666666666669</v>
      </c>
      <c r="BU1745" t="s">
        <v>2322</v>
      </c>
      <c r="BV1745" t="s">
        <v>98</v>
      </c>
      <c r="BY1745">
        <v>1350</v>
      </c>
      <c r="BZ1745" t="s">
        <v>89</v>
      </c>
      <c r="CA1745" t="s">
        <v>289</v>
      </c>
      <c r="CC1745" t="s">
        <v>80</v>
      </c>
      <c r="CD1745">
        <v>7530</v>
      </c>
      <c r="CE1745" t="s">
        <v>1868</v>
      </c>
      <c r="CF1745" s="3">
        <v>45854</v>
      </c>
      <c r="CI1745">
        <v>1</v>
      </c>
      <c r="CJ1745">
        <v>1</v>
      </c>
      <c r="CK1745">
        <v>21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"080066537708"</f>
        <v>080066537708</v>
      </c>
      <c r="F1746" s="3">
        <v>45852</v>
      </c>
      <c r="G1746">
        <v>202604</v>
      </c>
      <c r="H1746" t="s">
        <v>75</v>
      </c>
      <c r="I1746" t="s">
        <v>76</v>
      </c>
      <c r="J1746" t="s">
        <v>77</v>
      </c>
      <c r="K1746" t="s">
        <v>78</v>
      </c>
      <c r="L1746" t="s">
        <v>168</v>
      </c>
      <c r="M1746" t="s">
        <v>169</v>
      </c>
      <c r="N1746" t="s">
        <v>487</v>
      </c>
      <c r="O1746" t="s">
        <v>82</v>
      </c>
      <c r="P1746" t="str">
        <f>"4170048467                    "</f>
        <v xml:space="preserve">4170048467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22.6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0.3</v>
      </c>
      <c r="BK1746">
        <v>1</v>
      </c>
      <c r="BL1746">
        <v>71.2</v>
      </c>
      <c r="BM1746">
        <v>10.68</v>
      </c>
      <c r="BN1746">
        <v>81.88</v>
      </c>
      <c r="BO1746">
        <v>81.88</v>
      </c>
      <c r="BQ1746" t="s">
        <v>488</v>
      </c>
      <c r="BR1746" t="s">
        <v>84</v>
      </c>
      <c r="BS1746" s="3">
        <v>45853</v>
      </c>
      <c r="BT1746" s="4">
        <v>0.35625000000000001</v>
      </c>
      <c r="BU1746" t="s">
        <v>2326</v>
      </c>
      <c r="BV1746" t="s">
        <v>98</v>
      </c>
      <c r="BY1746">
        <v>1350</v>
      </c>
      <c r="BZ1746" t="s">
        <v>89</v>
      </c>
      <c r="CA1746" t="s">
        <v>415</v>
      </c>
      <c r="CC1746" t="s">
        <v>169</v>
      </c>
      <c r="CD1746">
        <v>6012</v>
      </c>
      <c r="CE1746" t="s">
        <v>1868</v>
      </c>
      <c r="CF1746" s="3">
        <v>45853</v>
      </c>
      <c r="CI1746">
        <v>1</v>
      </c>
      <c r="CJ1746">
        <v>1</v>
      </c>
      <c r="CK1746">
        <v>21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"080066537755"</f>
        <v>080066537755</v>
      </c>
      <c r="F1747" s="3">
        <v>45852</v>
      </c>
      <c r="G1747">
        <v>202604</v>
      </c>
      <c r="H1747" t="s">
        <v>75</v>
      </c>
      <c r="I1747" t="s">
        <v>76</v>
      </c>
      <c r="J1747" t="s">
        <v>77</v>
      </c>
      <c r="K1747" t="s">
        <v>78</v>
      </c>
      <c r="L1747" t="s">
        <v>168</v>
      </c>
      <c r="M1747" t="s">
        <v>169</v>
      </c>
      <c r="N1747" t="s">
        <v>726</v>
      </c>
      <c r="O1747" t="s">
        <v>82</v>
      </c>
      <c r="P1747" t="str">
        <f>"4170048453                    "</f>
        <v xml:space="preserve">4170048453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22.6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0.3</v>
      </c>
      <c r="BK1747">
        <v>1</v>
      </c>
      <c r="BL1747">
        <v>71.2</v>
      </c>
      <c r="BM1747">
        <v>10.68</v>
      </c>
      <c r="BN1747">
        <v>81.88</v>
      </c>
      <c r="BO1747">
        <v>81.88</v>
      </c>
      <c r="BQ1747" t="s">
        <v>727</v>
      </c>
      <c r="BR1747" t="s">
        <v>84</v>
      </c>
      <c r="BS1747" s="3">
        <v>45853</v>
      </c>
      <c r="BT1747" s="4">
        <v>0.39583333333333331</v>
      </c>
      <c r="BU1747" t="s">
        <v>2327</v>
      </c>
      <c r="BV1747" t="s">
        <v>98</v>
      </c>
      <c r="BY1747">
        <v>1350</v>
      </c>
      <c r="BZ1747" t="s">
        <v>89</v>
      </c>
      <c r="CA1747" t="s">
        <v>423</v>
      </c>
      <c r="CC1747" t="s">
        <v>169</v>
      </c>
      <c r="CD1747">
        <v>6001</v>
      </c>
      <c r="CE1747" t="s">
        <v>1868</v>
      </c>
      <c r="CF1747" s="3">
        <v>45853</v>
      </c>
      <c r="CI1747">
        <v>1</v>
      </c>
      <c r="CJ1747">
        <v>1</v>
      </c>
      <c r="CK1747">
        <v>21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"080066537804"</f>
        <v>080066537804</v>
      </c>
      <c r="F1748" s="3">
        <v>45852</v>
      </c>
      <c r="G1748">
        <v>202604</v>
      </c>
      <c r="H1748" t="s">
        <v>75</v>
      </c>
      <c r="I1748" t="s">
        <v>76</v>
      </c>
      <c r="J1748" t="s">
        <v>77</v>
      </c>
      <c r="K1748" t="s">
        <v>78</v>
      </c>
      <c r="L1748" t="s">
        <v>168</v>
      </c>
      <c r="M1748" t="s">
        <v>169</v>
      </c>
      <c r="N1748" t="s">
        <v>487</v>
      </c>
      <c r="O1748" t="s">
        <v>82</v>
      </c>
      <c r="P1748" t="str">
        <f>"4170048496                    "</f>
        <v xml:space="preserve">4170048496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22.6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0.3</v>
      </c>
      <c r="BK1748">
        <v>1</v>
      </c>
      <c r="BL1748">
        <v>71.2</v>
      </c>
      <c r="BM1748">
        <v>10.68</v>
      </c>
      <c r="BN1748">
        <v>81.88</v>
      </c>
      <c r="BO1748">
        <v>81.88</v>
      </c>
      <c r="BQ1748" t="s">
        <v>488</v>
      </c>
      <c r="BR1748" t="s">
        <v>84</v>
      </c>
      <c r="BS1748" s="3">
        <v>45853</v>
      </c>
      <c r="BT1748" s="4">
        <v>0.35625000000000001</v>
      </c>
      <c r="BU1748" t="s">
        <v>2326</v>
      </c>
      <c r="BV1748" t="s">
        <v>98</v>
      </c>
      <c r="BY1748">
        <v>1350</v>
      </c>
      <c r="BZ1748" t="s">
        <v>89</v>
      </c>
      <c r="CA1748" t="s">
        <v>415</v>
      </c>
      <c r="CC1748" t="s">
        <v>169</v>
      </c>
      <c r="CD1748">
        <v>6012</v>
      </c>
      <c r="CE1748" t="s">
        <v>1868</v>
      </c>
      <c r="CF1748" s="3">
        <v>45853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"080066537869"</f>
        <v>080066537869</v>
      </c>
      <c r="F1749" s="3">
        <v>45852</v>
      </c>
      <c r="G1749">
        <v>202604</v>
      </c>
      <c r="H1749" t="s">
        <v>75</v>
      </c>
      <c r="I1749" t="s">
        <v>76</v>
      </c>
      <c r="J1749" t="s">
        <v>77</v>
      </c>
      <c r="K1749" t="s">
        <v>78</v>
      </c>
      <c r="L1749" t="s">
        <v>122</v>
      </c>
      <c r="M1749" t="s">
        <v>123</v>
      </c>
      <c r="N1749" t="s">
        <v>283</v>
      </c>
      <c r="O1749" t="s">
        <v>82</v>
      </c>
      <c r="P1749" t="str">
        <f>"4170048469                    "</f>
        <v xml:space="preserve">4170048469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22.6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0.3</v>
      </c>
      <c r="BK1749">
        <v>1</v>
      </c>
      <c r="BL1749">
        <v>71.2</v>
      </c>
      <c r="BM1749">
        <v>10.68</v>
      </c>
      <c r="BN1749">
        <v>81.88</v>
      </c>
      <c r="BO1749">
        <v>81.88</v>
      </c>
      <c r="BQ1749" t="s">
        <v>284</v>
      </c>
      <c r="BR1749" t="s">
        <v>84</v>
      </c>
      <c r="BS1749" s="3">
        <v>45853</v>
      </c>
      <c r="BT1749" s="4">
        <v>0.43194444444444446</v>
      </c>
      <c r="BU1749" t="s">
        <v>2328</v>
      </c>
      <c r="BV1749" t="s">
        <v>98</v>
      </c>
      <c r="BY1749">
        <v>1350</v>
      </c>
      <c r="BZ1749" t="s">
        <v>89</v>
      </c>
      <c r="CA1749" t="s">
        <v>187</v>
      </c>
      <c r="CC1749" t="s">
        <v>123</v>
      </c>
      <c r="CD1749">
        <v>3608</v>
      </c>
      <c r="CE1749" t="s">
        <v>1868</v>
      </c>
      <c r="CF1749" s="3">
        <v>45853</v>
      </c>
      <c r="CI1749">
        <v>1</v>
      </c>
      <c r="CJ1749">
        <v>1</v>
      </c>
      <c r="CK1749">
        <v>21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"080066537882"</f>
        <v>080066537882</v>
      </c>
      <c r="F1750" s="3">
        <v>45852</v>
      </c>
      <c r="G1750">
        <v>202604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701</v>
      </c>
      <c r="O1750" t="s">
        <v>82</v>
      </c>
      <c r="P1750" t="str">
        <f>"4170048536                    "</f>
        <v xml:space="preserve">4170048536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17.649999999999999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1.1000000000000001</v>
      </c>
      <c r="BK1750">
        <v>2</v>
      </c>
      <c r="BL1750">
        <v>55.61</v>
      </c>
      <c r="BM1750">
        <v>8.34</v>
      </c>
      <c r="BN1750">
        <v>63.95</v>
      </c>
      <c r="BO1750">
        <v>63.95</v>
      </c>
      <c r="BQ1750" t="s">
        <v>702</v>
      </c>
      <c r="BR1750" t="s">
        <v>84</v>
      </c>
      <c r="BS1750" s="3">
        <v>45853</v>
      </c>
      <c r="BT1750" s="4">
        <v>0.39166666666666666</v>
      </c>
      <c r="BU1750" t="s">
        <v>703</v>
      </c>
      <c r="BV1750" t="s">
        <v>98</v>
      </c>
      <c r="BY1750">
        <v>5320</v>
      </c>
      <c r="BZ1750" t="s">
        <v>89</v>
      </c>
      <c r="CA1750" t="s">
        <v>617</v>
      </c>
      <c r="CC1750" t="s">
        <v>76</v>
      </c>
      <c r="CD1750">
        <v>1645</v>
      </c>
      <c r="CE1750" t="s">
        <v>117</v>
      </c>
      <c r="CF1750" s="3">
        <v>45853</v>
      </c>
      <c r="CI1750">
        <v>1</v>
      </c>
      <c r="CJ1750">
        <v>1</v>
      </c>
      <c r="CK1750">
        <v>22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"080066537935"</f>
        <v>080066537935</v>
      </c>
      <c r="F1751" s="3">
        <v>45852</v>
      </c>
      <c r="G1751">
        <v>202604</v>
      </c>
      <c r="H1751" t="s">
        <v>75</v>
      </c>
      <c r="I1751" t="s">
        <v>76</v>
      </c>
      <c r="J1751" t="s">
        <v>77</v>
      </c>
      <c r="K1751" t="s">
        <v>78</v>
      </c>
      <c r="L1751" t="s">
        <v>854</v>
      </c>
      <c r="M1751" t="s">
        <v>855</v>
      </c>
      <c r="N1751" t="s">
        <v>429</v>
      </c>
      <c r="O1751" t="s">
        <v>82</v>
      </c>
      <c r="P1751" t="str">
        <f>"4170048466                    "</f>
        <v xml:space="preserve">4170048466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43.78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16.739999999999998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0.3</v>
      </c>
      <c r="BK1751">
        <v>1</v>
      </c>
      <c r="BL1751">
        <v>154.68</v>
      </c>
      <c r="BM1751">
        <v>23.2</v>
      </c>
      <c r="BN1751">
        <v>177.88</v>
      </c>
      <c r="BO1751">
        <v>177.88</v>
      </c>
      <c r="BQ1751" t="s">
        <v>430</v>
      </c>
      <c r="BR1751" t="s">
        <v>84</v>
      </c>
      <c r="BS1751" s="3">
        <v>45853</v>
      </c>
      <c r="BT1751" s="4">
        <v>0.52638888888888891</v>
      </c>
      <c r="BU1751" t="s">
        <v>2329</v>
      </c>
      <c r="BV1751" t="s">
        <v>98</v>
      </c>
      <c r="BY1751">
        <v>1350</v>
      </c>
      <c r="BZ1751" t="s">
        <v>460</v>
      </c>
      <c r="CA1751" t="s">
        <v>992</v>
      </c>
      <c r="CC1751" t="s">
        <v>855</v>
      </c>
      <c r="CD1751" s="5" t="s">
        <v>993</v>
      </c>
      <c r="CE1751" t="s">
        <v>1868</v>
      </c>
      <c r="CF1751" s="3">
        <v>45853</v>
      </c>
      <c r="CI1751">
        <v>1</v>
      </c>
      <c r="CJ1751">
        <v>1</v>
      </c>
      <c r="CK1751">
        <v>23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"080066537949"</f>
        <v>080066537949</v>
      </c>
      <c r="F1752" s="3">
        <v>45852</v>
      </c>
      <c r="G1752">
        <v>202604</v>
      </c>
      <c r="H1752" t="s">
        <v>75</v>
      </c>
      <c r="I1752" t="s">
        <v>76</v>
      </c>
      <c r="J1752" t="s">
        <v>77</v>
      </c>
      <c r="K1752" t="s">
        <v>78</v>
      </c>
      <c r="L1752" t="s">
        <v>146</v>
      </c>
      <c r="M1752" t="s">
        <v>146</v>
      </c>
      <c r="N1752" t="s">
        <v>1801</v>
      </c>
      <c r="O1752" t="s">
        <v>82</v>
      </c>
      <c r="P1752" t="str">
        <f>"4170048497                    "</f>
        <v xml:space="preserve">4170048497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43.78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137.94</v>
      </c>
      <c r="BM1752">
        <v>20.69</v>
      </c>
      <c r="BN1752">
        <v>158.63</v>
      </c>
      <c r="BO1752">
        <v>158.63</v>
      </c>
      <c r="BQ1752" t="s">
        <v>1802</v>
      </c>
      <c r="BR1752" t="s">
        <v>84</v>
      </c>
      <c r="BS1752" s="3">
        <v>45853</v>
      </c>
      <c r="BT1752" s="4">
        <v>0.5</v>
      </c>
      <c r="BU1752" t="s">
        <v>2330</v>
      </c>
      <c r="BV1752" t="s">
        <v>98</v>
      </c>
      <c r="BY1752">
        <v>1200</v>
      </c>
      <c r="BZ1752" t="s">
        <v>89</v>
      </c>
      <c r="CA1752" t="s">
        <v>2309</v>
      </c>
      <c r="CC1752" t="s">
        <v>146</v>
      </c>
      <c r="CD1752">
        <v>7646</v>
      </c>
      <c r="CE1752" t="s">
        <v>239</v>
      </c>
      <c r="CF1752" s="3">
        <v>45854</v>
      </c>
      <c r="CI1752">
        <v>1</v>
      </c>
      <c r="CJ1752">
        <v>1</v>
      </c>
      <c r="CK1752">
        <v>23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"080066537972"</f>
        <v>080066537972</v>
      </c>
      <c r="F1753" s="3">
        <v>45852</v>
      </c>
      <c r="G1753">
        <v>202604</v>
      </c>
      <c r="H1753" t="s">
        <v>75</v>
      </c>
      <c r="I1753" t="s">
        <v>76</v>
      </c>
      <c r="J1753" t="s">
        <v>77</v>
      </c>
      <c r="K1753" t="s">
        <v>78</v>
      </c>
      <c r="L1753" t="s">
        <v>554</v>
      </c>
      <c r="M1753" t="s">
        <v>555</v>
      </c>
      <c r="N1753" t="s">
        <v>1255</v>
      </c>
      <c r="O1753" t="s">
        <v>82</v>
      </c>
      <c r="P1753" t="str">
        <f>"4170048433                    "</f>
        <v xml:space="preserve">4170048433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22.6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0.3</v>
      </c>
      <c r="BK1753">
        <v>1</v>
      </c>
      <c r="BL1753">
        <v>71.2</v>
      </c>
      <c r="BM1753">
        <v>10.68</v>
      </c>
      <c r="BN1753">
        <v>81.88</v>
      </c>
      <c r="BO1753">
        <v>81.88</v>
      </c>
      <c r="BQ1753" t="s">
        <v>1256</v>
      </c>
      <c r="BR1753" t="s">
        <v>84</v>
      </c>
      <c r="BS1753" s="3">
        <v>45853</v>
      </c>
      <c r="BT1753" s="4">
        <v>0.37291666666666667</v>
      </c>
      <c r="BU1753" t="s">
        <v>2331</v>
      </c>
      <c r="BV1753" t="s">
        <v>98</v>
      </c>
      <c r="BY1753">
        <v>1350</v>
      </c>
      <c r="BZ1753" t="s">
        <v>89</v>
      </c>
      <c r="CA1753" t="s">
        <v>2332</v>
      </c>
      <c r="CC1753" t="s">
        <v>555</v>
      </c>
      <c r="CD1753" s="5" t="s">
        <v>560</v>
      </c>
      <c r="CE1753" t="s">
        <v>1868</v>
      </c>
      <c r="CF1753" s="3">
        <v>45853</v>
      </c>
      <c r="CI1753">
        <v>1</v>
      </c>
      <c r="CJ1753">
        <v>1</v>
      </c>
      <c r="CK1753">
        <v>21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"080066537989"</f>
        <v>080066537989</v>
      </c>
      <c r="F1754" s="3">
        <v>45852</v>
      </c>
      <c r="G1754">
        <v>202604</v>
      </c>
      <c r="H1754" t="s">
        <v>75</v>
      </c>
      <c r="I1754" t="s">
        <v>76</v>
      </c>
      <c r="J1754" t="s">
        <v>77</v>
      </c>
      <c r="K1754" t="s">
        <v>78</v>
      </c>
      <c r="L1754" t="s">
        <v>295</v>
      </c>
      <c r="M1754" t="s">
        <v>296</v>
      </c>
      <c r="N1754" t="s">
        <v>1043</v>
      </c>
      <c r="O1754" t="s">
        <v>82</v>
      </c>
      <c r="P1754" t="str">
        <f>"4170048406                    "</f>
        <v xml:space="preserve">4170048406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17.649999999999999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55.61</v>
      </c>
      <c r="BM1754">
        <v>8.34</v>
      </c>
      <c r="BN1754">
        <v>63.95</v>
      </c>
      <c r="BO1754">
        <v>63.95</v>
      </c>
      <c r="BQ1754" t="s">
        <v>1044</v>
      </c>
      <c r="BR1754" t="s">
        <v>84</v>
      </c>
      <c r="BS1754" s="3">
        <v>45853</v>
      </c>
      <c r="BT1754" s="4">
        <v>0.33819444444444446</v>
      </c>
      <c r="BU1754" t="s">
        <v>1672</v>
      </c>
      <c r="BV1754" t="s">
        <v>98</v>
      </c>
      <c r="BY1754">
        <v>1200</v>
      </c>
      <c r="BZ1754" t="s">
        <v>89</v>
      </c>
      <c r="CA1754" t="s">
        <v>300</v>
      </c>
      <c r="CC1754" t="s">
        <v>296</v>
      </c>
      <c r="CD1754">
        <v>1459</v>
      </c>
      <c r="CE1754" t="s">
        <v>239</v>
      </c>
      <c r="CF1754" s="3">
        <v>45854</v>
      </c>
      <c r="CI1754">
        <v>1</v>
      </c>
      <c r="CJ1754">
        <v>1</v>
      </c>
      <c r="CK1754">
        <v>22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"080066538030"</f>
        <v>080066538030</v>
      </c>
      <c r="F1755" s="3">
        <v>45852</v>
      </c>
      <c r="G1755">
        <v>202604</v>
      </c>
      <c r="H1755" t="s">
        <v>75</v>
      </c>
      <c r="I1755" t="s">
        <v>76</v>
      </c>
      <c r="J1755" t="s">
        <v>77</v>
      </c>
      <c r="K1755" t="s">
        <v>78</v>
      </c>
      <c r="L1755" t="s">
        <v>295</v>
      </c>
      <c r="M1755" t="s">
        <v>296</v>
      </c>
      <c r="N1755" t="s">
        <v>1262</v>
      </c>
      <c r="O1755" t="s">
        <v>82</v>
      </c>
      <c r="P1755" t="str">
        <f>"4170048415                    "</f>
        <v xml:space="preserve">4170048415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17.649999999999999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55.61</v>
      </c>
      <c r="BM1755">
        <v>8.34</v>
      </c>
      <c r="BN1755">
        <v>63.95</v>
      </c>
      <c r="BO1755">
        <v>63.95</v>
      </c>
      <c r="BQ1755" t="s">
        <v>1263</v>
      </c>
      <c r="BR1755" t="s">
        <v>84</v>
      </c>
      <c r="BS1755" s="3">
        <v>45853</v>
      </c>
      <c r="BT1755" s="4">
        <v>0.38611111111111113</v>
      </c>
      <c r="BU1755" t="s">
        <v>2333</v>
      </c>
      <c r="BV1755" t="s">
        <v>98</v>
      </c>
      <c r="BY1755">
        <v>1200</v>
      </c>
      <c r="BZ1755" t="s">
        <v>89</v>
      </c>
      <c r="CA1755" t="s">
        <v>1613</v>
      </c>
      <c r="CC1755" t="s">
        <v>296</v>
      </c>
      <c r="CD1755">
        <v>1459</v>
      </c>
      <c r="CE1755" t="s">
        <v>239</v>
      </c>
      <c r="CF1755" s="3">
        <v>45854</v>
      </c>
      <c r="CI1755">
        <v>1</v>
      </c>
      <c r="CJ1755">
        <v>1</v>
      </c>
      <c r="CK1755">
        <v>22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"080066538076"</f>
        <v>080066538076</v>
      </c>
      <c r="F1756" s="3">
        <v>45852</v>
      </c>
      <c r="G1756">
        <v>202604</v>
      </c>
      <c r="H1756" t="s">
        <v>75</v>
      </c>
      <c r="I1756" t="s">
        <v>76</v>
      </c>
      <c r="J1756" t="s">
        <v>77</v>
      </c>
      <c r="K1756" t="s">
        <v>78</v>
      </c>
      <c r="L1756" t="s">
        <v>452</v>
      </c>
      <c r="M1756" t="s">
        <v>453</v>
      </c>
      <c r="N1756" t="s">
        <v>968</v>
      </c>
      <c r="O1756" t="s">
        <v>82</v>
      </c>
      <c r="P1756" t="str">
        <f>"4170048507                    "</f>
        <v xml:space="preserve">4170048507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17.649999999999999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55.61</v>
      </c>
      <c r="BM1756">
        <v>8.34</v>
      </c>
      <c r="BN1756">
        <v>63.95</v>
      </c>
      <c r="BO1756">
        <v>63.95</v>
      </c>
      <c r="BQ1756" t="s">
        <v>1098</v>
      </c>
      <c r="BR1756" t="s">
        <v>84</v>
      </c>
      <c r="BS1756" s="3">
        <v>45853</v>
      </c>
      <c r="BT1756" s="4">
        <v>0.41666666666666669</v>
      </c>
      <c r="BU1756" t="s">
        <v>2198</v>
      </c>
      <c r="BV1756" t="s">
        <v>98</v>
      </c>
      <c r="BY1756">
        <v>1200</v>
      </c>
      <c r="BZ1756" t="s">
        <v>89</v>
      </c>
      <c r="CA1756" t="s">
        <v>1541</v>
      </c>
      <c r="CC1756" t="s">
        <v>453</v>
      </c>
      <c r="CD1756">
        <v>1559</v>
      </c>
      <c r="CE1756" t="s">
        <v>239</v>
      </c>
      <c r="CF1756" s="3">
        <v>45853</v>
      </c>
      <c r="CI1756">
        <v>1</v>
      </c>
      <c r="CJ1756">
        <v>1</v>
      </c>
      <c r="CK1756">
        <v>22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"080066539536"</f>
        <v>080066539536</v>
      </c>
      <c r="F1757" s="3">
        <v>45852</v>
      </c>
      <c r="G1757">
        <v>202604</v>
      </c>
      <c r="H1757" t="s">
        <v>75</v>
      </c>
      <c r="I1757" t="s">
        <v>76</v>
      </c>
      <c r="J1757" t="s">
        <v>77</v>
      </c>
      <c r="K1757" t="s">
        <v>78</v>
      </c>
      <c r="L1757" t="s">
        <v>79</v>
      </c>
      <c r="M1757" t="s">
        <v>80</v>
      </c>
      <c r="N1757" t="s">
        <v>141</v>
      </c>
      <c r="O1757" t="s">
        <v>82</v>
      </c>
      <c r="P1757" t="str">
        <f>"4170048437                    "</f>
        <v xml:space="preserve">4170048437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22.6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0.3</v>
      </c>
      <c r="BK1757">
        <v>1</v>
      </c>
      <c r="BL1757">
        <v>71.2</v>
      </c>
      <c r="BM1757">
        <v>10.68</v>
      </c>
      <c r="BN1757">
        <v>81.88</v>
      </c>
      <c r="BO1757">
        <v>81.88</v>
      </c>
      <c r="BQ1757" t="s">
        <v>142</v>
      </c>
      <c r="BR1757" t="s">
        <v>84</v>
      </c>
      <c r="BS1757" s="3">
        <v>45853</v>
      </c>
      <c r="BT1757" s="4">
        <v>0.41249999999999998</v>
      </c>
      <c r="BU1757" t="s">
        <v>143</v>
      </c>
      <c r="BV1757" t="s">
        <v>98</v>
      </c>
      <c r="BY1757">
        <v>1350</v>
      </c>
      <c r="BZ1757" t="s">
        <v>89</v>
      </c>
      <c r="CA1757" t="s">
        <v>144</v>
      </c>
      <c r="CC1757" t="s">
        <v>80</v>
      </c>
      <c r="CD1757">
        <v>7441</v>
      </c>
      <c r="CE1757" t="s">
        <v>158</v>
      </c>
      <c r="CF1757" s="3">
        <v>45854</v>
      </c>
      <c r="CI1757">
        <v>1</v>
      </c>
      <c r="CJ1757">
        <v>1</v>
      </c>
      <c r="CK1757">
        <v>21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"080066539572"</f>
        <v>080066539572</v>
      </c>
      <c r="F1758" s="3">
        <v>45852</v>
      </c>
      <c r="G1758">
        <v>202604</v>
      </c>
      <c r="H1758" t="s">
        <v>75</v>
      </c>
      <c r="I1758" t="s">
        <v>76</v>
      </c>
      <c r="J1758" t="s">
        <v>77</v>
      </c>
      <c r="K1758" t="s">
        <v>78</v>
      </c>
      <c r="L1758" t="s">
        <v>168</v>
      </c>
      <c r="M1758" t="s">
        <v>169</v>
      </c>
      <c r="N1758" t="s">
        <v>206</v>
      </c>
      <c r="O1758" t="s">
        <v>82</v>
      </c>
      <c r="P1758" t="str">
        <f>"4170048412                    "</f>
        <v xml:space="preserve">4170048412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0.3</v>
      </c>
      <c r="BK1758">
        <v>1</v>
      </c>
      <c r="BL1758">
        <v>71.2</v>
      </c>
      <c r="BM1758">
        <v>10.68</v>
      </c>
      <c r="BN1758">
        <v>81.88</v>
      </c>
      <c r="BO1758">
        <v>81.88</v>
      </c>
      <c r="BQ1758" t="s">
        <v>207</v>
      </c>
      <c r="BR1758" t="s">
        <v>84</v>
      </c>
      <c r="BS1758" s="3">
        <v>45853</v>
      </c>
      <c r="BT1758" s="4">
        <v>0.37569444444444444</v>
      </c>
      <c r="BU1758" t="s">
        <v>208</v>
      </c>
      <c r="BV1758" t="s">
        <v>98</v>
      </c>
      <c r="BY1758">
        <v>1350</v>
      </c>
      <c r="BZ1758" t="s">
        <v>89</v>
      </c>
      <c r="CA1758" t="s">
        <v>196</v>
      </c>
      <c r="CC1758" t="s">
        <v>169</v>
      </c>
      <c r="CD1758">
        <v>6001</v>
      </c>
      <c r="CE1758" t="s">
        <v>158</v>
      </c>
      <c r="CF1758" s="3">
        <v>45853</v>
      </c>
      <c r="CI1758">
        <v>1</v>
      </c>
      <c r="CJ1758">
        <v>1</v>
      </c>
      <c r="CK1758">
        <v>21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"080066539625"</f>
        <v>080066539625</v>
      </c>
      <c r="F1759" s="3">
        <v>45852</v>
      </c>
      <c r="G1759">
        <v>202604</v>
      </c>
      <c r="H1759" t="s">
        <v>75</v>
      </c>
      <c r="I1759" t="s">
        <v>76</v>
      </c>
      <c r="J1759" t="s">
        <v>77</v>
      </c>
      <c r="K1759" t="s">
        <v>78</v>
      </c>
      <c r="L1759" t="s">
        <v>319</v>
      </c>
      <c r="M1759" t="s">
        <v>320</v>
      </c>
      <c r="N1759" t="s">
        <v>785</v>
      </c>
      <c r="O1759" t="s">
        <v>82</v>
      </c>
      <c r="P1759" t="str">
        <f>"4170048454                    "</f>
        <v xml:space="preserve">4170048454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43.78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0.3</v>
      </c>
      <c r="BK1759">
        <v>1</v>
      </c>
      <c r="BL1759">
        <v>137.94</v>
      </c>
      <c r="BM1759">
        <v>20.69</v>
      </c>
      <c r="BN1759">
        <v>158.63</v>
      </c>
      <c r="BO1759">
        <v>158.63</v>
      </c>
      <c r="BQ1759" t="s">
        <v>786</v>
      </c>
      <c r="BR1759" t="s">
        <v>84</v>
      </c>
      <c r="BS1759" s="3">
        <v>45853</v>
      </c>
      <c r="BT1759" s="4">
        <v>0.53819444444444442</v>
      </c>
      <c r="BU1759" t="s">
        <v>2334</v>
      </c>
      <c r="BV1759" t="s">
        <v>98</v>
      </c>
      <c r="BY1759">
        <v>1350</v>
      </c>
      <c r="BZ1759" t="s">
        <v>89</v>
      </c>
      <c r="CA1759" t="s">
        <v>2335</v>
      </c>
      <c r="CC1759" t="s">
        <v>320</v>
      </c>
      <c r="CD1759">
        <v>1028</v>
      </c>
      <c r="CE1759" t="s">
        <v>158</v>
      </c>
      <c r="CF1759" s="3">
        <v>45853</v>
      </c>
      <c r="CI1759">
        <v>1</v>
      </c>
      <c r="CJ1759">
        <v>1</v>
      </c>
      <c r="CK1759">
        <v>23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"080066539747"</f>
        <v>080066539747</v>
      </c>
      <c r="F1760" s="3">
        <v>45852</v>
      </c>
      <c r="G1760">
        <v>202604</v>
      </c>
      <c r="H1760" t="s">
        <v>75</v>
      </c>
      <c r="I1760" t="s">
        <v>76</v>
      </c>
      <c r="J1760" t="s">
        <v>77</v>
      </c>
      <c r="K1760" t="s">
        <v>78</v>
      </c>
      <c r="L1760" t="s">
        <v>197</v>
      </c>
      <c r="M1760" t="s">
        <v>198</v>
      </c>
      <c r="N1760" t="s">
        <v>1055</v>
      </c>
      <c r="O1760" t="s">
        <v>82</v>
      </c>
      <c r="P1760" t="str">
        <f>"4170048510                    "</f>
        <v xml:space="preserve">4170048510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17.649999999999999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0.3</v>
      </c>
      <c r="BK1760">
        <v>1</v>
      </c>
      <c r="BL1760">
        <v>55.61</v>
      </c>
      <c r="BM1760">
        <v>8.34</v>
      </c>
      <c r="BN1760">
        <v>63.95</v>
      </c>
      <c r="BO1760">
        <v>63.95</v>
      </c>
      <c r="BQ1760" t="s">
        <v>1056</v>
      </c>
      <c r="BR1760" t="s">
        <v>84</v>
      </c>
      <c r="BS1760" s="3">
        <v>45853</v>
      </c>
      <c r="BT1760" s="4">
        <v>0.40625</v>
      </c>
      <c r="BU1760" t="s">
        <v>2336</v>
      </c>
      <c r="BV1760" t="s">
        <v>98</v>
      </c>
      <c r="BY1760">
        <v>1350</v>
      </c>
      <c r="BZ1760" t="s">
        <v>89</v>
      </c>
      <c r="CA1760" t="s">
        <v>1058</v>
      </c>
      <c r="CC1760" t="s">
        <v>198</v>
      </c>
      <c r="CD1760">
        <v>1401</v>
      </c>
      <c r="CE1760" t="s">
        <v>1868</v>
      </c>
      <c r="CF1760" s="3">
        <v>45853</v>
      </c>
      <c r="CI1760">
        <v>1</v>
      </c>
      <c r="CJ1760">
        <v>1</v>
      </c>
      <c r="CK1760">
        <v>22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"080066539822"</f>
        <v>080066539822</v>
      </c>
      <c r="F1761" s="3">
        <v>45852</v>
      </c>
      <c r="G1761">
        <v>202604</v>
      </c>
      <c r="H1761" t="s">
        <v>75</v>
      </c>
      <c r="I1761" t="s">
        <v>76</v>
      </c>
      <c r="J1761" t="s">
        <v>77</v>
      </c>
      <c r="K1761" t="s">
        <v>78</v>
      </c>
      <c r="L1761" t="s">
        <v>79</v>
      </c>
      <c r="M1761" t="s">
        <v>80</v>
      </c>
      <c r="N1761" t="s">
        <v>2063</v>
      </c>
      <c r="O1761" t="s">
        <v>82</v>
      </c>
      <c r="P1761" t="str">
        <f>"4170048425                    "</f>
        <v xml:space="preserve">4170048425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22.6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0.3</v>
      </c>
      <c r="BK1761">
        <v>1</v>
      </c>
      <c r="BL1761">
        <v>71.2</v>
      </c>
      <c r="BM1761">
        <v>10.68</v>
      </c>
      <c r="BN1761">
        <v>81.88</v>
      </c>
      <c r="BO1761">
        <v>81.88</v>
      </c>
      <c r="BQ1761" t="s">
        <v>2337</v>
      </c>
      <c r="BR1761" t="s">
        <v>84</v>
      </c>
      <c r="BS1761" s="3">
        <v>45853</v>
      </c>
      <c r="BT1761" s="4">
        <v>0.38263888888888886</v>
      </c>
      <c r="BU1761" t="s">
        <v>635</v>
      </c>
      <c r="BV1761" t="s">
        <v>98</v>
      </c>
      <c r="BY1761">
        <v>1350</v>
      </c>
      <c r="BZ1761" t="s">
        <v>89</v>
      </c>
      <c r="CA1761" t="s">
        <v>579</v>
      </c>
      <c r="CC1761" t="s">
        <v>80</v>
      </c>
      <c r="CD1761">
        <v>7480</v>
      </c>
      <c r="CE1761" t="s">
        <v>1868</v>
      </c>
      <c r="CF1761" s="3">
        <v>45854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"080066539893"</f>
        <v>080066539893</v>
      </c>
      <c r="F1762" s="3">
        <v>45852</v>
      </c>
      <c r="G1762">
        <v>202604</v>
      </c>
      <c r="H1762" t="s">
        <v>75</v>
      </c>
      <c r="I1762" t="s">
        <v>76</v>
      </c>
      <c r="J1762" t="s">
        <v>77</v>
      </c>
      <c r="K1762" t="s">
        <v>78</v>
      </c>
      <c r="L1762" t="s">
        <v>92</v>
      </c>
      <c r="M1762" t="s">
        <v>93</v>
      </c>
      <c r="N1762" t="s">
        <v>334</v>
      </c>
      <c r="O1762" t="s">
        <v>82</v>
      </c>
      <c r="P1762" t="str">
        <f>"4170048524                    "</f>
        <v xml:space="preserve">4170048524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22.6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0.3</v>
      </c>
      <c r="BK1762">
        <v>1</v>
      </c>
      <c r="BL1762">
        <v>71.2</v>
      </c>
      <c r="BM1762">
        <v>10.68</v>
      </c>
      <c r="BN1762">
        <v>81.88</v>
      </c>
      <c r="BO1762">
        <v>81.88</v>
      </c>
      <c r="BQ1762" t="s">
        <v>335</v>
      </c>
      <c r="BR1762" t="s">
        <v>84</v>
      </c>
      <c r="BS1762" s="3">
        <v>45853</v>
      </c>
      <c r="BT1762" s="4">
        <v>0.36805555555555558</v>
      </c>
      <c r="BU1762" t="s">
        <v>2338</v>
      </c>
      <c r="BV1762" t="s">
        <v>98</v>
      </c>
      <c r="BY1762">
        <v>1350</v>
      </c>
      <c r="BZ1762" t="s">
        <v>89</v>
      </c>
      <c r="CA1762" t="s">
        <v>2339</v>
      </c>
      <c r="CC1762" t="s">
        <v>93</v>
      </c>
      <c r="CD1762">
        <v>4052</v>
      </c>
      <c r="CE1762" t="s">
        <v>1868</v>
      </c>
      <c r="CF1762" s="3">
        <v>45853</v>
      </c>
      <c r="CI1762">
        <v>1</v>
      </c>
      <c r="CJ1762">
        <v>1</v>
      </c>
      <c r="CK1762">
        <v>21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"080066539950"</f>
        <v>080066539950</v>
      </c>
      <c r="F1763" s="3">
        <v>45852</v>
      </c>
      <c r="G1763">
        <v>202604</v>
      </c>
      <c r="H1763" t="s">
        <v>75</v>
      </c>
      <c r="I1763" t="s">
        <v>76</v>
      </c>
      <c r="J1763" t="s">
        <v>77</v>
      </c>
      <c r="K1763" t="s">
        <v>78</v>
      </c>
      <c r="L1763" t="s">
        <v>92</v>
      </c>
      <c r="M1763" t="s">
        <v>93</v>
      </c>
      <c r="N1763" t="s">
        <v>1090</v>
      </c>
      <c r="O1763" t="s">
        <v>82</v>
      </c>
      <c r="P1763" t="str">
        <f>"4170048443                    "</f>
        <v xml:space="preserve">4170048443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22.6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0.3</v>
      </c>
      <c r="BK1763">
        <v>1</v>
      </c>
      <c r="BL1763">
        <v>71.2</v>
      </c>
      <c r="BM1763">
        <v>10.68</v>
      </c>
      <c r="BN1763">
        <v>81.88</v>
      </c>
      <c r="BO1763">
        <v>81.88</v>
      </c>
      <c r="BQ1763" t="s">
        <v>1091</v>
      </c>
      <c r="BR1763" t="s">
        <v>84</v>
      </c>
      <c r="BS1763" s="3">
        <v>45853</v>
      </c>
      <c r="BT1763" s="4">
        <v>0.41805555555555557</v>
      </c>
      <c r="BU1763" t="s">
        <v>751</v>
      </c>
      <c r="BV1763" t="s">
        <v>98</v>
      </c>
      <c r="BY1763">
        <v>1350</v>
      </c>
      <c r="BZ1763" t="s">
        <v>89</v>
      </c>
      <c r="CA1763" t="s">
        <v>491</v>
      </c>
      <c r="CC1763" t="s">
        <v>93</v>
      </c>
      <c r="CD1763">
        <v>4001</v>
      </c>
      <c r="CE1763" t="s">
        <v>1868</v>
      </c>
      <c r="CF1763" s="3">
        <v>45853</v>
      </c>
      <c r="CI1763">
        <v>1</v>
      </c>
      <c r="CJ1763">
        <v>1</v>
      </c>
      <c r="CK1763">
        <v>21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"080066540019"</f>
        <v>080066540019</v>
      </c>
      <c r="F1764" s="3">
        <v>45852</v>
      </c>
      <c r="G1764">
        <v>202604</v>
      </c>
      <c r="H1764" t="s">
        <v>75</v>
      </c>
      <c r="I1764" t="s">
        <v>76</v>
      </c>
      <c r="J1764" t="s">
        <v>77</v>
      </c>
      <c r="K1764" t="s">
        <v>78</v>
      </c>
      <c r="L1764" t="s">
        <v>277</v>
      </c>
      <c r="M1764" t="s">
        <v>278</v>
      </c>
      <c r="N1764" t="s">
        <v>462</v>
      </c>
      <c r="O1764" t="s">
        <v>82</v>
      </c>
      <c r="P1764" t="str">
        <f>"4170048514                    "</f>
        <v xml:space="preserve">4170048514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22.6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0.3</v>
      </c>
      <c r="BK1764">
        <v>1</v>
      </c>
      <c r="BL1764">
        <v>71.2</v>
      </c>
      <c r="BM1764">
        <v>10.68</v>
      </c>
      <c r="BN1764">
        <v>81.88</v>
      </c>
      <c r="BO1764">
        <v>81.88</v>
      </c>
      <c r="BQ1764" t="s">
        <v>463</v>
      </c>
      <c r="BR1764" t="s">
        <v>84</v>
      </c>
      <c r="BS1764" s="3">
        <v>45853</v>
      </c>
      <c r="BT1764" s="4">
        <v>0.34861111111111109</v>
      </c>
      <c r="BU1764" t="s">
        <v>2140</v>
      </c>
      <c r="BV1764" t="s">
        <v>98</v>
      </c>
      <c r="BY1764">
        <v>1350</v>
      </c>
      <c r="BZ1764" t="s">
        <v>89</v>
      </c>
      <c r="CA1764" t="s">
        <v>282</v>
      </c>
      <c r="CC1764" t="s">
        <v>278</v>
      </c>
      <c r="CD1764">
        <v>6229</v>
      </c>
      <c r="CE1764" t="s">
        <v>1868</v>
      </c>
      <c r="CF1764" s="3">
        <v>45853</v>
      </c>
      <c r="CI1764">
        <v>1</v>
      </c>
      <c r="CJ1764">
        <v>1</v>
      </c>
      <c r="CK1764">
        <v>21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"080066540069"</f>
        <v>080066540069</v>
      </c>
      <c r="F1765" s="3">
        <v>45852</v>
      </c>
      <c r="G1765">
        <v>202604</v>
      </c>
      <c r="H1765" t="s">
        <v>75</v>
      </c>
      <c r="I1765" t="s">
        <v>76</v>
      </c>
      <c r="J1765" t="s">
        <v>77</v>
      </c>
      <c r="K1765" t="s">
        <v>78</v>
      </c>
      <c r="L1765" t="s">
        <v>79</v>
      </c>
      <c r="M1765" t="s">
        <v>80</v>
      </c>
      <c r="N1765" t="s">
        <v>698</v>
      </c>
      <c r="O1765" t="s">
        <v>82</v>
      </c>
      <c r="P1765" t="str">
        <f>"4170048420                    "</f>
        <v xml:space="preserve">4170048420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22.6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0.3</v>
      </c>
      <c r="BK1765">
        <v>1</v>
      </c>
      <c r="BL1765">
        <v>71.2</v>
      </c>
      <c r="BM1765">
        <v>10.68</v>
      </c>
      <c r="BN1765">
        <v>81.88</v>
      </c>
      <c r="BO1765">
        <v>81.88</v>
      </c>
      <c r="BQ1765" t="s">
        <v>699</v>
      </c>
      <c r="BR1765" t="s">
        <v>84</v>
      </c>
      <c r="BS1765" s="3">
        <v>45853</v>
      </c>
      <c r="BT1765" s="4">
        <v>0.39652777777777776</v>
      </c>
      <c r="BU1765" t="s">
        <v>700</v>
      </c>
      <c r="BV1765" t="s">
        <v>98</v>
      </c>
      <c r="BY1765">
        <v>1350</v>
      </c>
      <c r="BZ1765" t="s">
        <v>89</v>
      </c>
      <c r="CA1765" t="s">
        <v>289</v>
      </c>
      <c r="CC1765" t="s">
        <v>80</v>
      </c>
      <c r="CD1765">
        <v>7561</v>
      </c>
      <c r="CE1765" t="s">
        <v>1868</v>
      </c>
      <c r="CF1765" s="3">
        <v>45854</v>
      </c>
      <c r="CI1765">
        <v>1</v>
      </c>
      <c r="CJ1765">
        <v>1</v>
      </c>
      <c r="CK1765">
        <v>21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"080066540469"</f>
        <v>080066540469</v>
      </c>
      <c r="F1766" s="3">
        <v>45852</v>
      </c>
      <c r="G1766">
        <v>202604</v>
      </c>
      <c r="H1766" t="s">
        <v>75</v>
      </c>
      <c r="I1766" t="s">
        <v>76</v>
      </c>
      <c r="J1766" t="s">
        <v>77</v>
      </c>
      <c r="K1766" t="s">
        <v>78</v>
      </c>
      <c r="L1766" t="s">
        <v>122</v>
      </c>
      <c r="M1766" t="s">
        <v>123</v>
      </c>
      <c r="N1766" t="s">
        <v>2340</v>
      </c>
      <c r="O1766" t="s">
        <v>82</v>
      </c>
      <c r="P1766" t="str">
        <f>"4170048435                    "</f>
        <v xml:space="preserve">4170048435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22.6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0.3</v>
      </c>
      <c r="BK1766">
        <v>1</v>
      </c>
      <c r="BL1766">
        <v>71.2</v>
      </c>
      <c r="BM1766">
        <v>10.68</v>
      </c>
      <c r="BN1766">
        <v>81.88</v>
      </c>
      <c r="BO1766">
        <v>81.88</v>
      </c>
      <c r="BQ1766" t="s">
        <v>2341</v>
      </c>
      <c r="BR1766" t="s">
        <v>84</v>
      </c>
      <c r="BS1766" s="3">
        <v>45853</v>
      </c>
      <c r="BT1766" s="4">
        <v>0.39305555555555555</v>
      </c>
      <c r="BU1766" t="s">
        <v>2342</v>
      </c>
      <c r="BV1766" t="s">
        <v>98</v>
      </c>
      <c r="BY1766">
        <v>1350</v>
      </c>
      <c r="BZ1766" t="s">
        <v>89</v>
      </c>
      <c r="CA1766" t="s">
        <v>187</v>
      </c>
      <c r="CC1766" t="s">
        <v>123</v>
      </c>
      <c r="CD1766">
        <v>3610</v>
      </c>
      <c r="CE1766" t="s">
        <v>1868</v>
      </c>
      <c r="CF1766" s="3">
        <v>45853</v>
      </c>
      <c r="CI1766">
        <v>1</v>
      </c>
      <c r="CJ1766">
        <v>1</v>
      </c>
      <c r="CK1766">
        <v>21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"080066540504"</f>
        <v>080066540504</v>
      </c>
      <c r="F1767" s="3">
        <v>45852</v>
      </c>
      <c r="G1767">
        <v>202604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2343</v>
      </c>
      <c r="O1767" t="s">
        <v>82</v>
      </c>
      <c r="P1767" t="str">
        <f>"4170048452                    "</f>
        <v xml:space="preserve">4170048452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17.649999999999999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0.3</v>
      </c>
      <c r="BK1767">
        <v>1</v>
      </c>
      <c r="BL1767">
        <v>55.61</v>
      </c>
      <c r="BM1767">
        <v>8.34</v>
      </c>
      <c r="BN1767">
        <v>63.95</v>
      </c>
      <c r="BO1767">
        <v>63.95</v>
      </c>
      <c r="BQ1767" t="s">
        <v>2344</v>
      </c>
      <c r="BR1767" t="s">
        <v>84</v>
      </c>
      <c r="BS1767" s="3">
        <v>45853</v>
      </c>
      <c r="BT1767" s="4">
        <v>0.40069444444444446</v>
      </c>
      <c r="BU1767" t="s">
        <v>2345</v>
      </c>
      <c r="BV1767" t="s">
        <v>98</v>
      </c>
      <c r="BY1767">
        <v>1350</v>
      </c>
      <c r="BZ1767" t="s">
        <v>89</v>
      </c>
      <c r="CA1767" t="s">
        <v>2346</v>
      </c>
      <c r="CC1767" t="s">
        <v>76</v>
      </c>
      <c r="CD1767">
        <v>1614</v>
      </c>
      <c r="CE1767" t="s">
        <v>1868</v>
      </c>
      <c r="CF1767" s="3">
        <v>45854</v>
      </c>
      <c r="CI1767">
        <v>1</v>
      </c>
      <c r="CJ1767">
        <v>1</v>
      </c>
      <c r="CK1767">
        <v>22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"080066540548"</f>
        <v>080066540548</v>
      </c>
      <c r="F1768" s="3">
        <v>45852</v>
      </c>
      <c r="G1768">
        <v>202604</v>
      </c>
      <c r="H1768" t="s">
        <v>75</v>
      </c>
      <c r="I1768" t="s">
        <v>76</v>
      </c>
      <c r="J1768" t="s">
        <v>77</v>
      </c>
      <c r="K1768" t="s">
        <v>78</v>
      </c>
      <c r="L1768" t="s">
        <v>168</v>
      </c>
      <c r="M1768" t="s">
        <v>169</v>
      </c>
      <c r="N1768" t="s">
        <v>412</v>
      </c>
      <c r="O1768" t="s">
        <v>82</v>
      </c>
      <c r="P1768" t="str">
        <f>"4170048426                    "</f>
        <v xml:space="preserve">4170048426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22.6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0.3</v>
      </c>
      <c r="BK1768">
        <v>1</v>
      </c>
      <c r="BL1768">
        <v>71.2</v>
      </c>
      <c r="BM1768">
        <v>10.68</v>
      </c>
      <c r="BN1768">
        <v>81.88</v>
      </c>
      <c r="BO1768">
        <v>81.88</v>
      </c>
      <c r="BQ1768" t="s">
        <v>413</v>
      </c>
      <c r="BR1768" t="s">
        <v>84</v>
      </c>
      <c r="BS1768" s="3">
        <v>45853</v>
      </c>
      <c r="BT1768" s="4">
        <v>0.33888888888888891</v>
      </c>
      <c r="BU1768" t="s">
        <v>470</v>
      </c>
      <c r="BV1768" t="s">
        <v>98</v>
      </c>
      <c r="BY1768">
        <v>1350</v>
      </c>
      <c r="BZ1768" t="s">
        <v>89</v>
      </c>
      <c r="CA1768" t="s">
        <v>415</v>
      </c>
      <c r="CC1768" t="s">
        <v>169</v>
      </c>
      <c r="CD1768">
        <v>6001</v>
      </c>
      <c r="CE1768" t="s">
        <v>1868</v>
      </c>
      <c r="CF1768" s="3">
        <v>45853</v>
      </c>
      <c r="CI1768">
        <v>1</v>
      </c>
      <c r="CJ1768">
        <v>1</v>
      </c>
      <c r="CK1768">
        <v>21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"080066540582"</f>
        <v>080066540582</v>
      </c>
      <c r="F1769" s="3">
        <v>45852</v>
      </c>
      <c r="G1769">
        <v>202604</v>
      </c>
      <c r="H1769" t="s">
        <v>75</v>
      </c>
      <c r="I1769" t="s">
        <v>76</v>
      </c>
      <c r="J1769" t="s">
        <v>77</v>
      </c>
      <c r="K1769" t="s">
        <v>78</v>
      </c>
      <c r="L1769" t="s">
        <v>2347</v>
      </c>
      <c r="M1769" t="s">
        <v>2348</v>
      </c>
      <c r="N1769" t="s">
        <v>2349</v>
      </c>
      <c r="O1769" t="s">
        <v>82</v>
      </c>
      <c r="P1769" t="str">
        <f>"4170048513                    "</f>
        <v xml:space="preserve">4170048513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43.78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0.3</v>
      </c>
      <c r="BK1769">
        <v>1</v>
      </c>
      <c r="BL1769">
        <v>137.94</v>
      </c>
      <c r="BM1769">
        <v>20.69</v>
      </c>
      <c r="BN1769">
        <v>158.63</v>
      </c>
      <c r="BO1769">
        <v>158.63</v>
      </c>
      <c r="BQ1769" t="s">
        <v>1403</v>
      </c>
      <c r="BR1769" t="s">
        <v>84</v>
      </c>
      <c r="BS1769" s="3">
        <v>45854</v>
      </c>
      <c r="BT1769" s="4">
        <v>0.40555555555555556</v>
      </c>
      <c r="BU1769" t="s">
        <v>2350</v>
      </c>
      <c r="BV1769" t="s">
        <v>86</v>
      </c>
      <c r="BW1769" t="s">
        <v>1395</v>
      </c>
      <c r="BX1769" t="s">
        <v>220</v>
      </c>
      <c r="BY1769">
        <v>1350</v>
      </c>
      <c r="BZ1769" t="s">
        <v>89</v>
      </c>
      <c r="CA1769" t="s">
        <v>2351</v>
      </c>
      <c r="CC1769" t="s">
        <v>2348</v>
      </c>
      <c r="CD1769">
        <v>4170</v>
      </c>
      <c r="CE1769" t="s">
        <v>1868</v>
      </c>
      <c r="CF1769" s="3">
        <v>45854</v>
      </c>
      <c r="CI1769">
        <v>1</v>
      </c>
      <c r="CJ1769">
        <v>2</v>
      </c>
      <c r="CK1769">
        <v>23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"080066540724"</f>
        <v>080066540724</v>
      </c>
      <c r="F1770" s="3">
        <v>45852</v>
      </c>
      <c r="G1770">
        <v>202604</v>
      </c>
      <c r="H1770" t="s">
        <v>75</v>
      </c>
      <c r="I1770" t="s">
        <v>76</v>
      </c>
      <c r="J1770" t="s">
        <v>77</v>
      </c>
      <c r="K1770" t="s">
        <v>78</v>
      </c>
      <c r="L1770" t="s">
        <v>92</v>
      </c>
      <c r="M1770" t="s">
        <v>93</v>
      </c>
      <c r="N1770" t="s">
        <v>723</v>
      </c>
      <c r="O1770" t="s">
        <v>95</v>
      </c>
      <c r="P1770" t="str">
        <f>"4170048503                    "</f>
        <v xml:space="preserve">4170048503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133.91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5</v>
      </c>
      <c r="BI1770">
        <v>65</v>
      </c>
      <c r="BJ1770">
        <v>64.8</v>
      </c>
      <c r="BK1770">
        <v>65</v>
      </c>
      <c r="BL1770">
        <v>427.76</v>
      </c>
      <c r="BM1770">
        <v>64.16</v>
      </c>
      <c r="BN1770">
        <v>491.92</v>
      </c>
      <c r="BO1770">
        <v>491.92</v>
      </c>
      <c r="BQ1770" t="s">
        <v>724</v>
      </c>
      <c r="BR1770" t="s">
        <v>84</v>
      </c>
      <c r="BS1770" s="3">
        <v>45853</v>
      </c>
      <c r="BT1770" s="4">
        <v>0.63680555555555551</v>
      </c>
      <c r="BU1770" t="s">
        <v>2352</v>
      </c>
      <c r="BV1770" t="s">
        <v>98</v>
      </c>
      <c r="BY1770">
        <v>193915</v>
      </c>
      <c r="BZ1770" t="s">
        <v>99</v>
      </c>
      <c r="CC1770" t="s">
        <v>93</v>
      </c>
      <c r="CD1770">
        <v>4000</v>
      </c>
      <c r="CE1770" t="s">
        <v>91</v>
      </c>
      <c r="CF1770" s="3">
        <v>45854</v>
      </c>
      <c r="CI1770">
        <v>1</v>
      </c>
      <c r="CJ1770">
        <v>1</v>
      </c>
      <c r="CK1770">
        <v>41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"080066540773"</f>
        <v>080066540773</v>
      </c>
      <c r="F1771" s="3">
        <v>45852</v>
      </c>
      <c r="G1771">
        <v>202604</v>
      </c>
      <c r="H1771" t="s">
        <v>75</v>
      </c>
      <c r="I1771" t="s">
        <v>76</v>
      </c>
      <c r="J1771" t="s">
        <v>77</v>
      </c>
      <c r="K1771" t="s">
        <v>78</v>
      </c>
      <c r="L1771" t="s">
        <v>260</v>
      </c>
      <c r="M1771" t="s">
        <v>261</v>
      </c>
      <c r="N1771" t="s">
        <v>1801</v>
      </c>
      <c r="O1771" t="s">
        <v>82</v>
      </c>
      <c r="P1771" t="str">
        <f>"4170048493                    "</f>
        <v xml:space="preserve">4170048493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43.78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1.1000000000000001</v>
      </c>
      <c r="BK1771">
        <v>1.5</v>
      </c>
      <c r="BL1771">
        <v>137.94</v>
      </c>
      <c r="BM1771">
        <v>20.69</v>
      </c>
      <c r="BN1771">
        <v>158.63</v>
      </c>
      <c r="BO1771">
        <v>158.63</v>
      </c>
      <c r="BQ1771" t="s">
        <v>1802</v>
      </c>
      <c r="BR1771" t="s">
        <v>84</v>
      </c>
      <c r="BS1771" s="3">
        <v>45853</v>
      </c>
      <c r="BT1771" s="4">
        <v>0.4375</v>
      </c>
      <c r="BU1771" t="s">
        <v>2353</v>
      </c>
      <c r="BV1771" t="s">
        <v>98</v>
      </c>
      <c r="BY1771">
        <v>5320</v>
      </c>
      <c r="BZ1771" t="s">
        <v>89</v>
      </c>
      <c r="CA1771" t="s">
        <v>721</v>
      </c>
      <c r="CC1771" t="s">
        <v>261</v>
      </c>
      <c r="CD1771">
        <v>1900</v>
      </c>
      <c r="CE1771" t="s">
        <v>117</v>
      </c>
      <c r="CF1771" s="3">
        <v>45853</v>
      </c>
      <c r="CI1771">
        <v>1</v>
      </c>
      <c r="CJ1771">
        <v>1</v>
      </c>
      <c r="CK1771">
        <v>23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"080066540815"</f>
        <v>080066540815</v>
      </c>
      <c r="F1772" s="3">
        <v>45852</v>
      </c>
      <c r="G1772">
        <v>202604</v>
      </c>
      <c r="H1772" t="s">
        <v>75</v>
      </c>
      <c r="I1772" t="s">
        <v>76</v>
      </c>
      <c r="J1772" t="s">
        <v>77</v>
      </c>
      <c r="K1772" t="s">
        <v>78</v>
      </c>
      <c r="L1772" t="s">
        <v>503</v>
      </c>
      <c r="M1772" t="s">
        <v>504</v>
      </c>
      <c r="N1772" t="s">
        <v>505</v>
      </c>
      <c r="O1772" t="s">
        <v>82</v>
      </c>
      <c r="P1772" t="str">
        <f>"4170048419                    "</f>
        <v xml:space="preserve">4170048419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53.67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</v>
      </c>
      <c r="BJ1772">
        <v>2.1</v>
      </c>
      <c r="BK1772">
        <v>2.5</v>
      </c>
      <c r="BL1772">
        <v>169.09</v>
      </c>
      <c r="BM1772">
        <v>25.36</v>
      </c>
      <c r="BN1772">
        <v>194.45</v>
      </c>
      <c r="BO1772">
        <v>194.45</v>
      </c>
      <c r="BQ1772" t="s">
        <v>506</v>
      </c>
      <c r="BR1772" t="s">
        <v>84</v>
      </c>
      <c r="BS1772" s="3">
        <v>45853</v>
      </c>
      <c r="BT1772" s="4">
        <v>0.46458333333333335</v>
      </c>
      <c r="BU1772" t="s">
        <v>507</v>
      </c>
      <c r="BV1772" t="s">
        <v>98</v>
      </c>
      <c r="BY1772">
        <v>10260</v>
      </c>
      <c r="BZ1772" t="s">
        <v>89</v>
      </c>
      <c r="CA1772" t="s">
        <v>508</v>
      </c>
      <c r="CC1772" t="s">
        <v>504</v>
      </c>
      <c r="CD1772">
        <v>7130</v>
      </c>
      <c r="CE1772" t="s">
        <v>117</v>
      </c>
      <c r="CF1772" s="3">
        <v>45854</v>
      </c>
      <c r="CI1772">
        <v>1</v>
      </c>
      <c r="CJ1772">
        <v>1</v>
      </c>
      <c r="CK1772">
        <v>23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"080066540914"</f>
        <v>080066540914</v>
      </c>
      <c r="F1773" s="3">
        <v>45852</v>
      </c>
      <c r="G1773">
        <v>202604</v>
      </c>
      <c r="H1773" t="s">
        <v>75</v>
      </c>
      <c r="I1773" t="s">
        <v>76</v>
      </c>
      <c r="J1773" t="s">
        <v>77</v>
      </c>
      <c r="K1773" t="s">
        <v>78</v>
      </c>
      <c r="L1773" t="s">
        <v>427</v>
      </c>
      <c r="M1773" t="s">
        <v>428</v>
      </c>
      <c r="N1773" t="s">
        <v>429</v>
      </c>
      <c r="O1773" t="s">
        <v>82</v>
      </c>
      <c r="P1773" t="str">
        <f>"4170048512                    "</f>
        <v xml:space="preserve">4170048512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43.78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1.9</v>
      </c>
      <c r="BK1773">
        <v>2</v>
      </c>
      <c r="BL1773">
        <v>137.94</v>
      </c>
      <c r="BM1773">
        <v>20.69</v>
      </c>
      <c r="BN1773">
        <v>158.63</v>
      </c>
      <c r="BO1773">
        <v>158.63</v>
      </c>
      <c r="BQ1773" t="s">
        <v>430</v>
      </c>
      <c r="BR1773" t="s">
        <v>84</v>
      </c>
      <c r="BS1773" s="3">
        <v>45853</v>
      </c>
      <c r="BT1773" s="4">
        <v>0.60416666666666663</v>
      </c>
      <c r="BU1773" t="s">
        <v>892</v>
      </c>
      <c r="BV1773" t="s">
        <v>98</v>
      </c>
      <c r="BY1773">
        <v>9600</v>
      </c>
      <c r="BZ1773" t="s">
        <v>89</v>
      </c>
      <c r="CC1773" t="s">
        <v>428</v>
      </c>
      <c r="CD1773">
        <v>9880</v>
      </c>
      <c r="CE1773" t="s">
        <v>117</v>
      </c>
      <c r="CF1773" s="3">
        <v>45853</v>
      </c>
      <c r="CI1773">
        <v>1</v>
      </c>
      <c r="CJ1773">
        <v>1</v>
      </c>
      <c r="CK1773">
        <v>23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"080066540953"</f>
        <v>080066540953</v>
      </c>
      <c r="F1774" s="3">
        <v>45852</v>
      </c>
      <c r="G1774">
        <v>202604</v>
      </c>
      <c r="H1774" t="s">
        <v>75</v>
      </c>
      <c r="I1774" t="s">
        <v>76</v>
      </c>
      <c r="J1774" t="s">
        <v>77</v>
      </c>
      <c r="K1774" t="s">
        <v>78</v>
      </c>
      <c r="L1774" t="s">
        <v>788</v>
      </c>
      <c r="M1774" t="s">
        <v>789</v>
      </c>
      <c r="N1774" t="s">
        <v>272</v>
      </c>
      <c r="O1774" t="s">
        <v>82</v>
      </c>
      <c r="P1774" t="str">
        <f>"4170048417                    "</f>
        <v xml:space="preserve">4170048417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22.6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0.6</v>
      </c>
      <c r="BK1774">
        <v>1</v>
      </c>
      <c r="BL1774">
        <v>71.2</v>
      </c>
      <c r="BM1774">
        <v>10.68</v>
      </c>
      <c r="BN1774">
        <v>81.88</v>
      </c>
      <c r="BO1774">
        <v>81.88</v>
      </c>
      <c r="BQ1774" t="s">
        <v>273</v>
      </c>
      <c r="BR1774" t="s">
        <v>84</v>
      </c>
      <c r="BS1774" s="3">
        <v>45853</v>
      </c>
      <c r="BT1774" s="4">
        <v>0.43055555555555558</v>
      </c>
      <c r="BU1774" t="s">
        <v>2354</v>
      </c>
      <c r="BV1774" t="s">
        <v>98</v>
      </c>
      <c r="BY1774">
        <v>3192</v>
      </c>
      <c r="BZ1774" t="s">
        <v>89</v>
      </c>
      <c r="CA1774" t="s">
        <v>2355</v>
      </c>
      <c r="CC1774" t="s">
        <v>789</v>
      </c>
      <c r="CD1774" s="5" t="s">
        <v>791</v>
      </c>
      <c r="CE1774" t="s">
        <v>117</v>
      </c>
      <c r="CF1774" s="3">
        <v>45853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"080066541027"</f>
        <v>080066541027</v>
      </c>
      <c r="F1775" s="3">
        <v>45852</v>
      </c>
      <c r="G1775">
        <v>202604</v>
      </c>
      <c r="H1775" t="s">
        <v>75</v>
      </c>
      <c r="I1775" t="s">
        <v>76</v>
      </c>
      <c r="J1775" t="s">
        <v>77</v>
      </c>
      <c r="K1775" t="s">
        <v>78</v>
      </c>
      <c r="L1775" t="s">
        <v>75</v>
      </c>
      <c r="M1775" t="s">
        <v>76</v>
      </c>
      <c r="N1775" t="s">
        <v>2343</v>
      </c>
      <c r="O1775" t="s">
        <v>82</v>
      </c>
      <c r="P1775" t="str">
        <f>"4170048530                    "</f>
        <v xml:space="preserve">4170048530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17.649999999999999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1.1000000000000001</v>
      </c>
      <c r="BK1775">
        <v>2</v>
      </c>
      <c r="BL1775">
        <v>55.61</v>
      </c>
      <c r="BM1775">
        <v>8.34</v>
      </c>
      <c r="BN1775">
        <v>63.95</v>
      </c>
      <c r="BO1775">
        <v>63.95</v>
      </c>
      <c r="BQ1775" t="s">
        <v>2344</v>
      </c>
      <c r="BR1775" t="s">
        <v>84</v>
      </c>
      <c r="BS1775" s="3">
        <v>45853</v>
      </c>
      <c r="BT1775" s="4">
        <v>0.42083333333333334</v>
      </c>
      <c r="BU1775" t="s">
        <v>2356</v>
      </c>
      <c r="BV1775" t="s">
        <v>98</v>
      </c>
      <c r="BY1775">
        <v>5320</v>
      </c>
      <c r="BZ1775" t="s">
        <v>89</v>
      </c>
      <c r="CA1775" t="s">
        <v>2346</v>
      </c>
      <c r="CC1775" t="s">
        <v>76</v>
      </c>
      <c r="CD1775">
        <v>1614</v>
      </c>
      <c r="CE1775" t="s">
        <v>117</v>
      </c>
      <c r="CF1775" s="3">
        <v>45854</v>
      </c>
      <c r="CI1775">
        <v>1</v>
      </c>
      <c r="CJ1775">
        <v>1</v>
      </c>
      <c r="CK1775">
        <v>22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"080066541083"</f>
        <v>080066541083</v>
      </c>
      <c r="F1776" s="3">
        <v>45852</v>
      </c>
      <c r="G1776">
        <v>202604</v>
      </c>
      <c r="H1776" t="s">
        <v>75</v>
      </c>
      <c r="I1776" t="s">
        <v>76</v>
      </c>
      <c r="J1776" t="s">
        <v>77</v>
      </c>
      <c r="K1776" t="s">
        <v>78</v>
      </c>
      <c r="L1776" t="s">
        <v>168</v>
      </c>
      <c r="M1776" t="s">
        <v>169</v>
      </c>
      <c r="N1776" t="s">
        <v>202</v>
      </c>
      <c r="O1776" t="s">
        <v>82</v>
      </c>
      <c r="P1776" t="str">
        <f>"4170048519                    "</f>
        <v xml:space="preserve">4170048519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22.6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1.1000000000000001</v>
      </c>
      <c r="BK1776">
        <v>1.5</v>
      </c>
      <c r="BL1776">
        <v>71.2</v>
      </c>
      <c r="BM1776">
        <v>10.68</v>
      </c>
      <c r="BN1776">
        <v>81.88</v>
      </c>
      <c r="BO1776">
        <v>81.88</v>
      </c>
      <c r="BQ1776" t="s">
        <v>203</v>
      </c>
      <c r="BR1776" t="s">
        <v>84</v>
      </c>
      <c r="BS1776" s="3">
        <v>45853</v>
      </c>
      <c r="BT1776" s="4">
        <v>0.36388888888888887</v>
      </c>
      <c r="BU1776" t="s">
        <v>1713</v>
      </c>
      <c r="BV1776" t="s">
        <v>98</v>
      </c>
      <c r="BY1776">
        <v>5320</v>
      </c>
      <c r="BZ1776" t="s">
        <v>89</v>
      </c>
      <c r="CA1776" t="s">
        <v>205</v>
      </c>
      <c r="CC1776" t="s">
        <v>169</v>
      </c>
      <c r="CD1776">
        <v>6001</v>
      </c>
      <c r="CE1776" t="s">
        <v>117</v>
      </c>
      <c r="CF1776" s="3">
        <v>45853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"080066541145"</f>
        <v>080066541145</v>
      </c>
      <c r="F1777" s="3">
        <v>45852</v>
      </c>
      <c r="G1777">
        <v>202604</v>
      </c>
      <c r="H1777" t="s">
        <v>75</v>
      </c>
      <c r="I1777" t="s">
        <v>76</v>
      </c>
      <c r="J1777" t="s">
        <v>77</v>
      </c>
      <c r="K1777" t="s">
        <v>78</v>
      </c>
      <c r="L1777" t="s">
        <v>503</v>
      </c>
      <c r="M1777" t="s">
        <v>504</v>
      </c>
      <c r="N1777" t="s">
        <v>505</v>
      </c>
      <c r="O1777" t="s">
        <v>82</v>
      </c>
      <c r="P1777" t="str">
        <f>"4170048480                    "</f>
        <v xml:space="preserve">4170048480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103.1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3</v>
      </c>
      <c r="BJ1777">
        <v>5</v>
      </c>
      <c r="BK1777">
        <v>5</v>
      </c>
      <c r="BL1777">
        <v>324.82</v>
      </c>
      <c r="BM1777">
        <v>48.72</v>
      </c>
      <c r="BN1777">
        <v>373.54</v>
      </c>
      <c r="BO1777">
        <v>373.54</v>
      </c>
      <c r="BQ1777" t="s">
        <v>506</v>
      </c>
      <c r="BR1777" t="s">
        <v>84</v>
      </c>
      <c r="BS1777" s="3">
        <v>45853</v>
      </c>
      <c r="BT1777" s="4">
        <v>0.46458333333333335</v>
      </c>
      <c r="BU1777" t="s">
        <v>507</v>
      </c>
      <c r="BV1777" t="s">
        <v>98</v>
      </c>
      <c r="BY1777">
        <v>25200</v>
      </c>
      <c r="BZ1777" t="s">
        <v>89</v>
      </c>
      <c r="CA1777" t="s">
        <v>508</v>
      </c>
      <c r="CC1777" t="s">
        <v>504</v>
      </c>
      <c r="CD1777">
        <v>7130</v>
      </c>
      <c r="CE1777" t="s">
        <v>91</v>
      </c>
      <c r="CF1777" s="3">
        <v>45854</v>
      </c>
      <c r="CI1777">
        <v>1</v>
      </c>
      <c r="CJ1777">
        <v>1</v>
      </c>
      <c r="CK1777">
        <v>23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"080066541214"</f>
        <v>080066541214</v>
      </c>
      <c r="F1778" s="3">
        <v>45852</v>
      </c>
      <c r="G1778">
        <v>202604</v>
      </c>
      <c r="H1778" t="s">
        <v>75</v>
      </c>
      <c r="I1778" t="s">
        <v>76</v>
      </c>
      <c r="J1778" t="s">
        <v>77</v>
      </c>
      <c r="K1778" t="s">
        <v>78</v>
      </c>
      <c r="L1778" t="s">
        <v>240</v>
      </c>
      <c r="M1778" t="s">
        <v>241</v>
      </c>
      <c r="N1778" t="s">
        <v>1735</v>
      </c>
      <c r="O1778" t="s">
        <v>95</v>
      </c>
      <c r="P1778" t="str">
        <f>"4170048491                    "</f>
        <v xml:space="preserve">4170048491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33.72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11</v>
      </c>
      <c r="BJ1778">
        <v>5.4</v>
      </c>
      <c r="BK1778">
        <v>11</v>
      </c>
      <c r="BL1778">
        <v>112.11</v>
      </c>
      <c r="BM1778">
        <v>16.82</v>
      </c>
      <c r="BN1778">
        <v>128.93</v>
      </c>
      <c r="BO1778">
        <v>128.93</v>
      </c>
      <c r="BQ1778" t="s">
        <v>1736</v>
      </c>
      <c r="BR1778" t="s">
        <v>84</v>
      </c>
      <c r="BS1778" s="3">
        <v>45853</v>
      </c>
      <c r="BT1778" s="4">
        <v>0.45347222222222222</v>
      </c>
      <c r="BU1778" t="s">
        <v>2357</v>
      </c>
      <c r="BV1778" t="s">
        <v>98</v>
      </c>
      <c r="BY1778">
        <v>27144</v>
      </c>
      <c r="BZ1778" t="s">
        <v>99</v>
      </c>
      <c r="CA1778" t="s">
        <v>1290</v>
      </c>
      <c r="CC1778" t="s">
        <v>241</v>
      </c>
      <c r="CD1778">
        <v>2001</v>
      </c>
      <c r="CE1778" t="s">
        <v>928</v>
      </c>
      <c r="CF1778" s="3">
        <v>45854</v>
      </c>
      <c r="CI1778">
        <v>1</v>
      </c>
      <c r="CJ1778">
        <v>1</v>
      </c>
      <c r="CK1778">
        <v>42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"080066541274"</f>
        <v>080066541274</v>
      </c>
      <c r="F1779" s="3">
        <v>45852</v>
      </c>
      <c r="G1779">
        <v>202604</v>
      </c>
      <c r="H1779" t="s">
        <v>75</v>
      </c>
      <c r="I1779" t="s">
        <v>76</v>
      </c>
      <c r="J1779" t="s">
        <v>77</v>
      </c>
      <c r="K1779" t="s">
        <v>78</v>
      </c>
      <c r="L1779" t="s">
        <v>566</v>
      </c>
      <c r="M1779" t="s">
        <v>567</v>
      </c>
      <c r="N1779" t="s">
        <v>568</v>
      </c>
      <c r="O1779" t="s">
        <v>82</v>
      </c>
      <c r="P1779" t="str">
        <f>"4170048515                    "</f>
        <v xml:space="preserve">4170048515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47.26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3</v>
      </c>
      <c r="BK1779">
        <v>3</v>
      </c>
      <c r="BL1779">
        <v>148.88999999999999</v>
      </c>
      <c r="BM1779">
        <v>22.33</v>
      </c>
      <c r="BN1779">
        <v>171.22</v>
      </c>
      <c r="BO1779">
        <v>171.22</v>
      </c>
      <c r="BQ1779" t="s">
        <v>569</v>
      </c>
      <c r="BR1779" t="s">
        <v>84</v>
      </c>
      <c r="BS1779" s="3">
        <v>45853</v>
      </c>
      <c r="BT1779" s="4">
        <v>0.36180555555555555</v>
      </c>
      <c r="BU1779" t="s">
        <v>2358</v>
      </c>
      <c r="BV1779" t="s">
        <v>98</v>
      </c>
      <c r="BY1779">
        <v>14976</v>
      </c>
      <c r="BZ1779" t="s">
        <v>89</v>
      </c>
      <c r="CA1779" t="s">
        <v>2359</v>
      </c>
      <c r="CC1779" t="s">
        <v>567</v>
      </c>
      <c r="CD1779">
        <v>2210</v>
      </c>
      <c r="CE1779" t="s">
        <v>91</v>
      </c>
      <c r="CF1779" s="3">
        <v>45854</v>
      </c>
      <c r="CI1779">
        <v>1</v>
      </c>
      <c r="CJ1779">
        <v>1</v>
      </c>
      <c r="CK1779">
        <v>24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"080066541325"</f>
        <v>080066541325</v>
      </c>
      <c r="F1780" s="3">
        <v>45852</v>
      </c>
      <c r="G1780">
        <v>202604</v>
      </c>
      <c r="H1780" t="s">
        <v>75</v>
      </c>
      <c r="I1780" t="s">
        <v>76</v>
      </c>
      <c r="J1780" t="s">
        <v>77</v>
      </c>
      <c r="K1780" t="s">
        <v>78</v>
      </c>
      <c r="L1780" t="s">
        <v>79</v>
      </c>
      <c r="M1780" t="s">
        <v>80</v>
      </c>
      <c r="N1780" t="s">
        <v>286</v>
      </c>
      <c r="O1780" t="s">
        <v>82</v>
      </c>
      <c r="P1780" t="str">
        <f>"4170048459                    "</f>
        <v xml:space="preserve">4170048459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28.24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2.1</v>
      </c>
      <c r="BK1780">
        <v>2.5</v>
      </c>
      <c r="BL1780">
        <v>88.98</v>
      </c>
      <c r="BM1780">
        <v>13.35</v>
      </c>
      <c r="BN1780">
        <v>102.33</v>
      </c>
      <c r="BO1780">
        <v>102.33</v>
      </c>
      <c r="BQ1780" t="s">
        <v>287</v>
      </c>
      <c r="BR1780" t="s">
        <v>84</v>
      </c>
      <c r="BS1780" s="3">
        <v>45853</v>
      </c>
      <c r="BT1780" s="4">
        <v>0.32291666666666669</v>
      </c>
      <c r="BU1780" t="s">
        <v>2322</v>
      </c>
      <c r="BV1780" t="s">
        <v>98</v>
      </c>
      <c r="BY1780">
        <v>10584</v>
      </c>
      <c r="BZ1780" t="s">
        <v>89</v>
      </c>
      <c r="CA1780" t="s">
        <v>289</v>
      </c>
      <c r="CC1780" t="s">
        <v>80</v>
      </c>
      <c r="CD1780">
        <v>7530</v>
      </c>
      <c r="CE1780" t="s">
        <v>91</v>
      </c>
      <c r="CF1780" s="3">
        <v>45854</v>
      </c>
      <c r="CI1780">
        <v>1</v>
      </c>
      <c r="CJ1780">
        <v>1</v>
      </c>
      <c r="CK1780">
        <v>21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"080066541362"</f>
        <v>080066541362</v>
      </c>
      <c r="F1781" s="3">
        <v>45852</v>
      </c>
      <c r="G1781">
        <v>202604</v>
      </c>
      <c r="H1781" t="s">
        <v>75</v>
      </c>
      <c r="I1781" t="s">
        <v>76</v>
      </c>
      <c r="J1781" t="s">
        <v>77</v>
      </c>
      <c r="K1781" t="s">
        <v>78</v>
      </c>
      <c r="L1781" t="s">
        <v>168</v>
      </c>
      <c r="M1781" t="s">
        <v>169</v>
      </c>
      <c r="N1781" t="s">
        <v>206</v>
      </c>
      <c r="O1781" t="s">
        <v>82</v>
      </c>
      <c r="P1781" t="str">
        <f>"4170048405                    "</f>
        <v xml:space="preserve">4170048405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39.53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</v>
      </c>
      <c r="BJ1781">
        <v>3.1</v>
      </c>
      <c r="BK1781">
        <v>3.5</v>
      </c>
      <c r="BL1781">
        <v>124.55</v>
      </c>
      <c r="BM1781">
        <v>18.68</v>
      </c>
      <c r="BN1781">
        <v>143.22999999999999</v>
      </c>
      <c r="BO1781">
        <v>143.22999999999999</v>
      </c>
      <c r="BQ1781" t="s">
        <v>207</v>
      </c>
      <c r="BR1781" t="s">
        <v>84</v>
      </c>
      <c r="BS1781" s="3">
        <v>45853</v>
      </c>
      <c r="BT1781" s="4">
        <v>0.37569444444444444</v>
      </c>
      <c r="BU1781" t="s">
        <v>208</v>
      </c>
      <c r="BV1781" t="s">
        <v>98</v>
      </c>
      <c r="BY1781">
        <v>15360</v>
      </c>
      <c r="BZ1781" t="s">
        <v>89</v>
      </c>
      <c r="CA1781" t="s">
        <v>196</v>
      </c>
      <c r="CC1781" t="s">
        <v>169</v>
      </c>
      <c r="CD1781">
        <v>6001</v>
      </c>
      <c r="CE1781" t="s">
        <v>117</v>
      </c>
      <c r="CF1781" s="3">
        <v>45853</v>
      </c>
      <c r="CI1781">
        <v>1</v>
      </c>
      <c r="CJ1781">
        <v>1</v>
      </c>
      <c r="CK1781">
        <v>21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"080066541412"</f>
        <v>080066541412</v>
      </c>
      <c r="F1782" s="3">
        <v>45852</v>
      </c>
      <c r="G1782">
        <v>202604</v>
      </c>
      <c r="H1782" t="s">
        <v>75</v>
      </c>
      <c r="I1782" t="s">
        <v>76</v>
      </c>
      <c r="J1782" t="s">
        <v>77</v>
      </c>
      <c r="K1782" t="s">
        <v>78</v>
      </c>
      <c r="L1782" t="s">
        <v>197</v>
      </c>
      <c r="M1782" t="s">
        <v>198</v>
      </c>
      <c r="N1782" t="s">
        <v>1548</v>
      </c>
      <c r="O1782" t="s">
        <v>82</v>
      </c>
      <c r="P1782" t="str">
        <f>"4170048528                    "</f>
        <v xml:space="preserve">4170048528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17.649999999999999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3</v>
      </c>
      <c r="BJ1782">
        <v>1.1000000000000001</v>
      </c>
      <c r="BK1782">
        <v>3</v>
      </c>
      <c r="BL1782">
        <v>55.61</v>
      </c>
      <c r="BM1782">
        <v>8.34</v>
      </c>
      <c r="BN1782">
        <v>63.95</v>
      </c>
      <c r="BO1782">
        <v>63.95</v>
      </c>
      <c r="BQ1782" t="s">
        <v>1549</v>
      </c>
      <c r="BR1782" t="s">
        <v>84</v>
      </c>
      <c r="BS1782" s="3">
        <v>45853</v>
      </c>
      <c r="BT1782" s="4">
        <v>0.42638888888888887</v>
      </c>
      <c r="BU1782" t="s">
        <v>2360</v>
      </c>
      <c r="BV1782" t="s">
        <v>98</v>
      </c>
      <c r="BY1782">
        <v>5320</v>
      </c>
      <c r="BZ1782" t="s">
        <v>89</v>
      </c>
      <c r="CA1782" t="s">
        <v>2346</v>
      </c>
      <c r="CC1782" t="s">
        <v>198</v>
      </c>
      <c r="CD1782">
        <v>1401</v>
      </c>
      <c r="CE1782" t="s">
        <v>117</v>
      </c>
      <c r="CF1782" s="3">
        <v>45854</v>
      </c>
      <c r="CI1782">
        <v>1</v>
      </c>
      <c r="CJ1782">
        <v>1</v>
      </c>
      <c r="CK1782">
        <v>22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"080066541438"</f>
        <v>080066541438</v>
      </c>
      <c r="F1783" s="3">
        <v>45852</v>
      </c>
      <c r="G1783">
        <v>202604</v>
      </c>
      <c r="H1783" t="s">
        <v>75</v>
      </c>
      <c r="I1783" t="s">
        <v>76</v>
      </c>
      <c r="J1783" t="s">
        <v>77</v>
      </c>
      <c r="K1783" t="s">
        <v>78</v>
      </c>
      <c r="L1783" t="s">
        <v>168</v>
      </c>
      <c r="M1783" t="s">
        <v>169</v>
      </c>
      <c r="N1783" t="s">
        <v>206</v>
      </c>
      <c r="O1783" t="s">
        <v>82</v>
      </c>
      <c r="P1783" t="str">
        <f>"4170048521                    "</f>
        <v xml:space="preserve">4170048521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22.6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</v>
      </c>
      <c r="BJ1783">
        <v>1.1000000000000001</v>
      </c>
      <c r="BK1783">
        <v>2</v>
      </c>
      <c r="BL1783">
        <v>71.2</v>
      </c>
      <c r="BM1783">
        <v>10.68</v>
      </c>
      <c r="BN1783">
        <v>81.88</v>
      </c>
      <c r="BO1783">
        <v>81.88</v>
      </c>
      <c r="BQ1783" t="s">
        <v>207</v>
      </c>
      <c r="BR1783" t="s">
        <v>84</v>
      </c>
      <c r="BS1783" s="3">
        <v>45853</v>
      </c>
      <c r="BT1783" s="4">
        <v>0.37569444444444444</v>
      </c>
      <c r="BU1783" t="s">
        <v>208</v>
      </c>
      <c r="BV1783" t="s">
        <v>98</v>
      </c>
      <c r="BY1783">
        <v>5320</v>
      </c>
      <c r="BZ1783" t="s">
        <v>89</v>
      </c>
      <c r="CA1783" t="s">
        <v>196</v>
      </c>
      <c r="CC1783" t="s">
        <v>169</v>
      </c>
      <c r="CD1783">
        <v>6001</v>
      </c>
      <c r="CE1783" t="s">
        <v>117</v>
      </c>
      <c r="CF1783" s="3">
        <v>45853</v>
      </c>
      <c r="CI1783">
        <v>1</v>
      </c>
      <c r="CJ1783">
        <v>1</v>
      </c>
      <c r="CK1783">
        <v>21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"080066541879"</f>
        <v>080066541879</v>
      </c>
      <c r="F1784" s="3">
        <v>45852</v>
      </c>
      <c r="G1784">
        <v>202604</v>
      </c>
      <c r="H1784" t="s">
        <v>75</v>
      </c>
      <c r="I1784" t="s">
        <v>76</v>
      </c>
      <c r="J1784" t="s">
        <v>77</v>
      </c>
      <c r="K1784" t="s">
        <v>78</v>
      </c>
      <c r="L1784" t="s">
        <v>168</v>
      </c>
      <c r="M1784" t="s">
        <v>169</v>
      </c>
      <c r="N1784" t="s">
        <v>206</v>
      </c>
      <c r="O1784" t="s">
        <v>82</v>
      </c>
      <c r="P1784" t="str">
        <f>"4170048432                    "</f>
        <v xml:space="preserve">4170048432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22.6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0.3</v>
      </c>
      <c r="BK1784">
        <v>1</v>
      </c>
      <c r="BL1784">
        <v>71.2</v>
      </c>
      <c r="BM1784">
        <v>10.68</v>
      </c>
      <c r="BN1784">
        <v>81.88</v>
      </c>
      <c r="BO1784">
        <v>81.88</v>
      </c>
      <c r="BQ1784" t="s">
        <v>207</v>
      </c>
      <c r="BR1784" t="s">
        <v>84</v>
      </c>
      <c r="BS1784" s="3">
        <v>45853</v>
      </c>
      <c r="BT1784" s="4">
        <v>0.37569444444444444</v>
      </c>
      <c r="BU1784" t="s">
        <v>208</v>
      </c>
      <c r="BV1784" t="s">
        <v>98</v>
      </c>
      <c r="BY1784">
        <v>1350</v>
      </c>
      <c r="BZ1784" t="s">
        <v>89</v>
      </c>
      <c r="CA1784" t="s">
        <v>196</v>
      </c>
      <c r="CC1784" t="s">
        <v>169</v>
      </c>
      <c r="CD1784">
        <v>6001</v>
      </c>
      <c r="CE1784" t="s">
        <v>1868</v>
      </c>
      <c r="CF1784" s="3">
        <v>45853</v>
      </c>
      <c r="CI1784">
        <v>1</v>
      </c>
      <c r="CJ1784">
        <v>1</v>
      </c>
      <c r="CK1784">
        <v>21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"080066541924"</f>
        <v>080066541924</v>
      </c>
      <c r="F1785" s="3">
        <v>45852</v>
      </c>
      <c r="G1785">
        <v>202604</v>
      </c>
      <c r="H1785" t="s">
        <v>75</v>
      </c>
      <c r="I1785" t="s">
        <v>76</v>
      </c>
      <c r="J1785" t="s">
        <v>77</v>
      </c>
      <c r="K1785" t="s">
        <v>78</v>
      </c>
      <c r="L1785" t="s">
        <v>79</v>
      </c>
      <c r="M1785" t="s">
        <v>80</v>
      </c>
      <c r="N1785" t="s">
        <v>1639</v>
      </c>
      <c r="O1785" t="s">
        <v>82</v>
      </c>
      <c r="P1785" t="str">
        <f>"4170048462                    "</f>
        <v xml:space="preserve">4170048462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39.53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3.2</v>
      </c>
      <c r="BK1785">
        <v>3.5</v>
      </c>
      <c r="BL1785">
        <v>124.55</v>
      </c>
      <c r="BM1785">
        <v>18.68</v>
      </c>
      <c r="BN1785">
        <v>143.22999999999999</v>
      </c>
      <c r="BO1785">
        <v>143.22999999999999</v>
      </c>
      <c r="BQ1785" t="s">
        <v>1640</v>
      </c>
      <c r="BR1785" t="s">
        <v>84</v>
      </c>
      <c r="BS1785" s="3">
        <v>45853</v>
      </c>
      <c r="BT1785" s="4">
        <v>0.41388888888888886</v>
      </c>
      <c r="BU1785" t="s">
        <v>2361</v>
      </c>
      <c r="BV1785" t="s">
        <v>98</v>
      </c>
      <c r="BY1785">
        <v>16184</v>
      </c>
      <c r="BZ1785" t="s">
        <v>89</v>
      </c>
      <c r="CA1785" t="s">
        <v>162</v>
      </c>
      <c r="CC1785" t="s">
        <v>80</v>
      </c>
      <c r="CD1785">
        <v>8001</v>
      </c>
      <c r="CE1785" t="s">
        <v>91</v>
      </c>
      <c r="CF1785" s="3">
        <v>45854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"080066541970"</f>
        <v>080066541970</v>
      </c>
      <c r="F1786" s="3">
        <v>45852</v>
      </c>
      <c r="G1786">
        <v>202604</v>
      </c>
      <c r="H1786" t="s">
        <v>75</v>
      </c>
      <c r="I1786" t="s">
        <v>76</v>
      </c>
      <c r="J1786" t="s">
        <v>77</v>
      </c>
      <c r="K1786" t="s">
        <v>78</v>
      </c>
      <c r="L1786" t="s">
        <v>168</v>
      </c>
      <c r="M1786" t="s">
        <v>169</v>
      </c>
      <c r="N1786" t="s">
        <v>420</v>
      </c>
      <c r="O1786" t="s">
        <v>82</v>
      </c>
      <c r="P1786" t="str">
        <f>"4170048500                    "</f>
        <v xml:space="preserve">4170048500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22.6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0.9</v>
      </c>
      <c r="BK1786">
        <v>1</v>
      </c>
      <c r="BL1786">
        <v>71.2</v>
      </c>
      <c r="BM1786">
        <v>10.68</v>
      </c>
      <c r="BN1786">
        <v>81.88</v>
      </c>
      <c r="BO1786">
        <v>81.88</v>
      </c>
      <c r="BQ1786" t="s">
        <v>421</v>
      </c>
      <c r="BR1786" t="s">
        <v>84</v>
      </c>
      <c r="BS1786" s="3">
        <v>45853</v>
      </c>
      <c r="BT1786" s="4">
        <v>0.41597222222222224</v>
      </c>
      <c r="BU1786" t="s">
        <v>422</v>
      </c>
      <c r="BV1786" t="s">
        <v>98</v>
      </c>
      <c r="BY1786">
        <v>4275</v>
      </c>
      <c r="BZ1786" t="s">
        <v>89</v>
      </c>
      <c r="CA1786" t="s">
        <v>423</v>
      </c>
      <c r="CC1786" t="s">
        <v>169</v>
      </c>
      <c r="CD1786">
        <v>6001</v>
      </c>
      <c r="CE1786" t="s">
        <v>266</v>
      </c>
      <c r="CF1786" s="3">
        <v>45853</v>
      </c>
      <c r="CI1786">
        <v>1</v>
      </c>
      <c r="CJ1786">
        <v>1</v>
      </c>
      <c r="CK1786">
        <v>21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"080066542015"</f>
        <v>080066542015</v>
      </c>
      <c r="F1787" s="3">
        <v>45852</v>
      </c>
      <c r="G1787">
        <v>202604</v>
      </c>
      <c r="H1787" t="s">
        <v>75</v>
      </c>
      <c r="I1787" t="s">
        <v>76</v>
      </c>
      <c r="J1787" t="s">
        <v>77</v>
      </c>
      <c r="K1787" t="s">
        <v>78</v>
      </c>
      <c r="L1787" t="s">
        <v>197</v>
      </c>
      <c r="M1787" t="s">
        <v>198</v>
      </c>
      <c r="N1787" t="s">
        <v>1192</v>
      </c>
      <c r="O1787" t="s">
        <v>82</v>
      </c>
      <c r="P1787" t="str">
        <f>"4170048485                    "</f>
        <v xml:space="preserve">4170048485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17.649999999999999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2</v>
      </c>
      <c r="BJ1787">
        <v>3</v>
      </c>
      <c r="BK1787">
        <v>3</v>
      </c>
      <c r="BL1787">
        <v>55.61</v>
      </c>
      <c r="BM1787">
        <v>8.34</v>
      </c>
      <c r="BN1787">
        <v>63.95</v>
      </c>
      <c r="BO1787">
        <v>63.95</v>
      </c>
      <c r="BQ1787" t="s">
        <v>1193</v>
      </c>
      <c r="BR1787" t="s">
        <v>84</v>
      </c>
      <c r="BS1787" s="3">
        <v>45853</v>
      </c>
      <c r="BT1787" s="4">
        <v>0.43541666666666667</v>
      </c>
      <c r="BU1787" t="s">
        <v>1194</v>
      </c>
      <c r="BV1787" t="s">
        <v>98</v>
      </c>
      <c r="BY1787">
        <v>15232</v>
      </c>
      <c r="BZ1787" t="s">
        <v>89</v>
      </c>
      <c r="CA1787" t="s">
        <v>318</v>
      </c>
      <c r="CC1787" t="s">
        <v>198</v>
      </c>
      <c r="CD1787">
        <v>1428</v>
      </c>
      <c r="CE1787" t="s">
        <v>91</v>
      </c>
      <c r="CF1787" s="3">
        <v>45853</v>
      </c>
      <c r="CI1787">
        <v>1</v>
      </c>
      <c r="CJ1787">
        <v>1</v>
      </c>
      <c r="CK1787">
        <v>22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"080066542044"</f>
        <v>080066542044</v>
      </c>
      <c r="F1788" s="3">
        <v>45852</v>
      </c>
      <c r="G1788">
        <v>202604</v>
      </c>
      <c r="H1788" t="s">
        <v>75</v>
      </c>
      <c r="I1788" t="s">
        <v>76</v>
      </c>
      <c r="J1788" t="s">
        <v>77</v>
      </c>
      <c r="K1788" t="s">
        <v>78</v>
      </c>
      <c r="L1788" t="s">
        <v>277</v>
      </c>
      <c r="M1788" t="s">
        <v>278</v>
      </c>
      <c r="N1788" t="s">
        <v>462</v>
      </c>
      <c r="O1788" t="s">
        <v>82</v>
      </c>
      <c r="P1788" t="str">
        <f>"4170048531                    "</f>
        <v xml:space="preserve">4170048531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22.6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0.3</v>
      </c>
      <c r="BK1788">
        <v>1</v>
      </c>
      <c r="BL1788">
        <v>71.2</v>
      </c>
      <c r="BM1788">
        <v>10.68</v>
      </c>
      <c r="BN1788">
        <v>81.88</v>
      </c>
      <c r="BO1788">
        <v>81.88</v>
      </c>
      <c r="BQ1788" t="s">
        <v>463</v>
      </c>
      <c r="BR1788" t="s">
        <v>84</v>
      </c>
      <c r="BS1788" s="3">
        <v>45853</v>
      </c>
      <c r="BT1788" s="4">
        <v>0.34791666666666665</v>
      </c>
      <c r="BU1788" t="s">
        <v>2140</v>
      </c>
      <c r="BV1788" t="s">
        <v>98</v>
      </c>
      <c r="BY1788">
        <v>1350</v>
      </c>
      <c r="BZ1788" t="s">
        <v>89</v>
      </c>
      <c r="CA1788" t="s">
        <v>282</v>
      </c>
      <c r="CC1788" t="s">
        <v>278</v>
      </c>
      <c r="CD1788">
        <v>6229</v>
      </c>
      <c r="CE1788" t="s">
        <v>1868</v>
      </c>
      <c r="CF1788" s="3">
        <v>45853</v>
      </c>
      <c r="CI1788">
        <v>1</v>
      </c>
      <c r="CJ1788">
        <v>1</v>
      </c>
      <c r="CK1788">
        <v>21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"080066542072"</f>
        <v>080066542072</v>
      </c>
      <c r="F1789" s="3">
        <v>45852</v>
      </c>
      <c r="G1789">
        <v>202604</v>
      </c>
      <c r="H1789" t="s">
        <v>75</v>
      </c>
      <c r="I1789" t="s">
        <v>76</v>
      </c>
      <c r="J1789" t="s">
        <v>77</v>
      </c>
      <c r="K1789" t="s">
        <v>78</v>
      </c>
      <c r="L1789" t="s">
        <v>75</v>
      </c>
      <c r="M1789" t="s">
        <v>76</v>
      </c>
      <c r="N1789" t="s">
        <v>701</v>
      </c>
      <c r="O1789" t="s">
        <v>82</v>
      </c>
      <c r="P1789" t="str">
        <f>"4170048474                    "</f>
        <v xml:space="preserve">4170048474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17.649999999999999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1.1000000000000001</v>
      </c>
      <c r="BK1789">
        <v>2</v>
      </c>
      <c r="BL1789">
        <v>55.61</v>
      </c>
      <c r="BM1789">
        <v>8.34</v>
      </c>
      <c r="BN1789">
        <v>63.95</v>
      </c>
      <c r="BO1789">
        <v>63.95</v>
      </c>
      <c r="BQ1789" t="s">
        <v>702</v>
      </c>
      <c r="BR1789" t="s">
        <v>84</v>
      </c>
      <c r="BS1789" s="3">
        <v>45853</v>
      </c>
      <c r="BT1789" s="4">
        <v>0.34861111111111109</v>
      </c>
      <c r="BU1789" t="s">
        <v>703</v>
      </c>
      <c r="BV1789" t="s">
        <v>98</v>
      </c>
      <c r="BY1789">
        <v>5320</v>
      </c>
      <c r="BZ1789" t="s">
        <v>89</v>
      </c>
      <c r="CA1789" t="s">
        <v>617</v>
      </c>
      <c r="CC1789" t="s">
        <v>76</v>
      </c>
      <c r="CD1789">
        <v>1645</v>
      </c>
      <c r="CE1789" t="s">
        <v>117</v>
      </c>
      <c r="CF1789" s="3">
        <v>45853</v>
      </c>
      <c r="CI1789">
        <v>1</v>
      </c>
      <c r="CJ1789">
        <v>1</v>
      </c>
      <c r="CK1789">
        <v>22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"080066542139"</f>
        <v>080066542139</v>
      </c>
      <c r="F1790" s="3">
        <v>45852</v>
      </c>
      <c r="G1790">
        <v>202604</v>
      </c>
      <c r="H1790" t="s">
        <v>75</v>
      </c>
      <c r="I1790" t="s">
        <v>76</v>
      </c>
      <c r="J1790" t="s">
        <v>77</v>
      </c>
      <c r="K1790" t="s">
        <v>78</v>
      </c>
      <c r="L1790" t="s">
        <v>566</v>
      </c>
      <c r="M1790" t="s">
        <v>567</v>
      </c>
      <c r="N1790" t="s">
        <v>568</v>
      </c>
      <c r="O1790" t="s">
        <v>82</v>
      </c>
      <c r="P1790" t="str">
        <f>"4170048550                    "</f>
        <v xml:space="preserve">4170048550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31.78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1.1000000000000001</v>
      </c>
      <c r="BK1790">
        <v>1.5</v>
      </c>
      <c r="BL1790">
        <v>100.13</v>
      </c>
      <c r="BM1790">
        <v>15.02</v>
      </c>
      <c r="BN1790">
        <v>115.15</v>
      </c>
      <c r="BO1790">
        <v>115.15</v>
      </c>
      <c r="BQ1790" t="s">
        <v>569</v>
      </c>
      <c r="BR1790" t="s">
        <v>84</v>
      </c>
      <c r="BS1790" s="3">
        <v>45853</v>
      </c>
      <c r="BT1790" s="4">
        <v>0.36180555555555555</v>
      </c>
      <c r="BU1790" t="s">
        <v>2358</v>
      </c>
      <c r="BV1790" t="s">
        <v>98</v>
      </c>
      <c r="BY1790">
        <v>5320</v>
      </c>
      <c r="BZ1790" t="s">
        <v>89</v>
      </c>
      <c r="CA1790" t="s">
        <v>2359</v>
      </c>
      <c r="CC1790" t="s">
        <v>567</v>
      </c>
      <c r="CD1790">
        <v>2210</v>
      </c>
      <c r="CE1790" t="s">
        <v>117</v>
      </c>
      <c r="CF1790" s="3">
        <v>45854</v>
      </c>
      <c r="CI1790">
        <v>1</v>
      </c>
      <c r="CJ1790">
        <v>1</v>
      </c>
      <c r="CK1790">
        <v>24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"080066542140"</f>
        <v>080066542140</v>
      </c>
      <c r="F1791" s="3">
        <v>45852</v>
      </c>
      <c r="G1791">
        <v>202604</v>
      </c>
      <c r="H1791" t="s">
        <v>75</v>
      </c>
      <c r="I1791" t="s">
        <v>76</v>
      </c>
      <c r="J1791" t="s">
        <v>77</v>
      </c>
      <c r="K1791" t="s">
        <v>78</v>
      </c>
      <c r="L1791" t="s">
        <v>168</v>
      </c>
      <c r="M1791" t="s">
        <v>169</v>
      </c>
      <c r="N1791" t="s">
        <v>412</v>
      </c>
      <c r="O1791" t="s">
        <v>82</v>
      </c>
      <c r="P1791" t="str">
        <f>"4170048429                    "</f>
        <v xml:space="preserve">4170048429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22.6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0.3</v>
      </c>
      <c r="BK1791">
        <v>1</v>
      </c>
      <c r="BL1791">
        <v>71.2</v>
      </c>
      <c r="BM1791">
        <v>10.68</v>
      </c>
      <c r="BN1791">
        <v>81.88</v>
      </c>
      <c r="BO1791">
        <v>81.88</v>
      </c>
      <c r="BQ1791" t="s">
        <v>413</v>
      </c>
      <c r="BR1791" t="s">
        <v>84</v>
      </c>
      <c r="BS1791" s="3">
        <v>45853</v>
      </c>
      <c r="BT1791" s="4">
        <v>0.33888888888888891</v>
      </c>
      <c r="BU1791" t="s">
        <v>470</v>
      </c>
      <c r="BV1791" t="s">
        <v>98</v>
      </c>
      <c r="BY1791">
        <v>1350</v>
      </c>
      <c r="BZ1791" t="s">
        <v>89</v>
      </c>
      <c r="CA1791" t="s">
        <v>415</v>
      </c>
      <c r="CC1791" t="s">
        <v>169</v>
      </c>
      <c r="CD1791">
        <v>6001</v>
      </c>
      <c r="CE1791" t="s">
        <v>1868</v>
      </c>
      <c r="CF1791" s="3">
        <v>45853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"080066542205"</f>
        <v>080066542205</v>
      </c>
      <c r="F1792" s="3">
        <v>45852</v>
      </c>
      <c r="G1792">
        <v>202604</v>
      </c>
      <c r="H1792" t="s">
        <v>75</v>
      </c>
      <c r="I1792" t="s">
        <v>76</v>
      </c>
      <c r="J1792" t="s">
        <v>77</v>
      </c>
      <c r="K1792" t="s">
        <v>78</v>
      </c>
      <c r="L1792" t="s">
        <v>151</v>
      </c>
      <c r="M1792" t="s">
        <v>152</v>
      </c>
      <c r="N1792" t="s">
        <v>2100</v>
      </c>
      <c r="O1792" t="s">
        <v>82</v>
      </c>
      <c r="P1792" t="str">
        <f>"4170048490                    "</f>
        <v xml:space="preserve">4170048490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22.6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0.3</v>
      </c>
      <c r="BK1792">
        <v>1</v>
      </c>
      <c r="BL1792">
        <v>71.2</v>
      </c>
      <c r="BM1792">
        <v>10.68</v>
      </c>
      <c r="BN1792">
        <v>81.88</v>
      </c>
      <c r="BO1792">
        <v>81.88</v>
      </c>
      <c r="BQ1792" t="s">
        <v>2101</v>
      </c>
      <c r="BR1792" t="s">
        <v>84</v>
      </c>
      <c r="BS1792" s="3">
        <v>45853</v>
      </c>
      <c r="BT1792" s="4">
        <v>0.41666666666666669</v>
      </c>
      <c r="BU1792" t="s">
        <v>2362</v>
      </c>
      <c r="BV1792" t="s">
        <v>98</v>
      </c>
      <c r="BY1792">
        <v>1350</v>
      </c>
      <c r="BZ1792" t="s">
        <v>89</v>
      </c>
      <c r="CC1792" t="s">
        <v>152</v>
      </c>
      <c r="CD1792" s="5" t="s">
        <v>717</v>
      </c>
      <c r="CE1792" t="s">
        <v>1868</v>
      </c>
      <c r="CF1792" s="3">
        <v>45853</v>
      </c>
      <c r="CI1792">
        <v>1</v>
      </c>
      <c r="CJ1792">
        <v>1</v>
      </c>
      <c r="CK1792">
        <v>21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"080066542220"</f>
        <v>080066542220</v>
      </c>
      <c r="F1793" s="3">
        <v>45852</v>
      </c>
      <c r="G1793">
        <v>202604</v>
      </c>
      <c r="H1793" t="s">
        <v>75</v>
      </c>
      <c r="I1793" t="s">
        <v>76</v>
      </c>
      <c r="J1793" t="s">
        <v>77</v>
      </c>
      <c r="K1793" t="s">
        <v>78</v>
      </c>
      <c r="L1793" t="s">
        <v>151</v>
      </c>
      <c r="M1793" t="s">
        <v>152</v>
      </c>
      <c r="N1793" t="s">
        <v>1568</v>
      </c>
      <c r="O1793" t="s">
        <v>95</v>
      </c>
      <c r="P1793" t="str">
        <f>"4170048562                    "</f>
        <v xml:space="preserve">4170048562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43.7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12</v>
      </c>
      <c r="BJ1793">
        <v>5.9</v>
      </c>
      <c r="BK1793">
        <v>12</v>
      </c>
      <c r="BL1793">
        <v>143.55000000000001</v>
      </c>
      <c r="BM1793">
        <v>21.53</v>
      </c>
      <c r="BN1793">
        <v>165.08</v>
      </c>
      <c r="BO1793">
        <v>165.08</v>
      </c>
      <c r="BQ1793" t="s">
        <v>1569</v>
      </c>
      <c r="BR1793" t="s">
        <v>84</v>
      </c>
      <c r="BS1793" s="3">
        <v>45853</v>
      </c>
      <c r="BT1793" s="4">
        <v>0.48541666666666666</v>
      </c>
      <c r="BU1793" t="s">
        <v>1570</v>
      </c>
      <c r="BV1793" t="s">
        <v>98</v>
      </c>
      <c r="BY1793">
        <v>29406</v>
      </c>
      <c r="BZ1793" t="s">
        <v>99</v>
      </c>
      <c r="CA1793" t="s">
        <v>906</v>
      </c>
      <c r="CC1793" t="s">
        <v>152</v>
      </c>
      <c r="CD1793" s="5" t="s">
        <v>907</v>
      </c>
      <c r="CE1793" t="s">
        <v>117</v>
      </c>
      <c r="CF1793" s="3">
        <v>45853</v>
      </c>
      <c r="CI1793">
        <v>1</v>
      </c>
      <c r="CJ1793">
        <v>1</v>
      </c>
      <c r="CK1793">
        <v>41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"080066542313"</f>
        <v>080066542313</v>
      </c>
      <c r="F1794" s="3">
        <v>45852</v>
      </c>
      <c r="G1794">
        <v>202604</v>
      </c>
      <c r="H1794" t="s">
        <v>75</v>
      </c>
      <c r="I1794" t="s">
        <v>76</v>
      </c>
      <c r="J1794" t="s">
        <v>77</v>
      </c>
      <c r="K1794" t="s">
        <v>78</v>
      </c>
      <c r="L1794" t="s">
        <v>1370</v>
      </c>
      <c r="M1794" t="s">
        <v>1371</v>
      </c>
      <c r="N1794" t="s">
        <v>1372</v>
      </c>
      <c r="O1794" t="s">
        <v>95</v>
      </c>
      <c r="P1794" t="str">
        <f>"4170048457                    "</f>
        <v xml:space="preserve">4170048457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77.38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15</v>
      </c>
      <c r="BJ1794">
        <v>19.399999999999999</v>
      </c>
      <c r="BK1794">
        <v>20</v>
      </c>
      <c r="BL1794">
        <v>249.65</v>
      </c>
      <c r="BM1794">
        <v>37.450000000000003</v>
      </c>
      <c r="BN1794">
        <v>287.10000000000002</v>
      </c>
      <c r="BO1794">
        <v>287.10000000000002</v>
      </c>
      <c r="BQ1794" t="s">
        <v>1373</v>
      </c>
      <c r="BR1794" t="s">
        <v>84</v>
      </c>
      <c r="BS1794" s="3">
        <v>45853</v>
      </c>
      <c r="BT1794" s="4">
        <v>0.55625000000000002</v>
      </c>
      <c r="BU1794" t="s">
        <v>2363</v>
      </c>
      <c r="BV1794" t="s">
        <v>98</v>
      </c>
      <c r="BY1794">
        <v>97200</v>
      </c>
      <c r="BZ1794" t="s">
        <v>99</v>
      </c>
      <c r="CC1794" t="s">
        <v>1371</v>
      </c>
      <c r="CD1794" s="5" t="s">
        <v>1376</v>
      </c>
      <c r="CE1794" t="s">
        <v>1377</v>
      </c>
      <c r="CF1794" s="3">
        <v>45854</v>
      </c>
      <c r="CI1794">
        <v>1</v>
      </c>
      <c r="CJ1794">
        <v>1</v>
      </c>
      <c r="CK1794">
        <v>43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"080066542372"</f>
        <v>080066542372</v>
      </c>
      <c r="F1795" s="3">
        <v>45852</v>
      </c>
      <c r="G1795">
        <v>202604</v>
      </c>
      <c r="H1795" t="s">
        <v>75</v>
      </c>
      <c r="I1795" t="s">
        <v>76</v>
      </c>
      <c r="J1795" t="s">
        <v>77</v>
      </c>
      <c r="K1795" t="s">
        <v>78</v>
      </c>
      <c r="L1795" t="s">
        <v>122</v>
      </c>
      <c r="M1795" t="s">
        <v>123</v>
      </c>
      <c r="N1795" t="s">
        <v>1715</v>
      </c>
      <c r="O1795" t="s">
        <v>82</v>
      </c>
      <c r="P1795" t="str">
        <f>"4170048517                    "</f>
        <v xml:space="preserve">4170048517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22.6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0.3</v>
      </c>
      <c r="BK1795">
        <v>1</v>
      </c>
      <c r="BL1795">
        <v>71.2</v>
      </c>
      <c r="BM1795">
        <v>10.68</v>
      </c>
      <c r="BN1795">
        <v>81.88</v>
      </c>
      <c r="BO1795">
        <v>81.88</v>
      </c>
      <c r="BQ1795" t="s">
        <v>1716</v>
      </c>
      <c r="BR1795" t="s">
        <v>84</v>
      </c>
      <c r="BS1795" s="3">
        <v>45853</v>
      </c>
      <c r="BT1795" s="4">
        <v>0.625</v>
      </c>
      <c r="BU1795" t="s">
        <v>2364</v>
      </c>
      <c r="BV1795" t="s">
        <v>86</v>
      </c>
      <c r="BW1795" t="s">
        <v>219</v>
      </c>
      <c r="BX1795" t="s">
        <v>1435</v>
      </c>
      <c r="BY1795">
        <v>1350</v>
      </c>
      <c r="BZ1795" t="s">
        <v>89</v>
      </c>
      <c r="CA1795" t="s">
        <v>166</v>
      </c>
      <c r="CC1795" t="s">
        <v>123</v>
      </c>
      <c r="CD1795">
        <v>3610</v>
      </c>
      <c r="CE1795" t="s">
        <v>1868</v>
      </c>
      <c r="CF1795" s="3">
        <v>45853</v>
      </c>
      <c r="CI1795">
        <v>1</v>
      </c>
      <c r="CJ1795">
        <v>1</v>
      </c>
      <c r="CK1795">
        <v>21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"080066542374"</f>
        <v>080066542374</v>
      </c>
      <c r="F1796" s="3">
        <v>45852</v>
      </c>
      <c r="G1796">
        <v>202604</v>
      </c>
      <c r="H1796" t="s">
        <v>75</v>
      </c>
      <c r="I1796" t="s">
        <v>76</v>
      </c>
      <c r="J1796" t="s">
        <v>77</v>
      </c>
      <c r="K1796" t="s">
        <v>78</v>
      </c>
      <c r="L1796" t="s">
        <v>168</v>
      </c>
      <c r="M1796" t="s">
        <v>169</v>
      </c>
      <c r="N1796" t="s">
        <v>206</v>
      </c>
      <c r="O1796" t="s">
        <v>82</v>
      </c>
      <c r="P1796" t="str">
        <f>"4170048424                    "</f>
        <v xml:space="preserve">4170048424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39.53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3.4</v>
      </c>
      <c r="BK1796">
        <v>3.5</v>
      </c>
      <c r="BL1796">
        <v>124.55</v>
      </c>
      <c r="BM1796">
        <v>18.68</v>
      </c>
      <c r="BN1796">
        <v>143.22999999999999</v>
      </c>
      <c r="BO1796">
        <v>143.22999999999999</v>
      </c>
      <c r="BQ1796" t="s">
        <v>207</v>
      </c>
      <c r="BR1796" t="s">
        <v>84</v>
      </c>
      <c r="BS1796" s="3">
        <v>45853</v>
      </c>
      <c r="BT1796" s="4">
        <v>0.37569444444444444</v>
      </c>
      <c r="BU1796" t="s">
        <v>208</v>
      </c>
      <c r="BV1796" t="s">
        <v>98</v>
      </c>
      <c r="BY1796">
        <v>16965</v>
      </c>
      <c r="BZ1796" t="s">
        <v>89</v>
      </c>
      <c r="CA1796" t="s">
        <v>196</v>
      </c>
      <c r="CC1796" t="s">
        <v>169</v>
      </c>
      <c r="CD1796">
        <v>6001</v>
      </c>
      <c r="CE1796" t="s">
        <v>117</v>
      </c>
      <c r="CF1796" s="3">
        <v>45853</v>
      </c>
      <c r="CI1796">
        <v>1</v>
      </c>
      <c r="CJ1796">
        <v>1</v>
      </c>
      <c r="CK1796">
        <v>21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"080066542411"</f>
        <v>080066542411</v>
      </c>
      <c r="F1797" s="3">
        <v>45852</v>
      </c>
      <c r="G1797">
        <v>202604</v>
      </c>
      <c r="H1797" t="s">
        <v>75</v>
      </c>
      <c r="I1797" t="s">
        <v>76</v>
      </c>
      <c r="J1797" t="s">
        <v>77</v>
      </c>
      <c r="K1797" t="s">
        <v>78</v>
      </c>
      <c r="L1797" t="s">
        <v>135</v>
      </c>
      <c r="M1797" t="s">
        <v>136</v>
      </c>
      <c r="N1797" t="s">
        <v>416</v>
      </c>
      <c r="O1797" t="s">
        <v>82</v>
      </c>
      <c r="P1797" t="str">
        <f>"4170048542                    "</f>
        <v xml:space="preserve">4170048542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33.89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3</v>
      </c>
      <c r="BJ1797">
        <v>1.1000000000000001</v>
      </c>
      <c r="BK1797">
        <v>3</v>
      </c>
      <c r="BL1797">
        <v>106.77</v>
      </c>
      <c r="BM1797">
        <v>16.02</v>
      </c>
      <c r="BN1797">
        <v>122.79</v>
      </c>
      <c r="BO1797">
        <v>122.79</v>
      </c>
      <c r="BQ1797" t="s">
        <v>417</v>
      </c>
      <c r="BR1797" t="s">
        <v>84</v>
      </c>
      <c r="BS1797" s="3">
        <v>45853</v>
      </c>
      <c r="BT1797" s="4">
        <v>0.41666666666666669</v>
      </c>
      <c r="BU1797" t="s">
        <v>2317</v>
      </c>
      <c r="BV1797" t="s">
        <v>98</v>
      </c>
      <c r="BY1797">
        <v>5320</v>
      </c>
      <c r="BZ1797" t="s">
        <v>89</v>
      </c>
      <c r="CA1797" t="s">
        <v>522</v>
      </c>
      <c r="CC1797" t="s">
        <v>136</v>
      </c>
      <c r="CD1797">
        <v>3201</v>
      </c>
      <c r="CE1797" t="s">
        <v>145</v>
      </c>
      <c r="CF1797" s="3">
        <v>45853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"080066542446"</f>
        <v>080066542446</v>
      </c>
      <c r="F1798" s="3">
        <v>45852</v>
      </c>
      <c r="G1798">
        <v>202604</v>
      </c>
      <c r="H1798" t="s">
        <v>75</v>
      </c>
      <c r="I1798" t="s">
        <v>76</v>
      </c>
      <c r="J1798" t="s">
        <v>77</v>
      </c>
      <c r="K1798" t="s">
        <v>78</v>
      </c>
      <c r="L1798" t="s">
        <v>75</v>
      </c>
      <c r="M1798" t="s">
        <v>76</v>
      </c>
      <c r="N1798" t="s">
        <v>614</v>
      </c>
      <c r="O1798" t="s">
        <v>311</v>
      </c>
      <c r="P1798" t="str">
        <f>"4170048520                    "</f>
        <v xml:space="preserve">4170048520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17.66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5</v>
      </c>
      <c r="BJ1798">
        <v>1.9</v>
      </c>
      <c r="BK1798">
        <v>5</v>
      </c>
      <c r="BL1798">
        <v>55.63</v>
      </c>
      <c r="BM1798">
        <v>8.34</v>
      </c>
      <c r="BN1798">
        <v>63.97</v>
      </c>
      <c r="BO1798">
        <v>63.97</v>
      </c>
      <c r="BQ1798" t="s">
        <v>615</v>
      </c>
      <c r="BR1798" t="s">
        <v>84</v>
      </c>
      <c r="BS1798" s="3">
        <v>45853</v>
      </c>
      <c r="BT1798" s="4">
        <v>0.47708333333333336</v>
      </c>
      <c r="BU1798" t="s">
        <v>616</v>
      </c>
      <c r="BV1798" t="s">
        <v>98</v>
      </c>
      <c r="BY1798">
        <v>9600</v>
      </c>
      <c r="BZ1798" t="s">
        <v>99</v>
      </c>
      <c r="CA1798" t="s">
        <v>617</v>
      </c>
      <c r="CC1798" t="s">
        <v>76</v>
      </c>
      <c r="CD1798">
        <v>1609</v>
      </c>
      <c r="CE1798" t="s">
        <v>145</v>
      </c>
      <c r="CF1798" s="3">
        <v>45853</v>
      </c>
      <c r="CI1798">
        <v>1</v>
      </c>
      <c r="CJ1798">
        <v>1</v>
      </c>
      <c r="CK1798">
        <v>32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"080066542469"</f>
        <v>080066542469</v>
      </c>
      <c r="F1799" s="3">
        <v>45852</v>
      </c>
      <c r="G1799">
        <v>202604</v>
      </c>
      <c r="H1799" t="s">
        <v>75</v>
      </c>
      <c r="I1799" t="s">
        <v>76</v>
      </c>
      <c r="J1799" t="s">
        <v>77</v>
      </c>
      <c r="K1799" t="s">
        <v>78</v>
      </c>
      <c r="L1799" t="s">
        <v>277</v>
      </c>
      <c r="M1799" t="s">
        <v>278</v>
      </c>
      <c r="N1799" t="s">
        <v>2365</v>
      </c>
      <c r="O1799" t="s">
        <v>82</v>
      </c>
      <c r="P1799" t="str">
        <f>"4170048442                    "</f>
        <v xml:space="preserve">4170048442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22.6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0.3</v>
      </c>
      <c r="BK1799">
        <v>1</v>
      </c>
      <c r="BL1799">
        <v>71.2</v>
      </c>
      <c r="BM1799">
        <v>10.68</v>
      </c>
      <c r="BN1799">
        <v>81.88</v>
      </c>
      <c r="BO1799">
        <v>81.88</v>
      </c>
      <c r="BQ1799" t="s">
        <v>2366</v>
      </c>
      <c r="BR1799" t="s">
        <v>84</v>
      </c>
      <c r="BS1799" s="3">
        <v>45853</v>
      </c>
      <c r="BT1799" s="4">
        <v>0.36666666666666664</v>
      </c>
      <c r="BU1799" t="s">
        <v>979</v>
      </c>
      <c r="BV1799" t="s">
        <v>98</v>
      </c>
      <c r="BY1799">
        <v>1350</v>
      </c>
      <c r="BZ1799" t="s">
        <v>89</v>
      </c>
      <c r="CA1799" t="s">
        <v>282</v>
      </c>
      <c r="CC1799" t="s">
        <v>278</v>
      </c>
      <c r="CD1799">
        <v>6230</v>
      </c>
      <c r="CE1799" t="s">
        <v>158</v>
      </c>
      <c r="CF1799" s="3">
        <v>45853</v>
      </c>
      <c r="CI1799">
        <v>1</v>
      </c>
      <c r="CJ1799">
        <v>1</v>
      </c>
      <c r="CK1799">
        <v>21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"080066542477"</f>
        <v>080066542477</v>
      </c>
      <c r="F1800" s="3">
        <v>45852</v>
      </c>
      <c r="G1800">
        <v>202604</v>
      </c>
      <c r="H1800" t="s">
        <v>75</v>
      </c>
      <c r="I1800" t="s">
        <v>76</v>
      </c>
      <c r="J1800" t="s">
        <v>77</v>
      </c>
      <c r="K1800" t="s">
        <v>78</v>
      </c>
      <c r="L1800" t="s">
        <v>406</v>
      </c>
      <c r="M1800" t="s">
        <v>407</v>
      </c>
      <c r="N1800" t="s">
        <v>1283</v>
      </c>
      <c r="O1800" t="s">
        <v>82</v>
      </c>
      <c r="P1800" t="str">
        <f>"4170048421                    "</f>
        <v xml:space="preserve">4170048421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63.56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3</v>
      </c>
      <c r="BJ1800">
        <v>0.9</v>
      </c>
      <c r="BK1800">
        <v>3</v>
      </c>
      <c r="BL1800">
        <v>200.24</v>
      </c>
      <c r="BM1800">
        <v>30.04</v>
      </c>
      <c r="BN1800">
        <v>230.28</v>
      </c>
      <c r="BO1800">
        <v>230.28</v>
      </c>
      <c r="BQ1800" t="s">
        <v>1284</v>
      </c>
      <c r="BR1800" t="s">
        <v>84</v>
      </c>
      <c r="BS1800" s="3">
        <v>45854</v>
      </c>
      <c r="BT1800" s="4">
        <v>0.4861111111111111</v>
      </c>
      <c r="BU1800" t="s">
        <v>2367</v>
      </c>
      <c r="BV1800" t="s">
        <v>86</v>
      </c>
      <c r="BW1800" t="s">
        <v>1395</v>
      </c>
      <c r="BX1800" t="s">
        <v>220</v>
      </c>
      <c r="BY1800">
        <v>4275</v>
      </c>
      <c r="BZ1800" t="s">
        <v>89</v>
      </c>
      <c r="CA1800" t="s">
        <v>1286</v>
      </c>
      <c r="CC1800" t="s">
        <v>407</v>
      </c>
      <c r="CD1800">
        <v>4400</v>
      </c>
      <c r="CE1800" t="s">
        <v>259</v>
      </c>
      <c r="CF1800" s="3">
        <v>45855</v>
      </c>
      <c r="CI1800">
        <v>1</v>
      </c>
      <c r="CJ1800">
        <v>2</v>
      </c>
      <c r="CK1800">
        <v>23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"080066542535"</f>
        <v>080066542535</v>
      </c>
      <c r="F1801" s="3">
        <v>45852</v>
      </c>
      <c r="G1801">
        <v>202604</v>
      </c>
      <c r="H1801" t="s">
        <v>75</v>
      </c>
      <c r="I1801" t="s">
        <v>76</v>
      </c>
      <c r="J1801" t="s">
        <v>77</v>
      </c>
      <c r="K1801" t="s">
        <v>78</v>
      </c>
      <c r="L1801" t="s">
        <v>92</v>
      </c>
      <c r="M1801" t="s">
        <v>93</v>
      </c>
      <c r="N1801" t="s">
        <v>1893</v>
      </c>
      <c r="O1801" t="s">
        <v>82</v>
      </c>
      <c r="P1801" t="str">
        <f>"4170048560                    "</f>
        <v xml:space="preserve">4170048560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22.6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0.3</v>
      </c>
      <c r="BK1801">
        <v>1</v>
      </c>
      <c r="BL1801">
        <v>71.2</v>
      </c>
      <c r="BM1801">
        <v>10.68</v>
      </c>
      <c r="BN1801">
        <v>81.88</v>
      </c>
      <c r="BO1801">
        <v>81.88</v>
      </c>
      <c r="BQ1801" t="s">
        <v>1894</v>
      </c>
      <c r="BR1801" t="s">
        <v>84</v>
      </c>
      <c r="BS1801" s="3">
        <v>45853</v>
      </c>
      <c r="BT1801" s="4">
        <v>0.41666666666666669</v>
      </c>
      <c r="BU1801" t="s">
        <v>2368</v>
      </c>
      <c r="BV1801" t="s">
        <v>98</v>
      </c>
      <c r="BY1801">
        <v>1350</v>
      </c>
      <c r="BZ1801" t="s">
        <v>89</v>
      </c>
      <c r="CA1801" t="s">
        <v>2024</v>
      </c>
      <c r="CC1801" t="s">
        <v>93</v>
      </c>
      <c r="CD1801">
        <v>4001</v>
      </c>
      <c r="CE1801" t="s">
        <v>1868</v>
      </c>
      <c r="CF1801" s="3">
        <v>45853</v>
      </c>
      <c r="CI1801">
        <v>1</v>
      </c>
      <c r="CJ1801">
        <v>1</v>
      </c>
      <c r="CK1801">
        <v>21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"080066542548"</f>
        <v>080066542548</v>
      </c>
      <c r="F1802" s="3">
        <v>45852</v>
      </c>
      <c r="G1802">
        <v>202604</v>
      </c>
      <c r="H1802" t="s">
        <v>75</v>
      </c>
      <c r="I1802" t="s">
        <v>76</v>
      </c>
      <c r="J1802" t="s">
        <v>77</v>
      </c>
      <c r="K1802" t="s">
        <v>78</v>
      </c>
      <c r="L1802" t="s">
        <v>305</v>
      </c>
      <c r="M1802" t="s">
        <v>306</v>
      </c>
      <c r="N1802" t="s">
        <v>1154</v>
      </c>
      <c r="O1802" t="s">
        <v>82</v>
      </c>
      <c r="P1802" t="str">
        <f>"4170048445                    "</f>
        <v xml:space="preserve">4170048445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45.18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4</v>
      </c>
      <c r="BJ1802">
        <v>1.7</v>
      </c>
      <c r="BK1802">
        <v>4</v>
      </c>
      <c r="BL1802">
        <v>142.34</v>
      </c>
      <c r="BM1802">
        <v>21.35</v>
      </c>
      <c r="BN1802">
        <v>163.69</v>
      </c>
      <c r="BO1802">
        <v>163.69</v>
      </c>
      <c r="BQ1802" t="s">
        <v>1155</v>
      </c>
      <c r="BR1802" t="s">
        <v>84</v>
      </c>
      <c r="BS1802" s="3">
        <v>45853</v>
      </c>
      <c r="BT1802" s="4">
        <v>0.4375</v>
      </c>
      <c r="BU1802" t="s">
        <v>2369</v>
      </c>
      <c r="BV1802" t="s">
        <v>98</v>
      </c>
      <c r="BY1802">
        <v>8512</v>
      </c>
      <c r="BZ1802" t="s">
        <v>89</v>
      </c>
      <c r="CA1802" t="s">
        <v>1877</v>
      </c>
      <c r="CC1802" t="s">
        <v>306</v>
      </c>
      <c r="CD1802">
        <v>5201</v>
      </c>
      <c r="CE1802" t="s">
        <v>117</v>
      </c>
      <c r="CF1802" s="3">
        <v>45853</v>
      </c>
      <c r="CI1802">
        <v>1</v>
      </c>
      <c r="CJ1802">
        <v>1</v>
      </c>
      <c r="CK1802">
        <v>21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"080066542557"</f>
        <v>080066542557</v>
      </c>
      <c r="F1803" s="3">
        <v>45852</v>
      </c>
      <c r="G1803">
        <v>202604</v>
      </c>
      <c r="H1803" t="s">
        <v>75</v>
      </c>
      <c r="I1803" t="s">
        <v>76</v>
      </c>
      <c r="J1803" t="s">
        <v>77</v>
      </c>
      <c r="K1803" t="s">
        <v>78</v>
      </c>
      <c r="L1803" t="s">
        <v>305</v>
      </c>
      <c r="M1803" t="s">
        <v>306</v>
      </c>
      <c r="N1803" t="s">
        <v>710</v>
      </c>
      <c r="O1803" t="s">
        <v>82</v>
      </c>
      <c r="P1803" t="str">
        <f>"4170048409                    "</f>
        <v xml:space="preserve">4170048409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22.6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0.3</v>
      </c>
      <c r="BK1803">
        <v>1</v>
      </c>
      <c r="BL1803">
        <v>71.2</v>
      </c>
      <c r="BM1803">
        <v>10.68</v>
      </c>
      <c r="BN1803">
        <v>81.88</v>
      </c>
      <c r="BO1803">
        <v>81.88</v>
      </c>
      <c r="BQ1803" t="s">
        <v>711</v>
      </c>
      <c r="BR1803" t="s">
        <v>84</v>
      </c>
      <c r="BS1803" s="3">
        <v>45853</v>
      </c>
      <c r="BT1803" s="4">
        <v>0.46319444444444446</v>
      </c>
      <c r="BU1803" t="s">
        <v>1661</v>
      </c>
      <c r="BV1803" t="s">
        <v>86</v>
      </c>
      <c r="BY1803">
        <v>1350</v>
      </c>
      <c r="BZ1803" t="s">
        <v>89</v>
      </c>
      <c r="CA1803" t="s">
        <v>575</v>
      </c>
      <c r="CC1803" t="s">
        <v>306</v>
      </c>
      <c r="CD1803">
        <v>5200</v>
      </c>
      <c r="CE1803" t="s">
        <v>1868</v>
      </c>
      <c r="CF1803" s="3">
        <v>45853</v>
      </c>
      <c r="CI1803">
        <v>1</v>
      </c>
      <c r="CJ1803">
        <v>1</v>
      </c>
      <c r="CK1803">
        <v>21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"080066542594"</f>
        <v>080066542594</v>
      </c>
      <c r="F1804" s="3">
        <v>45852</v>
      </c>
      <c r="G1804">
        <v>202604</v>
      </c>
      <c r="H1804" t="s">
        <v>75</v>
      </c>
      <c r="I1804" t="s">
        <v>76</v>
      </c>
      <c r="J1804" t="s">
        <v>77</v>
      </c>
      <c r="K1804" t="s">
        <v>78</v>
      </c>
      <c r="L1804" t="s">
        <v>240</v>
      </c>
      <c r="M1804" t="s">
        <v>241</v>
      </c>
      <c r="N1804" t="s">
        <v>2027</v>
      </c>
      <c r="O1804" t="s">
        <v>82</v>
      </c>
      <c r="P1804" t="str">
        <f>"4170048478                    "</f>
        <v xml:space="preserve">4170048478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17.649999999999999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0.3</v>
      </c>
      <c r="BK1804">
        <v>1</v>
      </c>
      <c r="BL1804">
        <v>55.61</v>
      </c>
      <c r="BM1804">
        <v>8.34</v>
      </c>
      <c r="BN1804">
        <v>63.95</v>
      </c>
      <c r="BO1804">
        <v>63.95</v>
      </c>
      <c r="BQ1804" t="s">
        <v>2028</v>
      </c>
      <c r="BR1804" t="s">
        <v>84</v>
      </c>
      <c r="BS1804" s="3">
        <v>45853</v>
      </c>
      <c r="BT1804" s="4">
        <v>0.42777777777777776</v>
      </c>
      <c r="BU1804" t="s">
        <v>2370</v>
      </c>
      <c r="BV1804" t="s">
        <v>98</v>
      </c>
      <c r="BY1804">
        <v>1350</v>
      </c>
      <c r="BZ1804" t="s">
        <v>89</v>
      </c>
      <c r="CA1804" t="s">
        <v>451</v>
      </c>
      <c r="CC1804" t="s">
        <v>241</v>
      </c>
      <c r="CD1804">
        <v>2049</v>
      </c>
      <c r="CE1804" t="s">
        <v>1868</v>
      </c>
      <c r="CF1804" s="3">
        <v>45854</v>
      </c>
      <c r="CI1804">
        <v>1</v>
      </c>
      <c r="CJ1804">
        <v>1</v>
      </c>
      <c r="CK1804">
        <v>22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"080066542616"</f>
        <v>080066542616</v>
      </c>
      <c r="F1805" s="3">
        <v>45852</v>
      </c>
      <c r="G1805">
        <v>202604</v>
      </c>
      <c r="H1805" t="s">
        <v>75</v>
      </c>
      <c r="I1805" t="s">
        <v>76</v>
      </c>
      <c r="J1805" t="s">
        <v>77</v>
      </c>
      <c r="K1805" t="s">
        <v>78</v>
      </c>
      <c r="L1805" t="s">
        <v>168</v>
      </c>
      <c r="M1805" t="s">
        <v>169</v>
      </c>
      <c r="N1805" t="s">
        <v>202</v>
      </c>
      <c r="O1805" t="s">
        <v>82</v>
      </c>
      <c r="P1805" t="str">
        <f>"4170048448                    "</f>
        <v xml:space="preserve">4170048448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22.6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0.3</v>
      </c>
      <c r="BK1805">
        <v>1</v>
      </c>
      <c r="BL1805">
        <v>71.2</v>
      </c>
      <c r="BM1805">
        <v>10.68</v>
      </c>
      <c r="BN1805">
        <v>81.88</v>
      </c>
      <c r="BO1805">
        <v>81.88</v>
      </c>
      <c r="BQ1805" t="s">
        <v>203</v>
      </c>
      <c r="BR1805" t="s">
        <v>84</v>
      </c>
      <c r="BS1805" s="3">
        <v>45853</v>
      </c>
      <c r="BT1805" s="4">
        <v>0.36319444444444443</v>
      </c>
      <c r="BU1805" t="s">
        <v>1713</v>
      </c>
      <c r="BV1805" t="s">
        <v>98</v>
      </c>
      <c r="BY1805">
        <v>1350</v>
      </c>
      <c r="BZ1805" t="s">
        <v>89</v>
      </c>
      <c r="CA1805" t="s">
        <v>205</v>
      </c>
      <c r="CC1805" t="s">
        <v>169</v>
      </c>
      <c r="CD1805">
        <v>6001</v>
      </c>
      <c r="CE1805" t="s">
        <v>1868</v>
      </c>
      <c r="CF1805" s="3">
        <v>45853</v>
      </c>
      <c r="CI1805">
        <v>1</v>
      </c>
      <c r="CJ1805">
        <v>1</v>
      </c>
      <c r="CK1805">
        <v>21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"080066542654"</f>
        <v>080066542654</v>
      </c>
      <c r="F1806" s="3">
        <v>45852</v>
      </c>
      <c r="G1806">
        <v>202604</v>
      </c>
      <c r="H1806" t="s">
        <v>75</v>
      </c>
      <c r="I1806" t="s">
        <v>76</v>
      </c>
      <c r="J1806" t="s">
        <v>77</v>
      </c>
      <c r="K1806" t="s">
        <v>78</v>
      </c>
      <c r="L1806" t="s">
        <v>79</v>
      </c>
      <c r="M1806" t="s">
        <v>80</v>
      </c>
      <c r="N1806" t="s">
        <v>376</v>
      </c>
      <c r="O1806" t="s">
        <v>82</v>
      </c>
      <c r="P1806" t="str">
        <f>"4170048579                    "</f>
        <v xml:space="preserve">4170048579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22.6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0.3</v>
      </c>
      <c r="BK1806">
        <v>1</v>
      </c>
      <c r="BL1806">
        <v>71.2</v>
      </c>
      <c r="BM1806">
        <v>10.68</v>
      </c>
      <c r="BN1806">
        <v>81.88</v>
      </c>
      <c r="BO1806">
        <v>81.88</v>
      </c>
      <c r="BQ1806" t="s">
        <v>377</v>
      </c>
      <c r="BR1806" t="s">
        <v>84</v>
      </c>
      <c r="BS1806" s="3">
        <v>45853</v>
      </c>
      <c r="BT1806" s="4">
        <v>0.41666666666666669</v>
      </c>
      <c r="BU1806" t="s">
        <v>1708</v>
      </c>
      <c r="BV1806" t="s">
        <v>98</v>
      </c>
      <c r="BY1806">
        <v>1350</v>
      </c>
      <c r="BZ1806" t="s">
        <v>89</v>
      </c>
      <c r="CC1806" t="s">
        <v>80</v>
      </c>
      <c r="CD1806">
        <v>8001</v>
      </c>
      <c r="CE1806" t="s">
        <v>1868</v>
      </c>
      <c r="CF1806" s="3">
        <v>45854</v>
      </c>
      <c r="CI1806">
        <v>1</v>
      </c>
      <c r="CJ1806">
        <v>1</v>
      </c>
      <c r="CK1806">
        <v>21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"080066542692"</f>
        <v>080066542692</v>
      </c>
      <c r="F1807" s="3">
        <v>45852</v>
      </c>
      <c r="G1807">
        <v>202604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2196</v>
      </c>
      <c r="O1807" t="s">
        <v>82</v>
      </c>
      <c r="P1807" t="str">
        <f>"4170048446                    "</f>
        <v xml:space="preserve">4170048446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17.649999999999999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0.3</v>
      </c>
      <c r="BK1807">
        <v>1</v>
      </c>
      <c r="BL1807">
        <v>55.61</v>
      </c>
      <c r="BM1807">
        <v>8.34</v>
      </c>
      <c r="BN1807">
        <v>63.95</v>
      </c>
      <c r="BO1807">
        <v>63.95</v>
      </c>
      <c r="BQ1807" t="s">
        <v>2197</v>
      </c>
      <c r="BR1807" t="s">
        <v>84</v>
      </c>
      <c r="BS1807" s="3">
        <v>45853</v>
      </c>
      <c r="BT1807" s="4">
        <v>0.41597222222222224</v>
      </c>
      <c r="BU1807" t="s">
        <v>2198</v>
      </c>
      <c r="BV1807" t="s">
        <v>98</v>
      </c>
      <c r="BY1807">
        <v>1350</v>
      </c>
      <c r="BZ1807" t="s">
        <v>89</v>
      </c>
      <c r="CA1807" t="s">
        <v>617</v>
      </c>
      <c r="CC1807" t="s">
        <v>76</v>
      </c>
      <c r="CD1807">
        <v>1645</v>
      </c>
      <c r="CE1807" t="s">
        <v>1868</v>
      </c>
      <c r="CF1807" s="3">
        <v>45853</v>
      </c>
      <c r="CI1807">
        <v>1</v>
      </c>
      <c r="CJ1807">
        <v>1</v>
      </c>
      <c r="CK1807">
        <v>22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"080066542706"</f>
        <v>080066542706</v>
      </c>
      <c r="F1808" s="3">
        <v>45852</v>
      </c>
      <c r="G1808">
        <v>202604</v>
      </c>
      <c r="H1808" t="s">
        <v>75</v>
      </c>
      <c r="I1808" t="s">
        <v>76</v>
      </c>
      <c r="J1808" t="s">
        <v>77</v>
      </c>
      <c r="K1808" t="s">
        <v>78</v>
      </c>
      <c r="L1808" t="s">
        <v>92</v>
      </c>
      <c r="M1808" t="s">
        <v>93</v>
      </c>
      <c r="N1808" t="s">
        <v>1090</v>
      </c>
      <c r="O1808" t="s">
        <v>82</v>
      </c>
      <c r="P1808" t="str">
        <f>"4170048495                    "</f>
        <v xml:space="preserve">4170048495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22.6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0.3</v>
      </c>
      <c r="BK1808">
        <v>1</v>
      </c>
      <c r="BL1808">
        <v>71.2</v>
      </c>
      <c r="BM1808">
        <v>10.68</v>
      </c>
      <c r="BN1808">
        <v>81.88</v>
      </c>
      <c r="BO1808">
        <v>81.88</v>
      </c>
      <c r="BQ1808" t="s">
        <v>1091</v>
      </c>
      <c r="BR1808" t="s">
        <v>84</v>
      </c>
      <c r="BS1808" s="3">
        <v>45853</v>
      </c>
      <c r="BT1808" s="4">
        <v>0.41805555555555557</v>
      </c>
      <c r="BU1808" t="s">
        <v>751</v>
      </c>
      <c r="BV1808" t="s">
        <v>98</v>
      </c>
      <c r="BY1808">
        <v>1350</v>
      </c>
      <c r="BZ1808" t="s">
        <v>89</v>
      </c>
      <c r="CA1808" t="s">
        <v>491</v>
      </c>
      <c r="CC1808" t="s">
        <v>93</v>
      </c>
      <c r="CD1808">
        <v>4001</v>
      </c>
      <c r="CE1808" t="s">
        <v>1868</v>
      </c>
      <c r="CF1808" s="3">
        <v>45853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"080066542738"</f>
        <v>080066542738</v>
      </c>
      <c r="F1809" s="3">
        <v>45852</v>
      </c>
      <c r="G1809">
        <v>202604</v>
      </c>
      <c r="H1809" t="s">
        <v>75</v>
      </c>
      <c r="I1809" t="s">
        <v>76</v>
      </c>
      <c r="J1809" t="s">
        <v>77</v>
      </c>
      <c r="K1809" t="s">
        <v>78</v>
      </c>
      <c r="L1809" t="s">
        <v>168</v>
      </c>
      <c r="M1809" t="s">
        <v>169</v>
      </c>
      <c r="N1809" t="s">
        <v>2157</v>
      </c>
      <c r="O1809" t="s">
        <v>82</v>
      </c>
      <c r="P1809" t="str">
        <f>"4170048472                    "</f>
        <v xml:space="preserve">4170048472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22.6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0.3</v>
      </c>
      <c r="BK1809">
        <v>1</v>
      </c>
      <c r="BL1809">
        <v>71.2</v>
      </c>
      <c r="BM1809">
        <v>10.68</v>
      </c>
      <c r="BN1809">
        <v>81.88</v>
      </c>
      <c r="BO1809">
        <v>81.88</v>
      </c>
      <c r="BQ1809" t="s">
        <v>2158</v>
      </c>
      <c r="BR1809" t="s">
        <v>84</v>
      </c>
      <c r="BS1809" s="3">
        <v>45853</v>
      </c>
      <c r="BT1809" s="4">
        <v>0.33888888888888891</v>
      </c>
      <c r="BU1809" t="s">
        <v>470</v>
      </c>
      <c r="BV1809" t="s">
        <v>98</v>
      </c>
      <c r="BY1809">
        <v>1350</v>
      </c>
      <c r="BZ1809" t="s">
        <v>89</v>
      </c>
      <c r="CA1809" t="s">
        <v>415</v>
      </c>
      <c r="CC1809" t="s">
        <v>169</v>
      </c>
      <c r="CD1809">
        <v>6001</v>
      </c>
      <c r="CE1809" t="s">
        <v>1868</v>
      </c>
      <c r="CF1809" s="3">
        <v>45853</v>
      </c>
      <c r="CI1809">
        <v>1</v>
      </c>
      <c r="CJ1809">
        <v>1</v>
      </c>
      <c r="CK1809">
        <v>21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"080066542783"</f>
        <v>080066542783</v>
      </c>
      <c r="F1810" s="3">
        <v>45852</v>
      </c>
      <c r="G1810">
        <v>202604</v>
      </c>
      <c r="H1810" t="s">
        <v>75</v>
      </c>
      <c r="I1810" t="s">
        <v>76</v>
      </c>
      <c r="J1810" t="s">
        <v>77</v>
      </c>
      <c r="K1810" t="s">
        <v>78</v>
      </c>
      <c r="L1810" t="s">
        <v>168</v>
      </c>
      <c r="M1810" t="s">
        <v>169</v>
      </c>
      <c r="N1810" t="s">
        <v>2157</v>
      </c>
      <c r="O1810" t="s">
        <v>82</v>
      </c>
      <c r="P1810" t="str">
        <f>"4170048455                    "</f>
        <v xml:space="preserve">4170048455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22.6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0.3</v>
      </c>
      <c r="BK1810">
        <v>1</v>
      </c>
      <c r="BL1810">
        <v>71.2</v>
      </c>
      <c r="BM1810">
        <v>10.68</v>
      </c>
      <c r="BN1810">
        <v>81.88</v>
      </c>
      <c r="BO1810">
        <v>81.88</v>
      </c>
      <c r="BQ1810" t="s">
        <v>2158</v>
      </c>
      <c r="BR1810" t="s">
        <v>84</v>
      </c>
      <c r="BS1810" s="3">
        <v>45853</v>
      </c>
      <c r="BT1810" s="4">
        <v>0.33888888888888891</v>
      </c>
      <c r="BU1810" t="s">
        <v>470</v>
      </c>
      <c r="BV1810" t="s">
        <v>98</v>
      </c>
      <c r="BY1810">
        <v>1350</v>
      </c>
      <c r="BZ1810" t="s">
        <v>89</v>
      </c>
      <c r="CA1810" t="s">
        <v>415</v>
      </c>
      <c r="CC1810" t="s">
        <v>169</v>
      </c>
      <c r="CD1810">
        <v>6001</v>
      </c>
      <c r="CE1810" t="s">
        <v>158</v>
      </c>
      <c r="CF1810" s="3">
        <v>45853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"080066542811"</f>
        <v>080066542811</v>
      </c>
      <c r="F1811" s="3">
        <v>45852</v>
      </c>
      <c r="G1811">
        <v>202604</v>
      </c>
      <c r="H1811" t="s">
        <v>75</v>
      </c>
      <c r="I1811" t="s">
        <v>76</v>
      </c>
      <c r="J1811" t="s">
        <v>77</v>
      </c>
      <c r="K1811" t="s">
        <v>78</v>
      </c>
      <c r="L1811" t="s">
        <v>542</v>
      </c>
      <c r="M1811" t="s">
        <v>543</v>
      </c>
      <c r="N1811" t="s">
        <v>2371</v>
      </c>
      <c r="O1811" t="s">
        <v>82</v>
      </c>
      <c r="P1811" t="str">
        <f>"4170048484                    "</f>
        <v xml:space="preserve">4170048484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17.649999999999999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0.3</v>
      </c>
      <c r="BK1811">
        <v>1</v>
      </c>
      <c r="BL1811">
        <v>55.61</v>
      </c>
      <c r="BM1811">
        <v>8.34</v>
      </c>
      <c r="BN1811">
        <v>63.95</v>
      </c>
      <c r="BO1811">
        <v>63.95</v>
      </c>
      <c r="BQ1811" t="s">
        <v>2372</v>
      </c>
      <c r="BR1811" t="s">
        <v>84</v>
      </c>
      <c r="BS1811" s="3">
        <v>45853</v>
      </c>
      <c r="BT1811" s="4">
        <v>0.45902777777777776</v>
      </c>
      <c r="BU1811" t="s">
        <v>2373</v>
      </c>
      <c r="BV1811" t="s">
        <v>86</v>
      </c>
      <c r="BY1811">
        <v>1350</v>
      </c>
      <c r="BZ1811" t="s">
        <v>89</v>
      </c>
      <c r="CA1811" t="s">
        <v>2374</v>
      </c>
      <c r="CC1811" t="s">
        <v>543</v>
      </c>
      <c r="CD1811">
        <v>1449</v>
      </c>
      <c r="CE1811" t="s">
        <v>158</v>
      </c>
      <c r="CF1811" s="3">
        <v>45853</v>
      </c>
      <c r="CI1811">
        <v>1</v>
      </c>
      <c r="CJ1811">
        <v>1</v>
      </c>
      <c r="CK1811">
        <v>22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"080066542855"</f>
        <v>080066542855</v>
      </c>
      <c r="F1812" s="3">
        <v>45852</v>
      </c>
      <c r="G1812">
        <v>202604</v>
      </c>
      <c r="H1812" t="s">
        <v>75</v>
      </c>
      <c r="I1812" t="s">
        <v>76</v>
      </c>
      <c r="J1812" t="s">
        <v>77</v>
      </c>
      <c r="K1812" t="s">
        <v>78</v>
      </c>
      <c r="L1812" t="s">
        <v>542</v>
      </c>
      <c r="M1812" t="s">
        <v>543</v>
      </c>
      <c r="N1812" t="s">
        <v>745</v>
      </c>
      <c r="O1812" t="s">
        <v>82</v>
      </c>
      <c r="P1812" t="str">
        <f>"4170048549                    "</f>
        <v xml:space="preserve">4170048549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17.649999999999999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0.3</v>
      </c>
      <c r="BK1812">
        <v>1</v>
      </c>
      <c r="BL1812">
        <v>55.61</v>
      </c>
      <c r="BM1812">
        <v>8.34</v>
      </c>
      <c r="BN1812">
        <v>63.95</v>
      </c>
      <c r="BO1812">
        <v>63.95</v>
      </c>
      <c r="BQ1812" t="s">
        <v>746</v>
      </c>
      <c r="BR1812" t="s">
        <v>84</v>
      </c>
      <c r="BS1812" s="3">
        <v>45853</v>
      </c>
      <c r="BT1812" s="4">
        <v>0.41666666666666669</v>
      </c>
      <c r="BU1812" t="s">
        <v>2375</v>
      </c>
      <c r="BV1812" t="s">
        <v>98</v>
      </c>
      <c r="BY1812">
        <v>1350</v>
      </c>
      <c r="BZ1812" t="s">
        <v>89</v>
      </c>
      <c r="CC1812" t="s">
        <v>543</v>
      </c>
      <c r="CD1812">
        <v>1451</v>
      </c>
      <c r="CE1812" t="s">
        <v>158</v>
      </c>
      <c r="CF1812" s="3">
        <v>45853</v>
      </c>
      <c r="CI1812">
        <v>1</v>
      </c>
      <c r="CJ1812">
        <v>1</v>
      </c>
      <c r="CK1812">
        <v>22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"080066543044"</f>
        <v>080066543044</v>
      </c>
      <c r="F1813" s="3">
        <v>45852</v>
      </c>
      <c r="G1813">
        <v>202604</v>
      </c>
      <c r="H1813" t="s">
        <v>75</v>
      </c>
      <c r="I1813" t="s">
        <v>76</v>
      </c>
      <c r="J1813" t="s">
        <v>77</v>
      </c>
      <c r="K1813" t="s">
        <v>78</v>
      </c>
      <c r="L1813" t="s">
        <v>441</v>
      </c>
      <c r="M1813" t="s">
        <v>442</v>
      </c>
      <c r="N1813" t="s">
        <v>443</v>
      </c>
      <c r="O1813" t="s">
        <v>82</v>
      </c>
      <c r="P1813" t="str">
        <f>"4170048436                    "</f>
        <v xml:space="preserve">4170048436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182.19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9</v>
      </c>
      <c r="BJ1813">
        <v>2.9</v>
      </c>
      <c r="BK1813">
        <v>9</v>
      </c>
      <c r="BL1813">
        <v>573.99</v>
      </c>
      <c r="BM1813">
        <v>86.1</v>
      </c>
      <c r="BN1813">
        <v>660.09</v>
      </c>
      <c r="BO1813">
        <v>660.09</v>
      </c>
      <c r="BQ1813" t="s">
        <v>444</v>
      </c>
      <c r="BR1813" t="s">
        <v>84</v>
      </c>
      <c r="BS1813" s="3">
        <v>45853</v>
      </c>
      <c r="BT1813" s="4">
        <v>0.51458333333333328</v>
      </c>
      <c r="BU1813" t="s">
        <v>2376</v>
      </c>
      <c r="BV1813" t="s">
        <v>98</v>
      </c>
      <c r="BY1813">
        <v>14256</v>
      </c>
      <c r="BZ1813" t="s">
        <v>89</v>
      </c>
      <c r="CA1813" t="s">
        <v>2073</v>
      </c>
      <c r="CC1813" t="s">
        <v>442</v>
      </c>
      <c r="CD1813">
        <v>7185</v>
      </c>
      <c r="CE1813" t="s">
        <v>91</v>
      </c>
      <c r="CF1813" s="3">
        <v>45854</v>
      </c>
      <c r="CI1813">
        <v>2</v>
      </c>
      <c r="CJ1813">
        <v>1</v>
      </c>
      <c r="CK1813">
        <v>23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"080066543083"</f>
        <v>080066543083</v>
      </c>
      <c r="F1814" s="3">
        <v>45852</v>
      </c>
      <c r="G1814">
        <v>202604</v>
      </c>
      <c r="H1814" t="s">
        <v>75</v>
      </c>
      <c r="I1814" t="s">
        <v>76</v>
      </c>
      <c r="J1814" t="s">
        <v>77</v>
      </c>
      <c r="K1814" t="s">
        <v>78</v>
      </c>
      <c r="L1814" t="s">
        <v>240</v>
      </c>
      <c r="M1814" t="s">
        <v>241</v>
      </c>
      <c r="N1814" t="s">
        <v>851</v>
      </c>
      <c r="O1814" t="s">
        <v>82</v>
      </c>
      <c r="P1814" t="str">
        <f>"4170048553                    "</f>
        <v xml:space="preserve">4170048553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17.649999999999999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2</v>
      </c>
      <c r="BK1814">
        <v>2</v>
      </c>
      <c r="BL1814">
        <v>55.61</v>
      </c>
      <c r="BM1814">
        <v>8.34</v>
      </c>
      <c r="BN1814">
        <v>63.95</v>
      </c>
      <c r="BO1814">
        <v>63.95</v>
      </c>
      <c r="BQ1814" t="s">
        <v>852</v>
      </c>
      <c r="BR1814" t="s">
        <v>84</v>
      </c>
      <c r="BS1814" s="3">
        <v>45853</v>
      </c>
      <c r="BT1814" s="4">
        <v>0.44444444444444442</v>
      </c>
      <c r="BU1814" t="s">
        <v>1444</v>
      </c>
      <c r="BV1814" t="s">
        <v>86</v>
      </c>
      <c r="BW1814" t="s">
        <v>395</v>
      </c>
      <c r="BX1814" t="s">
        <v>675</v>
      </c>
      <c r="BY1814">
        <v>10240</v>
      </c>
      <c r="BZ1814" t="s">
        <v>89</v>
      </c>
      <c r="CA1814" t="s">
        <v>451</v>
      </c>
      <c r="CC1814" t="s">
        <v>241</v>
      </c>
      <c r="CD1814">
        <v>2094</v>
      </c>
      <c r="CE1814" t="s">
        <v>91</v>
      </c>
      <c r="CF1814" s="3">
        <v>45854</v>
      </c>
      <c r="CI1814">
        <v>1</v>
      </c>
      <c r="CJ1814">
        <v>1</v>
      </c>
      <c r="CK1814">
        <v>22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"080066543144"</f>
        <v>080066543144</v>
      </c>
      <c r="F1815" s="3">
        <v>45852</v>
      </c>
      <c r="G1815">
        <v>202604</v>
      </c>
      <c r="H1815" t="s">
        <v>75</v>
      </c>
      <c r="I1815" t="s">
        <v>76</v>
      </c>
      <c r="J1815" t="s">
        <v>77</v>
      </c>
      <c r="K1815" t="s">
        <v>78</v>
      </c>
      <c r="L1815" t="s">
        <v>277</v>
      </c>
      <c r="M1815" t="s">
        <v>278</v>
      </c>
      <c r="N1815" t="s">
        <v>2377</v>
      </c>
      <c r="O1815" t="s">
        <v>82</v>
      </c>
      <c r="P1815" t="str">
        <f>"4170048476                    "</f>
        <v xml:space="preserve">4170048476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22.6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1.1000000000000001</v>
      </c>
      <c r="BK1815">
        <v>1.5</v>
      </c>
      <c r="BL1815">
        <v>71.2</v>
      </c>
      <c r="BM1815">
        <v>10.68</v>
      </c>
      <c r="BN1815">
        <v>81.88</v>
      </c>
      <c r="BO1815">
        <v>81.88</v>
      </c>
      <c r="BQ1815" t="s">
        <v>2378</v>
      </c>
      <c r="BR1815" t="s">
        <v>84</v>
      </c>
      <c r="BS1815" s="3">
        <v>45853</v>
      </c>
      <c r="BT1815" s="4">
        <v>0.34444444444444444</v>
      </c>
      <c r="BU1815" t="s">
        <v>2379</v>
      </c>
      <c r="BV1815" t="s">
        <v>98</v>
      </c>
      <c r="BY1815">
        <v>5320</v>
      </c>
      <c r="BZ1815" t="s">
        <v>89</v>
      </c>
      <c r="CA1815" t="s">
        <v>282</v>
      </c>
      <c r="CC1815" t="s">
        <v>278</v>
      </c>
      <c r="CD1815">
        <v>6229</v>
      </c>
      <c r="CE1815" t="s">
        <v>145</v>
      </c>
      <c r="CF1815" s="3">
        <v>45853</v>
      </c>
      <c r="CI1815">
        <v>1</v>
      </c>
      <c r="CJ1815">
        <v>1</v>
      </c>
      <c r="CK1815">
        <v>21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"080066543185"</f>
        <v>080066543185</v>
      </c>
      <c r="F1816" s="3">
        <v>45852</v>
      </c>
      <c r="G1816">
        <v>202604</v>
      </c>
      <c r="H1816" t="s">
        <v>75</v>
      </c>
      <c r="I1816" t="s">
        <v>76</v>
      </c>
      <c r="J1816" t="s">
        <v>77</v>
      </c>
      <c r="K1816" t="s">
        <v>78</v>
      </c>
      <c r="L1816" t="s">
        <v>122</v>
      </c>
      <c r="M1816" t="s">
        <v>123</v>
      </c>
      <c r="N1816" t="s">
        <v>209</v>
      </c>
      <c r="O1816" t="s">
        <v>82</v>
      </c>
      <c r="P1816" t="str">
        <f>"4170048461                    "</f>
        <v xml:space="preserve">4170048461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45.18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4</v>
      </c>
      <c r="BJ1816">
        <v>3.4</v>
      </c>
      <c r="BK1816">
        <v>4</v>
      </c>
      <c r="BL1816">
        <v>142.34</v>
      </c>
      <c r="BM1816">
        <v>21.35</v>
      </c>
      <c r="BN1816">
        <v>163.69</v>
      </c>
      <c r="BO1816">
        <v>163.69</v>
      </c>
      <c r="BQ1816" t="s">
        <v>210</v>
      </c>
      <c r="BR1816" t="s">
        <v>84</v>
      </c>
      <c r="BS1816" s="3">
        <v>45853</v>
      </c>
      <c r="BT1816" s="4">
        <v>0.42222222222222222</v>
      </c>
      <c r="BU1816" t="s">
        <v>1550</v>
      </c>
      <c r="BV1816" t="s">
        <v>98</v>
      </c>
      <c r="BY1816">
        <v>16965</v>
      </c>
      <c r="BZ1816" t="s">
        <v>89</v>
      </c>
      <c r="CA1816" t="s">
        <v>187</v>
      </c>
      <c r="CC1816" t="s">
        <v>123</v>
      </c>
      <c r="CD1816">
        <v>3600</v>
      </c>
      <c r="CE1816" t="s">
        <v>117</v>
      </c>
      <c r="CF1816" s="3">
        <v>45853</v>
      </c>
      <c r="CI1816">
        <v>1</v>
      </c>
      <c r="CJ1816">
        <v>1</v>
      </c>
      <c r="CK1816">
        <v>21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"080066543216"</f>
        <v>080066543216</v>
      </c>
      <c r="F1817" s="3">
        <v>45852</v>
      </c>
      <c r="G1817">
        <v>202604</v>
      </c>
      <c r="H1817" t="s">
        <v>75</v>
      </c>
      <c r="I1817" t="s">
        <v>76</v>
      </c>
      <c r="J1817" t="s">
        <v>77</v>
      </c>
      <c r="K1817" t="s">
        <v>78</v>
      </c>
      <c r="L1817" t="s">
        <v>2380</v>
      </c>
      <c r="M1817" t="s">
        <v>2381</v>
      </c>
      <c r="N1817" t="s">
        <v>2382</v>
      </c>
      <c r="O1817" t="s">
        <v>82</v>
      </c>
      <c r="P1817" t="str">
        <f>"4170048501                    "</f>
        <v xml:space="preserve">4170048501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43.78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2</v>
      </c>
      <c r="BJ1817">
        <v>1.9</v>
      </c>
      <c r="BK1817">
        <v>2</v>
      </c>
      <c r="BL1817">
        <v>137.94</v>
      </c>
      <c r="BM1817">
        <v>20.69</v>
      </c>
      <c r="BN1817">
        <v>158.63</v>
      </c>
      <c r="BO1817">
        <v>158.63</v>
      </c>
      <c r="BQ1817" t="s">
        <v>2383</v>
      </c>
      <c r="BR1817" t="s">
        <v>84</v>
      </c>
      <c r="BS1817" s="3">
        <v>45854</v>
      </c>
      <c r="BT1817" s="4">
        <v>0.54305555555555551</v>
      </c>
      <c r="BU1817" t="s">
        <v>2384</v>
      </c>
      <c r="BV1817" t="s">
        <v>98</v>
      </c>
      <c r="BY1817">
        <v>9600</v>
      </c>
      <c r="BZ1817" t="s">
        <v>89</v>
      </c>
      <c r="CC1817" t="s">
        <v>2381</v>
      </c>
      <c r="CD1817">
        <v>5320</v>
      </c>
      <c r="CE1817" t="s">
        <v>117</v>
      </c>
      <c r="CF1817" s="3">
        <v>45854</v>
      </c>
      <c r="CI1817">
        <v>5</v>
      </c>
      <c r="CJ1817">
        <v>2</v>
      </c>
      <c r="CK1817">
        <v>23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"080066543246"</f>
        <v>080066543246</v>
      </c>
      <c r="F1818" s="3">
        <v>45852</v>
      </c>
      <c r="G1818">
        <v>202604</v>
      </c>
      <c r="H1818" t="s">
        <v>75</v>
      </c>
      <c r="I1818" t="s">
        <v>76</v>
      </c>
      <c r="J1818" t="s">
        <v>77</v>
      </c>
      <c r="K1818" t="s">
        <v>78</v>
      </c>
      <c r="L1818" t="s">
        <v>168</v>
      </c>
      <c r="M1818" t="s">
        <v>169</v>
      </c>
      <c r="N1818" t="s">
        <v>206</v>
      </c>
      <c r="O1818" t="s">
        <v>82</v>
      </c>
      <c r="P1818" t="str">
        <f>"4170048449                    "</f>
        <v xml:space="preserve">4170048449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22.6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0.9</v>
      </c>
      <c r="BK1818">
        <v>1</v>
      </c>
      <c r="BL1818">
        <v>71.2</v>
      </c>
      <c r="BM1818">
        <v>10.68</v>
      </c>
      <c r="BN1818">
        <v>81.88</v>
      </c>
      <c r="BO1818">
        <v>81.88</v>
      </c>
      <c r="BQ1818" t="s">
        <v>207</v>
      </c>
      <c r="BR1818" t="s">
        <v>84</v>
      </c>
      <c r="BS1818" s="3">
        <v>45853</v>
      </c>
      <c r="BT1818" s="4">
        <v>0.37569444444444444</v>
      </c>
      <c r="BU1818" t="s">
        <v>208</v>
      </c>
      <c r="BV1818" t="s">
        <v>98</v>
      </c>
      <c r="BY1818">
        <v>4275</v>
      </c>
      <c r="BZ1818" t="s">
        <v>89</v>
      </c>
      <c r="CA1818" t="s">
        <v>196</v>
      </c>
      <c r="CC1818" t="s">
        <v>169</v>
      </c>
      <c r="CD1818">
        <v>6001</v>
      </c>
      <c r="CE1818" t="s">
        <v>266</v>
      </c>
      <c r="CF1818" s="3">
        <v>45853</v>
      </c>
      <c r="CI1818">
        <v>1</v>
      </c>
      <c r="CJ1818">
        <v>1</v>
      </c>
      <c r="CK1818">
        <v>21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"080066543262"</f>
        <v>080066543262</v>
      </c>
      <c r="F1819" s="3">
        <v>45852</v>
      </c>
      <c r="G1819">
        <v>202604</v>
      </c>
      <c r="H1819" t="s">
        <v>75</v>
      </c>
      <c r="I1819" t="s">
        <v>76</v>
      </c>
      <c r="J1819" t="s">
        <v>77</v>
      </c>
      <c r="K1819" t="s">
        <v>78</v>
      </c>
      <c r="L1819" t="s">
        <v>168</v>
      </c>
      <c r="M1819" t="s">
        <v>169</v>
      </c>
      <c r="N1819" t="s">
        <v>191</v>
      </c>
      <c r="O1819" t="s">
        <v>82</v>
      </c>
      <c r="P1819" t="str">
        <f>"4170048465                    "</f>
        <v xml:space="preserve">4170048465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22.6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0.3</v>
      </c>
      <c r="BK1819">
        <v>1</v>
      </c>
      <c r="BL1819">
        <v>71.2</v>
      </c>
      <c r="BM1819">
        <v>10.68</v>
      </c>
      <c r="BN1819">
        <v>81.88</v>
      </c>
      <c r="BO1819">
        <v>81.88</v>
      </c>
      <c r="BQ1819" t="s">
        <v>192</v>
      </c>
      <c r="BR1819" t="s">
        <v>84</v>
      </c>
      <c r="BS1819" s="3">
        <v>45853</v>
      </c>
      <c r="BT1819" s="4">
        <v>0.39097222222222222</v>
      </c>
      <c r="BU1819" t="s">
        <v>193</v>
      </c>
      <c r="BV1819" t="s">
        <v>98</v>
      </c>
      <c r="BY1819">
        <v>1350</v>
      </c>
      <c r="BZ1819" t="s">
        <v>89</v>
      </c>
      <c r="CA1819" t="s">
        <v>196</v>
      </c>
      <c r="CC1819" t="s">
        <v>169</v>
      </c>
      <c r="CD1819">
        <v>6056</v>
      </c>
      <c r="CE1819" t="s">
        <v>1868</v>
      </c>
      <c r="CF1819" s="3">
        <v>45853</v>
      </c>
      <c r="CI1819">
        <v>1</v>
      </c>
      <c r="CJ1819">
        <v>1</v>
      </c>
      <c r="CK1819">
        <v>21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"080066543276"</f>
        <v>080066543276</v>
      </c>
      <c r="F1820" s="3">
        <v>45852</v>
      </c>
      <c r="G1820">
        <v>202604</v>
      </c>
      <c r="H1820" t="s">
        <v>75</v>
      </c>
      <c r="I1820" t="s">
        <v>76</v>
      </c>
      <c r="J1820" t="s">
        <v>77</v>
      </c>
      <c r="K1820" t="s">
        <v>78</v>
      </c>
      <c r="L1820" t="s">
        <v>240</v>
      </c>
      <c r="M1820" t="s">
        <v>241</v>
      </c>
      <c r="N1820" t="s">
        <v>851</v>
      </c>
      <c r="O1820" t="s">
        <v>82</v>
      </c>
      <c r="P1820" t="str">
        <f>"4170048572                    "</f>
        <v xml:space="preserve">4170048572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17.649999999999999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1.9</v>
      </c>
      <c r="BK1820">
        <v>2</v>
      </c>
      <c r="BL1820">
        <v>55.61</v>
      </c>
      <c r="BM1820">
        <v>8.34</v>
      </c>
      <c r="BN1820">
        <v>63.95</v>
      </c>
      <c r="BO1820">
        <v>63.95</v>
      </c>
      <c r="BQ1820" t="s">
        <v>852</v>
      </c>
      <c r="BR1820" t="s">
        <v>84</v>
      </c>
      <c r="BS1820" s="3">
        <v>45853</v>
      </c>
      <c r="BT1820" s="4">
        <v>0.40625</v>
      </c>
      <c r="BU1820" t="s">
        <v>1444</v>
      </c>
      <c r="BV1820" t="s">
        <v>98</v>
      </c>
      <c r="BY1820">
        <v>9600</v>
      </c>
      <c r="BZ1820" t="s">
        <v>89</v>
      </c>
      <c r="CA1820" t="s">
        <v>451</v>
      </c>
      <c r="CC1820" t="s">
        <v>241</v>
      </c>
      <c r="CD1820">
        <v>2094</v>
      </c>
      <c r="CE1820" t="s">
        <v>117</v>
      </c>
      <c r="CF1820" s="3">
        <v>45854</v>
      </c>
      <c r="CI1820">
        <v>1</v>
      </c>
      <c r="CJ1820">
        <v>1</v>
      </c>
      <c r="CK1820">
        <v>22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"080066543285"</f>
        <v>080066543285</v>
      </c>
      <c r="F1821" s="3">
        <v>45852</v>
      </c>
      <c r="G1821">
        <v>202604</v>
      </c>
      <c r="H1821" t="s">
        <v>75</v>
      </c>
      <c r="I1821" t="s">
        <v>76</v>
      </c>
      <c r="J1821" t="s">
        <v>77</v>
      </c>
      <c r="K1821" t="s">
        <v>78</v>
      </c>
      <c r="L1821" t="s">
        <v>79</v>
      </c>
      <c r="M1821" t="s">
        <v>80</v>
      </c>
      <c r="N1821" t="s">
        <v>755</v>
      </c>
      <c r="O1821" t="s">
        <v>82</v>
      </c>
      <c r="P1821" t="str">
        <f>"4170048564                    "</f>
        <v xml:space="preserve">4170048564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22.6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0.3</v>
      </c>
      <c r="BK1821">
        <v>1</v>
      </c>
      <c r="BL1821">
        <v>71.2</v>
      </c>
      <c r="BM1821">
        <v>10.68</v>
      </c>
      <c r="BN1821">
        <v>81.88</v>
      </c>
      <c r="BO1821">
        <v>81.88</v>
      </c>
      <c r="BQ1821" t="s">
        <v>756</v>
      </c>
      <c r="BR1821" t="s">
        <v>84</v>
      </c>
      <c r="BS1821" s="3">
        <v>45853</v>
      </c>
      <c r="BT1821" s="4">
        <v>0.37708333333333333</v>
      </c>
      <c r="BU1821" t="s">
        <v>1774</v>
      </c>
      <c r="BV1821" t="s">
        <v>98</v>
      </c>
      <c r="BY1821">
        <v>1350</v>
      </c>
      <c r="BZ1821" t="s">
        <v>89</v>
      </c>
      <c r="CA1821" t="s">
        <v>665</v>
      </c>
      <c r="CC1821" t="s">
        <v>80</v>
      </c>
      <c r="CD1821">
        <v>7945</v>
      </c>
      <c r="CE1821" t="s">
        <v>1868</v>
      </c>
      <c r="CF1821" s="3">
        <v>45854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"080066543307"</f>
        <v>080066543307</v>
      </c>
      <c r="F1822" s="3">
        <v>45852</v>
      </c>
      <c r="G1822">
        <v>202604</v>
      </c>
      <c r="H1822" t="s">
        <v>75</v>
      </c>
      <c r="I1822" t="s">
        <v>76</v>
      </c>
      <c r="J1822" t="s">
        <v>77</v>
      </c>
      <c r="K1822" t="s">
        <v>78</v>
      </c>
      <c r="L1822" t="s">
        <v>79</v>
      </c>
      <c r="M1822" t="s">
        <v>80</v>
      </c>
      <c r="N1822" t="s">
        <v>141</v>
      </c>
      <c r="O1822" t="s">
        <v>82</v>
      </c>
      <c r="P1822" t="str">
        <f>"4170048551                    "</f>
        <v xml:space="preserve">4170048551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22.6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0.3</v>
      </c>
      <c r="BK1822">
        <v>1</v>
      </c>
      <c r="BL1822">
        <v>71.2</v>
      </c>
      <c r="BM1822">
        <v>10.68</v>
      </c>
      <c r="BN1822">
        <v>81.88</v>
      </c>
      <c r="BO1822">
        <v>81.88</v>
      </c>
      <c r="BQ1822" t="s">
        <v>142</v>
      </c>
      <c r="BR1822" t="s">
        <v>84</v>
      </c>
      <c r="BS1822" s="3">
        <v>45853</v>
      </c>
      <c r="BT1822" s="4">
        <v>0.41249999999999998</v>
      </c>
      <c r="BU1822" t="s">
        <v>143</v>
      </c>
      <c r="BV1822" t="s">
        <v>98</v>
      </c>
      <c r="BY1822">
        <v>1350</v>
      </c>
      <c r="BZ1822" t="s">
        <v>89</v>
      </c>
      <c r="CA1822" t="s">
        <v>144</v>
      </c>
      <c r="CC1822" t="s">
        <v>80</v>
      </c>
      <c r="CD1822">
        <v>7441</v>
      </c>
      <c r="CE1822" t="s">
        <v>1868</v>
      </c>
      <c r="CF1822" s="3">
        <v>45854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"080066543317"</f>
        <v>080066543317</v>
      </c>
      <c r="F1823" s="3">
        <v>45852</v>
      </c>
      <c r="G1823">
        <v>202604</v>
      </c>
      <c r="H1823" t="s">
        <v>75</v>
      </c>
      <c r="I1823" t="s">
        <v>76</v>
      </c>
      <c r="J1823" t="s">
        <v>77</v>
      </c>
      <c r="K1823" t="s">
        <v>78</v>
      </c>
      <c r="L1823" t="s">
        <v>75</v>
      </c>
      <c r="M1823" t="s">
        <v>76</v>
      </c>
      <c r="N1823" t="s">
        <v>2385</v>
      </c>
      <c r="O1823" t="s">
        <v>82</v>
      </c>
      <c r="P1823" t="str">
        <f>"4170047481                    "</f>
        <v xml:space="preserve">4170047481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17.649999999999999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3.1</v>
      </c>
      <c r="BK1823">
        <v>4</v>
      </c>
      <c r="BL1823">
        <v>55.61</v>
      </c>
      <c r="BM1823">
        <v>8.34</v>
      </c>
      <c r="BN1823">
        <v>63.95</v>
      </c>
      <c r="BO1823">
        <v>63.95</v>
      </c>
      <c r="BQ1823" t="s">
        <v>2386</v>
      </c>
      <c r="BR1823" t="s">
        <v>84</v>
      </c>
      <c r="BS1823" s="3">
        <v>45855</v>
      </c>
      <c r="BT1823" s="4">
        <v>0.4513888888888889</v>
      </c>
      <c r="BU1823" t="s">
        <v>2387</v>
      </c>
      <c r="BV1823" t="s">
        <v>86</v>
      </c>
      <c r="BY1823">
        <v>15360</v>
      </c>
      <c r="BZ1823" t="s">
        <v>89</v>
      </c>
      <c r="CA1823" t="s">
        <v>1282</v>
      </c>
      <c r="CC1823" t="s">
        <v>76</v>
      </c>
      <c r="CD1823">
        <v>1620</v>
      </c>
      <c r="CE1823" t="s">
        <v>117</v>
      </c>
      <c r="CF1823" s="3">
        <v>45855</v>
      </c>
      <c r="CI1823">
        <v>1</v>
      </c>
      <c r="CJ1823">
        <v>3</v>
      </c>
      <c r="CK1823">
        <v>22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"080066543340"</f>
        <v>080066543340</v>
      </c>
      <c r="F1824" s="3">
        <v>45852</v>
      </c>
      <c r="G1824">
        <v>202604</v>
      </c>
      <c r="H1824" t="s">
        <v>75</v>
      </c>
      <c r="I1824" t="s">
        <v>76</v>
      </c>
      <c r="J1824" t="s">
        <v>77</v>
      </c>
      <c r="K1824" t="s">
        <v>78</v>
      </c>
      <c r="L1824" t="s">
        <v>168</v>
      </c>
      <c r="M1824" t="s">
        <v>169</v>
      </c>
      <c r="N1824" t="s">
        <v>2058</v>
      </c>
      <c r="O1824" t="s">
        <v>82</v>
      </c>
      <c r="P1824" t="str">
        <f>"4170048410                    "</f>
        <v xml:space="preserve">4170048410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22.6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0.3</v>
      </c>
      <c r="BK1824">
        <v>1</v>
      </c>
      <c r="BL1824">
        <v>71.2</v>
      </c>
      <c r="BM1824">
        <v>10.68</v>
      </c>
      <c r="BN1824">
        <v>81.88</v>
      </c>
      <c r="BO1824">
        <v>81.88</v>
      </c>
      <c r="BQ1824" t="s">
        <v>2059</v>
      </c>
      <c r="BR1824" t="s">
        <v>84</v>
      </c>
      <c r="BS1824" s="3">
        <v>45853</v>
      </c>
      <c r="BT1824" s="4">
        <v>0.35625000000000001</v>
      </c>
      <c r="BU1824" t="s">
        <v>2388</v>
      </c>
      <c r="BV1824" t="s">
        <v>98</v>
      </c>
      <c r="BY1824">
        <v>1350</v>
      </c>
      <c r="BZ1824" t="s">
        <v>89</v>
      </c>
      <c r="CA1824" t="s">
        <v>196</v>
      </c>
      <c r="CC1824" t="s">
        <v>169</v>
      </c>
      <c r="CD1824">
        <v>6001</v>
      </c>
      <c r="CE1824" t="s">
        <v>1868</v>
      </c>
      <c r="CF1824" s="3">
        <v>45853</v>
      </c>
      <c r="CI1824">
        <v>1</v>
      </c>
      <c r="CJ1824">
        <v>1</v>
      </c>
      <c r="CK1824">
        <v>21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"080066543346"</f>
        <v>080066543346</v>
      </c>
      <c r="F1825" s="3">
        <v>45852</v>
      </c>
      <c r="G1825">
        <v>202604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562</v>
      </c>
      <c r="O1825" t="s">
        <v>82</v>
      </c>
      <c r="P1825" t="str">
        <f>"4170048456                    "</f>
        <v xml:space="preserve">4170048456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17.649999999999999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1.1000000000000001</v>
      </c>
      <c r="BK1825">
        <v>2</v>
      </c>
      <c r="BL1825">
        <v>55.61</v>
      </c>
      <c r="BM1825">
        <v>8.34</v>
      </c>
      <c r="BN1825">
        <v>63.95</v>
      </c>
      <c r="BO1825">
        <v>63.95</v>
      </c>
      <c r="BQ1825" t="s">
        <v>563</v>
      </c>
      <c r="BR1825" t="s">
        <v>84</v>
      </c>
      <c r="BS1825" s="3">
        <v>45853</v>
      </c>
      <c r="BT1825" s="4">
        <v>0.35069444444444442</v>
      </c>
      <c r="BU1825" t="s">
        <v>2155</v>
      </c>
      <c r="BV1825" t="s">
        <v>98</v>
      </c>
      <c r="BY1825">
        <v>5320</v>
      </c>
      <c r="BZ1825" t="s">
        <v>89</v>
      </c>
      <c r="CA1825" t="s">
        <v>565</v>
      </c>
      <c r="CC1825" t="s">
        <v>76</v>
      </c>
      <c r="CD1825">
        <v>1619</v>
      </c>
      <c r="CE1825" t="s">
        <v>117</v>
      </c>
      <c r="CF1825" s="3">
        <v>45853</v>
      </c>
      <c r="CI1825">
        <v>1</v>
      </c>
      <c r="CJ1825">
        <v>1</v>
      </c>
      <c r="CK1825">
        <v>22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"080066543361"</f>
        <v>080066543361</v>
      </c>
      <c r="F1826" s="3">
        <v>45852</v>
      </c>
      <c r="G1826">
        <v>202604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 t="s">
        <v>80</v>
      </c>
      <c r="N1826" t="s">
        <v>1816</v>
      </c>
      <c r="O1826" t="s">
        <v>82</v>
      </c>
      <c r="P1826" t="str">
        <f>"4170048473                    "</f>
        <v xml:space="preserve">4170048473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22.6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0.3</v>
      </c>
      <c r="BK1826">
        <v>1</v>
      </c>
      <c r="BL1826">
        <v>71.2</v>
      </c>
      <c r="BM1826">
        <v>10.68</v>
      </c>
      <c r="BN1826">
        <v>81.88</v>
      </c>
      <c r="BO1826">
        <v>81.88</v>
      </c>
      <c r="BQ1826" t="s">
        <v>1817</v>
      </c>
      <c r="BR1826" t="s">
        <v>84</v>
      </c>
      <c r="BS1826" s="3">
        <v>45853</v>
      </c>
      <c r="BT1826" s="4">
        <v>0.62777777777777777</v>
      </c>
      <c r="BU1826" t="s">
        <v>2037</v>
      </c>
      <c r="BV1826" t="s">
        <v>86</v>
      </c>
      <c r="BW1826" t="s">
        <v>395</v>
      </c>
      <c r="BX1826" t="s">
        <v>2389</v>
      </c>
      <c r="BY1826">
        <v>1350</v>
      </c>
      <c r="BZ1826" t="s">
        <v>89</v>
      </c>
      <c r="CA1826" t="s">
        <v>90</v>
      </c>
      <c r="CC1826" t="s">
        <v>80</v>
      </c>
      <c r="CD1826">
        <v>7550</v>
      </c>
      <c r="CE1826" t="s">
        <v>1868</v>
      </c>
      <c r="CF1826" s="3">
        <v>45854</v>
      </c>
      <c r="CI1826">
        <v>1</v>
      </c>
      <c r="CJ1826">
        <v>1</v>
      </c>
      <c r="CK1826">
        <v>21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"080066543377"</f>
        <v>080066543377</v>
      </c>
      <c r="F1827" s="3">
        <v>45852</v>
      </c>
      <c r="G1827">
        <v>202604</v>
      </c>
      <c r="H1827" t="s">
        <v>75</v>
      </c>
      <c r="I1827" t="s">
        <v>76</v>
      </c>
      <c r="J1827" t="s">
        <v>77</v>
      </c>
      <c r="K1827" t="s">
        <v>78</v>
      </c>
      <c r="L1827" t="s">
        <v>168</v>
      </c>
      <c r="M1827" t="s">
        <v>169</v>
      </c>
      <c r="N1827" t="s">
        <v>191</v>
      </c>
      <c r="O1827" t="s">
        <v>82</v>
      </c>
      <c r="P1827" t="str">
        <f>"4170048464                    "</f>
        <v xml:space="preserve">4170048464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22.6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1.1000000000000001</v>
      </c>
      <c r="BK1827">
        <v>1.5</v>
      </c>
      <c r="BL1827">
        <v>71.2</v>
      </c>
      <c r="BM1827">
        <v>10.68</v>
      </c>
      <c r="BN1827">
        <v>81.88</v>
      </c>
      <c r="BO1827">
        <v>81.88</v>
      </c>
      <c r="BQ1827" t="s">
        <v>192</v>
      </c>
      <c r="BR1827" t="s">
        <v>84</v>
      </c>
      <c r="BS1827" s="3">
        <v>45853</v>
      </c>
      <c r="BT1827" s="4">
        <v>0.39097222222222222</v>
      </c>
      <c r="BU1827" t="s">
        <v>193</v>
      </c>
      <c r="BV1827" t="s">
        <v>98</v>
      </c>
      <c r="BY1827">
        <v>5320</v>
      </c>
      <c r="BZ1827" t="s">
        <v>89</v>
      </c>
      <c r="CA1827" t="s">
        <v>196</v>
      </c>
      <c r="CC1827" t="s">
        <v>169</v>
      </c>
      <c r="CD1827">
        <v>6056</v>
      </c>
      <c r="CE1827" t="s">
        <v>117</v>
      </c>
      <c r="CF1827" s="3">
        <v>45853</v>
      </c>
      <c r="CI1827">
        <v>1</v>
      </c>
      <c r="CJ1827">
        <v>1</v>
      </c>
      <c r="CK1827">
        <v>21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"080066543392"</f>
        <v>080066543392</v>
      </c>
      <c r="F1828" s="3">
        <v>45852</v>
      </c>
      <c r="G1828">
        <v>202604</v>
      </c>
      <c r="H1828" t="s">
        <v>75</v>
      </c>
      <c r="I1828" t="s">
        <v>76</v>
      </c>
      <c r="J1828" t="s">
        <v>77</v>
      </c>
      <c r="K1828" t="s">
        <v>78</v>
      </c>
      <c r="L1828" t="s">
        <v>168</v>
      </c>
      <c r="M1828" t="s">
        <v>169</v>
      </c>
      <c r="N1828" t="s">
        <v>206</v>
      </c>
      <c r="O1828" t="s">
        <v>82</v>
      </c>
      <c r="P1828" t="str">
        <f>"4170048534                    "</f>
        <v xml:space="preserve">4170048534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22.6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0.3</v>
      </c>
      <c r="BK1828">
        <v>1</v>
      </c>
      <c r="BL1828">
        <v>71.2</v>
      </c>
      <c r="BM1828">
        <v>10.68</v>
      </c>
      <c r="BN1828">
        <v>81.88</v>
      </c>
      <c r="BO1828">
        <v>81.88</v>
      </c>
      <c r="BQ1828" t="s">
        <v>207</v>
      </c>
      <c r="BR1828" t="s">
        <v>84</v>
      </c>
      <c r="BS1828" s="3">
        <v>45853</v>
      </c>
      <c r="BT1828" s="4">
        <v>0.37569444444444444</v>
      </c>
      <c r="BU1828" t="s">
        <v>208</v>
      </c>
      <c r="BV1828" t="s">
        <v>98</v>
      </c>
      <c r="BY1828">
        <v>1350</v>
      </c>
      <c r="BZ1828" t="s">
        <v>89</v>
      </c>
      <c r="CA1828" t="s">
        <v>196</v>
      </c>
      <c r="CC1828" t="s">
        <v>169</v>
      </c>
      <c r="CD1828">
        <v>6001</v>
      </c>
      <c r="CE1828" t="s">
        <v>1868</v>
      </c>
      <c r="CF1828" s="3">
        <v>45853</v>
      </c>
      <c r="CI1828">
        <v>1</v>
      </c>
      <c r="CJ1828">
        <v>1</v>
      </c>
      <c r="CK1828">
        <v>21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"080066543413"</f>
        <v>080066543413</v>
      </c>
      <c r="F1829" s="3">
        <v>45852</v>
      </c>
      <c r="G1829">
        <v>202604</v>
      </c>
      <c r="H1829" t="s">
        <v>75</v>
      </c>
      <c r="I1829" t="s">
        <v>76</v>
      </c>
      <c r="J1829" t="s">
        <v>77</v>
      </c>
      <c r="K1829" t="s">
        <v>78</v>
      </c>
      <c r="L1829" t="s">
        <v>305</v>
      </c>
      <c r="M1829" t="s">
        <v>306</v>
      </c>
      <c r="N1829" t="s">
        <v>1320</v>
      </c>
      <c r="O1829" t="s">
        <v>82</v>
      </c>
      <c r="P1829" t="str">
        <f>"4170048555                    "</f>
        <v xml:space="preserve">4170048555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22.6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1.1000000000000001</v>
      </c>
      <c r="BK1829">
        <v>1.5</v>
      </c>
      <c r="BL1829">
        <v>71.2</v>
      </c>
      <c r="BM1829">
        <v>10.68</v>
      </c>
      <c r="BN1829">
        <v>81.88</v>
      </c>
      <c r="BO1829">
        <v>81.88</v>
      </c>
      <c r="BQ1829" t="s">
        <v>308</v>
      </c>
      <c r="BR1829" t="s">
        <v>84</v>
      </c>
      <c r="BS1829" s="3">
        <v>45853</v>
      </c>
      <c r="BT1829" s="4">
        <v>0.4375</v>
      </c>
      <c r="BU1829" t="s">
        <v>1378</v>
      </c>
      <c r="BV1829" t="s">
        <v>98</v>
      </c>
      <c r="BY1829">
        <v>5320</v>
      </c>
      <c r="BZ1829" t="s">
        <v>89</v>
      </c>
      <c r="CA1829" t="s">
        <v>310</v>
      </c>
      <c r="CC1829" t="s">
        <v>306</v>
      </c>
      <c r="CD1829">
        <v>5201</v>
      </c>
      <c r="CE1829" t="s">
        <v>117</v>
      </c>
      <c r="CF1829" s="3">
        <v>45853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"080066543427"</f>
        <v>080066543427</v>
      </c>
      <c r="F1830" s="3">
        <v>45852</v>
      </c>
      <c r="G1830">
        <v>202604</v>
      </c>
      <c r="H1830" t="s">
        <v>75</v>
      </c>
      <c r="I1830" t="s">
        <v>76</v>
      </c>
      <c r="J1830" t="s">
        <v>77</v>
      </c>
      <c r="K1830" t="s">
        <v>78</v>
      </c>
      <c r="L1830" t="s">
        <v>92</v>
      </c>
      <c r="M1830" t="s">
        <v>93</v>
      </c>
      <c r="N1830" t="s">
        <v>94</v>
      </c>
      <c r="O1830" t="s">
        <v>82</v>
      </c>
      <c r="P1830" t="str">
        <f>"4170048574                    "</f>
        <v xml:space="preserve">4170048574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22.6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0.3</v>
      </c>
      <c r="BK1830">
        <v>1</v>
      </c>
      <c r="BL1830">
        <v>71.2</v>
      </c>
      <c r="BM1830">
        <v>10.68</v>
      </c>
      <c r="BN1830">
        <v>81.88</v>
      </c>
      <c r="BO1830">
        <v>81.88</v>
      </c>
      <c r="BQ1830" t="s">
        <v>96</v>
      </c>
      <c r="BR1830" t="s">
        <v>84</v>
      </c>
      <c r="BS1830" s="3">
        <v>45853</v>
      </c>
      <c r="BT1830" s="4">
        <v>0.37847222222222221</v>
      </c>
      <c r="BU1830" t="s">
        <v>2390</v>
      </c>
      <c r="BV1830" t="s">
        <v>98</v>
      </c>
      <c r="BY1830">
        <v>1350</v>
      </c>
      <c r="BZ1830" t="s">
        <v>89</v>
      </c>
      <c r="CA1830" t="s">
        <v>100</v>
      </c>
      <c r="CC1830" t="s">
        <v>93</v>
      </c>
      <c r="CD1830">
        <v>4052</v>
      </c>
      <c r="CE1830" t="s">
        <v>1868</v>
      </c>
      <c r="CF1830" s="3">
        <v>45853</v>
      </c>
      <c r="CI1830">
        <v>1</v>
      </c>
      <c r="CJ1830">
        <v>1</v>
      </c>
      <c r="CK1830">
        <v>21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"080066543451"</f>
        <v>080066543451</v>
      </c>
      <c r="F1831" s="3">
        <v>45852</v>
      </c>
      <c r="G1831">
        <v>202604</v>
      </c>
      <c r="H1831" t="s">
        <v>75</v>
      </c>
      <c r="I1831" t="s">
        <v>76</v>
      </c>
      <c r="J1831" t="s">
        <v>77</v>
      </c>
      <c r="K1831" t="s">
        <v>78</v>
      </c>
      <c r="L1831" t="s">
        <v>168</v>
      </c>
      <c r="M1831" t="s">
        <v>169</v>
      </c>
      <c r="N1831" t="s">
        <v>206</v>
      </c>
      <c r="O1831" t="s">
        <v>82</v>
      </c>
      <c r="P1831" t="str">
        <f>"4170048552                    "</f>
        <v xml:space="preserve">4170048552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22.6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0.9</v>
      </c>
      <c r="BK1831">
        <v>1</v>
      </c>
      <c r="BL1831">
        <v>71.2</v>
      </c>
      <c r="BM1831">
        <v>10.68</v>
      </c>
      <c r="BN1831">
        <v>81.88</v>
      </c>
      <c r="BO1831">
        <v>81.88</v>
      </c>
      <c r="BQ1831" t="s">
        <v>207</v>
      </c>
      <c r="BR1831" t="s">
        <v>84</v>
      </c>
      <c r="BS1831" s="3">
        <v>45853</v>
      </c>
      <c r="BT1831" s="4">
        <v>0.37569444444444444</v>
      </c>
      <c r="BU1831" t="s">
        <v>208</v>
      </c>
      <c r="BV1831" t="s">
        <v>98</v>
      </c>
      <c r="BY1831">
        <v>4275</v>
      </c>
      <c r="BZ1831" t="s">
        <v>89</v>
      </c>
      <c r="CA1831" t="s">
        <v>196</v>
      </c>
      <c r="CC1831" t="s">
        <v>169</v>
      </c>
      <c r="CD1831">
        <v>6001</v>
      </c>
      <c r="CE1831" t="s">
        <v>266</v>
      </c>
      <c r="CF1831" s="3">
        <v>45853</v>
      </c>
      <c r="CI1831">
        <v>1</v>
      </c>
      <c r="CJ1831">
        <v>1</v>
      </c>
      <c r="CK1831">
        <v>21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"080066543524"</f>
        <v>080066543524</v>
      </c>
      <c r="F1832" s="3">
        <v>45852</v>
      </c>
      <c r="G1832">
        <v>202604</v>
      </c>
      <c r="H1832" t="s">
        <v>75</v>
      </c>
      <c r="I1832" t="s">
        <v>76</v>
      </c>
      <c r="J1832" t="s">
        <v>77</v>
      </c>
      <c r="K1832" t="s">
        <v>78</v>
      </c>
      <c r="L1832" t="s">
        <v>452</v>
      </c>
      <c r="M1832" t="s">
        <v>453</v>
      </c>
      <c r="N1832" t="s">
        <v>870</v>
      </c>
      <c r="O1832" t="s">
        <v>82</v>
      </c>
      <c r="P1832" t="str">
        <f>"4170048545                    "</f>
        <v xml:space="preserve">4170048545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17.649999999999999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5</v>
      </c>
      <c r="BJ1832">
        <v>1.7</v>
      </c>
      <c r="BK1832">
        <v>5</v>
      </c>
      <c r="BL1832">
        <v>55.61</v>
      </c>
      <c r="BM1832">
        <v>8.34</v>
      </c>
      <c r="BN1832">
        <v>63.95</v>
      </c>
      <c r="BO1832">
        <v>63.95</v>
      </c>
      <c r="BQ1832" t="s">
        <v>871</v>
      </c>
      <c r="BR1832" t="s">
        <v>84</v>
      </c>
      <c r="BS1832" s="3">
        <v>45853</v>
      </c>
      <c r="BT1832" s="4">
        <v>0.43055555555555558</v>
      </c>
      <c r="BU1832" t="s">
        <v>2391</v>
      </c>
      <c r="BV1832" t="s">
        <v>98</v>
      </c>
      <c r="BY1832">
        <v>8550</v>
      </c>
      <c r="BZ1832" t="s">
        <v>89</v>
      </c>
      <c r="CA1832" t="s">
        <v>1541</v>
      </c>
      <c r="CC1832" t="s">
        <v>453</v>
      </c>
      <c r="CD1832">
        <v>1559</v>
      </c>
      <c r="CE1832" t="s">
        <v>117</v>
      </c>
      <c r="CF1832" s="3">
        <v>45853</v>
      </c>
      <c r="CI1832">
        <v>1</v>
      </c>
      <c r="CJ1832">
        <v>1</v>
      </c>
      <c r="CK1832">
        <v>22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"R080066423165"</f>
        <v>R080066423165</v>
      </c>
      <c r="F1833" s="3">
        <v>45852</v>
      </c>
      <c r="G1833">
        <v>202604</v>
      </c>
      <c r="H1833" t="s">
        <v>197</v>
      </c>
      <c r="I1833" t="s">
        <v>198</v>
      </c>
      <c r="J1833" t="s">
        <v>1192</v>
      </c>
      <c r="K1833" t="s">
        <v>78</v>
      </c>
      <c r="L1833" t="s">
        <v>75</v>
      </c>
      <c r="M1833" t="s">
        <v>76</v>
      </c>
      <c r="N1833" t="s">
        <v>77</v>
      </c>
      <c r="O1833" t="s">
        <v>95</v>
      </c>
      <c r="P1833" t="str">
        <f>"4170047325                    "</f>
        <v xml:space="preserve">4170047325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33.72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112.11</v>
      </c>
      <c r="BM1833">
        <v>16.82</v>
      </c>
      <c r="BN1833">
        <v>128.93</v>
      </c>
      <c r="BO1833">
        <v>128.93</v>
      </c>
      <c r="BQ1833" t="s">
        <v>84</v>
      </c>
      <c r="BR1833" t="s">
        <v>1193</v>
      </c>
      <c r="BS1833" s="3">
        <v>45853</v>
      </c>
      <c r="BT1833" s="4">
        <v>0.36249999999999999</v>
      </c>
      <c r="BU1833" t="s">
        <v>1899</v>
      </c>
      <c r="BV1833" t="s">
        <v>98</v>
      </c>
      <c r="BY1833">
        <v>1200</v>
      </c>
      <c r="BZ1833" t="s">
        <v>99</v>
      </c>
      <c r="CA1833" t="s">
        <v>304</v>
      </c>
      <c r="CC1833" t="s">
        <v>76</v>
      </c>
      <c r="CD1833">
        <v>1601</v>
      </c>
      <c r="CE1833" t="s">
        <v>214</v>
      </c>
      <c r="CF1833" s="3">
        <v>45853</v>
      </c>
      <c r="CI1833">
        <v>1</v>
      </c>
      <c r="CJ1833">
        <v>1</v>
      </c>
      <c r="CK1833">
        <v>42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"080066543567"</f>
        <v>080066543567</v>
      </c>
      <c r="F1834" s="3">
        <v>45852</v>
      </c>
      <c r="G1834">
        <v>202604</v>
      </c>
      <c r="H1834" t="s">
        <v>75</v>
      </c>
      <c r="I1834" t="s">
        <v>76</v>
      </c>
      <c r="J1834" t="s">
        <v>77</v>
      </c>
      <c r="K1834" t="s">
        <v>78</v>
      </c>
      <c r="L1834" t="s">
        <v>75</v>
      </c>
      <c r="M1834" t="s">
        <v>76</v>
      </c>
      <c r="N1834" t="s">
        <v>118</v>
      </c>
      <c r="O1834" t="s">
        <v>82</v>
      </c>
      <c r="P1834" t="str">
        <f>"4170048561                    "</f>
        <v xml:space="preserve">4170048561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17.649999999999999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0.3</v>
      </c>
      <c r="BK1834">
        <v>1</v>
      </c>
      <c r="BL1834">
        <v>55.61</v>
      </c>
      <c r="BM1834">
        <v>8.34</v>
      </c>
      <c r="BN1834">
        <v>63.95</v>
      </c>
      <c r="BO1834">
        <v>63.95</v>
      </c>
      <c r="BQ1834" t="s">
        <v>119</v>
      </c>
      <c r="BR1834" t="s">
        <v>84</v>
      </c>
      <c r="BS1834" s="3">
        <v>45853</v>
      </c>
      <c r="BT1834" s="4">
        <v>0.30833333333333335</v>
      </c>
      <c r="BU1834" t="s">
        <v>212</v>
      </c>
      <c r="BV1834" t="s">
        <v>98</v>
      </c>
      <c r="BY1834">
        <v>1350</v>
      </c>
      <c r="BZ1834" t="s">
        <v>89</v>
      </c>
      <c r="CA1834" t="s">
        <v>213</v>
      </c>
      <c r="CC1834" t="s">
        <v>76</v>
      </c>
      <c r="CD1834">
        <v>1600</v>
      </c>
      <c r="CE1834" t="s">
        <v>1868</v>
      </c>
      <c r="CF1834" s="3">
        <v>45854</v>
      </c>
      <c r="CI1834">
        <v>1</v>
      </c>
      <c r="CJ1834">
        <v>1</v>
      </c>
      <c r="CK1834">
        <v>22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"080066543605"</f>
        <v>080066543605</v>
      </c>
      <c r="F1835" s="3">
        <v>45852</v>
      </c>
      <c r="G1835">
        <v>202604</v>
      </c>
      <c r="H1835" t="s">
        <v>75</v>
      </c>
      <c r="I1835" t="s">
        <v>76</v>
      </c>
      <c r="J1835" t="s">
        <v>77</v>
      </c>
      <c r="K1835" t="s">
        <v>78</v>
      </c>
      <c r="L1835" t="s">
        <v>305</v>
      </c>
      <c r="M1835" t="s">
        <v>306</v>
      </c>
      <c r="N1835" t="s">
        <v>1304</v>
      </c>
      <c r="O1835" t="s">
        <v>82</v>
      </c>
      <c r="P1835" t="str">
        <f>"4170048568                    "</f>
        <v xml:space="preserve">4170048568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22.6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0.3</v>
      </c>
      <c r="BK1835">
        <v>1</v>
      </c>
      <c r="BL1835">
        <v>71.2</v>
      </c>
      <c r="BM1835">
        <v>10.68</v>
      </c>
      <c r="BN1835">
        <v>81.88</v>
      </c>
      <c r="BO1835">
        <v>81.88</v>
      </c>
      <c r="BQ1835" t="s">
        <v>1305</v>
      </c>
      <c r="BR1835" t="s">
        <v>84</v>
      </c>
      <c r="BS1835" s="3">
        <v>45853</v>
      </c>
      <c r="BT1835" s="4">
        <v>0.46736111111111112</v>
      </c>
      <c r="BU1835" t="s">
        <v>2392</v>
      </c>
      <c r="BV1835" t="s">
        <v>98</v>
      </c>
      <c r="BY1835">
        <v>1350</v>
      </c>
      <c r="BZ1835" t="s">
        <v>89</v>
      </c>
      <c r="CA1835" t="s">
        <v>575</v>
      </c>
      <c r="CC1835" t="s">
        <v>306</v>
      </c>
      <c r="CD1835">
        <v>5201</v>
      </c>
      <c r="CE1835" t="s">
        <v>1868</v>
      </c>
      <c r="CF1835" s="3">
        <v>45853</v>
      </c>
      <c r="CI1835">
        <v>5</v>
      </c>
      <c r="CJ1835">
        <v>1</v>
      </c>
      <c r="CK1835">
        <v>21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"080066543645"</f>
        <v>080066543645</v>
      </c>
      <c r="F1836" s="3">
        <v>45852</v>
      </c>
      <c r="G1836">
        <v>202604</v>
      </c>
      <c r="H1836" t="s">
        <v>75</v>
      </c>
      <c r="I1836" t="s">
        <v>76</v>
      </c>
      <c r="J1836" t="s">
        <v>77</v>
      </c>
      <c r="K1836" t="s">
        <v>78</v>
      </c>
      <c r="L1836" t="s">
        <v>151</v>
      </c>
      <c r="M1836" t="s">
        <v>152</v>
      </c>
      <c r="N1836" t="s">
        <v>2290</v>
      </c>
      <c r="O1836" t="s">
        <v>82</v>
      </c>
      <c r="P1836" t="str">
        <f>"4170048556                    "</f>
        <v xml:space="preserve">4170048556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22.6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0.3</v>
      </c>
      <c r="BK1836">
        <v>1</v>
      </c>
      <c r="BL1836">
        <v>71.2</v>
      </c>
      <c r="BM1836">
        <v>10.68</v>
      </c>
      <c r="BN1836">
        <v>81.88</v>
      </c>
      <c r="BO1836">
        <v>81.88</v>
      </c>
      <c r="BQ1836" t="s">
        <v>2291</v>
      </c>
      <c r="BR1836" t="s">
        <v>84</v>
      </c>
      <c r="BS1836" s="3">
        <v>45853</v>
      </c>
      <c r="BT1836" s="4">
        <v>0.39930555555555558</v>
      </c>
      <c r="BU1836" t="s">
        <v>2393</v>
      </c>
      <c r="BV1836" t="s">
        <v>98</v>
      </c>
      <c r="BY1836">
        <v>1350</v>
      </c>
      <c r="BZ1836" t="s">
        <v>89</v>
      </c>
      <c r="CA1836" t="s">
        <v>388</v>
      </c>
      <c r="CC1836" t="s">
        <v>152</v>
      </c>
      <c r="CD1836" s="5" t="s">
        <v>389</v>
      </c>
      <c r="CE1836" t="s">
        <v>1868</v>
      </c>
      <c r="CF1836" s="3">
        <v>45853</v>
      </c>
      <c r="CI1836">
        <v>1</v>
      </c>
      <c r="CJ1836">
        <v>1</v>
      </c>
      <c r="CK1836">
        <v>21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"080066543663"</f>
        <v>080066543663</v>
      </c>
      <c r="F1837" s="3">
        <v>45852</v>
      </c>
      <c r="G1837">
        <v>202604</v>
      </c>
      <c r="H1837" t="s">
        <v>75</v>
      </c>
      <c r="I1837" t="s">
        <v>76</v>
      </c>
      <c r="J1837" t="s">
        <v>77</v>
      </c>
      <c r="K1837" t="s">
        <v>78</v>
      </c>
      <c r="L1837" t="s">
        <v>122</v>
      </c>
      <c r="M1837" t="s">
        <v>123</v>
      </c>
      <c r="N1837" t="s">
        <v>2097</v>
      </c>
      <c r="O1837" t="s">
        <v>82</v>
      </c>
      <c r="P1837" t="str">
        <f>"4170048486                    "</f>
        <v xml:space="preserve">4170048486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22.6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0.3</v>
      </c>
      <c r="BK1837">
        <v>1</v>
      </c>
      <c r="BL1837">
        <v>71.2</v>
      </c>
      <c r="BM1837">
        <v>10.68</v>
      </c>
      <c r="BN1837">
        <v>81.88</v>
      </c>
      <c r="BO1837">
        <v>81.88</v>
      </c>
      <c r="BQ1837" t="s">
        <v>2098</v>
      </c>
      <c r="BR1837" t="s">
        <v>84</v>
      </c>
      <c r="BS1837" s="3">
        <v>45853</v>
      </c>
      <c r="BT1837" s="4">
        <v>0.43680555555555556</v>
      </c>
      <c r="BU1837" t="s">
        <v>2099</v>
      </c>
      <c r="BV1837" t="s">
        <v>98</v>
      </c>
      <c r="BY1837">
        <v>1350</v>
      </c>
      <c r="BZ1837" t="s">
        <v>89</v>
      </c>
      <c r="CA1837" t="s">
        <v>187</v>
      </c>
      <c r="CC1837" t="s">
        <v>123</v>
      </c>
      <c r="CD1837">
        <v>3600</v>
      </c>
      <c r="CE1837" t="s">
        <v>1868</v>
      </c>
      <c r="CF1837" s="3">
        <v>45853</v>
      </c>
      <c r="CI1837">
        <v>1</v>
      </c>
      <c r="CJ1837">
        <v>1</v>
      </c>
      <c r="CK1837">
        <v>21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"080066543694"</f>
        <v>080066543694</v>
      </c>
      <c r="F1838" s="3">
        <v>45852</v>
      </c>
      <c r="G1838">
        <v>202604</v>
      </c>
      <c r="H1838" t="s">
        <v>75</v>
      </c>
      <c r="I1838" t="s">
        <v>76</v>
      </c>
      <c r="J1838" t="s">
        <v>77</v>
      </c>
      <c r="K1838" t="s">
        <v>78</v>
      </c>
      <c r="L1838" t="s">
        <v>135</v>
      </c>
      <c r="M1838" t="s">
        <v>136</v>
      </c>
      <c r="N1838" t="s">
        <v>416</v>
      </c>
      <c r="O1838" t="s">
        <v>82</v>
      </c>
      <c r="P1838" t="str">
        <f>"4170048488                    "</f>
        <v xml:space="preserve">4170048488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22.6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0.3</v>
      </c>
      <c r="BK1838">
        <v>1</v>
      </c>
      <c r="BL1838">
        <v>71.2</v>
      </c>
      <c r="BM1838">
        <v>10.68</v>
      </c>
      <c r="BN1838">
        <v>81.88</v>
      </c>
      <c r="BO1838">
        <v>81.88</v>
      </c>
      <c r="BQ1838" t="s">
        <v>417</v>
      </c>
      <c r="BR1838" t="s">
        <v>84</v>
      </c>
      <c r="BS1838" s="3">
        <v>45853</v>
      </c>
      <c r="BT1838" s="4">
        <v>0.41666666666666669</v>
      </c>
      <c r="BU1838" t="s">
        <v>2394</v>
      </c>
      <c r="BV1838" t="s">
        <v>98</v>
      </c>
      <c r="BY1838">
        <v>1350</v>
      </c>
      <c r="BZ1838" t="s">
        <v>89</v>
      </c>
      <c r="CA1838" t="s">
        <v>522</v>
      </c>
      <c r="CC1838" t="s">
        <v>136</v>
      </c>
      <c r="CD1838">
        <v>3201</v>
      </c>
      <c r="CE1838" t="s">
        <v>1868</v>
      </c>
      <c r="CF1838" s="3">
        <v>45853</v>
      </c>
      <c r="CI1838">
        <v>1</v>
      </c>
      <c r="CJ1838">
        <v>1</v>
      </c>
      <c r="CK1838">
        <v>21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"080066543704"</f>
        <v>080066543704</v>
      </c>
      <c r="F1839" s="3">
        <v>45852</v>
      </c>
      <c r="G1839">
        <v>202604</v>
      </c>
      <c r="H1839" t="s">
        <v>75</v>
      </c>
      <c r="I1839" t="s">
        <v>76</v>
      </c>
      <c r="J1839" t="s">
        <v>77</v>
      </c>
      <c r="K1839" t="s">
        <v>78</v>
      </c>
      <c r="L1839" t="s">
        <v>554</v>
      </c>
      <c r="M1839" t="s">
        <v>555</v>
      </c>
      <c r="N1839" t="s">
        <v>2395</v>
      </c>
      <c r="O1839" t="s">
        <v>82</v>
      </c>
      <c r="P1839" t="str">
        <f>"4170048561                    "</f>
        <v xml:space="preserve">4170048561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22.6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71.2</v>
      </c>
      <c r="BM1839">
        <v>10.68</v>
      </c>
      <c r="BN1839">
        <v>81.88</v>
      </c>
      <c r="BO1839">
        <v>81.88</v>
      </c>
      <c r="BQ1839" t="s">
        <v>2396</v>
      </c>
      <c r="BR1839" t="s">
        <v>84</v>
      </c>
      <c r="BS1839" s="3">
        <v>45853</v>
      </c>
      <c r="BT1839" s="4">
        <v>0.37569444444444444</v>
      </c>
      <c r="BU1839" t="s">
        <v>348</v>
      </c>
      <c r="BV1839" t="s">
        <v>98</v>
      </c>
      <c r="BY1839">
        <v>1200</v>
      </c>
      <c r="BZ1839" t="s">
        <v>89</v>
      </c>
      <c r="CA1839" t="s">
        <v>156</v>
      </c>
      <c r="CC1839" t="s">
        <v>555</v>
      </c>
      <c r="CD1839" s="5" t="s">
        <v>560</v>
      </c>
      <c r="CE1839" t="s">
        <v>239</v>
      </c>
      <c r="CF1839" s="3">
        <v>45853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"080066543719"</f>
        <v>080066543719</v>
      </c>
      <c r="F1840" s="3">
        <v>45852</v>
      </c>
      <c r="G1840">
        <v>202604</v>
      </c>
      <c r="H1840" t="s">
        <v>75</v>
      </c>
      <c r="I1840" t="s">
        <v>76</v>
      </c>
      <c r="J1840" t="s">
        <v>77</v>
      </c>
      <c r="K1840" t="s">
        <v>78</v>
      </c>
      <c r="L1840" t="s">
        <v>92</v>
      </c>
      <c r="M1840" t="s">
        <v>93</v>
      </c>
      <c r="N1840" t="s">
        <v>1591</v>
      </c>
      <c r="O1840" t="s">
        <v>82</v>
      </c>
      <c r="P1840" t="str">
        <f>"4170048581                    "</f>
        <v xml:space="preserve">4170048581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22.6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0.3</v>
      </c>
      <c r="BK1840">
        <v>1</v>
      </c>
      <c r="BL1840">
        <v>71.2</v>
      </c>
      <c r="BM1840">
        <v>10.68</v>
      </c>
      <c r="BN1840">
        <v>81.88</v>
      </c>
      <c r="BO1840">
        <v>81.88</v>
      </c>
      <c r="BQ1840" t="s">
        <v>1592</v>
      </c>
      <c r="BR1840" t="s">
        <v>84</v>
      </c>
      <c r="BS1840" s="3">
        <v>45853</v>
      </c>
      <c r="BT1840" s="4">
        <v>0.42430555555555555</v>
      </c>
      <c r="BU1840" t="s">
        <v>2397</v>
      </c>
      <c r="BV1840" t="s">
        <v>98</v>
      </c>
      <c r="BY1840">
        <v>1350</v>
      </c>
      <c r="BZ1840" t="s">
        <v>89</v>
      </c>
      <c r="CA1840" t="s">
        <v>2398</v>
      </c>
      <c r="CC1840" t="s">
        <v>93</v>
      </c>
      <c r="CD1840">
        <v>4000</v>
      </c>
      <c r="CE1840" t="s">
        <v>1868</v>
      </c>
      <c r="CF1840" s="3">
        <v>45853</v>
      </c>
      <c r="CI1840">
        <v>1</v>
      </c>
      <c r="CJ1840">
        <v>1</v>
      </c>
      <c r="CK1840">
        <v>21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"080066543728"</f>
        <v>080066543728</v>
      </c>
      <c r="F1841" s="3">
        <v>45852</v>
      </c>
      <c r="G1841">
        <v>202604</v>
      </c>
      <c r="H1841" t="s">
        <v>75</v>
      </c>
      <c r="I1841" t="s">
        <v>76</v>
      </c>
      <c r="J1841" t="s">
        <v>77</v>
      </c>
      <c r="K1841" t="s">
        <v>78</v>
      </c>
      <c r="L1841" t="s">
        <v>79</v>
      </c>
      <c r="M1841" t="s">
        <v>80</v>
      </c>
      <c r="N1841" t="s">
        <v>1816</v>
      </c>
      <c r="O1841" t="s">
        <v>95</v>
      </c>
      <c r="P1841" t="str">
        <f>"4170048588                    "</f>
        <v xml:space="preserve">4170048588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101.44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39</v>
      </c>
      <c r="BJ1841">
        <v>46.6</v>
      </c>
      <c r="BK1841">
        <v>47</v>
      </c>
      <c r="BL1841">
        <v>325.45</v>
      </c>
      <c r="BM1841">
        <v>48.82</v>
      </c>
      <c r="BN1841">
        <v>374.27</v>
      </c>
      <c r="BO1841">
        <v>374.27</v>
      </c>
      <c r="BQ1841" t="s">
        <v>1817</v>
      </c>
      <c r="BR1841" t="s">
        <v>84</v>
      </c>
      <c r="BS1841" s="3">
        <v>45854</v>
      </c>
      <c r="BT1841" s="4">
        <v>0.45208333333333334</v>
      </c>
      <c r="BU1841" t="s">
        <v>2399</v>
      </c>
      <c r="BV1841" t="s">
        <v>98</v>
      </c>
      <c r="BY1841">
        <v>233120</v>
      </c>
      <c r="BZ1841" t="s">
        <v>99</v>
      </c>
      <c r="CA1841" t="s">
        <v>2121</v>
      </c>
      <c r="CC1841" t="s">
        <v>80</v>
      </c>
      <c r="CD1841">
        <v>7550</v>
      </c>
      <c r="CE1841" t="s">
        <v>2082</v>
      </c>
      <c r="CF1841" s="3">
        <v>45855</v>
      </c>
      <c r="CI1841">
        <v>3</v>
      </c>
      <c r="CJ1841">
        <v>2</v>
      </c>
      <c r="CK1841">
        <v>41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"080066543748"</f>
        <v>080066543748</v>
      </c>
      <c r="F1842" s="3">
        <v>45852</v>
      </c>
      <c r="G1842">
        <v>202604</v>
      </c>
      <c r="H1842" t="s">
        <v>75</v>
      </c>
      <c r="I1842" t="s">
        <v>76</v>
      </c>
      <c r="J1842" t="s">
        <v>77</v>
      </c>
      <c r="K1842" t="s">
        <v>78</v>
      </c>
      <c r="L1842" t="s">
        <v>79</v>
      </c>
      <c r="M1842" t="s">
        <v>80</v>
      </c>
      <c r="N1842" t="s">
        <v>2400</v>
      </c>
      <c r="O1842" t="s">
        <v>82</v>
      </c>
      <c r="P1842" t="str">
        <f>"4170048586                    "</f>
        <v xml:space="preserve">4170048586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22.6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0.3</v>
      </c>
      <c r="BK1842">
        <v>1</v>
      </c>
      <c r="BL1842">
        <v>71.2</v>
      </c>
      <c r="BM1842">
        <v>10.68</v>
      </c>
      <c r="BN1842">
        <v>81.88</v>
      </c>
      <c r="BO1842">
        <v>81.88</v>
      </c>
      <c r="BQ1842" t="s">
        <v>2401</v>
      </c>
      <c r="BR1842" t="s">
        <v>84</v>
      </c>
      <c r="BS1842" s="3">
        <v>45853</v>
      </c>
      <c r="BT1842" s="4">
        <v>0.40972222222222221</v>
      </c>
      <c r="BU1842" t="s">
        <v>2402</v>
      </c>
      <c r="BV1842" t="s">
        <v>98</v>
      </c>
      <c r="BY1842">
        <v>1350</v>
      </c>
      <c r="BZ1842" t="s">
        <v>89</v>
      </c>
      <c r="CA1842" t="s">
        <v>162</v>
      </c>
      <c r="CC1842" t="s">
        <v>80</v>
      </c>
      <c r="CD1842">
        <v>8001</v>
      </c>
      <c r="CE1842" t="s">
        <v>1868</v>
      </c>
      <c r="CF1842" s="3">
        <v>45854</v>
      </c>
      <c r="CI1842">
        <v>1</v>
      </c>
      <c r="CJ1842">
        <v>1</v>
      </c>
      <c r="CK1842">
        <v>21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"080066543831"</f>
        <v>080066543831</v>
      </c>
      <c r="F1843" s="3">
        <v>45852</v>
      </c>
      <c r="G1843">
        <v>202604</v>
      </c>
      <c r="H1843" t="s">
        <v>75</v>
      </c>
      <c r="I1843" t="s">
        <v>76</v>
      </c>
      <c r="J1843" t="s">
        <v>77</v>
      </c>
      <c r="K1843" t="s">
        <v>78</v>
      </c>
      <c r="L1843" t="s">
        <v>79</v>
      </c>
      <c r="M1843" t="s">
        <v>80</v>
      </c>
      <c r="N1843" t="s">
        <v>1816</v>
      </c>
      <c r="O1843" t="s">
        <v>95</v>
      </c>
      <c r="P1843" t="str">
        <f>"4170048589                    "</f>
        <v xml:space="preserve">4170048589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135.71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66</v>
      </c>
      <c r="BJ1843">
        <v>46.6</v>
      </c>
      <c r="BK1843">
        <v>66</v>
      </c>
      <c r="BL1843">
        <v>433.44</v>
      </c>
      <c r="BM1843">
        <v>65.02</v>
      </c>
      <c r="BN1843">
        <v>498.46</v>
      </c>
      <c r="BO1843">
        <v>498.46</v>
      </c>
      <c r="BQ1843" t="s">
        <v>1817</v>
      </c>
      <c r="BR1843" t="s">
        <v>84</v>
      </c>
      <c r="BS1843" s="3">
        <v>45854</v>
      </c>
      <c r="BT1843" s="4">
        <v>0.45208333333333334</v>
      </c>
      <c r="BU1843" t="s">
        <v>2399</v>
      </c>
      <c r="BV1843" t="s">
        <v>98</v>
      </c>
      <c r="BY1843">
        <v>233120</v>
      </c>
      <c r="BZ1843" t="s">
        <v>99</v>
      </c>
      <c r="CA1843" t="s">
        <v>2121</v>
      </c>
      <c r="CC1843" t="s">
        <v>80</v>
      </c>
      <c r="CD1843">
        <v>7550</v>
      </c>
      <c r="CE1843" t="s">
        <v>2082</v>
      </c>
      <c r="CF1843" s="3">
        <v>45855</v>
      </c>
      <c r="CI1843">
        <v>3</v>
      </c>
      <c r="CJ1843">
        <v>2</v>
      </c>
      <c r="CK1843">
        <v>41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"080066543861"</f>
        <v>080066543861</v>
      </c>
      <c r="F1844" s="3">
        <v>45852</v>
      </c>
      <c r="G1844">
        <v>202604</v>
      </c>
      <c r="H1844" t="s">
        <v>75</v>
      </c>
      <c r="I1844" t="s">
        <v>76</v>
      </c>
      <c r="J1844" t="s">
        <v>77</v>
      </c>
      <c r="K1844" t="s">
        <v>78</v>
      </c>
      <c r="L1844" t="s">
        <v>168</v>
      </c>
      <c r="M1844" t="s">
        <v>169</v>
      </c>
      <c r="N1844" t="s">
        <v>191</v>
      </c>
      <c r="O1844" t="s">
        <v>82</v>
      </c>
      <c r="P1844" t="str">
        <f>"4170048463                    "</f>
        <v xml:space="preserve">4170048463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22.6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71.2</v>
      </c>
      <c r="BM1844">
        <v>10.68</v>
      </c>
      <c r="BN1844">
        <v>81.88</v>
      </c>
      <c r="BO1844">
        <v>81.88</v>
      </c>
      <c r="BQ1844" t="s">
        <v>192</v>
      </c>
      <c r="BR1844" t="s">
        <v>84</v>
      </c>
      <c r="BS1844" s="3">
        <v>45853</v>
      </c>
      <c r="BT1844" s="4">
        <v>0.39097222222222222</v>
      </c>
      <c r="BU1844" t="s">
        <v>193</v>
      </c>
      <c r="BV1844" t="s">
        <v>98</v>
      </c>
      <c r="BY1844">
        <v>1200</v>
      </c>
      <c r="BZ1844" t="s">
        <v>89</v>
      </c>
      <c r="CA1844" t="s">
        <v>196</v>
      </c>
      <c r="CC1844" t="s">
        <v>169</v>
      </c>
      <c r="CD1844">
        <v>6056</v>
      </c>
      <c r="CE1844" t="s">
        <v>239</v>
      </c>
      <c r="CF1844" s="3">
        <v>45853</v>
      </c>
      <c r="CI1844">
        <v>1</v>
      </c>
      <c r="CJ1844">
        <v>1</v>
      </c>
      <c r="CK1844">
        <v>21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"080066543886"</f>
        <v>080066543886</v>
      </c>
      <c r="F1845" s="3">
        <v>45852</v>
      </c>
      <c r="G1845">
        <v>202604</v>
      </c>
      <c r="H1845" t="s">
        <v>75</v>
      </c>
      <c r="I1845" t="s">
        <v>76</v>
      </c>
      <c r="J1845" t="s">
        <v>77</v>
      </c>
      <c r="K1845" t="s">
        <v>78</v>
      </c>
      <c r="L1845" t="s">
        <v>151</v>
      </c>
      <c r="M1845" t="s">
        <v>152</v>
      </c>
      <c r="N1845" t="s">
        <v>510</v>
      </c>
      <c r="O1845" t="s">
        <v>82</v>
      </c>
      <c r="P1845" t="str">
        <f>"4170048577                    "</f>
        <v xml:space="preserve">4170048577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22.6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71.2</v>
      </c>
      <c r="BM1845">
        <v>10.68</v>
      </c>
      <c r="BN1845">
        <v>81.88</v>
      </c>
      <c r="BO1845">
        <v>81.88</v>
      </c>
      <c r="BQ1845" t="s">
        <v>511</v>
      </c>
      <c r="BR1845" t="s">
        <v>84</v>
      </c>
      <c r="BS1845" s="3">
        <v>45853</v>
      </c>
      <c r="BT1845" s="4">
        <v>0.40972222222222221</v>
      </c>
      <c r="BU1845" t="s">
        <v>2403</v>
      </c>
      <c r="BV1845" t="s">
        <v>98</v>
      </c>
      <c r="BY1845">
        <v>1200</v>
      </c>
      <c r="BZ1845" t="s">
        <v>89</v>
      </c>
      <c r="CA1845" t="s">
        <v>2404</v>
      </c>
      <c r="CC1845" t="s">
        <v>152</v>
      </c>
      <c r="CD1845" s="5" t="s">
        <v>389</v>
      </c>
      <c r="CE1845" t="s">
        <v>239</v>
      </c>
      <c r="CF1845" s="3">
        <v>45853</v>
      </c>
      <c r="CI1845">
        <v>1</v>
      </c>
      <c r="CJ1845">
        <v>1</v>
      </c>
      <c r="CK1845">
        <v>21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"080066543918"</f>
        <v>080066543918</v>
      </c>
      <c r="F1846" s="3">
        <v>45852</v>
      </c>
      <c r="G1846">
        <v>202604</v>
      </c>
      <c r="H1846" t="s">
        <v>75</v>
      </c>
      <c r="I1846" t="s">
        <v>76</v>
      </c>
      <c r="J1846" t="s">
        <v>77</v>
      </c>
      <c r="K1846" t="s">
        <v>78</v>
      </c>
      <c r="L1846" t="s">
        <v>122</v>
      </c>
      <c r="M1846" t="s">
        <v>123</v>
      </c>
      <c r="N1846" t="s">
        <v>2405</v>
      </c>
      <c r="O1846" t="s">
        <v>82</v>
      </c>
      <c r="P1846" t="str">
        <f>"4170048569                    "</f>
        <v xml:space="preserve">4170048569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22.6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71.2</v>
      </c>
      <c r="BM1846">
        <v>10.68</v>
      </c>
      <c r="BN1846">
        <v>81.88</v>
      </c>
      <c r="BO1846">
        <v>81.88</v>
      </c>
      <c r="BQ1846" t="s">
        <v>2406</v>
      </c>
      <c r="BR1846" t="s">
        <v>84</v>
      </c>
      <c r="BS1846" s="3">
        <v>45853</v>
      </c>
      <c r="BT1846" s="4">
        <v>0.43958333333333333</v>
      </c>
      <c r="BU1846" t="s">
        <v>2407</v>
      </c>
      <c r="BV1846" t="s">
        <v>98</v>
      </c>
      <c r="BY1846">
        <v>1200</v>
      </c>
      <c r="BZ1846" t="s">
        <v>89</v>
      </c>
      <c r="CA1846" t="s">
        <v>166</v>
      </c>
      <c r="CC1846" t="s">
        <v>123</v>
      </c>
      <c r="CD1846">
        <v>3610</v>
      </c>
      <c r="CE1846" t="s">
        <v>121</v>
      </c>
      <c r="CF1846" s="3">
        <v>45853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"080066543945"</f>
        <v>080066543945</v>
      </c>
      <c r="F1847" s="3">
        <v>45852</v>
      </c>
      <c r="G1847">
        <v>202604</v>
      </c>
      <c r="H1847" t="s">
        <v>75</v>
      </c>
      <c r="I1847" t="s">
        <v>76</v>
      </c>
      <c r="J1847" t="s">
        <v>77</v>
      </c>
      <c r="K1847" t="s">
        <v>78</v>
      </c>
      <c r="L1847" t="s">
        <v>305</v>
      </c>
      <c r="M1847" t="s">
        <v>306</v>
      </c>
      <c r="N1847" t="s">
        <v>1320</v>
      </c>
      <c r="O1847" t="s">
        <v>82</v>
      </c>
      <c r="P1847" t="str">
        <f>"4170048554                    "</f>
        <v xml:space="preserve">4170048554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22.6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71.2</v>
      </c>
      <c r="BM1847">
        <v>10.68</v>
      </c>
      <c r="BN1847">
        <v>81.88</v>
      </c>
      <c r="BO1847">
        <v>81.88</v>
      </c>
      <c r="BQ1847" t="s">
        <v>308</v>
      </c>
      <c r="BR1847" t="s">
        <v>84</v>
      </c>
      <c r="BS1847" s="3">
        <v>45853</v>
      </c>
      <c r="BT1847" s="4">
        <v>0.45277777777777778</v>
      </c>
      <c r="BU1847" t="s">
        <v>1378</v>
      </c>
      <c r="BV1847" t="s">
        <v>86</v>
      </c>
      <c r="BY1847">
        <v>1200</v>
      </c>
      <c r="BZ1847" t="s">
        <v>89</v>
      </c>
      <c r="CA1847" t="s">
        <v>310</v>
      </c>
      <c r="CC1847" t="s">
        <v>306</v>
      </c>
      <c r="CD1847">
        <v>5201</v>
      </c>
      <c r="CE1847" t="s">
        <v>239</v>
      </c>
      <c r="CF1847" s="3">
        <v>45853</v>
      </c>
      <c r="CI1847">
        <v>1</v>
      </c>
      <c r="CJ1847">
        <v>1</v>
      </c>
      <c r="CK1847">
        <v>21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"080066544065"</f>
        <v>080066544065</v>
      </c>
      <c r="F1848" s="3">
        <v>45852</v>
      </c>
      <c r="G1848">
        <v>202604</v>
      </c>
      <c r="H1848" t="s">
        <v>75</v>
      </c>
      <c r="I1848" t="s">
        <v>76</v>
      </c>
      <c r="J1848" t="s">
        <v>77</v>
      </c>
      <c r="K1848" t="s">
        <v>78</v>
      </c>
      <c r="L1848" t="s">
        <v>122</v>
      </c>
      <c r="M1848" t="s">
        <v>123</v>
      </c>
      <c r="N1848" t="s">
        <v>1142</v>
      </c>
      <c r="O1848" t="s">
        <v>82</v>
      </c>
      <c r="P1848" t="str">
        <f>"4170048559                    "</f>
        <v xml:space="preserve">4170048559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67.760000000000005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4</v>
      </c>
      <c r="BJ1848">
        <v>5.9</v>
      </c>
      <c r="BK1848">
        <v>6</v>
      </c>
      <c r="BL1848">
        <v>213.48</v>
      </c>
      <c r="BM1848">
        <v>32.020000000000003</v>
      </c>
      <c r="BN1848">
        <v>245.5</v>
      </c>
      <c r="BO1848">
        <v>245.5</v>
      </c>
      <c r="BQ1848" t="s">
        <v>1143</v>
      </c>
      <c r="BR1848" t="s">
        <v>84</v>
      </c>
      <c r="BS1848" s="3">
        <v>45853</v>
      </c>
      <c r="BT1848" s="4">
        <v>0.42499999999999999</v>
      </c>
      <c r="BU1848" t="s">
        <v>2408</v>
      </c>
      <c r="BV1848" t="s">
        <v>98</v>
      </c>
      <c r="BY1848">
        <v>29250</v>
      </c>
      <c r="BZ1848" t="s">
        <v>89</v>
      </c>
      <c r="CA1848" t="s">
        <v>166</v>
      </c>
      <c r="CC1848" t="s">
        <v>123</v>
      </c>
      <c r="CD1848">
        <v>3620</v>
      </c>
      <c r="CE1848" t="s">
        <v>91</v>
      </c>
      <c r="CF1848" s="3">
        <v>45853</v>
      </c>
      <c r="CI1848">
        <v>1</v>
      </c>
      <c r="CJ1848">
        <v>1</v>
      </c>
      <c r="CK1848">
        <v>21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"080066544203"</f>
        <v>080066544203</v>
      </c>
      <c r="F1849" s="3">
        <v>45852</v>
      </c>
      <c r="G1849">
        <v>202604</v>
      </c>
      <c r="H1849" t="s">
        <v>75</v>
      </c>
      <c r="I1849" t="s">
        <v>76</v>
      </c>
      <c r="J1849" t="s">
        <v>77</v>
      </c>
      <c r="K1849" t="s">
        <v>78</v>
      </c>
      <c r="L1849" t="s">
        <v>135</v>
      </c>
      <c r="M1849" t="s">
        <v>136</v>
      </c>
      <c r="N1849" t="s">
        <v>416</v>
      </c>
      <c r="O1849" t="s">
        <v>82</v>
      </c>
      <c r="P1849" t="str">
        <f>"4170048544                    "</f>
        <v xml:space="preserve">4170048544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22.6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1.1000000000000001</v>
      </c>
      <c r="BK1849">
        <v>2</v>
      </c>
      <c r="BL1849">
        <v>71.2</v>
      </c>
      <c r="BM1849">
        <v>10.68</v>
      </c>
      <c r="BN1849">
        <v>81.88</v>
      </c>
      <c r="BO1849">
        <v>81.88</v>
      </c>
      <c r="BQ1849" t="s">
        <v>417</v>
      </c>
      <c r="BR1849" t="s">
        <v>84</v>
      </c>
      <c r="BS1849" s="3">
        <v>45853</v>
      </c>
      <c r="BT1849" s="4">
        <v>0.41666666666666669</v>
      </c>
      <c r="BU1849" t="s">
        <v>2317</v>
      </c>
      <c r="BV1849" t="s">
        <v>98</v>
      </c>
      <c r="BY1849">
        <v>5320</v>
      </c>
      <c r="BZ1849" t="s">
        <v>89</v>
      </c>
      <c r="CA1849" t="s">
        <v>522</v>
      </c>
      <c r="CC1849" t="s">
        <v>136</v>
      </c>
      <c r="CD1849">
        <v>3201</v>
      </c>
      <c r="CE1849" t="s">
        <v>117</v>
      </c>
      <c r="CF1849" s="3">
        <v>45853</v>
      </c>
      <c r="CI1849">
        <v>1</v>
      </c>
      <c r="CJ1849">
        <v>1</v>
      </c>
      <c r="CK1849">
        <v>21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"080066544233"</f>
        <v>080066544233</v>
      </c>
      <c r="F1850" s="3">
        <v>45852</v>
      </c>
      <c r="G1850">
        <v>202604</v>
      </c>
      <c r="H1850" t="s">
        <v>75</v>
      </c>
      <c r="I1850" t="s">
        <v>76</v>
      </c>
      <c r="J1850" t="s">
        <v>77</v>
      </c>
      <c r="K1850" t="s">
        <v>78</v>
      </c>
      <c r="L1850" t="s">
        <v>277</v>
      </c>
      <c r="M1850" t="s">
        <v>278</v>
      </c>
      <c r="N1850" t="s">
        <v>462</v>
      </c>
      <c r="O1850" t="s">
        <v>82</v>
      </c>
      <c r="P1850" t="str">
        <f>"4170048532                    "</f>
        <v xml:space="preserve">4170048532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22.6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71.2</v>
      </c>
      <c r="BM1850">
        <v>10.68</v>
      </c>
      <c r="BN1850">
        <v>81.88</v>
      </c>
      <c r="BO1850">
        <v>81.88</v>
      </c>
      <c r="BQ1850" t="s">
        <v>463</v>
      </c>
      <c r="BR1850" t="s">
        <v>84</v>
      </c>
      <c r="BS1850" s="3">
        <v>45853</v>
      </c>
      <c r="BT1850" s="4">
        <v>0.34791666666666665</v>
      </c>
      <c r="BU1850" t="s">
        <v>2140</v>
      </c>
      <c r="BV1850" t="s">
        <v>98</v>
      </c>
      <c r="BY1850">
        <v>1200</v>
      </c>
      <c r="BZ1850" t="s">
        <v>89</v>
      </c>
      <c r="CA1850" t="s">
        <v>282</v>
      </c>
      <c r="CC1850" t="s">
        <v>278</v>
      </c>
      <c r="CD1850">
        <v>6229</v>
      </c>
      <c r="CE1850" t="s">
        <v>239</v>
      </c>
      <c r="CF1850" s="3">
        <v>45853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"080066544313"</f>
        <v>080066544313</v>
      </c>
      <c r="F1851" s="3">
        <v>45852</v>
      </c>
      <c r="G1851">
        <v>202604</v>
      </c>
      <c r="H1851" t="s">
        <v>75</v>
      </c>
      <c r="I1851" t="s">
        <v>76</v>
      </c>
      <c r="J1851" t="s">
        <v>77</v>
      </c>
      <c r="K1851" t="s">
        <v>78</v>
      </c>
      <c r="L1851" t="s">
        <v>79</v>
      </c>
      <c r="M1851" t="s">
        <v>80</v>
      </c>
      <c r="N1851" t="s">
        <v>1816</v>
      </c>
      <c r="O1851" t="s">
        <v>95</v>
      </c>
      <c r="P1851" t="str">
        <f>"4170048590                    "</f>
        <v xml:space="preserve">4170048590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101.44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39</v>
      </c>
      <c r="BJ1851">
        <v>46.6</v>
      </c>
      <c r="BK1851">
        <v>47</v>
      </c>
      <c r="BL1851">
        <v>325.45</v>
      </c>
      <c r="BM1851">
        <v>48.82</v>
      </c>
      <c r="BN1851">
        <v>374.27</v>
      </c>
      <c r="BO1851">
        <v>374.27</v>
      </c>
      <c r="BQ1851" t="s">
        <v>1817</v>
      </c>
      <c r="BR1851" t="s">
        <v>84</v>
      </c>
      <c r="BS1851" s="3">
        <v>45854</v>
      </c>
      <c r="BT1851" s="4">
        <v>0.45208333333333334</v>
      </c>
      <c r="BU1851" t="s">
        <v>2399</v>
      </c>
      <c r="BV1851" t="s">
        <v>98</v>
      </c>
      <c r="BY1851">
        <v>233120</v>
      </c>
      <c r="BZ1851" t="s">
        <v>99</v>
      </c>
      <c r="CA1851" t="s">
        <v>2121</v>
      </c>
      <c r="CC1851" t="s">
        <v>80</v>
      </c>
      <c r="CD1851">
        <v>7550</v>
      </c>
      <c r="CE1851" t="s">
        <v>2082</v>
      </c>
      <c r="CF1851" s="3">
        <v>45855</v>
      </c>
      <c r="CI1851">
        <v>3</v>
      </c>
      <c r="CJ1851">
        <v>2</v>
      </c>
      <c r="CK1851">
        <v>41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"080066544333"</f>
        <v>080066544333</v>
      </c>
      <c r="F1852" s="3">
        <v>45852</v>
      </c>
      <c r="G1852">
        <v>202604</v>
      </c>
      <c r="H1852" t="s">
        <v>75</v>
      </c>
      <c r="I1852" t="s">
        <v>76</v>
      </c>
      <c r="J1852" t="s">
        <v>77</v>
      </c>
      <c r="K1852" t="s">
        <v>78</v>
      </c>
      <c r="L1852" t="s">
        <v>221</v>
      </c>
      <c r="M1852" t="s">
        <v>222</v>
      </c>
      <c r="N1852" t="s">
        <v>223</v>
      </c>
      <c r="O1852" t="s">
        <v>82</v>
      </c>
      <c r="P1852" t="str">
        <f>"4170048567                    "</f>
        <v xml:space="preserve">4170048567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43.78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2</v>
      </c>
      <c r="BJ1852">
        <v>1.1000000000000001</v>
      </c>
      <c r="BK1852">
        <v>2</v>
      </c>
      <c r="BL1852">
        <v>137.94</v>
      </c>
      <c r="BM1852">
        <v>20.69</v>
      </c>
      <c r="BN1852">
        <v>158.63</v>
      </c>
      <c r="BO1852">
        <v>158.63</v>
      </c>
      <c r="BQ1852" t="s">
        <v>224</v>
      </c>
      <c r="BR1852" t="s">
        <v>84</v>
      </c>
      <c r="BS1852" s="3">
        <v>45853</v>
      </c>
      <c r="BT1852" s="4">
        <v>0.3611111111111111</v>
      </c>
      <c r="BU1852" t="s">
        <v>1707</v>
      </c>
      <c r="BV1852" t="s">
        <v>98</v>
      </c>
      <c r="BY1852">
        <v>5320</v>
      </c>
      <c r="BZ1852" t="s">
        <v>89</v>
      </c>
      <c r="CC1852" t="s">
        <v>222</v>
      </c>
      <c r="CD1852">
        <v>2740</v>
      </c>
      <c r="CE1852" t="s">
        <v>117</v>
      </c>
      <c r="CF1852" s="3">
        <v>45854</v>
      </c>
      <c r="CI1852">
        <v>1</v>
      </c>
      <c r="CJ1852">
        <v>1</v>
      </c>
      <c r="CK1852">
        <v>23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"080066544372"</f>
        <v>080066544372</v>
      </c>
      <c r="F1853" s="3">
        <v>45852</v>
      </c>
      <c r="G1853">
        <v>202604</v>
      </c>
      <c r="H1853" t="s">
        <v>75</v>
      </c>
      <c r="I1853" t="s">
        <v>76</v>
      </c>
      <c r="J1853" t="s">
        <v>77</v>
      </c>
      <c r="K1853" t="s">
        <v>78</v>
      </c>
      <c r="L1853" t="s">
        <v>168</v>
      </c>
      <c r="M1853" t="s">
        <v>169</v>
      </c>
      <c r="N1853" t="s">
        <v>170</v>
      </c>
      <c r="O1853" t="s">
        <v>95</v>
      </c>
      <c r="P1853" t="str">
        <f>"4170048603                    "</f>
        <v xml:space="preserve">4170048603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168.19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84</v>
      </c>
      <c r="BJ1853">
        <v>60.5</v>
      </c>
      <c r="BK1853">
        <v>84</v>
      </c>
      <c r="BL1853">
        <v>535.76</v>
      </c>
      <c r="BM1853">
        <v>80.36</v>
      </c>
      <c r="BN1853">
        <v>616.12</v>
      </c>
      <c r="BO1853">
        <v>616.12</v>
      </c>
      <c r="BQ1853" t="s">
        <v>171</v>
      </c>
      <c r="BR1853" t="s">
        <v>84</v>
      </c>
      <c r="BS1853" s="3">
        <v>45854</v>
      </c>
      <c r="BT1853" s="4">
        <v>0.40277777777777779</v>
      </c>
      <c r="BU1853" t="s">
        <v>2409</v>
      </c>
      <c r="BV1853" t="s">
        <v>98</v>
      </c>
      <c r="BY1853">
        <v>302560</v>
      </c>
      <c r="BZ1853" t="s">
        <v>99</v>
      </c>
      <c r="CA1853" t="s">
        <v>415</v>
      </c>
      <c r="CC1853" t="s">
        <v>169</v>
      </c>
      <c r="CD1853">
        <v>6001</v>
      </c>
      <c r="CE1853" t="s">
        <v>2082</v>
      </c>
      <c r="CF1853" s="3">
        <v>45854</v>
      </c>
      <c r="CI1853">
        <v>3</v>
      </c>
      <c r="CJ1853">
        <v>2</v>
      </c>
      <c r="CK1853">
        <v>41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"080066545233"</f>
        <v>080066545233</v>
      </c>
      <c r="F1854" s="3">
        <v>45852</v>
      </c>
      <c r="G1854">
        <v>202604</v>
      </c>
      <c r="H1854" t="s">
        <v>75</v>
      </c>
      <c r="I1854" t="s">
        <v>76</v>
      </c>
      <c r="J1854" t="s">
        <v>77</v>
      </c>
      <c r="K1854" t="s">
        <v>78</v>
      </c>
      <c r="L1854" t="s">
        <v>168</v>
      </c>
      <c r="M1854" t="s">
        <v>169</v>
      </c>
      <c r="N1854" t="s">
        <v>1252</v>
      </c>
      <c r="O1854" t="s">
        <v>82</v>
      </c>
      <c r="P1854" t="str">
        <f>"4170048629                    "</f>
        <v xml:space="preserve">4170048629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22.6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1.9</v>
      </c>
      <c r="BK1854">
        <v>2</v>
      </c>
      <c r="BL1854">
        <v>71.2</v>
      </c>
      <c r="BM1854">
        <v>10.68</v>
      </c>
      <c r="BN1854">
        <v>81.88</v>
      </c>
      <c r="BO1854">
        <v>81.88</v>
      </c>
      <c r="BQ1854" t="s">
        <v>1545</v>
      </c>
      <c r="BR1854" t="s">
        <v>84</v>
      </c>
      <c r="BS1854" s="3">
        <v>45853</v>
      </c>
      <c r="BT1854" s="4">
        <v>0.34652777777777777</v>
      </c>
      <c r="BU1854" t="s">
        <v>1546</v>
      </c>
      <c r="BV1854" t="s">
        <v>98</v>
      </c>
      <c r="BY1854">
        <v>9600</v>
      </c>
      <c r="BZ1854" t="s">
        <v>89</v>
      </c>
      <c r="CA1854" t="s">
        <v>423</v>
      </c>
      <c r="CC1854" t="s">
        <v>169</v>
      </c>
      <c r="CD1854">
        <v>6045</v>
      </c>
      <c r="CE1854" t="s">
        <v>117</v>
      </c>
      <c r="CF1854" s="3">
        <v>45853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"080066545260"</f>
        <v>080066545260</v>
      </c>
      <c r="F1855" s="3">
        <v>45852</v>
      </c>
      <c r="G1855">
        <v>202604</v>
      </c>
      <c r="H1855" t="s">
        <v>75</v>
      </c>
      <c r="I1855" t="s">
        <v>76</v>
      </c>
      <c r="J1855" t="s">
        <v>77</v>
      </c>
      <c r="K1855" t="s">
        <v>78</v>
      </c>
      <c r="L1855" t="s">
        <v>168</v>
      </c>
      <c r="M1855" t="s">
        <v>169</v>
      </c>
      <c r="N1855" t="s">
        <v>420</v>
      </c>
      <c r="O1855" t="s">
        <v>82</v>
      </c>
      <c r="P1855" t="str">
        <f>"4170048597                    "</f>
        <v xml:space="preserve">4170048597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22.6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1.3</v>
      </c>
      <c r="BK1855">
        <v>1.5</v>
      </c>
      <c r="BL1855">
        <v>71.2</v>
      </c>
      <c r="BM1855">
        <v>10.68</v>
      </c>
      <c r="BN1855">
        <v>81.88</v>
      </c>
      <c r="BO1855">
        <v>81.88</v>
      </c>
      <c r="BQ1855" t="s">
        <v>421</v>
      </c>
      <c r="BR1855" t="s">
        <v>84</v>
      </c>
      <c r="BS1855" s="3">
        <v>45853</v>
      </c>
      <c r="BT1855" s="4">
        <v>0.40208333333333335</v>
      </c>
      <c r="BU1855" t="s">
        <v>422</v>
      </c>
      <c r="BV1855" t="s">
        <v>98</v>
      </c>
      <c r="BY1855">
        <v>6384</v>
      </c>
      <c r="BZ1855" t="s">
        <v>89</v>
      </c>
      <c r="CA1855" t="s">
        <v>423</v>
      </c>
      <c r="CC1855" t="s">
        <v>169</v>
      </c>
      <c r="CD1855">
        <v>6001</v>
      </c>
      <c r="CE1855" t="s">
        <v>117</v>
      </c>
      <c r="CF1855" s="3">
        <v>45853</v>
      </c>
      <c r="CI1855">
        <v>1</v>
      </c>
      <c r="CJ1855">
        <v>1</v>
      </c>
      <c r="CK1855">
        <v>21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"080066545337"</f>
        <v>080066545337</v>
      </c>
      <c r="F1856" s="3">
        <v>45852</v>
      </c>
      <c r="G1856">
        <v>202604</v>
      </c>
      <c r="H1856" t="s">
        <v>75</v>
      </c>
      <c r="I1856" t="s">
        <v>76</v>
      </c>
      <c r="J1856" t="s">
        <v>77</v>
      </c>
      <c r="K1856" t="s">
        <v>78</v>
      </c>
      <c r="L1856" t="s">
        <v>1861</v>
      </c>
      <c r="M1856" t="s">
        <v>1862</v>
      </c>
      <c r="N1856" t="s">
        <v>1863</v>
      </c>
      <c r="O1856" t="s">
        <v>82</v>
      </c>
      <c r="P1856" t="str">
        <f>"4170048593                    "</f>
        <v xml:space="preserve">4170048593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43.78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1.3</v>
      </c>
      <c r="BK1856">
        <v>1.5</v>
      </c>
      <c r="BL1856">
        <v>137.94</v>
      </c>
      <c r="BM1856">
        <v>20.69</v>
      </c>
      <c r="BN1856">
        <v>158.63</v>
      </c>
      <c r="BO1856">
        <v>158.63</v>
      </c>
      <c r="BQ1856" t="s">
        <v>1864</v>
      </c>
      <c r="BR1856" t="s">
        <v>84</v>
      </c>
      <c r="BS1856" s="3">
        <v>45853</v>
      </c>
      <c r="BT1856" s="4">
        <v>0.55625000000000002</v>
      </c>
      <c r="BU1856" t="s">
        <v>2410</v>
      </c>
      <c r="BV1856" t="s">
        <v>98</v>
      </c>
      <c r="BY1856">
        <v>6384</v>
      </c>
      <c r="BZ1856" t="s">
        <v>89</v>
      </c>
      <c r="CA1856" t="s">
        <v>1866</v>
      </c>
      <c r="CC1856" t="s">
        <v>1862</v>
      </c>
      <c r="CD1856">
        <v>6500</v>
      </c>
      <c r="CE1856" t="s">
        <v>117</v>
      </c>
      <c r="CF1856" s="3">
        <v>45853</v>
      </c>
      <c r="CI1856">
        <v>1</v>
      </c>
      <c r="CJ1856">
        <v>1</v>
      </c>
      <c r="CK1856">
        <v>23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"080066545464"</f>
        <v>080066545464</v>
      </c>
      <c r="F1857" s="3">
        <v>45852</v>
      </c>
      <c r="G1857">
        <v>202604</v>
      </c>
      <c r="H1857" t="s">
        <v>75</v>
      </c>
      <c r="I1857" t="s">
        <v>76</v>
      </c>
      <c r="J1857" t="s">
        <v>77</v>
      </c>
      <c r="K1857" t="s">
        <v>78</v>
      </c>
      <c r="L1857" t="s">
        <v>398</v>
      </c>
      <c r="M1857" t="s">
        <v>399</v>
      </c>
      <c r="N1857" t="s">
        <v>2411</v>
      </c>
      <c r="O1857" t="s">
        <v>82</v>
      </c>
      <c r="P1857" t="str">
        <f>"4170048614                    "</f>
        <v xml:space="preserve">4170048614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17.649999999999999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55.61</v>
      </c>
      <c r="BM1857">
        <v>8.34</v>
      </c>
      <c r="BN1857">
        <v>63.95</v>
      </c>
      <c r="BO1857">
        <v>63.95</v>
      </c>
      <c r="BQ1857" t="s">
        <v>2412</v>
      </c>
      <c r="BR1857" t="s">
        <v>84</v>
      </c>
      <c r="BS1857" s="3">
        <v>45853</v>
      </c>
      <c r="BT1857" s="4">
        <v>0.37916666666666665</v>
      </c>
      <c r="BU1857" t="s">
        <v>1865</v>
      </c>
      <c r="BV1857" t="s">
        <v>98</v>
      </c>
      <c r="BY1857">
        <v>1200</v>
      </c>
      <c r="BZ1857" t="s">
        <v>89</v>
      </c>
      <c r="CA1857" t="s">
        <v>1183</v>
      </c>
      <c r="CC1857" t="s">
        <v>399</v>
      </c>
      <c r="CD1857">
        <v>1500</v>
      </c>
      <c r="CE1857" t="s">
        <v>239</v>
      </c>
      <c r="CF1857" s="3">
        <v>45854</v>
      </c>
      <c r="CI1857">
        <v>1</v>
      </c>
      <c r="CJ1857">
        <v>1</v>
      </c>
      <c r="CK1857">
        <v>22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"080066545512"</f>
        <v>080066545512</v>
      </c>
      <c r="F1858" s="3">
        <v>45852</v>
      </c>
      <c r="G1858">
        <v>202604</v>
      </c>
      <c r="H1858" t="s">
        <v>75</v>
      </c>
      <c r="I1858" t="s">
        <v>76</v>
      </c>
      <c r="J1858" t="s">
        <v>77</v>
      </c>
      <c r="K1858" t="s">
        <v>78</v>
      </c>
      <c r="L1858" t="s">
        <v>75</v>
      </c>
      <c r="M1858" t="s">
        <v>76</v>
      </c>
      <c r="N1858" t="s">
        <v>118</v>
      </c>
      <c r="O1858" t="s">
        <v>95</v>
      </c>
      <c r="P1858" t="str">
        <f>"4170048565                    "</f>
        <v xml:space="preserve">4170048565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36.68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6</v>
      </c>
      <c r="BJ1858">
        <v>17.7</v>
      </c>
      <c r="BK1858">
        <v>18</v>
      </c>
      <c r="BL1858">
        <v>121.43</v>
      </c>
      <c r="BM1858">
        <v>18.21</v>
      </c>
      <c r="BN1858">
        <v>139.63999999999999</v>
      </c>
      <c r="BO1858">
        <v>139.63999999999999</v>
      </c>
      <c r="BQ1858" t="s">
        <v>119</v>
      </c>
      <c r="BR1858" t="s">
        <v>84</v>
      </c>
      <c r="BS1858" s="3">
        <v>45853</v>
      </c>
      <c r="BT1858" s="4">
        <v>0.30833333333333335</v>
      </c>
      <c r="BU1858" t="s">
        <v>212</v>
      </c>
      <c r="BV1858" t="s">
        <v>98</v>
      </c>
      <c r="BY1858">
        <v>88320</v>
      </c>
      <c r="BZ1858" t="s">
        <v>99</v>
      </c>
      <c r="CA1858" t="s">
        <v>213</v>
      </c>
      <c r="CC1858" t="s">
        <v>76</v>
      </c>
      <c r="CD1858">
        <v>1600</v>
      </c>
      <c r="CE1858" t="s">
        <v>2413</v>
      </c>
      <c r="CF1858" s="3">
        <v>45854</v>
      </c>
      <c r="CI1858">
        <v>1</v>
      </c>
      <c r="CJ1858">
        <v>1</v>
      </c>
      <c r="CK1858">
        <v>42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"080066545545"</f>
        <v>080066545545</v>
      </c>
      <c r="F1859" s="3">
        <v>45852</v>
      </c>
      <c r="G1859">
        <v>202604</v>
      </c>
      <c r="H1859" t="s">
        <v>75</v>
      </c>
      <c r="I1859" t="s">
        <v>76</v>
      </c>
      <c r="J1859" t="s">
        <v>77</v>
      </c>
      <c r="K1859" t="s">
        <v>78</v>
      </c>
      <c r="L1859" t="s">
        <v>168</v>
      </c>
      <c r="M1859" t="s">
        <v>169</v>
      </c>
      <c r="N1859" t="s">
        <v>206</v>
      </c>
      <c r="O1859" t="s">
        <v>95</v>
      </c>
      <c r="P1859" t="str">
        <f>"4170048601                    "</f>
        <v xml:space="preserve">4170048601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58.13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2</v>
      </c>
      <c r="BI1859">
        <v>12</v>
      </c>
      <c r="BJ1859">
        <v>22.8</v>
      </c>
      <c r="BK1859">
        <v>23</v>
      </c>
      <c r="BL1859">
        <v>189.02</v>
      </c>
      <c r="BM1859">
        <v>28.35</v>
      </c>
      <c r="BN1859">
        <v>217.37</v>
      </c>
      <c r="BO1859">
        <v>217.37</v>
      </c>
      <c r="BQ1859" t="s">
        <v>207</v>
      </c>
      <c r="BR1859" t="s">
        <v>84</v>
      </c>
      <c r="BS1859" s="3">
        <v>45854</v>
      </c>
      <c r="BT1859" s="4">
        <v>0.41666666666666669</v>
      </c>
      <c r="BU1859" t="s">
        <v>2414</v>
      </c>
      <c r="BV1859" t="s">
        <v>98</v>
      </c>
      <c r="BY1859">
        <v>114012</v>
      </c>
      <c r="BZ1859" t="s">
        <v>99</v>
      </c>
      <c r="CA1859" t="s">
        <v>196</v>
      </c>
      <c r="CC1859" t="s">
        <v>169</v>
      </c>
      <c r="CD1859">
        <v>6001</v>
      </c>
      <c r="CE1859" t="s">
        <v>258</v>
      </c>
      <c r="CF1859" s="3">
        <v>45854</v>
      </c>
      <c r="CI1859">
        <v>3</v>
      </c>
      <c r="CJ1859">
        <v>2</v>
      </c>
      <c r="CK1859">
        <v>41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"080066545796"</f>
        <v>080066545796</v>
      </c>
      <c r="F1860" s="3">
        <v>45852</v>
      </c>
      <c r="G1860">
        <v>202604</v>
      </c>
      <c r="H1860" t="s">
        <v>75</v>
      </c>
      <c r="I1860" t="s">
        <v>76</v>
      </c>
      <c r="J1860" t="s">
        <v>77</v>
      </c>
      <c r="K1860" t="s">
        <v>78</v>
      </c>
      <c r="L1860" t="s">
        <v>168</v>
      </c>
      <c r="M1860" t="s">
        <v>169</v>
      </c>
      <c r="N1860" t="s">
        <v>202</v>
      </c>
      <c r="O1860" t="s">
        <v>82</v>
      </c>
      <c r="P1860" t="str">
        <f>"4170048571                    "</f>
        <v xml:space="preserve">4170048571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56.47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5</v>
      </c>
      <c r="BJ1860">
        <v>3.4</v>
      </c>
      <c r="BK1860">
        <v>5</v>
      </c>
      <c r="BL1860">
        <v>177.91</v>
      </c>
      <c r="BM1860">
        <v>26.69</v>
      </c>
      <c r="BN1860">
        <v>204.6</v>
      </c>
      <c r="BO1860">
        <v>204.6</v>
      </c>
      <c r="BQ1860" t="s">
        <v>203</v>
      </c>
      <c r="BR1860" t="s">
        <v>84</v>
      </c>
      <c r="BS1860" s="3">
        <v>45853</v>
      </c>
      <c r="BT1860" s="4">
        <v>0.36319444444444443</v>
      </c>
      <c r="BU1860" t="s">
        <v>1713</v>
      </c>
      <c r="BV1860" t="s">
        <v>98</v>
      </c>
      <c r="BY1860">
        <v>16965</v>
      </c>
      <c r="BZ1860" t="s">
        <v>89</v>
      </c>
      <c r="CA1860" t="s">
        <v>205</v>
      </c>
      <c r="CC1860" t="s">
        <v>169</v>
      </c>
      <c r="CD1860">
        <v>6001</v>
      </c>
      <c r="CE1860" t="s">
        <v>117</v>
      </c>
      <c r="CF1860" s="3">
        <v>45853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"080066545818"</f>
        <v>080066545818</v>
      </c>
      <c r="F1861" s="3">
        <v>45852</v>
      </c>
      <c r="G1861">
        <v>202604</v>
      </c>
      <c r="H1861" t="s">
        <v>75</v>
      </c>
      <c r="I1861" t="s">
        <v>76</v>
      </c>
      <c r="J1861" t="s">
        <v>77</v>
      </c>
      <c r="K1861" t="s">
        <v>78</v>
      </c>
      <c r="L1861" t="s">
        <v>92</v>
      </c>
      <c r="M1861" t="s">
        <v>93</v>
      </c>
      <c r="N1861" t="s">
        <v>291</v>
      </c>
      <c r="O1861" t="s">
        <v>82</v>
      </c>
      <c r="P1861" t="str">
        <f>"4170048576                    "</f>
        <v xml:space="preserve">4170048576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22.6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1.9</v>
      </c>
      <c r="BK1861">
        <v>2</v>
      </c>
      <c r="BL1861">
        <v>71.2</v>
      </c>
      <c r="BM1861">
        <v>10.68</v>
      </c>
      <c r="BN1861">
        <v>81.88</v>
      </c>
      <c r="BO1861">
        <v>81.88</v>
      </c>
      <c r="BQ1861" t="s">
        <v>292</v>
      </c>
      <c r="BR1861" t="s">
        <v>84</v>
      </c>
      <c r="BS1861" s="3">
        <v>45853</v>
      </c>
      <c r="BT1861" s="4">
        <v>0.32222222222222224</v>
      </c>
      <c r="BU1861" t="s">
        <v>971</v>
      </c>
      <c r="BV1861" t="s">
        <v>98</v>
      </c>
      <c r="BY1861">
        <v>9600</v>
      </c>
      <c r="BZ1861" t="s">
        <v>89</v>
      </c>
      <c r="CA1861" t="s">
        <v>294</v>
      </c>
      <c r="CC1861" t="s">
        <v>93</v>
      </c>
      <c r="CD1861">
        <v>4051</v>
      </c>
      <c r="CE1861" t="s">
        <v>117</v>
      </c>
      <c r="CF1861" s="3">
        <v>45853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"080066545844"</f>
        <v>080066545844</v>
      </c>
      <c r="F1862" s="3">
        <v>45852</v>
      </c>
      <c r="G1862">
        <v>202604</v>
      </c>
      <c r="H1862" t="s">
        <v>75</v>
      </c>
      <c r="I1862" t="s">
        <v>76</v>
      </c>
      <c r="J1862" t="s">
        <v>77</v>
      </c>
      <c r="K1862" t="s">
        <v>78</v>
      </c>
      <c r="L1862" t="s">
        <v>92</v>
      </c>
      <c r="M1862" t="s">
        <v>93</v>
      </c>
      <c r="N1862" t="s">
        <v>272</v>
      </c>
      <c r="O1862" t="s">
        <v>82</v>
      </c>
      <c r="P1862" t="str">
        <f>"4170048578                    "</f>
        <v xml:space="preserve">4170048578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33.89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3</v>
      </c>
      <c r="BK1862">
        <v>3</v>
      </c>
      <c r="BL1862">
        <v>106.77</v>
      </c>
      <c r="BM1862">
        <v>16.02</v>
      </c>
      <c r="BN1862">
        <v>122.79</v>
      </c>
      <c r="BO1862">
        <v>122.79</v>
      </c>
      <c r="BQ1862" t="s">
        <v>273</v>
      </c>
      <c r="BR1862" t="s">
        <v>84</v>
      </c>
      <c r="BS1862" s="3">
        <v>45856</v>
      </c>
      <c r="BT1862" s="4">
        <v>0.36388888888888887</v>
      </c>
      <c r="BU1862" t="s">
        <v>2415</v>
      </c>
      <c r="BV1862" t="s">
        <v>86</v>
      </c>
      <c r="BW1862" t="s">
        <v>194</v>
      </c>
      <c r="BX1862" t="s">
        <v>739</v>
      </c>
      <c r="BY1862">
        <v>15232</v>
      </c>
      <c r="CA1862" t="s">
        <v>1428</v>
      </c>
      <c r="CC1862" t="s">
        <v>93</v>
      </c>
      <c r="CD1862">
        <v>4068</v>
      </c>
      <c r="CE1862" t="s">
        <v>91</v>
      </c>
      <c r="CF1862" s="3">
        <v>45857</v>
      </c>
      <c r="CI1862">
        <v>1</v>
      </c>
      <c r="CJ1862">
        <v>4</v>
      </c>
      <c r="CK1862">
        <v>21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"080066546226"</f>
        <v>080066546226</v>
      </c>
      <c r="F1863" s="3">
        <v>45852</v>
      </c>
      <c r="G1863">
        <v>202604</v>
      </c>
      <c r="H1863" t="s">
        <v>75</v>
      </c>
      <c r="I1863" t="s">
        <v>76</v>
      </c>
      <c r="J1863" t="s">
        <v>77</v>
      </c>
      <c r="K1863" t="s">
        <v>78</v>
      </c>
      <c r="L1863" t="s">
        <v>758</v>
      </c>
      <c r="M1863" t="s">
        <v>759</v>
      </c>
      <c r="N1863" t="s">
        <v>760</v>
      </c>
      <c r="O1863" t="s">
        <v>95</v>
      </c>
      <c r="P1863" t="str">
        <f>"4170048604                    "</f>
        <v xml:space="preserve">4170048604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322.92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76</v>
      </c>
      <c r="BJ1863">
        <v>98</v>
      </c>
      <c r="BK1863">
        <v>98</v>
      </c>
      <c r="BL1863">
        <v>1023.25</v>
      </c>
      <c r="BM1863">
        <v>153.49</v>
      </c>
      <c r="BN1863">
        <v>1176.74</v>
      </c>
      <c r="BO1863">
        <v>1176.74</v>
      </c>
      <c r="BQ1863" t="s">
        <v>761</v>
      </c>
      <c r="BR1863" t="s">
        <v>84</v>
      </c>
      <c r="BS1863" s="3">
        <v>45853</v>
      </c>
      <c r="BT1863" s="4">
        <v>0.49236111111111114</v>
      </c>
      <c r="BU1863" t="s">
        <v>1819</v>
      </c>
      <c r="BV1863" t="s">
        <v>98</v>
      </c>
      <c r="BY1863">
        <v>490196</v>
      </c>
      <c r="BZ1863" t="s">
        <v>99</v>
      </c>
      <c r="CA1863" t="s">
        <v>763</v>
      </c>
      <c r="CC1863" t="s">
        <v>759</v>
      </c>
      <c r="CD1863">
        <v>2531</v>
      </c>
      <c r="CE1863" t="s">
        <v>2082</v>
      </c>
      <c r="CF1863" s="3">
        <v>45854</v>
      </c>
      <c r="CI1863">
        <v>1</v>
      </c>
      <c r="CJ1863">
        <v>1</v>
      </c>
      <c r="CK1863">
        <v>43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"080066546574"</f>
        <v>080066546574</v>
      </c>
      <c r="F1864" s="3">
        <v>45852</v>
      </c>
      <c r="G1864">
        <v>202604</v>
      </c>
      <c r="H1864" t="s">
        <v>75</v>
      </c>
      <c r="I1864" t="s">
        <v>76</v>
      </c>
      <c r="J1864" t="s">
        <v>77</v>
      </c>
      <c r="K1864" t="s">
        <v>78</v>
      </c>
      <c r="L1864" t="s">
        <v>92</v>
      </c>
      <c r="M1864" t="s">
        <v>93</v>
      </c>
      <c r="N1864" t="s">
        <v>94</v>
      </c>
      <c r="O1864" t="s">
        <v>82</v>
      </c>
      <c r="P1864" t="str">
        <f>"4170048575                    "</f>
        <v xml:space="preserve">4170048575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33.89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1.2</v>
      </c>
      <c r="BK1864">
        <v>3</v>
      </c>
      <c r="BL1864">
        <v>106.77</v>
      </c>
      <c r="BM1864">
        <v>16.02</v>
      </c>
      <c r="BN1864">
        <v>122.79</v>
      </c>
      <c r="BO1864">
        <v>122.79</v>
      </c>
      <c r="BQ1864" t="s">
        <v>96</v>
      </c>
      <c r="BR1864" t="s">
        <v>84</v>
      </c>
      <c r="BS1864" s="3">
        <v>45853</v>
      </c>
      <c r="BT1864" s="4">
        <v>0.37847222222222221</v>
      </c>
      <c r="BU1864" t="s">
        <v>2390</v>
      </c>
      <c r="BV1864" t="s">
        <v>98</v>
      </c>
      <c r="BY1864">
        <v>5900</v>
      </c>
      <c r="BZ1864" t="s">
        <v>89</v>
      </c>
      <c r="CA1864" t="s">
        <v>100</v>
      </c>
      <c r="CC1864" t="s">
        <v>93</v>
      </c>
      <c r="CD1864">
        <v>4052</v>
      </c>
      <c r="CE1864" t="s">
        <v>91</v>
      </c>
      <c r="CF1864" s="3">
        <v>45853</v>
      </c>
      <c r="CI1864">
        <v>1</v>
      </c>
      <c r="CJ1864">
        <v>1</v>
      </c>
      <c r="CK1864">
        <v>21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"080066546591"</f>
        <v>080066546591</v>
      </c>
      <c r="F1865" s="3">
        <v>45852</v>
      </c>
      <c r="G1865">
        <v>202604</v>
      </c>
      <c r="H1865" t="s">
        <v>75</v>
      </c>
      <c r="I1865" t="s">
        <v>76</v>
      </c>
      <c r="J1865" t="s">
        <v>77</v>
      </c>
      <c r="K1865" t="s">
        <v>78</v>
      </c>
      <c r="L1865" t="s">
        <v>79</v>
      </c>
      <c r="M1865" t="s">
        <v>80</v>
      </c>
      <c r="N1865" t="s">
        <v>1101</v>
      </c>
      <c r="O1865" t="s">
        <v>82</v>
      </c>
      <c r="P1865" t="str">
        <f>"4170048585                    "</f>
        <v xml:space="preserve">4170048585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101.63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6</v>
      </c>
      <c r="BJ1865">
        <v>8.9</v>
      </c>
      <c r="BK1865">
        <v>9</v>
      </c>
      <c r="BL1865">
        <v>320.19</v>
      </c>
      <c r="BM1865">
        <v>48.03</v>
      </c>
      <c r="BN1865">
        <v>368.22</v>
      </c>
      <c r="BO1865">
        <v>368.22</v>
      </c>
      <c r="BQ1865" t="s">
        <v>1102</v>
      </c>
      <c r="BR1865" t="s">
        <v>84</v>
      </c>
      <c r="BS1865" s="3">
        <v>45853</v>
      </c>
      <c r="BT1865" s="4">
        <v>0.34097222222222223</v>
      </c>
      <c r="BU1865" t="s">
        <v>2071</v>
      </c>
      <c r="BV1865" t="s">
        <v>98</v>
      </c>
      <c r="BY1865">
        <v>44640</v>
      </c>
      <c r="BZ1865" t="s">
        <v>89</v>
      </c>
      <c r="CA1865" t="s">
        <v>289</v>
      </c>
      <c r="CC1865" t="s">
        <v>80</v>
      </c>
      <c r="CD1865">
        <v>7530</v>
      </c>
      <c r="CE1865" t="s">
        <v>117</v>
      </c>
      <c r="CF1865" s="3">
        <v>45854</v>
      </c>
      <c r="CI1865">
        <v>1</v>
      </c>
      <c r="CJ1865">
        <v>1</v>
      </c>
      <c r="CK1865">
        <v>21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"080066546627"</f>
        <v>080066546627</v>
      </c>
      <c r="F1866" s="3">
        <v>45852</v>
      </c>
      <c r="G1866">
        <v>202604</v>
      </c>
      <c r="H1866" t="s">
        <v>75</v>
      </c>
      <c r="I1866" t="s">
        <v>76</v>
      </c>
      <c r="J1866" t="s">
        <v>77</v>
      </c>
      <c r="K1866" t="s">
        <v>78</v>
      </c>
      <c r="L1866" t="s">
        <v>197</v>
      </c>
      <c r="M1866" t="s">
        <v>198</v>
      </c>
      <c r="N1866" t="s">
        <v>1055</v>
      </c>
      <c r="O1866" t="s">
        <v>311</v>
      </c>
      <c r="P1866" t="str">
        <f>"4170048609                    "</f>
        <v xml:space="preserve">4170048609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17.66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8</v>
      </c>
      <c r="BJ1866">
        <v>1.6</v>
      </c>
      <c r="BK1866">
        <v>8</v>
      </c>
      <c r="BL1866">
        <v>55.63</v>
      </c>
      <c r="BM1866">
        <v>8.34</v>
      </c>
      <c r="BN1866">
        <v>63.97</v>
      </c>
      <c r="BO1866">
        <v>63.97</v>
      </c>
      <c r="BQ1866" t="s">
        <v>1056</v>
      </c>
      <c r="BR1866" t="s">
        <v>84</v>
      </c>
      <c r="BS1866" s="3">
        <v>45853</v>
      </c>
      <c r="BT1866" s="4">
        <v>0.40694444444444444</v>
      </c>
      <c r="BU1866" t="s">
        <v>2155</v>
      </c>
      <c r="BV1866" t="s">
        <v>98</v>
      </c>
      <c r="BY1866">
        <v>7980</v>
      </c>
      <c r="BZ1866" t="s">
        <v>99</v>
      </c>
      <c r="CA1866" t="s">
        <v>1058</v>
      </c>
      <c r="CC1866" t="s">
        <v>198</v>
      </c>
      <c r="CD1866">
        <v>1401</v>
      </c>
      <c r="CE1866" t="s">
        <v>117</v>
      </c>
      <c r="CF1866" s="3">
        <v>45853</v>
      </c>
      <c r="CI1866">
        <v>1</v>
      </c>
      <c r="CJ1866">
        <v>1</v>
      </c>
      <c r="CK1866">
        <v>32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"080066546687"</f>
        <v>080066546687</v>
      </c>
      <c r="F1867" s="3">
        <v>45852</v>
      </c>
      <c r="G1867">
        <v>202604</v>
      </c>
      <c r="H1867" t="s">
        <v>75</v>
      </c>
      <c r="I1867" t="s">
        <v>76</v>
      </c>
      <c r="J1867" t="s">
        <v>77</v>
      </c>
      <c r="K1867" t="s">
        <v>78</v>
      </c>
      <c r="L1867" t="s">
        <v>135</v>
      </c>
      <c r="M1867" t="s">
        <v>136</v>
      </c>
      <c r="N1867" t="s">
        <v>346</v>
      </c>
      <c r="O1867" t="s">
        <v>82</v>
      </c>
      <c r="P1867" t="str">
        <f>"4170048573                    "</f>
        <v xml:space="preserve">4170048573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45.18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4</v>
      </c>
      <c r="BJ1867">
        <v>3.4</v>
      </c>
      <c r="BK1867">
        <v>4</v>
      </c>
      <c r="BL1867">
        <v>142.34</v>
      </c>
      <c r="BM1867">
        <v>21.35</v>
      </c>
      <c r="BN1867">
        <v>163.69</v>
      </c>
      <c r="BO1867">
        <v>163.69</v>
      </c>
      <c r="BQ1867" t="s">
        <v>347</v>
      </c>
      <c r="BR1867" t="s">
        <v>84</v>
      </c>
      <c r="BS1867" s="3">
        <v>45853</v>
      </c>
      <c r="BT1867" s="4">
        <v>0.41666666666666669</v>
      </c>
      <c r="BU1867" t="s">
        <v>2416</v>
      </c>
      <c r="BV1867" t="s">
        <v>98</v>
      </c>
      <c r="BY1867">
        <v>16965</v>
      </c>
      <c r="BZ1867" t="s">
        <v>89</v>
      </c>
      <c r="CC1867" t="s">
        <v>136</v>
      </c>
      <c r="CD1867">
        <v>3201</v>
      </c>
      <c r="CE1867" t="s">
        <v>145</v>
      </c>
      <c r="CF1867" s="3">
        <v>45853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"080066546769"</f>
        <v>080066546769</v>
      </c>
      <c r="F1868" s="3">
        <v>45852</v>
      </c>
      <c r="G1868">
        <v>202604</v>
      </c>
      <c r="H1868" t="s">
        <v>75</v>
      </c>
      <c r="I1868" t="s">
        <v>76</v>
      </c>
      <c r="J1868" t="s">
        <v>77</v>
      </c>
      <c r="K1868" t="s">
        <v>78</v>
      </c>
      <c r="L1868" t="s">
        <v>390</v>
      </c>
      <c r="M1868" t="s">
        <v>391</v>
      </c>
      <c r="N1868" t="s">
        <v>2417</v>
      </c>
      <c r="O1868" t="s">
        <v>311</v>
      </c>
      <c r="P1868" t="str">
        <f>"4170048594                    "</f>
        <v xml:space="preserve">4170048594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17.66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</v>
      </c>
      <c r="BJ1868">
        <v>3.1</v>
      </c>
      <c r="BK1868">
        <v>5</v>
      </c>
      <c r="BL1868">
        <v>55.63</v>
      </c>
      <c r="BM1868">
        <v>8.34</v>
      </c>
      <c r="BN1868">
        <v>63.97</v>
      </c>
      <c r="BO1868">
        <v>63.97</v>
      </c>
      <c r="BQ1868" t="s">
        <v>2418</v>
      </c>
      <c r="BR1868" t="s">
        <v>84</v>
      </c>
      <c r="BS1868" s="3">
        <v>45853</v>
      </c>
      <c r="BT1868" s="4">
        <v>0.40208333333333335</v>
      </c>
      <c r="BU1868" t="s">
        <v>2419</v>
      </c>
      <c r="BV1868" t="s">
        <v>98</v>
      </c>
      <c r="BY1868">
        <v>15360</v>
      </c>
      <c r="BZ1868" t="s">
        <v>99</v>
      </c>
      <c r="CA1868" t="s">
        <v>397</v>
      </c>
      <c r="CC1868" t="s">
        <v>391</v>
      </c>
      <c r="CD1868">
        <v>1724</v>
      </c>
      <c r="CE1868" t="s">
        <v>145</v>
      </c>
      <c r="CF1868" s="3">
        <v>45854</v>
      </c>
      <c r="CI1868">
        <v>1</v>
      </c>
      <c r="CJ1868">
        <v>1</v>
      </c>
      <c r="CK1868">
        <v>32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"080066546852"</f>
        <v>080066546852</v>
      </c>
      <c r="F1869" s="3">
        <v>45852</v>
      </c>
      <c r="G1869">
        <v>202604</v>
      </c>
      <c r="H1869" t="s">
        <v>75</v>
      </c>
      <c r="I1869" t="s">
        <v>76</v>
      </c>
      <c r="J1869" t="s">
        <v>77</v>
      </c>
      <c r="K1869" t="s">
        <v>78</v>
      </c>
      <c r="L1869" t="s">
        <v>277</v>
      </c>
      <c r="M1869" t="s">
        <v>278</v>
      </c>
      <c r="N1869" t="s">
        <v>279</v>
      </c>
      <c r="O1869" t="s">
        <v>95</v>
      </c>
      <c r="P1869" t="str">
        <f>"4170048600                    "</f>
        <v xml:space="preserve">4170048600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52.72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9</v>
      </c>
      <c r="BJ1869">
        <v>19.100000000000001</v>
      </c>
      <c r="BK1869">
        <v>20</v>
      </c>
      <c r="BL1869">
        <v>171.97</v>
      </c>
      <c r="BM1869">
        <v>25.8</v>
      </c>
      <c r="BN1869">
        <v>197.77</v>
      </c>
      <c r="BO1869">
        <v>197.77</v>
      </c>
      <c r="BQ1869" t="s">
        <v>280</v>
      </c>
      <c r="BR1869" t="s">
        <v>84</v>
      </c>
      <c r="BS1869" s="3">
        <v>45855</v>
      </c>
      <c r="BT1869" s="4">
        <v>0.4</v>
      </c>
      <c r="BU1869" t="s">
        <v>172</v>
      </c>
      <c r="BV1869" t="s">
        <v>98</v>
      </c>
      <c r="BY1869">
        <v>95380</v>
      </c>
      <c r="CC1869" t="s">
        <v>278</v>
      </c>
      <c r="CD1869">
        <v>6230</v>
      </c>
      <c r="CE1869" t="s">
        <v>2420</v>
      </c>
      <c r="CF1869" s="3">
        <v>45855</v>
      </c>
      <c r="CI1869">
        <v>3</v>
      </c>
      <c r="CJ1869">
        <v>3</v>
      </c>
      <c r="CK1869">
        <v>41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"080066547267"</f>
        <v>080066547267</v>
      </c>
      <c r="F1870" s="3">
        <v>45852</v>
      </c>
      <c r="G1870">
        <v>202604</v>
      </c>
      <c r="H1870" t="s">
        <v>75</v>
      </c>
      <c r="I1870" t="s">
        <v>76</v>
      </c>
      <c r="J1870" t="s">
        <v>77</v>
      </c>
      <c r="K1870" t="s">
        <v>78</v>
      </c>
      <c r="L1870" t="s">
        <v>79</v>
      </c>
      <c r="M1870" t="s">
        <v>80</v>
      </c>
      <c r="N1870" t="s">
        <v>159</v>
      </c>
      <c r="O1870" t="s">
        <v>82</v>
      </c>
      <c r="P1870" t="str">
        <f>"4170048607                    "</f>
        <v xml:space="preserve">4170048607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158.08000000000001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2</v>
      </c>
      <c r="BI1870">
        <v>10</v>
      </c>
      <c r="BJ1870">
        <v>14</v>
      </c>
      <c r="BK1870">
        <v>14</v>
      </c>
      <c r="BL1870">
        <v>498.04</v>
      </c>
      <c r="BM1870">
        <v>74.709999999999994</v>
      </c>
      <c r="BN1870">
        <v>572.75</v>
      </c>
      <c r="BO1870">
        <v>572.75</v>
      </c>
      <c r="BQ1870" t="s">
        <v>160</v>
      </c>
      <c r="BR1870" t="s">
        <v>84</v>
      </c>
      <c r="BS1870" s="3">
        <v>45853</v>
      </c>
      <c r="BT1870" s="4">
        <v>0.40416666666666667</v>
      </c>
      <c r="BU1870" t="s">
        <v>161</v>
      </c>
      <c r="BV1870" t="s">
        <v>98</v>
      </c>
      <c r="BY1870">
        <v>34960</v>
      </c>
      <c r="BZ1870" t="s">
        <v>89</v>
      </c>
      <c r="CA1870" t="s">
        <v>162</v>
      </c>
      <c r="CC1870" t="s">
        <v>80</v>
      </c>
      <c r="CD1870">
        <v>7441</v>
      </c>
      <c r="CE1870" t="s">
        <v>1468</v>
      </c>
      <c r="CF1870" s="3">
        <v>45854</v>
      </c>
      <c r="CI1870">
        <v>1</v>
      </c>
      <c r="CJ1870">
        <v>1</v>
      </c>
      <c r="CK1870">
        <v>21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"080066547349"</f>
        <v>080066547349</v>
      </c>
      <c r="F1871" s="3">
        <v>45852</v>
      </c>
      <c r="G1871">
        <v>202604</v>
      </c>
      <c r="H1871" t="s">
        <v>75</v>
      </c>
      <c r="I1871" t="s">
        <v>76</v>
      </c>
      <c r="J1871" t="s">
        <v>77</v>
      </c>
      <c r="K1871" t="s">
        <v>78</v>
      </c>
      <c r="L1871" t="s">
        <v>79</v>
      </c>
      <c r="M1871" t="s">
        <v>80</v>
      </c>
      <c r="N1871" t="s">
        <v>1557</v>
      </c>
      <c r="O1871" t="s">
        <v>82</v>
      </c>
      <c r="P1871" t="str">
        <f>"4170048621                    "</f>
        <v xml:space="preserve">4170048621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22.6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1.9</v>
      </c>
      <c r="BK1871">
        <v>2</v>
      </c>
      <c r="BL1871">
        <v>71.2</v>
      </c>
      <c r="BM1871">
        <v>10.68</v>
      </c>
      <c r="BN1871">
        <v>81.88</v>
      </c>
      <c r="BO1871">
        <v>81.88</v>
      </c>
      <c r="BQ1871" t="s">
        <v>1558</v>
      </c>
      <c r="BR1871" t="s">
        <v>84</v>
      </c>
      <c r="BS1871" s="3">
        <v>45853</v>
      </c>
      <c r="BT1871" s="4">
        <v>0.4236111111111111</v>
      </c>
      <c r="BU1871" t="s">
        <v>2421</v>
      </c>
      <c r="BV1871" t="s">
        <v>98</v>
      </c>
      <c r="BY1871">
        <v>9600</v>
      </c>
      <c r="BZ1871" t="s">
        <v>89</v>
      </c>
      <c r="CA1871" t="s">
        <v>1875</v>
      </c>
      <c r="CC1871" t="s">
        <v>80</v>
      </c>
      <c r="CD1871">
        <v>7535</v>
      </c>
      <c r="CE1871" t="s">
        <v>117</v>
      </c>
      <c r="CF1871" s="3">
        <v>45854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"080066547355"</f>
        <v>080066547355</v>
      </c>
      <c r="F1872" s="3">
        <v>45852</v>
      </c>
      <c r="G1872">
        <v>202604</v>
      </c>
      <c r="H1872" t="s">
        <v>75</v>
      </c>
      <c r="I1872" t="s">
        <v>76</v>
      </c>
      <c r="J1872" t="s">
        <v>77</v>
      </c>
      <c r="K1872" t="s">
        <v>78</v>
      </c>
      <c r="L1872" t="s">
        <v>168</v>
      </c>
      <c r="M1872" t="s">
        <v>169</v>
      </c>
      <c r="N1872" t="s">
        <v>202</v>
      </c>
      <c r="O1872" t="s">
        <v>95</v>
      </c>
      <c r="P1872" t="str">
        <f>"4170048598                    "</f>
        <v xml:space="preserve">4170048598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43.7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6</v>
      </c>
      <c r="BJ1872">
        <v>4.8</v>
      </c>
      <c r="BK1872">
        <v>6</v>
      </c>
      <c r="BL1872">
        <v>143.55000000000001</v>
      </c>
      <c r="BM1872">
        <v>21.53</v>
      </c>
      <c r="BN1872">
        <v>165.08</v>
      </c>
      <c r="BO1872">
        <v>165.08</v>
      </c>
      <c r="BQ1872" t="s">
        <v>203</v>
      </c>
      <c r="BR1872" t="s">
        <v>84</v>
      </c>
      <c r="BS1872" s="3">
        <v>45854</v>
      </c>
      <c r="BT1872" s="4">
        <v>0.37777777777777777</v>
      </c>
      <c r="BU1872" t="s">
        <v>1713</v>
      </c>
      <c r="BV1872" t="s">
        <v>98</v>
      </c>
      <c r="BY1872">
        <v>24192</v>
      </c>
      <c r="BZ1872" t="s">
        <v>99</v>
      </c>
      <c r="CA1872" t="s">
        <v>205</v>
      </c>
      <c r="CC1872" t="s">
        <v>169</v>
      </c>
      <c r="CD1872">
        <v>6001</v>
      </c>
      <c r="CE1872" t="s">
        <v>117</v>
      </c>
      <c r="CF1872" s="3">
        <v>45854</v>
      </c>
      <c r="CI1872">
        <v>3</v>
      </c>
      <c r="CJ1872">
        <v>2</v>
      </c>
      <c r="CK1872">
        <v>41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"080066547411"</f>
        <v>080066547411</v>
      </c>
      <c r="F1873" s="3">
        <v>45852</v>
      </c>
      <c r="G1873">
        <v>202604</v>
      </c>
      <c r="H1873" t="s">
        <v>75</v>
      </c>
      <c r="I1873" t="s">
        <v>76</v>
      </c>
      <c r="J1873" t="s">
        <v>77</v>
      </c>
      <c r="K1873" t="s">
        <v>78</v>
      </c>
      <c r="L1873" t="s">
        <v>146</v>
      </c>
      <c r="M1873" t="s">
        <v>146</v>
      </c>
      <c r="N1873" t="s">
        <v>2422</v>
      </c>
      <c r="O1873" t="s">
        <v>82</v>
      </c>
      <c r="P1873" t="str">
        <f>"4170048611                    "</f>
        <v xml:space="preserve">4170048611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43.78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1.3</v>
      </c>
      <c r="BK1873">
        <v>1.5</v>
      </c>
      <c r="BL1873">
        <v>137.94</v>
      </c>
      <c r="BM1873">
        <v>20.69</v>
      </c>
      <c r="BN1873">
        <v>158.63</v>
      </c>
      <c r="BO1873">
        <v>158.63</v>
      </c>
      <c r="BQ1873" t="s">
        <v>2423</v>
      </c>
      <c r="BR1873" t="s">
        <v>84</v>
      </c>
      <c r="BS1873" s="3">
        <v>45853</v>
      </c>
      <c r="BT1873" s="4">
        <v>0.51666666666666672</v>
      </c>
      <c r="BU1873" t="s">
        <v>2424</v>
      </c>
      <c r="BV1873" t="s">
        <v>98</v>
      </c>
      <c r="BY1873">
        <v>6384</v>
      </c>
      <c r="BZ1873" t="s">
        <v>89</v>
      </c>
      <c r="CA1873" t="s">
        <v>2309</v>
      </c>
      <c r="CC1873" t="s">
        <v>146</v>
      </c>
      <c r="CD1873">
        <v>7646</v>
      </c>
      <c r="CE1873" t="s">
        <v>117</v>
      </c>
      <c r="CF1873" s="3">
        <v>45854</v>
      </c>
      <c r="CI1873">
        <v>1</v>
      </c>
      <c r="CJ1873">
        <v>1</v>
      </c>
      <c r="CK1873">
        <v>23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"080066547520"</f>
        <v>080066547520</v>
      </c>
      <c r="F1874" s="3">
        <v>45852</v>
      </c>
      <c r="G1874">
        <v>202604</v>
      </c>
      <c r="H1874" t="s">
        <v>75</v>
      </c>
      <c r="I1874" t="s">
        <v>76</v>
      </c>
      <c r="J1874" t="s">
        <v>77</v>
      </c>
      <c r="K1874" t="s">
        <v>78</v>
      </c>
      <c r="L1874" t="s">
        <v>240</v>
      </c>
      <c r="M1874" t="s">
        <v>241</v>
      </c>
      <c r="N1874" t="s">
        <v>2425</v>
      </c>
      <c r="O1874" t="s">
        <v>311</v>
      </c>
      <c r="P1874" t="str">
        <f>"4170048411                    "</f>
        <v xml:space="preserve">4170048411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21.62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2</v>
      </c>
      <c r="BI1874">
        <v>8</v>
      </c>
      <c r="BJ1874">
        <v>9.8000000000000007</v>
      </c>
      <c r="BK1874">
        <v>10</v>
      </c>
      <c r="BL1874">
        <v>68.11</v>
      </c>
      <c r="BM1874">
        <v>10.220000000000001</v>
      </c>
      <c r="BN1874">
        <v>78.33</v>
      </c>
      <c r="BO1874">
        <v>78.33</v>
      </c>
      <c r="BQ1874" t="s">
        <v>2426</v>
      </c>
      <c r="BR1874" t="s">
        <v>84</v>
      </c>
      <c r="BS1874" s="3">
        <v>45853</v>
      </c>
      <c r="BT1874" s="4">
        <v>0.39374999999999999</v>
      </c>
      <c r="BU1874" t="s">
        <v>2427</v>
      </c>
      <c r="BV1874" t="s">
        <v>98</v>
      </c>
      <c r="BY1874">
        <v>49221</v>
      </c>
      <c r="BZ1874" t="s">
        <v>99</v>
      </c>
      <c r="CA1874" t="s">
        <v>2428</v>
      </c>
      <c r="CC1874" t="s">
        <v>241</v>
      </c>
      <c r="CD1874">
        <v>2195</v>
      </c>
      <c r="CE1874" t="s">
        <v>91</v>
      </c>
      <c r="CF1874" s="3">
        <v>45854</v>
      </c>
      <c r="CI1874">
        <v>1</v>
      </c>
      <c r="CJ1874">
        <v>1</v>
      </c>
      <c r="CK1874">
        <v>32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"080066547590"</f>
        <v>080066547590</v>
      </c>
      <c r="F1875" s="3">
        <v>45852</v>
      </c>
      <c r="G1875">
        <v>202604</v>
      </c>
      <c r="H1875" t="s">
        <v>75</v>
      </c>
      <c r="I1875" t="s">
        <v>76</v>
      </c>
      <c r="J1875" t="s">
        <v>77</v>
      </c>
      <c r="K1875" t="s">
        <v>78</v>
      </c>
      <c r="L1875" t="s">
        <v>92</v>
      </c>
      <c r="M1875" t="s">
        <v>93</v>
      </c>
      <c r="N1875" t="s">
        <v>843</v>
      </c>
      <c r="O1875" t="s">
        <v>82</v>
      </c>
      <c r="P1875" t="str">
        <f>"4170048628                    "</f>
        <v xml:space="preserve">4170048628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22.6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1.9</v>
      </c>
      <c r="BK1875">
        <v>2</v>
      </c>
      <c r="BL1875">
        <v>71.2</v>
      </c>
      <c r="BM1875">
        <v>10.68</v>
      </c>
      <c r="BN1875">
        <v>81.88</v>
      </c>
      <c r="BO1875">
        <v>81.88</v>
      </c>
      <c r="BQ1875" t="s">
        <v>844</v>
      </c>
      <c r="BR1875" t="s">
        <v>84</v>
      </c>
      <c r="BS1875" s="3">
        <v>45853</v>
      </c>
      <c r="BT1875" s="4">
        <v>0.3576388888888889</v>
      </c>
      <c r="BU1875" t="s">
        <v>2429</v>
      </c>
      <c r="BV1875" t="s">
        <v>98</v>
      </c>
      <c r="BY1875">
        <v>9600</v>
      </c>
      <c r="BZ1875" t="s">
        <v>89</v>
      </c>
      <c r="CA1875" t="s">
        <v>2430</v>
      </c>
      <c r="CC1875" t="s">
        <v>93</v>
      </c>
      <c r="CD1875">
        <v>4001</v>
      </c>
      <c r="CE1875" t="s">
        <v>117</v>
      </c>
      <c r="CF1875" s="3">
        <v>45853</v>
      </c>
      <c r="CI1875">
        <v>1</v>
      </c>
      <c r="CJ1875">
        <v>1</v>
      </c>
      <c r="CK1875">
        <v>21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"080066547660"</f>
        <v>080066547660</v>
      </c>
      <c r="F1876" s="3">
        <v>45852</v>
      </c>
      <c r="G1876">
        <v>202604</v>
      </c>
      <c r="H1876" t="s">
        <v>75</v>
      </c>
      <c r="I1876" t="s">
        <v>76</v>
      </c>
      <c r="J1876" t="s">
        <v>77</v>
      </c>
      <c r="K1876" t="s">
        <v>78</v>
      </c>
      <c r="L1876" t="s">
        <v>79</v>
      </c>
      <c r="M1876" t="s">
        <v>80</v>
      </c>
      <c r="N1876" t="s">
        <v>188</v>
      </c>
      <c r="O1876" t="s">
        <v>82</v>
      </c>
      <c r="P1876" t="str">
        <f>"4170048596                    "</f>
        <v xml:space="preserve">4170048596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56.47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5</v>
      </c>
      <c r="BJ1876">
        <v>3.1</v>
      </c>
      <c r="BK1876">
        <v>5</v>
      </c>
      <c r="BL1876">
        <v>177.91</v>
      </c>
      <c r="BM1876">
        <v>26.69</v>
      </c>
      <c r="BN1876">
        <v>204.6</v>
      </c>
      <c r="BO1876">
        <v>204.6</v>
      </c>
      <c r="BQ1876" t="s">
        <v>189</v>
      </c>
      <c r="BR1876" t="s">
        <v>84</v>
      </c>
      <c r="BS1876" s="3">
        <v>45853</v>
      </c>
      <c r="BT1876" s="4">
        <v>0.37013888888888891</v>
      </c>
      <c r="BU1876" t="s">
        <v>2431</v>
      </c>
      <c r="BV1876" t="s">
        <v>98</v>
      </c>
      <c r="BY1876">
        <v>15360</v>
      </c>
      <c r="BZ1876" t="s">
        <v>89</v>
      </c>
      <c r="CA1876" t="s">
        <v>144</v>
      </c>
      <c r="CC1876" t="s">
        <v>80</v>
      </c>
      <c r="CD1876">
        <v>7441</v>
      </c>
      <c r="CE1876" t="s">
        <v>117</v>
      </c>
      <c r="CF1876" s="3">
        <v>45854</v>
      </c>
      <c r="CI1876">
        <v>1</v>
      </c>
      <c r="CJ1876">
        <v>1</v>
      </c>
      <c r="CK1876">
        <v>21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"080066547712"</f>
        <v>080066547712</v>
      </c>
      <c r="F1877" s="3">
        <v>45852</v>
      </c>
      <c r="G1877">
        <v>202604</v>
      </c>
      <c r="H1877" t="s">
        <v>75</v>
      </c>
      <c r="I1877" t="s">
        <v>76</v>
      </c>
      <c r="J1877" t="s">
        <v>77</v>
      </c>
      <c r="K1877" t="s">
        <v>78</v>
      </c>
      <c r="L1877" t="s">
        <v>305</v>
      </c>
      <c r="M1877" t="s">
        <v>306</v>
      </c>
      <c r="N1877" t="s">
        <v>710</v>
      </c>
      <c r="O1877" t="s">
        <v>82</v>
      </c>
      <c r="P1877" t="str">
        <f>"4170048591                    "</f>
        <v xml:space="preserve">4170048591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39.53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3.1</v>
      </c>
      <c r="BK1877">
        <v>3.5</v>
      </c>
      <c r="BL1877">
        <v>124.55</v>
      </c>
      <c r="BM1877">
        <v>18.68</v>
      </c>
      <c r="BN1877">
        <v>143.22999999999999</v>
      </c>
      <c r="BO1877">
        <v>143.22999999999999</v>
      </c>
      <c r="BQ1877" t="s">
        <v>711</v>
      </c>
      <c r="BR1877" t="s">
        <v>84</v>
      </c>
      <c r="BS1877" s="3">
        <v>45853</v>
      </c>
      <c r="BT1877" s="4">
        <v>0.46250000000000002</v>
      </c>
      <c r="BU1877" t="s">
        <v>2432</v>
      </c>
      <c r="BV1877" t="s">
        <v>86</v>
      </c>
      <c r="BY1877">
        <v>15360</v>
      </c>
      <c r="BZ1877" t="s">
        <v>89</v>
      </c>
      <c r="CA1877" t="s">
        <v>575</v>
      </c>
      <c r="CC1877" t="s">
        <v>306</v>
      </c>
      <c r="CD1877">
        <v>5200</v>
      </c>
      <c r="CE1877" t="s">
        <v>117</v>
      </c>
      <c r="CF1877" s="3">
        <v>45853</v>
      </c>
      <c r="CI1877">
        <v>1</v>
      </c>
      <c r="CJ1877">
        <v>1</v>
      </c>
      <c r="CK1877">
        <v>21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"080066548090"</f>
        <v>080066548090</v>
      </c>
      <c r="F1878" s="3">
        <v>45852</v>
      </c>
      <c r="G1878">
        <v>202604</v>
      </c>
      <c r="H1878" t="s">
        <v>75</v>
      </c>
      <c r="I1878" t="s">
        <v>76</v>
      </c>
      <c r="J1878" t="s">
        <v>77</v>
      </c>
      <c r="K1878" t="s">
        <v>78</v>
      </c>
      <c r="L1878" t="s">
        <v>151</v>
      </c>
      <c r="M1878" t="s">
        <v>152</v>
      </c>
      <c r="N1878" t="s">
        <v>510</v>
      </c>
      <c r="O1878" t="s">
        <v>82</v>
      </c>
      <c r="P1878" t="str">
        <f>"4170048622                    "</f>
        <v xml:space="preserve">4170048622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22.6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1.1000000000000001</v>
      </c>
      <c r="BK1878">
        <v>2</v>
      </c>
      <c r="BL1878">
        <v>71.2</v>
      </c>
      <c r="BM1878">
        <v>10.68</v>
      </c>
      <c r="BN1878">
        <v>81.88</v>
      </c>
      <c r="BO1878">
        <v>81.88</v>
      </c>
      <c r="BQ1878" t="s">
        <v>511</v>
      </c>
      <c r="BR1878" t="s">
        <v>84</v>
      </c>
      <c r="BS1878" s="3">
        <v>45853</v>
      </c>
      <c r="BT1878" s="4">
        <v>0.40277777777777779</v>
      </c>
      <c r="BU1878" t="s">
        <v>2433</v>
      </c>
      <c r="BV1878" t="s">
        <v>98</v>
      </c>
      <c r="BY1878">
        <v>5320</v>
      </c>
      <c r="BZ1878" t="s">
        <v>89</v>
      </c>
      <c r="CA1878" t="s">
        <v>2404</v>
      </c>
      <c r="CC1878" t="s">
        <v>152</v>
      </c>
      <c r="CD1878" s="5" t="s">
        <v>389</v>
      </c>
      <c r="CE1878" t="s">
        <v>117</v>
      </c>
      <c r="CF1878" s="3">
        <v>45853</v>
      </c>
      <c r="CI1878">
        <v>1</v>
      </c>
      <c r="CJ1878">
        <v>1</v>
      </c>
      <c r="CK1878">
        <v>21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"080066548334"</f>
        <v>080066548334</v>
      </c>
      <c r="F1879" s="3">
        <v>45852</v>
      </c>
      <c r="G1879">
        <v>202604</v>
      </c>
      <c r="H1879" t="s">
        <v>75</v>
      </c>
      <c r="I1879" t="s">
        <v>76</v>
      </c>
      <c r="J1879" t="s">
        <v>77</v>
      </c>
      <c r="K1879" t="s">
        <v>78</v>
      </c>
      <c r="L1879" t="s">
        <v>102</v>
      </c>
      <c r="M1879" t="s">
        <v>103</v>
      </c>
      <c r="N1879" t="s">
        <v>2434</v>
      </c>
      <c r="O1879" t="s">
        <v>82</v>
      </c>
      <c r="P1879" t="str">
        <f>"4170048602                    "</f>
        <v xml:space="preserve">4170048602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31.78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1.6</v>
      </c>
      <c r="BK1879">
        <v>2</v>
      </c>
      <c r="BL1879">
        <v>100.13</v>
      </c>
      <c r="BM1879">
        <v>15.02</v>
      </c>
      <c r="BN1879">
        <v>115.15</v>
      </c>
      <c r="BO1879">
        <v>115.15</v>
      </c>
      <c r="BQ1879" t="s">
        <v>2435</v>
      </c>
      <c r="BR1879" t="s">
        <v>84</v>
      </c>
      <c r="BS1879" s="3">
        <v>45853</v>
      </c>
      <c r="BT1879" s="4">
        <v>0.39513888888888887</v>
      </c>
      <c r="BU1879" t="s">
        <v>2248</v>
      </c>
      <c r="BV1879" t="s">
        <v>98</v>
      </c>
      <c r="BY1879">
        <v>7980</v>
      </c>
      <c r="BZ1879" t="s">
        <v>89</v>
      </c>
      <c r="CA1879" t="s">
        <v>109</v>
      </c>
      <c r="CC1879" t="s">
        <v>103</v>
      </c>
      <c r="CD1879">
        <v>1748</v>
      </c>
      <c r="CE1879" t="s">
        <v>117</v>
      </c>
      <c r="CF1879" s="3">
        <v>45853</v>
      </c>
      <c r="CI1879">
        <v>1</v>
      </c>
      <c r="CJ1879">
        <v>1</v>
      </c>
      <c r="CK1879">
        <v>24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"080066548506"</f>
        <v>080066548506</v>
      </c>
      <c r="F1880" s="3">
        <v>45852</v>
      </c>
      <c r="G1880">
        <v>202604</v>
      </c>
      <c r="H1880" t="s">
        <v>75</v>
      </c>
      <c r="I1880" t="s">
        <v>76</v>
      </c>
      <c r="J1880" t="s">
        <v>77</v>
      </c>
      <c r="K1880" t="s">
        <v>78</v>
      </c>
      <c r="L1880" t="s">
        <v>240</v>
      </c>
      <c r="M1880" t="s">
        <v>241</v>
      </c>
      <c r="N1880" t="s">
        <v>242</v>
      </c>
      <c r="O1880" t="s">
        <v>311</v>
      </c>
      <c r="P1880" t="str">
        <f>"4170048595                    "</f>
        <v xml:space="preserve">4170048595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17.66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6</v>
      </c>
      <c r="BJ1880">
        <v>3.3</v>
      </c>
      <c r="BK1880">
        <v>6</v>
      </c>
      <c r="BL1880">
        <v>55.63</v>
      </c>
      <c r="BM1880">
        <v>8.34</v>
      </c>
      <c r="BN1880">
        <v>63.97</v>
      </c>
      <c r="BO1880">
        <v>63.97</v>
      </c>
      <c r="BQ1880" t="s">
        <v>243</v>
      </c>
      <c r="BR1880" t="s">
        <v>84</v>
      </c>
      <c r="BS1880" s="3">
        <v>45853</v>
      </c>
      <c r="BT1880" s="4">
        <v>0.41736111111111113</v>
      </c>
      <c r="BU1880" t="s">
        <v>244</v>
      </c>
      <c r="BV1880" t="s">
        <v>98</v>
      </c>
      <c r="BY1880">
        <v>16416</v>
      </c>
      <c r="BZ1880" t="s">
        <v>99</v>
      </c>
      <c r="CA1880" t="s">
        <v>245</v>
      </c>
      <c r="CC1880" t="s">
        <v>241</v>
      </c>
      <c r="CD1880">
        <v>2091</v>
      </c>
      <c r="CE1880" t="s">
        <v>117</v>
      </c>
      <c r="CF1880" s="3">
        <v>45854</v>
      </c>
      <c r="CI1880">
        <v>1</v>
      </c>
      <c r="CJ1880">
        <v>1</v>
      </c>
      <c r="CK1880">
        <v>32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"080066548583"</f>
        <v>080066548583</v>
      </c>
      <c r="F1881" s="3">
        <v>45852</v>
      </c>
      <c r="G1881">
        <v>202604</v>
      </c>
      <c r="H1881" t="s">
        <v>75</v>
      </c>
      <c r="I1881" t="s">
        <v>76</v>
      </c>
      <c r="J1881" t="s">
        <v>77</v>
      </c>
      <c r="K1881" t="s">
        <v>78</v>
      </c>
      <c r="L1881" t="s">
        <v>79</v>
      </c>
      <c r="M1881" t="s">
        <v>80</v>
      </c>
      <c r="N1881" t="s">
        <v>662</v>
      </c>
      <c r="O1881" t="s">
        <v>82</v>
      </c>
      <c r="P1881" t="str">
        <f>"4170048587                    "</f>
        <v xml:space="preserve">4170048587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158.08000000000001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2</v>
      </c>
      <c r="BI1881">
        <v>14</v>
      </c>
      <c r="BJ1881">
        <v>14</v>
      </c>
      <c r="BK1881">
        <v>14</v>
      </c>
      <c r="BL1881">
        <v>498.04</v>
      </c>
      <c r="BM1881">
        <v>74.709999999999994</v>
      </c>
      <c r="BN1881">
        <v>572.75</v>
      </c>
      <c r="BO1881">
        <v>572.75</v>
      </c>
      <c r="BQ1881" t="s">
        <v>663</v>
      </c>
      <c r="BR1881" t="s">
        <v>84</v>
      </c>
      <c r="BS1881" s="3">
        <v>45853</v>
      </c>
      <c r="BT1881" s="4">
        <v>0.4284722222222222</v>
      </c>
      <c r="BU1881" t="s">
        <v>2436</v>
      </c>
      <c r="BV1881" t="s">
        <v>98</v>
      </c>
      <c r="BY1881">
        <v>69920</v>
      </c>
      <c r="BZ1881" t="s">
        <v>89</v>
      </c>
      <c r="CA1881" t="s">
        <v>665</v>
      </c>
      <c r="CC1881" t="s">
        <v>80</v>
      </c>
      <c r="CD1881">
        <v>7945</v>
      </c>
      <c r="CE1881" t="s">
        <v>117</v>
      </c>
      <c r="CF1881" s="3">
        <v>45854</v>
      </c>
      <c r="CI1881">
        <v>1</v>
      </c>
      <c r="CJ1881">
        <v>1</v>
      </c>
      <c r="CK1881">
        <v>21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"080066548762"</f>
        <v>080066548762</v>
      </c>
      <c r="F1882" s="3">
        <v>45852</v>
      </c>
      <c r="G1882">
        <v>202604</v>
      </c>
      <c r="H1882" t="s">
        <v>75</v>
      </c>
      <c r="I1882" t="s">
        <v>76</v>
      </c>
      <c r="J1882" t="s">
        <v>77</v>
      </c>
      <c r="K1882" t="s">
        <v>78</v>
      </c>
      <c r="L1882" t="s">
        <v>92</v>
      </c>
      <c r="M1882" t="s">
        <v>93</v>
      </c>
      <c r="N1882" t="s">
        <v>291</v>
      </c>
      <c r="O1882" t="s">
        <v>82</v>
      </c>
      <c r="P1882" t="str">
        <f>"4170048620                    "</f>
        <v xml:space="preserve">4170048620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22.6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71.2</v>
      </c>
      <c r="BM1882">
        <v>10.68</v>
      </c>
      <c r="BN1882">
        <v>81.88</v>
      </c>
      <c r="BO1882">
        <v>81.88</v>
      </c>
      <c r="BQ1882" t="s">
        <v>292</v>
      </c>
      <c r="BR1882" t="s">
        <v>84</v>
      </c>
      <c r="BS1882" s="3">
        <v>45853</v>
      </c>
      <c r="BT1882" s="4">
        <v>0.32222222222222224</v>
      </c>
      <c r="BU1882" t="s">
        <v>971</v>
      </c>
      <c r="BV1882" t="s">
        <v>98</v>
      </c>
      <c r="BY1882">
        <v>1200</v>
      </c>
      <c r="BZ1882" t="s">
        <v>89</v>
      </c>
      <c r="CA1882" t="s">
        <v>294</v>
      </c>
      <c r="CC1882" t="s">
        <v>93</v>
      </c>
      <c r="CD1882">
        <v>4051</v>
      </c>
      <c r="CE1882" t="s">
        <v>239</v>
      </c>
      <c r="CF1882" s="3">
        <v>45853</v>
      </c>
      <c r="CI1882">
        <v>1</v>
      </c>
      <c r="CJ1882">
        <v>1</v>
      </c>
      <c r="CK1882">
        <v>21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"080066549812"</f>
        <v>080066549812</v>
      </c>
      <c r="F1883" s="3">
        <v>45852</v>
      </c>
      <c r="G1883">
        <v>202604</v>
      </c>
      <c r="H1883" t="s">
        <v>75</v>
      </c>
      <c r="I1883" t="s">
        <v>76</v>
      </c>
      <c r="J1883" t="s">
        <v>77</v>
      </c>
      <c r="K1883" t="s">
        <v>78</v>
      </c>
      <c r="L1883" t="s">
        <v>75</v>
      </c>
      <c r="M1883" t="s">
        <v>76</v>
      </c>
      <c r="N1883" t="s">
        <v>619</v>
      </c>
      <c r="O1883" t="s">
        <v>82</v>
      </c>
      <c r="P1883" t="str">
        <f>"4170048616                    "</f>
        <v xml:space="preserve">4170048616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17.649999999999999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3.4</v>
      </c>
      <c r="BK1883">
        <v>4</v>
      </c>
      <c r="BL1883">
        <v>55.61</v>
      </c>
      <c r="BM1883">
        <v>8.34</v>
      </c>
      <c r="BN1883">
        <v>63.95</v>
      </c>
      <c r="BO1883">
        <v>63.95</v>
      </c>
      <c r="BQ1883" t="s">
        <v>620</v>
      </c>
      <c r="BR1883" t="s">
        <v>84</v>
      </c>
      <c r="BS1883" s="3">
        <v>45853</v>
      </c>
      <c r="BT1883" s="4">
        <v>0.375</v>
      </c>
      <c r="BU1883" t="s">
        <v>2437</v>
      </c>
      <c r="BV1883" t="s">
        <v>98</v>
      </c>
      <c r="BY1883">
        <v>17024</v>
      </c>
      <c r="BZ1883" t="s">
        <v>89</v>
      </c>
      <c r="CA1883" t="s">
        <v>213</v>
      </c>
      <c r="CC1883" t="s">
        <v>76</v>
      </c>
      <c r="CD1883">
        <v>1618</v>
      </c>
      <c r="CE1883" t="s">
        <v>117</v>
      </c>
      <c r="CF1883" s="3">
        <v>45854</v>
      </c>
      <c r="CI1883">
        <v>1</v>
      </c>
      <c r="CJ1883">
        <v>1</v>
      </c>
      <c r="CK1883">
        <v>22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"080066549878"</f>
        <v>080066549878</v>
      </c>
      <c r="F1884" s="3">
        <v>45852</v>
      </c>
      <c r="G1884">
        <v>202604</v>
      </c>
      <c r="H1884" t="s">
        <v>75</v>
      </c>
      <c r="I1884" t="s">
        <v>76</v>
      </c>
      <c r="J1884" t="s">
        <v>77</v>
      </c>
      <c r="K1884" t="s">
        <v>78</v>
      </c>
      <c r="L1884" t="s">
        <v>168</v>
      </c>
      <c r="M1884" t="s">
        <v>169</v>
      </c>
      <c r="N1884" t="s">
        <v>170</v>
      </c>
      <c r="O1884" t="s">
        <v>82</v>
      </c>
      <c r="P1884" t="str">
        <f>"4170048630                    "</f>
        <v xml:space="preserve">4170048630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79.05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7</v>
      </c>
      <c r="BJ1884">
        <v>3.2</v>
      </c>
      <c r="BK1884">
        <v>7</v>
      </c>
      <c r="BL1884">
        <v>249.05</v>
      </c>
      <c r="BM1884">
        <v>37.36</v>
      </c>
      <c r="BN1884">
        <v>286.41000000000003</v>
      </c>
      <c r="BO1884">
        <v>286.41000000000003</v>
      </c>
      <c r="BQ1884" t="s">
        <v>171</v>
      </c>
      <c r="BR1884" t="s">
        <v>84</v>
      </c>
      <c r="BS1884" s="3">
        <v>45853</v>
      </c>
      <c r="BT1884" s="4">
        <v>0.375</v>
      </c>
      <c r="BU1884" t="s">
        <v>2438</v>
      </c>
      <c r="BV1884" t="s">
        <v>98</v>
      </c>
      <c r="BY1884">
        <v>16128</v>
      </c>
      <c r="BZ1884" t="s">
        <v>89</v>
      </c>
      <c r="CA1884" t="s">
        <v>173</v>
      </c>
      <c r="CC1884" t="s">
        <v>169</v>
      </c>
      <c r="CD1884">
        <v>6001</v>
      </c>
      <c r="CE1884" t="s">
        <v>117</v>
      </c>
      <c r="CF1884" s="3">
        <v>45853</v>
      </c>
      <c r="CI1884">
        <v>1</v>
      </c>
      <c r="CJ1884">
        <v>1</v>
      </c>
      <c r="CK1884">
        <v>21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"080066549941"</f>
        <v>080066549941</v>
      </c>
      <c r="F1885" s="3">
        <v>45852</v>
      </c>
      <c r="G1885">
        <v>202604</v>
      </c>
      <c r="H1885" t="s">
        <v>75</v>
      </c>
      <c r="I1885" t="s">
        <v>76</v>
      </c>
      <c r="J1885" t="s">
        <v>77</v>
      </c>
      <c r="K1885" t="s">
        <v>78</v>
      </c>
      <c r="L1885" t="s">
        <v>79</v>
      </c>
      <c r="M1885" t="s">
        <v>80</v>
      </c>
      <c r="N1885" t="s">
        <v>188</v>
      </c>
      <c r="O1885" t="s">
        <v>82</v>
      </c>
      <c r="P1885" t="str">
        <f>"4170048615                    "</f>
        <v xml:space="preserve">4170048615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180.66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16</v>
      </c>
      <c r="BJ1885">
        <v>4.5</v>
      </c>
      <c r="BK1885">
        <v>16</v>
      </c>
      <c r="BL1885">
        <v>569.17999999999995</v>
      </c>
      <c r="BM1885">
        <v>85.38</v>
      </c>
      <c r="BN1885">
        <v>654.55999999999995</v>
      </c>
      <c r="BO1885">
        <v>654.55999999999995</v>
      </c>
      <c r="BQ1885" t="s">
        <v>189</v>
      </c>
      <c r="BR1885" t="s">
        <v>84</v>
      </c>
      <c r="BS1885" s="3">
        <v>45853</v>
      </c>
      <c r="BT1885" s="4">
        <v>0.37013888888888891</v>
      </c>
      <c r="BU1885" t="s">
        <v>2431</v>
      </c>
      <c r="BV1885" t="s">
        <v>98</v>
      </c>
      <c r="BY1885">
        <v>22620</v>
      </c>
      <c r="BZ1885" t="s">
        <v>89</v>
      </c>
      <c r="CA1885" t="s">
        <v>144</v>
      </c>
      <c r="CC1885" t="s">
        <v>80</v>
      </c>
      <c r="CD1885">
        <v>7441</v>
      </c>
      <c r="CE1885" t="s">
        <v>117</v>
      </c>
      <c r="CF1885" s="3">
        <v>45854</v>
      </c>
      <c r="CI1885">
        <v>1</v>
      </c>
      <c r="CJ1885">
        <v>1</v>
      </c>
      <c r="CK1885">
        <v>21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"080066549958"</f>
        <v>080066549958</v>
      </c>
      <c r="F1886" s="3">
        <v>45852</v>
      </c>
      <c r="G1886">
        <v>202604</v>
      </c>
      <c r="H1886" t="s">
        <v>75</v>
      </c>
      <c r="I1886" t="s">
        <v>76</v>
      </c>
      <c r="J1886" t="s">
        <v>77</v>
      </c>
      <c r="K1886" t="s">
        <v>78</v>
      </c>
      <c r="L1886" t="s">
        <v>75</v>
      </c>
      <c r="M1886" t="s">
        <v>76</v>
      </c>
      <c r="N1886" t="s">
        <v>2439</v>
      </c>
      <c r="O1886" t="s">
        <v>82</v>
      </c>
      <c r="P1886" t="str">
        <f>"4170048633                    "</f>
        <v xml:space="preserve">4170048633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17.649999999999999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0.3</v>
      </c>
      <c r="BK1886">
        <v>1</v>
      </c>
      <c r="BL1886">
        <v>55.61</v>
      </c>
      <c r="BM1886">
        <v>8.34</v>
      </c>
      <c r="BN1886">
        <v>63.95</v>
      </c>
      <c r="BO1886">
        <v>63.95</v>
      </c>
      <c r="BQ1886" t="s">
        <v>2440</v>
      </c>
      <c r="BR1886" t="s">
        <v>84</v>
      </c>
      <c r="BS1886" s="3">
        <v>45853</v>
      </c>
      <c r="BT1886" s="4">
        <v>0.37013888888888891</v>
      </c>
      <c r="BU1886" t="s">
        <v>2441</v>
      </c>
      <c r="BV1886" t="s">
        <v>98</v>
      </c>
      <c r="BY1886">
        <v>1350</v>
      </c>
      <c r="BZ1886" t="s">
        <v>89</v>
      </c>
      <c r="CA1886" t="s">
        <v>2442</v>
      </c>
      <c r="CC1886" t="s">
        <v>76</v>
      </c>
      <c r="CD1886">
        <v>1665</v>
      </c>
      <c r="CE1886" t="s">
        <v>1868</v>
      </c>
      <c r="CF1886" s="3">
        <v>45853</v>
      </c>
      <c r="CI1886">
        <v>1</v>
      </c>
      <c r="CJ1886">
        <v>1</v>
      </c>
      <c r="CK1886">
        <v>22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"080066549988"</f>
        <v>080066549988</v>
      </c>
      <c r="F1887" s="3">
        <v>45852</v>
      </c>
      <c r="G1887">
        <v>202604</v>
      </c>
      <c r="H1887" t="s">
        <v>75</v>
      </c>
      <c r="I1887" t="s">
        <v>76</v>
      </c>
      <c r="J1887" t="s">
        <v>77</v>
      </c>
      <c r="K1887" t="s">
        <v>78</v>
      </c>
      <c r="L1887" t="s">
        <v>75</v>
      </c>
      <c r="M1887" t="s">
        <v>76</v>
      </c>
      <c r="N1887" t="s">
        <v>1039</v>
      </c>
      <c r="O1887" t="s">
        <v>82</v>
      </c>
      <c r="P1887" t="str">
        <f>"4170048647                    "</f>
        <v xml:space="preserve">4170048647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17.649999999999999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0.3</v>
      </c>
      <c r="BK1887">
        <v>1</v>
      </c>
      <c r="BL1887">
        <v>55.61</v>
      </c>
      <c r="BM1887">
        <v>8.34</v>
      </c>
      <c r="BN1887">
        <v>63.95</v>
      </c>
      <c r="BO1887">
        <v>63.95</v>
      </c>
      <c r="BQ1887" t="s">
        <v>1040</v>
      </c>
      <c r="BR1887" t="s">
        <v>84</v>
      </c>
      <c r="BS1887" s="3">
        <v>45853</v>
      </c>
      <c r="BT1887" s="4">
        <v>0.33888888888888891</v>
      </c>
      <c r="BU1887" t="s">
        <v>2443</v>
      </c>
      <c r="BV1887" t="s">
        <v>98</v>
      </c>
      <c r="BY1887">
        <v>1350</v>
      </c>
      <c r="BZ1887" t="s">
        <v>89</v>
      </c>
      <c r="CA1887" t="s">
        <v>2444</v>
      </c>
      <c r="CC1887" t="s">
        <v>76</v>
      </c>
      <c r="CD1887">
        <v>1609</v>
      </c>
      <c r="CE1887" t="s">
        <v>1868</v>
      </c>
      <c r="CF1887" s="3">
        <v>45854</v>
      </c>
      <c r="CI1887">
        <v>1</v>
      </c>
      <c r="CJ1887">
        <v>1</v>
      </c>
      <c r="CK1887">
        <v>22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"080066549998"</f>
        <v>080066549998</v>
      </c>
      <c r="F1888" s="3">
        <v>45852</v>
      </c>
      <c r="G1888">
        <v>202604</v>
      </c>
      <c r="H1888" t="s">
        <v>75</v>
      </c>
      <c r="I1888" t="s">
        <v>76</v>
      </c>
      <c r="J1888" t="s">
        <v>77</v>
      </c>
      <c r="K1888" t="s">
        <v>78</v>
      </c>
      <c r="L1888" t="s">
        <v>79</v>
      </c>
      <c r="M1888" t="s">
        <v>80</v>
      </c>
      <c r="N1888" t="s">
        <v>159</v>
      </c>
      <c r="O1888" t="s">
        <v>82</v>
      </c>
      <c r="P1888" t="str">
        <f>"4170048651                    "</f>
        <v xml:space="preserve">4170048651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28.24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</v>
      </c>
      <c r="BJ1888">
        <v>2.2000000000000002</v>
      </c>
      <c r="BK1888">
        <v>2.5</v>
      </c>
      <c r="BL1888">
        <v>88.98</v>
      </c>
      <c r="BM1888">
        <v>13.35</v>
      </c>
      <c r="BN1888">
        <v>102.33</v>
      </c>
      <c r="BO1888">
        <v>102.33</v>
      </c>
      <c r="BQ1888" t="s">
        <v>160</v>
      </c>
      <c r="BR1888" t="s">
        <v>84</v>
      </c>
      <c r="BS1888" s="3">
        <v>45853</v>
      </c>
      <c r="BT1888" s="4">
        <v>0.40416666666666667</v>
      </c>
      <c r="BU1888" t="s">
        <v>161</v>
      </c>
      <c r="BV1888" t="s">
        <v>98</v>
      </c>
      <c r="BY1888">
        <v>11172</v>
      </c>
      <c r="BZ1888" t="s">
        <v>89</v>
      </c>
      <c r="CA1888" t="s">
        <v>162</v>
      </c>
      <c r="CC1888" t="s">
        <v>80</v>
      </c>
      <c r="CD1888">
        <v>7441</v>
      </c>
      <c r="CE1888" t="s">
        <v>117</v>
      </c>
      <c r="CF1888" s="3">
        <v>45854</v>
      </c>
      <c r="CI1888">
        <v>1</v>
      </c>
      <c r="CJ1888">
        <v>1</v>
      </c>
      <c r="CK1888">
        <v>21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"080066550042"</f>
        <v>080066550042</v>
      </c>
      <c r="F1889" s="3">
        <v>45852</v>
      </c>
      <c r="G1889">
        <v>202604</v>
      </c>
      <c r="H1889" t="s">
        <v>75</v>
      </c>
      <c r="I1889" t="s">
        <v>76</v>
      </c>
      <c r="J1889" t="s">
        <v>77</v>
      </c>
      <c r="K1889" t="s">
        <v>78</v>
      </c>
      <c r="L1889" t="s">
        <v>75</v>
      </c>
      <c r="M1889" t="s">
        <v>76</v>
      </c>
      <c r="N1889" t="s">
        <v>622</v>
      </c>
      <c r="O1889" t="s">
        <v>82</v>
      </c>
      <c r="P1889" t="str">
        <f>"4170048650                    "</f>
        <v xml:space="preserve">4170048650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17.649999999999999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0.3</v>
      </c>
      <c r="BK1889">
        <v>1</v>
      </c>
      <c r="BL1889">
        <v>55.61</v>
      </c>
      <c r="BM1889">
        <v>8.34</v>
      </c>
      <c r="BN1889">
        <v>63.95</v>
      </c>
      <c r="BO1889">
        <v>63.95</v>
      </c>
      <c r="BQ1889" t="s">
        <v>623</v>
      </c>
      <c r="BR1889" t="s">
        <v>84</v>
      </c>
      <c r="BS1889" s="3">
        <v>45853</v>
      </c>
      <c r="BT1889" s="4">
        <v>0.4236111111111111</v>
      </c>
      <c r="BU1889" t="s">
        <v>2445</v>
      </c>
      <c r="BV1889" t="s">
        <v>98</v>
      </c>
      <c r="BY1889">
        <v>1350</v>
      </c>
      <c r="BZ1889" t="s">
        <v>89</v>
      </c>
      <c r="CA1889" t="s">
        <v>304</v>
      </c>
      <c r="CC1889" t="s">
        <v>76</v>
      </c>
      <c r="CD1889">
        <v>1601</v>
      </c>
      <c r="CE1889" t="s">
        <v>1868</v>
      </c>
      <c r="CF1889" s="3">
        <v>45853</v>
      </c>
      <c r="CI1889">
        <v>1</v>
      </c>
      <c r="CJ1889">
        <v>1</v>
      </c>
      <c r="CK1889">
        <v>22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"080066550055"</f>
        <v>080066550055</v>
      </c>
      <c r="F1890" s="3">
        <v>45852</v>
      </c>
      <c r="G1890">
        <v>202604</v>
      </c>
      <c r="H1890" t="s">
        <v>75</v>
      </c>
      <c r="I1890" t="s">
        <v>76</v>
      </c>
      <c r="J1890" t="s">
        <v>77</v>
      </c>
      <c r="K1890" t="s">
        <v>78</v>
      </c>
      <c r="L1890" t="s">
        <v>79</v>
      </c>
      <c r="M1890" t="s">
        <v>80</v>
      </c>
      <c r="N1890" t="s">
        <v>931</v>
      </c>
      <c r="O1890" t="s">
        <v>82</v>
      </c>
      <c r="P1890" t="str">
        <f>"4170048631                    "</f>
        <v xml:space="preserve">4170048631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22.6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1.3</v>
      </c>
      <c r="BK1890">
        <v>1.5</v>
      </c>
      <c r="BL1890">
        <v>71.2</v>
      </c>
      <c r="BM1890">
        <v>10.68</v>
      </c>
      <c r="BN1890">
        <v>81.88</v>
      </c>
      <c r="BO1890">
        <v>81.88</v>
      </c>
      <c r="BQ1890" t="s">
        <v>932</v>
      </c>
      <c r="BR1890" t="s">
        <v>84</v>
      </c>
      <c r="BS1890" s="3">
        <v>45853</v>
      </c>
      <c r="BT1890" s="4">
        <v>0.38194444444444442</v>
      </c>
      <c r="BU1890" t="s">
        <v>2310</v>
      </c>
      <c r="BV1890" t="s">
        <v>98</v>
      </c>
      <c r="BY1890">
        <v>6384</v>
      </c>
      <c r="BZ1890" t="s">
        <v>89</v>
      </c>
      <c r="CA1890" t="s">
        <v>2311</v>
      </c>
      <c r="CC1890" t="s">
        <v>80</v>
      </c>
      <c r="CD1890">
        <v>7535</v>
      </c>
      <c r="CE1890" t="s">
        <v>117</v>
      </c>
      <c r="CF1890" s="3">
        <v>45854</v>
      </c>
      <c r="CI1890">
        <v>1</v>
      </c>
      <c r="CJ1890">
        <v>1</v>
      </c>
      <c r="CK1890">
        <v>21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"080066550070"</f>
        <v>080066550070</v>
      </c>
      <c r="F1891" s="3">
        <v>45852</v>
      </c>
      <c r="G1891">
        <v>202604</v>
      </c>
      <c r="H1891" t="s">
        <v>75</v>
      </c>
      <c r="I1891" t="s">
        <v>76</v>
      </c>
      <c r="J1891" t="s">
        <v>77</v>
      </c>
      <c r="K1891" t="s">
        <v>78</v>
      </c>
      <c r="L1891" t="s">
        <v>79</v>
      </c>
      <c r="M1891" t="s">
        <v>80</v>
      </c>
      <c r="N1891" t="s">
        <v>931</v>
      </c>
      <c r="O1891" t="s">
        <v>82</v>
      </c>
      <c r="P1891" t="str">
        <f>"4170048648                    "</f>
        <v xml:space="preserve">4170048648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22.6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0.3</v>
      </c>
      <c r="BK1891">
        <v>1</v>
      </c>
      <c r="BL1891">
        <v>71.2</v>
      </c>
      <c r="BM1891">
        <v>10.68</v>
      </c>
      <c r="BN1891">
        <v>81.88</v>
      </c>
      <c r="BO1891">
        <v>81.88</v>
      </c>
      <c r="BQ1891" t="s">
        <v>932</v>
      </c>
      <c r="BR1891" t="s">
        <v>84</v>
      </c>
      <c r="BS1891" s="3">
        <v>45853</v>
      </c>
      <c r="BT1891" s="4">
        <v>0.38194444444444442</v>
      </c>
      <c r="BU1891" t="s">
        <v>2310</v>
      </c>
      <c r="BV1891" t="s">
        <v>98</v>
      </c>
      <c r="BY1891">
        <v>1350</v>
      </c>
      <c r="BZ1891" t="s">
        <v>89</v>
      </c>
      <c r="CA1891" t="s">
        <v>2311</v>
      </c>
      <c r="CC1891" t="s">
        <v>80</v>
      </c>
      <c r="CD1891">
        <v>7535</v>
      </c>
      <c r="CE1891" t="s">
        <v>1868</v>
      </c>
      <c r="CF1891" s="3">
        <v>45854</v>
      </c>
      <c r="CI1891">
        <v>1</v>
      </c>
      <c r="CJ1891">
        <v>1</v>
      </c>
      <c r="CK1891">
        <v>21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"080066550102"</f>
        <v>080066550102</v>
      </c>
      <c r="F1892" s="3">
        <v>45852</v>
      </c>
      <c r="G1892">
        <v>202604</v>
      </c>
      <c r="H1892" t="s">
        <v>75</v>
      </c>
      <c r="I1892" t="s">
        <v>76</v>
      </c>
      <c r="J1892" t="s">
        <v>77</v>
      </c>
      <c r="K1892" t="s">
        <v>78</v>
      </c>
      <c r="L1892" t="s">
        <v>151</v>
      </c>
      <c r="M1892" t="s">
        <v>152</v>
      </c>
      <c r="N1892" t="s">
        <v>2446</v>
      </c>
      <c r="O1892" t="s">
        <v>82</v>
      </c>
      <c r="P1892" t="str">
        <f>"4170048639                    "</f>
        <v xml:space="preserve">4170048639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22.6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1.3</v>
      </c>
      <c r="BK1892">
        <v>1.5</v>
      </c>
      <c r="BL1892">
        <v>71.2</v>
      </c>
      <c r="BM1892">
        <v>10.68</v>
      </c>
      <c r="BN1892">
        <v>81.88</v>
      </c>
      <c r="BO1892">
        <v>81.88</v>
      </c>
      <c r="BQ1892" t="s">
        <v>2447</v>
      </c>
      <c r="BR1892" t="s">
        <v>84</v>
      </c>
      <c r="BS1892" s="3">
        <v>45853</v>
      </c>
      <c r="BT1892" s="4">
        <v>0.38055555555555554</v>
      </c>
      <c r="BU1892" t="s">
        <v>2448</v>
      </c>
      <c r="BV1892" t="s">
        <v>98</v>
      </c>
      <c r="BY1892">
        <v>6384</v>
      </c>
      <c r="BZ1892" t="s">
        <v>89</v>
      </c>
      <c r="CA1892" t="s">
        <v>716</v>
      </c>
      <c r="CC1892" t="s">
        <v>152</v>
      </c>
      <c r="CD1892" s="5" t="s">
        <v>717</v>
      </c>
      <c r="CE1892" t="s">
        <v>117</v>
      </c>
      <c r="CF1892" s="3">
        <v>45853</v>
      </c>
      <c r="CI1892">
        <v>1</v>
      </c>
      <c r="CJ1892">
        <v>1</v>
      </c>
      <c r="CK1892">
        <v>21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"080066550104"</f>
        <v>080066550104</v>
      </c>
      <c r="F1893" s="3">
        <v>45852</v>
      </c>
      <c r="G1893">
        <v>202604</v>
      </c>
      <c r="H1893" t="s">
        <v>75</v>
      </c>
      <c r="I1893" t="s">
        <v>76</v>
      </c>
      <c r="J1893" t="s">
        <v>77</v>
      </c>
      <c r="K1893" t="s">
        <v>78</v>
      </c>
      <c r="L1893" t="s">
        <v>135</v>
      </c>
      <c r="M1893" t="s">
        <v>136</v>
      </c>
      <c r="N1893" t="s">
        <v>2213</v>
      </c>
      <c r="O1893" t="s">
        <v>82</v>
      </c>
      <c r="P1893" t="str">
        <f>"4170048623                    "</f>
        <v xml:space="preserve">4170048623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22.6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0.3</v>
      </c>
      <c r="BK1893">
        <v>1</v>
      </c>
      <c r="BL1893">
        <v>71.2</v>
      </c>
      <c r="BM1893">
        <v>10.68</v>
      </c>
      <c r="BN1893">
        <v>81.88</v>
      </c>
      <c r="BO1893">
        <v>81.88</v>
      </c>
      <c r="BQ1893" t="s">
        <v>2214</v>
      </c>
      <c r="BR1893" t="s">
        <v>84</v>
      </c>
      <c r="BS1893" s="3">
        <v>45853</v>
      </c>
      <c r="BT1893" s="4">
        <v>0.41666666666666669</v>
      </c>
      <c r="BU1893" t="s">
        <v>2449</v>
      </c>
      <c r="BV1893" t="s">
        <v>98</v>
      </c>
      <c r="BY1893">
        <v>1350</v>
      </c>
      <c r="BZ1893" t="s">
        <v>89</v>
      </c>
      <c r="CA1893" t="s">
        <v>1169</v>
      </c>
      <c r="CC1893" t="s">
        <v>136</v>
      </c>
      <c r="CD1893">
        <v>3200</v>
      </c>
      <c r="CE1893" t="s">
        <v>1868</v>
      </c>
      <c r="CF1893" s="3">
        <v>45853</v>
      </c>
      <c r="CI1893">
        <v>1</v>
      </c>
      <c r="CJ1893">
        <v>1</v>
      </c>
      <c r="CK1893">
        <v>21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"080066550128"</f>
        <v>080066550128</v>
      </c>
      <c r="F1894" s="3">
        <v>45852</v>
      </c>
      <c r="G1894">
        <v>202604</v>
      </c>
      <c r="H1894" t="s">
        <v>75</v>
      </c>
      <c r="I1894" t="s">
        <v>76</v>
      </c>
      <c r="J1894" t="s">
        <v>77</v>
      </c>
      <c r="K1894" t="s">
        <v>78</v>
      </c>
      <c r="L1894" t="s">
        <v>168</v>
      </c>
      <c r="M1894" t="s">
        <v>169</v>
      </c>
      <c r="N1894" t="s">
        <v>2450</v>
      </c>
      <c r="O1894" t="s">
        <v>82</v>
      </c>
      <c r="P1894" t="str">
        <f>"4170048626                    "</f>
        <v xml:space="preserve">4170048626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22.6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0.3</v>
      </c>
      <c r="BK1894">
        <v>1</v>
      </c>
      <c r="BL1894">
        <v>71.2</v>
      </c>
      <c r="BM1894">
        <v>10.68</v>
      </c>
      <c r="BN1894">
        <v>81.88</v>
      </c>
      <c r="BO1894">
        <v>81.88</v>
      </c>
      <c r="BQ1894" t="s">
        <v>2451</v>
      </c>
      <c r="BR1894" t="s">
        <v>84</v>
      </c>
      <c r="BS1894" s="3">
        <v>45853</v>
      </c>
      <c r="BT1894" s="4">
        <v>0.38680555555555557</v>
      </c>
      <c r="BU1894" t="s">
        <v>2452</v>
      </c>
      <c r="BV1894" t="s">
        <v>98</v>
      </c>
      <c r="BY1894">
        <v>1350</v>
      </c>
      <c r="BZ1894" t="s">
        <v>89</v>
      </c>
      <c r="CA1894" t="s">
        <v>173</v>
      </c>
      <c r="CC1894" t="s">
        <v>169</v>
      </c>
      <c r="CD1894">
        <v>6001</v>
      </c>
      <c r="CE1894" t="s">
        <v>1868</v>
      </c>
      <c r="CF1894" s="3">
        <v>45853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"080066550160"</f>
        <v>080066550160</v>
      </c>
      <c r="F1895" s="3">
        <v>45852</v>
      </c>
      <c r="G1895">
        <v>202604</v>
      </c>
      <c r="H1895" t="s">
        <v>75</v>
      </c>
      <c r="I1895" t="s">
        <v>76</v>
      </c>
      <c r="J1895" t="s">
        <v>77</v>
      </c>
      <c r="K1895" t="s">
        <v>78</v>
      </c>
      <c r="L1895" t="s">
        <v>1462</v>
      </c>
      <c r="M1895" t="s">
        <v>1463</v>
      </c>
      <c r="N1895" t="s">
        <v>2453</v>
      </c>
      <c r="O1895" t="s">
        <v>82</v>
      </c>
      <c r="P1895" t="str">
        <f>"4170048635                    "</f>
        <v xml:space="preserve">4170048635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43.78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1.3</v>
      </c>
      <c r="BK1895">
        <v>1.5</v>
      </c>
      <c r="BL1895">
        <v>137.94</v>
      </c>
      <c r="BM1895">
        <v>20.69</v>
      </c>
      <c r="BN1895">
        <v>158.63</v>
      </c>
      <c r="BO1895">
        <v>158.63</v>
      </c>
      <c r="BQ1895" t="s">
        <v>2454</v>
      </c>
      <c r="BR1895" t="s">
        <v>84</v>
      </c>
      <c r="BS1895" s="3">
        <v>45854</v>
      </c>
      <c r="BT1895" s="4">
        <v>0.41666666666666669</v>
      </c>
      <c r="BU1895" t="s">
        <v>2455</v>
      </c>
      <c r="BV1895" t="s">
        <v>86</v>
      </c>
      <c r="BY1895">
        <v>6384</v>
      </c>
      <c r="BZ1895" t="s">
        <v>89</v>
      </c>
      <c r="CA1895" t="s">
        <v>2015</v>
      </c>
      <c r="CC1895" t="s">
        <v>1463</v>
      </c>
      <c r="CD1895">
        <v>3280</v>
      </c>
      <c r="CE1895" t="s">
        <v>117</v>
      </c>
      <c r="CF1895" s="3">
        <v>45855</v>
      </c>
      <c r="CI1895">
        <v>1</v>
      </c>
      <c r="CJ1895">
        <v>2</v>
      </c>
      <c r="CK1895">
        <v>23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"080066550167"</f>
        <v>080066550167</v>
      </c>
      <c r="F1896" s="3">
        <v>45852</v>
      </c>
      <c r="G1896">
        <v>202604</v>
      </c>
      <c r="H1896" t="s">
        <v>75</v>
      </c>
      <c r="I1896" t="s">
        <v>76</v>
      </c>
      <c r="J1896" t="s">
        <v>77</v>
      </c>
      <c r="K1896" t="s">
        <v>78</v>
      </c>
      <c r="L1896" t="s">
        <v>135</v>
      </c>
      <c r="M1896" t="s">
        <v>136</v>
      </c>
      <c r="N1896" t="s">
        <v>2456</v>
      </c>
      <c r="O1896" t="s">
        <v>82</v>
      </c>
      <c r="P1896" t="str">
        <f>"4170048618                    "</f>
        <v xml:space="preserve">4170048618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22.6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16.739999999999998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0.3</v>
      </c>
      <c r="BK1896">
        <v>1</v>
      </c>
      <c r="BL1896">
        <v>87.94</v>
      </c>
      <c r="BM1896">
        <v>13.19</v>
      </c>
      <c r="BN1896">
        <v>101.13</v>
      </c>
      <c r="BO1896">
        <v>101.13</v>
      </c>
      <c r="BQ1896" t="s">
        <v>2457</v>
      </c>
      <c r="BR1896" t="s">
        <v>84</v>
      </c>
      <c r="BS1896" s="3">
        <v>45853</v>
      </c>
      <c r="BT1896" s="4">
        <v>0.41666666666666669</v>
      </c>
      <c r="BU1896" t="s">
        <v>1869</v>
      </c>
      <c r="BV1896" t="s">
        <v>98</v>
      </c>
      <c r="BY1896">
        <v>1350</v>
      </c>
      <c r="BZ1896" t="s">
        <v>460</v>
      </c>
      <c r="CA1896" t="s">
        <v>140</v>
      </c>
      <c r="CC1896" t="s">
        <v>136</v>
      </c>
      <c r="CD1896">
        <v>3699</v>
      </c>
      <c r="CE1896" t="s">
        <v>1868</v>
      </c>
      <c r="CF1896" s="3">
        <v>45854</v>
      </c>
      <c r="CI1896">
        <v>1</v>
      </c>
      <c r="CJ1896">
        <v>1</v>
      </c>
      <c r="CK1896">
        <v>21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"080066550263"</f>
        <v>080066550263</v>
      </c>
      <c r="F1897" s="3">
        <v>45852</v>
      </c>
      <c r="G1897">
        <v>202604</v>
      </c>
      <c r="H1897" t="s">
        <v>75</v>
      </c>
      <c r="I1897" t="s">
        <v>76</v>
      </c>
      <c r="J1897" t="s">
        <v>77</v>
      </c>
      <c r="K1897" t="s">
        <v>78</v>
      </c>
      <c r="L1897" t="s">
        <v>135</v>
      </c>
      <c r="M1897" t="s">
        <v>136</v>
      </c>
      <c r="N1897" t="s">
        <v>346</v>
      </c>
      <c r="O1897" t="s">
        <v>82</v>
      </c>
      <c r="P1897" t="str">
        <f>"4170048624                    "</f>
        <v xml:space="preserve">4170048624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90.34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2</v>
      </c>
      <c r="BI1897">
        <v>8</v>
      </c>
      <c r="BJ1897">
        <v>4.8</v>
      </c>
      <c r="BK1897">
        <v>8</v>
      </c>
      <c r="BL1897">
        <v>284.62</v>
      </c>
      <c r="BM1897">
        <v>42.69</v>
      </c>
      <c r="BN1897">
        <v>327.31</v>
      </c>
      <c r="BO1897">
        <v>327.31</v>
      </c>
      <c r="BQ1897" t="s">
        <v>347</v>
      </c>
      <c r="BR1897" t="s">
        <v>84</v>
      </c>
      <c r="BS1897" s="3">
        <v>45853</v>
      </c>
      <c r="BT1897" s="4">
        <v>0.41666666666666669</v>
      </c>
      <c r="BU1897" t="s">
        <v>2449</v>
      </c>
      <c r="BV1897" t="s">
        <v>98</v>
      </c>
      <c r="BY1897">
        <v>23782</v>
      </c>
      <c r="BZ1897" t="s">
        <v>89</v>
      </c>
      <c r="CA1897" t="s">
        <v>1169</v>
      </c>
      <c r="CC1897" t="s">
        <v>136</v>
      </c>
      <c r="CD1897">
        <v>3201</v>
      </c>
      <c r="CE1897" t="s">
        <v>117</v>
      </c>
      <c r="CF1897" s="3">
        <v>45853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"080066550404"</f>
        <v>080066550404</v>
      </c>
      <c r="F1898" s="3">
        <v>45852</v>
      </c>
      <c r="G1898">
        <v>202604</v>
      </c>
      <c r="H1898" t="s">
        <v>75</v>
      </c>
      <c r="I1898" t="s">
        <v>76</v>
      </c>
      <c r="J1898" t="s">
        <v>77</v>
      </c>
      <c r="K1898" t="s">
        <v>78</v>
      </c>
      <c r="L1898" t="s">
        <v>260</v>
      </c>
      <c r="M1898" t="s">
        <v>261</v>
      </c>
      <c r="N1898" t="s">
        <v>1315</v>
      </c>
      <c r="O1898" t="s">
        <v>82</v>
      </c>
      <c r="P1898" t="str">
        <f>"4170048641                    "</f>
        <v xml:space="preserve">4170048641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43.78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0.3</v>
      </c>
      <c r="BK1898">
        <v>1</v>
      </c>
      <c r="BL1898">
        <v>137.94</v>
      </c>
      <c r="BM1898">
        <v>20.69</v>
      </c>
      <c r="BN1898">
        <v>158.63</v>
      </c>
      <c r="BO1898">
        <v>158.63</v>
      </c>
      <c r="BQ1898" t="s">
        <v>1316</v>
      </c>
      <c r="BR1898" t="s">
        <v>84</v>
      </c>
      <c r="BS1898" s="3">
        <v>45853</v>
      </c>
      <c r="BT1898" s="4">
        <v>0.41875000000000001</v>
      </c>
      <c r="BU1898" t="s">
        <v>2458</v>
      </c>
      <c r="BV1898" t="s">
        <v>98</v>
      </c>
      <c r="BY1898">
        <v>1350</v>
      </c>
      <c r="BZ1898" t="s">
        <v>89</v>
      </c>
      <c r="CA1898" t="s">
        <v>375</v>
      </c>
      <c r="CC1898" t="s">
        <v>261</v>
      </c>
      <c r="CD1898">
        <v>1939</v>
      </c>
      <c r="CE1898" t="s">
        <v>1868</v>
      </c>
      <c r="CF1898" s="3">
        <v>45853</v>
      </c>
      <c r="CI1898">
        <v>1</v>
      </c>
      <c r="CJ1898">
        <v>1</v>
      </c>
      <c r="CK1898">
        <v>23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"080066550451"</f>
        <v>080066550451</v>
      </c>
      <c r="F1899" s="3">
        <v>45852</v>
      </c>
      <c r="G1899">
        <v>202604</v>
      </c>
      <c r="H1899" t="s">
        <v>75</v>
      </c>
      <c r="I1899" t="s">
        <v>76</v>
      </c>
      <c r="J1899" t="s">
        <v>77</v>
      </c>
      <c r="K1899" t="s">
        <v>78</v>
      </c>
      <c r="L1899" t="s">
        <v>197</v>
      </c>
      <c r="M1899" t="s">
        <v>198</v>
      </c>
      <c r="N1899" t="s">
        <v>2459</v>
      </c>
      <c r="O1899" t="s">
        <v>82</v>
      </c>
      <c r="P1899" t="str">
        <f>"4170048632                    "</f>
        <v xml:space="preserve">4170048632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17.649999999999999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0.3</v>
      </c>
      <c r="BK1899">
        <v>1</v>
      </c>
      <c r="BL1899">
        <v>55.61</v>
      </c>
      <c r="BM1899">
        <v>8.34</v>
      </c>
      <c r="BN1899">
        <v>63.95</v>
      </c>
      <c r="BO1899">
        <v>63.95</v>
      </c>
      <c r="BQ1899" t="s">
        <v>2460</v>
      </c>
      <c r="BR1899" t="s">
        <v>84</v>
      </c>
      <c r="BS1899" s="3">
        <v>45853</v>
      </c>
      <c r="BT1899" s="4">
        <v>0.43055555555555558</v>
      </c>
      <c r="BU1899" t="s">
        <v>2461</v>
      </c>
      <c r="BV1899" t="s">
        <v>98</v>
      </c>
      <c r="BY1899">
        <v>1350</v>
      </c>
      <c r="BZ1899" t="s">
        <v>89</v>
      </c>
      <c r="CA1899" t="s">
        <v>2346</v>
      </c>
      <c r="CC1899" t="s">
        <v>198</v>
      </c>
      <c r="CD1899">
        <v>1406</v>
      </c>
      <c r="CE1899" t="s">
        <v>1868</v>
      </c>
      <c r="CF1899" s="3">
        <v>45854</v>
      </c>
      <c r="CI1899">
        <v>1</v>
      </c>
      <c r="CJ1899">
        <v>1</v>
      </c>
      <c r="CK1899">
        <v>22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"080066550548"</f>
        <v>080066550548</v>
      </c>
      <c r="F1900" s="3">
        <v>45852</v>
      </c>
      <c r="G1900">
        <v>202604</v>
      </c>
      <c r="H1900" t="s">
        <v>75</v>
      </c>
      <c r="I1900" t="s">
        <v>76</v>
      </c>
      <c r="J1900" t="s">
        <v>77</v>
      </c>
      <c r="K1900" t="s">
        <v>78</v>
      </c>
      <c r="L1900" t="s">
        <v>92</v>
      </c>
      <c r="M1900" t="s">
        <v>93</v>
      </c>
      <c r="N1900" t="s">
        <v>291</v>
      </c>
      <c r="O1900" t="s">
        <v>82</v>
      </c>
      <c r="P1900" t="str">
        <f>"4170048637                    "</f>
        <v xml:space="preserve">4170048637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22.6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0.6</v>
      </c>
      <c r="BK1900">
        <v>1</v>
      </c>
      <c r="BL1900">
        <v>71.2</v>
      </c>
      <c r="BM1900">
        <v>10.68</v>
      </c>
      <c r="BN1900">
        <v>81.88</v>
      </c>
      <c r="BO1900">
        <v>81.88</v>
      </c>
      <c r="BQ1900" t="s">
        <v>292</v>
      </c>
      <c r="BR1900" t="s">
        <v>84</v>
      </c>
      <c r="BS1900" s="3">
        <v>45853</v>
      </c>
      <c r="BT1900" s="4">
        <v>0.32222222222222224</v>
      </c>
      <c r="BU1900" t="s">
        <v>971</v>
      </c>
      <c r="BV1900" t="s">
        <v>98</v>
      </c>
      <c r="BY1900">
        <v>3192</v>
      </c>
      <c r="BZ1900" t="s">
        <v>89</v>
      </c>
      <c r="CA1900" t="s">
        <v>294</v>
      </c>
      <c r="CC1900" t="s">
        <v>93</v>
      </c>
      <c r="CD1900">
        <v>4051</v>
      </c>
      <c r="CE1900" t="s">
        <v>266</v>
      </c>
      <c r="CF1900" s="3">
        <v>45853</v>
      </c>
      <c r="CI1900">
        <v>1</v>
      </c>
      <c r="CJ1900">
        <v>1</v>
      </c>
      <c r="CK1900">
        <v>21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"080066550570"</f>
        <v>080066550570</v>
      </c>
      <c r="F1901" s="3">
        <v>45852</v>
      </c>
      <c r="G1901">
        <v>202604</v>
      </c>
      <c r="H1901" t="s">
        <v>75</v>
      </c>
      <c r="I1901" t="s">
        <v>76</v>
      </c>
      <c r="J1901" t="s">
        <v>77</v>
      </c>
      <c r="K1901" t="s">
        <v>78</v>
      </c>
      <c r="L1901" t="s">
        <v>168</v>
      </c>
      <c r="M1901" t="s">
        <v>169</v>
      </c>
      <c r="N1901" t="s">
        <v>420</v>
      </c>
      <c r="O1901" t="s">
        <v>82</v>
      </c>
      <c r="P1901" t="str">
        <f>"4170048619                    "</f>
        <v xml:space="preserve">4170048619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22.6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0.3</v>
      </c>
      <c r="BK1901">
        <v>1</v>
      </c>
      <c r="BL1901">
        <v>71.2</v>
      </c>
      <c r="BM1901">
        <v>10.68</v>
      </c>
      <c r="BN1901">
        <v>81.88</v>
      </c>
      <c r="BO1901">
        <v>81.88</v>
      </c>
      <c r="BQ1901" t="s">
        <v>421</v>
      </c>
      <c r="BR1901" t="s">
        <v>84</v>
      </c>
      <c r="BS1901" s="3">
        <v>45853</v>
      </c>
      <c r="BT1901" s="4">
        <v>0.40208333333333335</v>
      </c>
      <c r="BU1901" t="s">
        <v>422</v>
      </c>
      <c r="BV1901" t="s">
        <v>98</v>
      </c>
      <c r="BY1901">
        <v>1350</v>
      </c>
      <c r="BZ1901" t="s">
        <v>89</v>
      </c>
      <c r="CA1901" t="s">
        <v>423</v>
      </c>
      <c r="CC1901" t="s">
        <v>169</v>
      </c>
      <c r="CD1901">
        <v>6001</v>
      </c>
      <c r="CE1901" t="s">
        <v>1868</v>
      </c>
      <c r="CF1901" s="3">
        <v>45853</v>
      </c>
      <c r="CI1901">
        <v>1</v>
      </c>
      <c r="CJ1901">
        <v>1</v>
      </c>
      <c r="CK1901">
        <v>21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"080066550701"</f>
        <v>080066550701</v>
      </c>
      <c r="F1902" s="3">
        <v>45852</v>
      </c>
      <c r="G1902">
        <v>202604</v>
      </c>
      <c r="H1902" t="s">
        <v>75</v>
      </c>
      <c r="I1902" t="s">
        <v>76</v>
      </c>
      <c r="J1902" t="s">
        <v>77</v>
      </c>
      <c r="K1902" t="s">
        <v>78</v>
      </c>
      <c r="L1902" t="s">
        <v>252</v>
      </c>
      <c r="M1902" t="s">
        <v>253</v>
      </c>
      <c r="N1902" t="s">
        <v>254</v>
      </c>
      <c r="O1902" t="s">
        <v>82</v>
      </c>
      <c r="P1902" t="str">
        <f>"4170048643                    "</f>
        <v xml:space="preserve">4170048643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43.78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137.94</v>
      </c>
      <c r="BM1902">
        <v>20.69</v>
      </c>
      <c r="BN1902">
        <v>158.63</v>
      </c>
      <c r="BO1902">
        <v>158.63</v>
      </c>
      <c r="BQ1902" t="s">
        <v>255</v>
      </c>
      <c r="BR1902" t="s">
        <v>84</v>
      </c>
      <c r="BS1902" s="3">
        <v>45853</v>
      </c>
      <c r="BT1902" s="4">
        <v>0.33888888888888891</v>
      </c>
      <c r="BU1902" t="s">
        <v>256</v>
      </c>
      <c r="BV1902" t="s">
        <v>98</v>
      </c>
      <c r="BY1902">
        <v>1200</v>
      </c>
      <c r="BZ1902" t="s">
        <v>89</v>
      </c>
      <c r="CC1902" t="s">
        <v>253</v>
      </c>
      <c r="CD1902">
        <v>1947</v>
      </c>
      <c r="CE1902" t="s">
        <v>239</v>
      </c>
      <c r="CF1902" s="3">
        <v>45853</v>
      </c>
      <c r="CI1902">
        <v>1</v>
      </c>
      <c r="CJ1902">
        <v>1</v>
      </c>
      <c r="CK1902">
        <v>23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"080066551684"</f>
        <v>080066551684</v>
      </c>
      <c r="F1903" s="3">
        <v>45852</v>
      </c>
      <c r="G1903">
        <v>202604</v>
      </c>
      <c r="H1903" t="s">
        <v>75</v>
      </c>
      <c r="I1903" t="s">
        <v>76</v>
      </c>
      <c r="J1903" t="s">
        <v>77</v>
      </c>
      <c r="K1903" t="s">
        <v>78</v>
      </c>
      <c r="L1903" t="s">
        <v>980</v>
      </c>
      <c r="M1903" t="s">
        <v>981</v>
      </c>
      <c r="N1903" t="s">
        <v>982</v>
      </c>
      <c r="O1903" t="s">
        <v>82</v>
      </c>
      <c r="P1903" t="str">
        <f>"4170048668                    "</f>
        <v xml:space="preserve">4170048668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22.6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0.6</v>
      </c>
      <c r="BK1903">
        <v>1</v>
      </c>
      <c r="BL1903">
        <v>71.2</v>
      </c>
      <c r="BM1903">
        <v>10.68</v>
      </c>
      <c r="BN1903">
        <v>81.88</v>
      </c>
      <c r="BO1903">
        <v>81.88</v>
      </c>
      <c r="BQ1903" t="s">
        <v>983</v>
      </c>
      <c r="BR1903" t="s">
        <v>84</v>
      </c>
      <c r="BS1903" s="3">
        <v>45853</v>
      </c>
      <c r="BT1903" s="4">
        <v>0.50277777777777777</v>
      </c>
      <c r="BU1903" t="s">
        <v>2462</v>
      </c>
      <c r="BV1903" t="s">
        <v>98</v>
      </c>
      <c r="BY1903">
        <v>3200</v>
      </c>
      <c r="BZ1903" t="s">
        <v>89</v>
      </c>
      <c r="CA1903" t="s">
        <v>985</v>
      </c>
      <c r="CC1903" t="s">
        <v>981</v>
      </c>
      <c r="CD1903">
        <v>6529</v>
      </c>
      <c r="CE1903" t="s">
        <v>91</v>
      </c>
      <c r="CF1903" s="3">
        <v>45853</v>
      </c>
      <c r="CI1903">
        <v>1</v>
      </c>
      <c r="CJ1903">
        <v>1</v>
      </c>
      <c r="CK1903">
        <v>21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"080066551901"</f>
        <v>080066551901</v>
      </c>
      <c r="F1904" s="3">
        <v>45852</v>
      </c>
      <c r="G1904">
        <v>202604</v>
      </c>
      <c r="H1904" t="s">
        <v>75</v>
      </c>
      <c r="I1904" t="s">
        <v>76</v>
      </c>
      <c r="J1904" t="s">
        <v>77</v>
      </c>
      <c r="K1904" t="s">
        <v>78</v>
      </c>
      <c r="L1904" t="s">
        <v>79</v>
      </c>
      <c r="M1904" t="s">
        <v>80</v>
      </c>
      <c r="N1904" t="s">
        <v>1083</v>
      </c>
      <c r="O1904" t="s">
        <v>82</v>
      </c>
      <c r="P1904" t="str">
        <f>"4170048654                    "</f>
        <v xml:space="preserve">4170048654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22.6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71.2</v>
      </c>
      <c r="BM1904">
        <v>10.68</v>
      </c>
      <c r="BN1904">
        <v>81.88</v>
      </c>
      <c r="BO1904">
        <v>81.88</v>
      </c>
      <c r="BQ1904" t="s">
        <v>1084</v>
      </c>
      <c r="BR1904" t="s">
        <v>84</v>
      </c>
      <c r="BS1904" s="3">
        <v>45853</v>
      </c>
      <c r="BT1904" s="4">
        <v>0.41666666666666669</v>
      </c>
      <c r="BU1904" t="s">
        <v>1708</v>
      </c>
      <c r="BV1904" t="s">
        <v>98</v>
      </c>
      <c r="BY1904">
        <v>1200</v>
      </c>
      <c r="BZ1904" t="s">
        <v>89</v>
      </c>
      <c r="CC1904" t="s">
        <v>80</v>
      </c>
      <c r="CD1904">
        <v>8001</v>
      </c>
      <c r="CE1904" t="s">
        <v>239</v>
      </c>
      <c r="CF1904" s="3">
        <v>45854</v>
      </c>
      <c r="CI1904">
        <v>1</v>
      </c>
      <c r="CJ1904">
        <v>1</v>
      </c>
      <c r="CK1904">
        <v>21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"080066551929"</f>
        <v>080066551929</v>
      </c>
      <c r="F1905" s="3">
        <v>45852</v>
      </c>
      <c r="G1905">
        <v>202604</v>
      </c>
      <c r="H1905" t="s">
        <v>75</v>
      </c>
      <c r="I1905" t="s">
        <v>76</v>
      </c>
      <c r="J1905" t="s">
        <v>77</v>
      </c>
      <c r="K1905" t="s">
        <v>78</v>
      </c>
      <c r="L1905" t="s">
        <v>168</v>
      </c>
      <c r="M1905" t="s">
        <v>169</v>
      </c>
      <c r="N1905" t="s">
        <v>1252</v>
      </c>
      <c r="O1905" t="s">
        <v>82</v>
      </c>
      <c r="P1905" t="str">
        <f>"4170048670                    "</f>
        <v xml:space="preserve">4170048670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22.6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71.2</v>
      </c>
      <c r="BM1905">
        <v>10.68</v>
      </c>
      <c r="BN1905">
        <v>81.88</v>
      </c>
      <c r="BO1905">
        <v>81.88</v>
      </c>
      <c r="BQ1905" t="s">
        <v>1545</v>
      </c>
      <c r="BR1905" t="s">
        <v>84</v>
      </c>
      <c r="BS1905" s="3">
        <v>45853</v>
      </c>
      <c r="BT1905" s="4">
        <v>0.34652777777777777</v>
      </c>
      <c r="BU1905" t="s">
        <v>1546</v>
      </c>
      <c r="BV1905" t="s">
        <v>98</v>
      </c>
      <c r="BY1905">
        <v>1200</v>
      </c>
      <c r="BZ1905" t="s">
        <v>89</v>
      </c>
      <c r="CA1905" t="s">
        <v>423</v>
      </c>
      <c r="CC1905" t="s">
        <v>169</v>
      </c>
      <c r="CD1905">
        <v>6045</v>
      </c>
      <c r="CE1905" t="s">
        <v>239</v>
      </c>
      <c r="CF1905" s="3">
        <v>45853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"080066551992"</f>
        <v>080066551992</v>
      </c>
      <c r="F1906" s="3">
        <v>45852</v>
      </c>
      <c r="G1906">
        <v>202604</v>
      </c>
      <c r="H1906" t="s">
        <v>75</v>
      </c>
      <c r="I1906" t="s">
        <v>76</v>
      </c>
      <c r="J1906" t="s">
        <v>77</v>
      </c>
      <c r="K1906" t="s">
        <v>78</v>
      </c>
      <c r="L1906" t="s">
        <v>240</v>
      </c>
      <c r="M1906" t="s">
        <v>241</v>
      </c>
      <c r="N1906" t="s">
        <v>1828</v>
      </c>
      <c r="O1906" t="s">
        <v>82</v>
      </c>
      <c r="P1906" t="str">
        <f>"4170048665                    "</f>
        <v xml:space="preserve">4170048665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17.649999999999999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55.61</v>
      </c>
      <c r="BM1906">
        <v>8.34</v>
      </c>
      <c r="BN1906">
        <v>63.95</v>
      </c>
      <c r="BO1906">
        <v>63.95</v>
      </c>
      <c r="BQ1906" t="s">
        <v>1829</v>
      </c>
      <c r="BR1906" t="s">
        <v>84</v>
      </c>
      <c r="BS1906" s="3">
        <v>45853</v>
      </c>
      <c r="BT1906" s="4">
        <v>0.3923611111111111</v>
      </c>
      <c r="BU1906" t="s">
        <v>2463</v>
      </c>
      <c r="BV1906" t="s">
        <v>98</v>
      </c>
      <c r="BY1906">
        <v>1200</v>
      </c>
      <c r="BZ1906" t="s">
        <v>89</v>
      </c>
      <c r="CA1906" t="s">
        <v>1290</v>
      </c>
      <c r="CC1906" t="s">
        <v>241</v>
      </c>
      <c r="CD1906">
        <v>2091</v>
      </c>
      <c r="CE1906" t="s">
        <v>239</v>
      </c>
      <c r="CF1906" s="3">
        <v>45854</v>
      </c>
      <c r="CI1906">
        <v>1</v>
      </c>
      <c r="CJ1906">
        <v>1</v>
      </c>
      <c r="CK1906">
        <v>22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"080066552060"</f>
        <v>080066552060</v>
      </c>
      <c r="F1907" s="3">
        <v>45852</v>
      </c>
      <c r="G1907">
        <v>202604</v>
      </c>
      <c r="H1907" t="s">
        <v>75</v>
      </c>
      <c r="I1907" t="s">
        <v>76</v>
      </c>
      <c r="J1907" t="s">
        <v>77</v>
      </c>
      <c r="K1907" t="s">
        <v>78</v>
      </c>
      <c r="L1907" t="s">
        <v>75</v>
      </c>
      <c r="M1907" t="s">
        <v>76</v>
      </c>
      <c r="N1907" t="s">
        <v>701</v>
      </c>
      <c r="O1907" t="s">
        <v>82</v>
      </c>
      <c r="P1907" t="str">
        <f>"4170048655                    "</f>
        <v xml:space="preserve">4170048655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17.649999999999999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0.9</v>
      </c>
      <c r="BK1907">
        <v>1</v>
      </c>
      <c r="BL1907">
        <v>55.61</v>
      </c>
      <c r="BM1907">
        <v>8.34</v>
      </c>
      <c r="BN1907">
        <v>63.95</v>
      </c>
      <c r="BO1907">
        <v>63.95</v>
      </c>
      <c r="BQ1907" t="s">
        <v>702</v>
      </c>
      <c r="BR1907" t="s">
        <v>84</v>
      </c>
      <c r="BS1907" s="3">
        <v>45853</v>
      </c>
      <c r="BT1907" s="4">
        <v>0.39305555555555555</v>
      </c>
      <c r="BU1907" t="s">
        <v>703</v>
      </c>
      <c r="BV1907" t="s">
        <v>98</v>
      </c>
      <c r="BY1907">
        <v>4275</v>
      </c>
      <c r="BZ1907" t="s">
        <v>89</v>
      </c>
      <c r="CA1907" t="s">
        <v>617</v>
      </c>
      <c r="CC1907" t="s">
        <v>76</v>
      </c>
      <c r="CD1907">
        <v>1645</v>
      </c>
      <c r="CE1907" t="s">
        <v>266</v>
      </c>
      <c r="CF1907" s="3">
        <v>45853</v>
      </c>
      <c r="CI1907">
        <v>1</v>
      </c>
      <c r="CJ1907">
        <v>1</v>
      </c>
      <c r="CK1907">
        <v>22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"080066552301"</f>
        <v>080066552301</v>
      </c>
      <c r="F1908" s="3">
        <v>45852</v>
      </c>
      <c r="G1908">
        <v>202604</v>
      </c>
      <c r="H1908" t="s">
        <v>75</v>
      </c>
      <c r="I1908" t="s">
        <v>76</v>
      </c>
      <c r="J1908" t="s">
        <v>77</v>
      </c>
      <c r="K1908" t="s">
        <v>78</v>
      </c>
      <c r="L1908" t="s">
        <v>554</v>
      </c>
      <c r="M1908" t="s">
        <v>555</v>
      </c>
      <c r="N1908" t="s">
        <v>2163</v>
      </c>
      <c r="O1908" t="s">
        <v>82</v>
      </c>
      <c r="P1908" t="str">
        <f>"4170048663                    "</f>
        <v xml:space="preserve">4170048663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22.6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71.2</v>
      </c>
      <c r="BM1908">
        <v>10.68</v>
      </c>
      <c r="BN1908">
        <v>81.88</v>
      </c>
      <c r="BO1908">
        <v>81.88</v>
      </c>
      <c r="BQ1908" t="s">
        <v>2164</v>
      </c>
      <c r="BR1908" t="s">
        <v>84</v>
      </c>
      <c r="BS1908" s="3">
        <v>45853</v>
      </c>
      <c r="BT1908" s="4">
        <v>0.36180555555555555</v>
      </c>
      <c r="BU1908" t="s">
        <v>257</v>
      </c>
      <c r="BV1908" t="s">
        <v>98</v>
      </c>
      <c r="BY1908">
        <v>1200</v>
      </c>
      <c r="BZ1908" t="s">
        <v>89</v>
      </c>
      <c r="CA1908" t="s">
        <v>156</v>
      </c>
      <c r="CC1908" t="s">
        <v>555</v>
      </c>
      <c r="CD1908" s="5" t="s">
        <v>560</v>
      </c>
      <c r="CE1908" t="s">
        <v>239</v>
      </c>
      <c r="CF1908" s="3">
        <v>45853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"080066552359"</f>
        <v>080066552359</v>
      </c>
      <c r="F1909" s="3">
        <v>45852</v>
      </c>
      <c r="G1909">
        <v>202604</v>
      </c>
      <c r="H1909" t="s">
        <v>75</v>
      </c>
      <c r="I1909" t="s">
        <v>76</v>
      </c>
      <c r="J1909" t="s">
        <v>77</v>
      </c>
      <c r="K1909" t="s">
        <v>78</v>
      </c>
      <c r="L1909" t="s">
        <v>79</v>
      </c>
      <c r="M1909" t="s">
        <v>80</v>
      </c>
      <c r="N1909" t="s">
        <v>141</v>
      </c>
      <c r="O1909" t="s">
        <v>82</v>
      </c>
      <c r="P1909" t="str">
        <f>"4170048649                    "</f>
        <v xml:space="preserve">4170048649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22.6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71.2</v>
      </c>
      <c r="BM1909">
        <v>10.68</v>
      </c>
      <c r="BN1909">
        <v>81.88</v>
      </c>
      <c r="BO1909">
        <v>81.88</v>
      </c>
      <c r="BQ1909" t="s">
        <v>142</v>
      </c>
      <c r="BR1909" t="s">
        <v>84</v>
      </c>
      <c r="BS1909" s="3">
        <v>45853</v>
      </c>
      <c r="BT1909" s="4">
        <v>0.41249999999999998</v>
      </c>
      <c r="BU1909" t="s">
        <v>143</v>
      </c>
      <c r="BV1909" t="s">
        <v>98</v>
      </c>
      <c r="BY1909">
        <v>1200</v>
      </c>
      <c r="BZ1909" t="s">
        <v>89</v>
      </c>
      <c r="CA1909" t="s">
        <v>144</v>
      </c>
      <c r="CC1909" t="s">
        <v>80</v>
      </c>
      <c r="CD1909">
        <v>7441</v>
      </c>
      <c r="CE1909" t="s">
        <v>239</v>
      </c>
      <c r="CF1909" s="3">
        <v>45854</v>
      </c>
      <c r="CI1909">
        <v>1</v>
      </c>
      <c r="CJ1909">
        <v>1</v>
      </c>
      <c r="CK1909">
        <v>21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"080066552395"</f>
        <v>080066552395</v>
      </c>
      <c r="F1910" s="3">
        <v>45852</v>
      </c>
      <c r="G1910">
        <v>202604</v>
      </c>
      <c r="H1910" t="s">
        <v>75</v>
      </c>
      <c r="I1910" t="s">
        <v>76</v>
      </c>
      <c r="J1910" t="s">
        <v>77</v>
      </c>
      <c r="K1910" t="s">
        <v>78</v>
      </c>
      <c r="L1910" t="s">
        <v>1768</v>
      </c>
      <c r="M1910" t="s">
        <v>1769</v>
      </c>
      <c r="N1910" t="s">
        <v>1770</v>
      </c>
      <c r="O1910" t="s">
        <v>82</v>
      </c>
      <c r="P1910" t="str">
        <f>"4170048646                    "</f>
        <v xml:space="preserve">4170048646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43.78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137.94</v>
      </c>
      <c r="BM1910">
        <v>20.69</v>
      </c>
      <c r="BN1910">
        <v>158.63</v>
      </c>
      <c r="BO1910">
        <v>158.63</v>
      </c>
      <c r="BQ1910" t="s">
        <v>1771</v>
      </c>
      <c r="BR1910" t="s">
        <v>84</v>
      </c>
      <c r="BS1910" s="3">
        <v>45853</v>
      </c>
      <c r="BT1910" s="4">
        <v>0.4</v>
      </c>
      <c r="BU1910" t="s">
        <v>1772</v>
      </c>
      <c r="BV1910" t="s">
        <v>98</v>
      </c>
      <c r="BY1910">
        <v>1200</v>
      </c>
      <c r="BZ1910" t="s">
        <v>89</v>
      </c>
      <c r="CA1910" t="s">
        <v>1773</v>
      </c>
      <c r="CC1910" t="s">
        <v>1769</v>
      </c>
      <c r="CD1910">
        <v>2302</v>
      </c>
      <c r="CE1910" t="s">
        <v>239</v>
      </c>
      <c r="CF1910" s="3">
        <v>45853</v>
      </c>
      <c r="CI1910">
        <v>1</v>
      </c>
      <c r="CJ1910">
        <v>1</v>
      </c>
      <c r="CK1910">
        <v>23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"080066552742"</f>
        <v>080066552742</v>
      </c>
      <c r="F1911" s="3">
        <v>45852</v>
      </c>
      <c r="G1911">
        <v>202604</v>
      </c>
      <c r="H1911" t="s">
        <v>75</v>
      </c>
      <c r="I1911" t="s">
        <v>76</v>
      </c>
      <c r="J1911" t="s">
        <v>77</v>
      </c>
      <c r="K1911" t="s">
        <v>78</v>
      </c>
      <c r="L1911" t="s">
        <v>168</v>
      </c>
      <c r="M1911" t="s">
        <v>169</v>
      </c>
      <c r="N1911" t="s">
        <v>191</v>
      </c>
      <c r="O1911" t="s">
        <v>82</v>
      </c>
      <c r="P1911" t="str">
        <f>"4170048661                    "</f>
        <v xml:space="preserve">4170048661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22.6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1.4</v>
      </c>
      <c r="BK1911">
        <v>1.5</v>
      </c>
      <c r="BL1911">
        <v>71.2</v>
      </c>
      <c r="BM1911">
        <v>10.68</v>
      </c>
      <c r="BN1911">
        <v>81.88</v>
      </c>
      <c r="BO1911">
        <v>81.88</v>
      </c>
      <c r="BQ1911" t="s">
        <v>192</v>
      </c>
      <c r="BR1911" t="s">
        <v>84</v>
      </c>
      <c r="BS1911" s="3">
        <v>45853</v>
      </c>
      <c r="BT1911" s="4">
        <v>0.39097222222222222</v>
      </c>
      <c r="BU1911" t="s">
        <v>193</v>
      </c>
      <c r="BV1911" t="s">
        <v>98</v>
      </c>
      <c r="BY1911">
        <v>7168</v>
      </c>
      <c r="BZ1911" t="s">
        <v>89</v>
      </c>
      <c r="CA1911" t="s">
        <v>196</v>
      </c>
      <c r="CC1911" t="s">
        <v>169</v>
      </c>
      <c r="CD1911">
        <v>6056</v>
      </c>
      <c r="CE1911" t="s">
        <v>91</v>
      </c>
      <c r="CF1911" s="3">
        <v>45853</v>
      </c>
      <c r="CI1911">
        <v>1</v>
      </c>
      <c r="CJ1911">
        <v>1</v>
      </c>
      <c r="CK1911">
        <v>21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"080066552772"</f>
        <v>080066552772</v>
      </c>
      <c r="F1912" s="3">
        <v>45852</v>
      </c>
      <c r="G1912">
        <v>202604</v>
      </c>
      <c r="H1912" t="s">
        <v>75</v>
      </c>
      <c r="I1912" t="s">
        <v>76</v>
      </c>
      <c r="J1912" t="s">
        <v>77</v>
      </c>
      <c r="K1912" t="s">
        <v>78</v>
      </c>
      <c r="L1912" t="s">
        <v>79</v>
      </c>
      <c r="M1912" t="s">
        <v>80</v>
      </c>
      <c r="N1912" t="s">
        <v>492</v>
      </c>
      <c r="O1912" t="s">
        <v>82</v>
      </c>
      <c r="P1912" t="str">
        <f>"4170048656                    "</f>
        <v xml:space="preserve">4170048656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22.6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71.2</v>
      </c>
      <c r="BM1912">
        <v>10.68</v>
      </c>
      <c r="BN1912">
        <v>81.88</v>
      </c>
      <c r="BO1912">
        <v>81.88</v>
      </c>
      <c r="BQ1912" t="s">
        <v>493</v>
      </c>
      <c r="BR1912" t="s">
        <v>84</v>
      </c>
      <c r="BS1912" s="3">
        <v>45853</v>
      </c>
      <c r="BT1912" s="4">
        <v>0.4201388888888889</v>
      </c>
      <c r="BU1912" t="s">
        <v>494</v>
      </c>
      <c r="BV1912" t="s">
        <v>98</v>
      </c>
      <c r="BY1912">
        <v>1200</v>
      </c>
      <c r="BZ1912" t="s">
        <v>89</v>
      </c>
      <c r="CA1912" t="s">
        <v>495</v>
      </c>
      <c r="CC1912" t="s">
        <v>80</v>
      </c>
      <c r="CD1912">
        <v>7800</v>
      </c>
      <c r="CE1912" t="s">
        <v>239</v>
      </c>
      <c r="CF1912" s="3">
        <v>45854</v>
      </c>
      <c r="CI1912">
        <v>1</v>
      </c>
      <c r="CJ1912">
        <v>1</v>
      </c>
      <c r="CK1912">
        <v>21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"080066552876"</f>
        <v>080066552876</v>
      </c>
      <c r="F1913" s="3">
        <v>45852</v>
      </c>
      <c r="G1913">
        <v>202604</v>
      </c>
      <c r="H1913" t="s">
        <v>75</v>
      </c>
      <c r="I1913" t="s">
        <v>76</v>
      </c>
      <c r="J1913" t="s">
        <v>77</v>
      </c>
      <c r="K1913" t="s">
        <v>78</v>
      </c>
      <c r="L1913" t="s">
        <v>75</v>
      </c>
      <c r="M1913" t="s">
        <v>76</v>
      </c>
      <c r="N1913" t="s">
        <v>2464</v>
      </c>
      <c r="O1913" t="s">
        <v>82</v>
      </c>
      <c r="P1913" t="str">
        <f>"4170048653                    "</f>
        <v xml:space="preserve">4170048653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40.92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2</v>
      </c>
      <c r="BI1913">
        <v>16</v>
      </c>
      <c r="BJ1913">
        <v>18.399999999999999</v>
      </c>
      <c r="BK1913">
        <v>19</v>
      </c>
      <c r="BL1913">
        <v>128.93</v>
      </c>
      <c r="BM1913">
        <v>19.34</v>
      </c>
      <c r="BN1913">
        <v>148.27000000000001</v>
      </c>
      <c r="BO1913">
        <v>148.27000000000001</v>
      </c>
      <c r="BQ1913" t="s">
        <v>2465</v>
      </c>
      <c r="BR1913" t="s">
        <v>84</v>
      </c>
      <c r="BS1913" s="3">
        <v>45853</v>
      </c>
      <c r="BT1913" s="4">
        <v>0.4284722222222222</v>
      </c>
      <c r="BU1913" t="s">
        <v>2466</v>
      </c>
      <c r="BV1913" t="s">
        <v>98</v>
      </c>
      <c r="BY1913">
        <v>46008</v>
      </c>
      <c r="BZ1913" t="s">
        <v>89</v>
      </c>
      <c r="CA1913" t="s">
        <v>941</v>
      </c>
      <c r="CC1913" t="s">
        <v>76</v>
      </c>
      <c r="CD1913">
        <v>1609</v>
      </c>
      <c r="CE1913" t="s">
        <v>1495</v>
      </c>
      <c r="CF1913" s="3">
        <v>45853</v>
      </c>
      <c r="CI1913">
        <v>1</v>
      </c>
      <c r="CJ1913">
        <v>1</v>
      </c>
      <c r="CK1913">
        <v>22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"080066553011"</f>
        <v>080066553011</v>
      </c>
      <c r="F1914" s="3">
        <v>45852</v>
      </c>
      <c r="G1914">
        <v>202604</v>
      </c>
      <c r="H1914" t="s">
        <v>75</v>
      </c>
      <c r="I1914" t="s">
        <v>76</v>
      </c>
      <c r="J1914" t="s">
        <v>77</v>
      </c>
      <c r="K1914" t="s">
        <v>78</v>
      </c>
      <c r="L1914" t="s">
        <v>221</v>
      </c>
      <c r="M1914" t="s">
        <v>222</v>
      </c>
      <c r="N1914" t="s">
        <v>223</v>
      </c>
      <c r="O1914" t="s">
        <v>95</v>
      </c>
      <c r="P1914" t="str">
        <f>"4170048644                    "</f>
        <v xml:space="preserve">4170048644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67.930000000000007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4</v>
      </c>
      <c r="BJ1914">
        <v>16.399999999999999</v>
      </c>
      <c r="BK1914">
        <v>17</v>
      </c>
      <c r="BL1914">
        <v>219.89</v>
      </c>
      <c r="BM1914">
        <v>32.979999999999997</v>
      </c>
      <c r="BN1914">
        <v>252.87</v>
      </c>
      <c r="BO1914">
        <v>252.87</v>
      </c>
      <c r="BQ1914" t="s">
        <v>224</v>
      </c>
      <c r="BR1914" t="s">
        <v>84</v>
      </c>
      <c r="BS1914" s="3">
        <v>45853</v>
      </c>
      <c r="BT1914" s="4">
        <v>0.3611111111111111</v>
      </c>
      <c r="BU1914" t="s">
        <v>1707</v>
      </c>
      <c r="BV1914" t="s">
        <v>98</v>
      </c>
      <c r="BY1914">
        <v>81920</v>
      </c>
      <c r="BZ1914" t="s">
        <v>99</v>
      </c>
      <c r="CC1914" t="s">
        <v>222</v>
      </c>
      <c r="CD1914">
        <v>2740</v>
      </c>
      <c r="CE1914" t="s">
        <v>91</v>
      </c>
      <c r="CF1914" s="3">
        <v>45854</v>
      </c>
      <c r="CI1914">
        <v>1</v>
      </c>
      <c r="CJ1914">
        <v>1</v>
      </c>
      <c r="CK1914">
        <v>43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"080066553031"</f>
        <v>080066553031</v>
      </c>
      <c r="F1915" s="3">
        <v>45852</v>
      </c>
      <c r="G1915">
        <v>202604</v>
      </c>
      <c r="H1915" t="s">
        <v>75</v>
      </c>
      <c r="I1915" t="s">
        <v>76</v>
      </c>
      <c r="J1915" t="s">
        <v>77</v>
      </c>
      <c r="K1915" t="s">
        <v>78</v>
      </c>
      <c r="L1915" t="s">
        <v>548</v>
      </c>
      <c r="M1915" t="s">
        <v>549</v>
      </c>
      <c r="N1915" t="s">
        <v>550</v>
      </c>
      <c r="O1915" t="s">
        <v>82</v>
      </c>
      <c r="P1915" t="str">
        <f>"4170048657                    "</f>
        <v xml:space="preserve">4170048657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73.44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3</v>
      </c>
      <c r="BJ1915">
        <v>3.4</v>
      </c>
      <c r="BK1915">
        <v>3.5</v>
      </c>
      <c r="BL1915">
        <v>231.38</v>
      </c>
      <c r="BM1915">
        <v>34.71</v>
      </c>
      <c r="BN1915">
        <v>266.08999999999997</v>
      </c>
      <c r="BO1915">
        <v>266.08999999999997</v>
      </c>
      <c r="BQ1915" t="s">
        <v>551</v>
      </c>
      <c r="BR1915" t="s">
        <v>84</v>
      </c>
      <c r="BS1915" s="3">
        <v>45853</v>
      </c>
      <c r="BT1915" s="4">
        <v>0.43541666666666667</v>
      </c>
      <c r="BU1915" t="s">
        <v>2467</v>
      </c>
      <c r="BV1915" t="s">
        <v>98</v>
      </c>
      <c r="BY1915">
        <v>16965</v>
      </c>
      <c r="BZ1915" t="s">
        <v>89</v>
      </c>
      <c r="CA1915" t="s">
        <v>553</v>
      </c>
      <c r="CC1915" t="s">
        <v>549</v>
      </c>
      <c r="CD1915">
        <v>5257</v>
      </c>
      <c r="CE1915" t="s">
        <v>117</v>
      </c>
      <c r="CF1915" s="3">
        <v>45853</v>
      </c>
      <c r="CI1915">
        <v>1</v>
      </c>
      <c r="CJ1915">
        <v>1</v>
      </c>
      <c r="CK1915">
        <v>23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"080066553072"</f>
        <v>080066553072</v>
      </c>
      <c r="F1916" s="3">
        <v>45852</v>
      </c>
      <c r="G1916">
        <v>202604</v>
      </c>
      <c r="H1916" t="s">
        <v>75</v>
      </c>
      <c r="I1916" t="s">
        <v>76</v>
      </c>
      <c r="J1916" t="s">
        <v>77</v>
      </c>
      <c r="K1916" t="s">
        <v>78</v>
      </c>
      <c r="L1916" t="s">
        <v>75</v>
      </c>
      <c r="M1916" t="s">
        <v>76</v>
      </c>
      <c r="N1916" t="s">
        <v>701</v>
      </c>
      <c r="O1916" t="s">
        <v>82</v>
      </c>
      <c r="P1916" t="str">
        <f>"4170048658                    "</f>
        <v xml:space="preserve">4170048658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17.649999999999999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3.9</v>
      </c>
      <c r="BK1916">
        <v>4</v>
      </c>
      <c r="BL1916">
        <v>55.61</v>
      </c>
      <c r="BM1916">
        <v>8.34</v>
      </c>
      <c r="BN1916">
        <v>63.95</v>
      </c>
      <c r="BO1916">
        <v>63.95</v>
      </c>
      <c r="BQ1916" t="s">
        <v>702</v>
      </c>
      <c r="BR1916" t="s">
        <v>84</v>
      </c>
      <c r="BS1916" s="3">
        <v>45853</v>
      </c>
      <c r="BT1916" s="4">
        <v>0.39097222222222222</v>
      </c>
      <c r="BU1916" t="s">
        <v>940</v>
      </c>
      <c r="BV1916" t="s">
        <v>98</v>
      </c>
      <c r="BY1916">
        <v>19440</v>
      </c>
      <c r="BZ1916" t="s">
        <v>89</v>
      </c>
      <c r="CA1916" t="s">
        <v>941</v>
      </c>
      <c r="CC1916" t="s">
        <v>76</v>
      </c>
      <c r="CD1916">
        <v>1645</v>
      </c>
      <c r="CE1916" t="s">
        <v>91</v>
      </c>
      <c r="CF1916" s="3">
        <v>45853</v>
      </c>
      <c r="CI1916">
        <v>1</v>
      </c>
      <c r="CJ1916">
        <v>1</v>
      </c>
      <c r="CK1916">
        <v>22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"080066553178"</f>
        <v>080066553178</v>
      </c>
      <c r="F1917" s="3">
        <v>45852</v>
      </c>
      <c r="G1917">
        <v>202604</v>
      </c>
      <c r="H1917" t="s">
        <v>75</v>
      </c>
      <c r="I1917" t="s">
        <v>76</v>
      </c>
      <c r="J1917" t="s">
        <v>77</v>
      </c>
      <c r="K1917" t="s">
        <v>78</v>
      </c>
      <c r="L1917" t="s">
        <v>79</v>
      </c>
      <c r="M1917" t="s">
        <v>80</v>
      </c>
      <c r="N1917" t="s">
        <v>141</v>
      </c>
      <c r="O1917" t="s">
        <v>82</v>
      </c>
      <c r="P1917" t="str">
        <f>"4170048606                    "</f>
        <v xml:space="preserve">4170048606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22.6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0.3</v>
      </c>
      <c r="BK1917">
        <v>1</v>
      </c>
      <c r="BL1917">
        <v>71.2</v>
      </c>
      <c r="BM1917">
        <v>10.68</v>
      </c>
      <c r="BN1917">
        <v>81.88</v>
      </c>
      <c r="BO1917">
        <v>81.88</v>
      </c>
      <c r="BQ1917" t="s">
        <v>142</v>
      </c>
      <c r="BR1917" t="s">
        <v>84</v>
      </c>
      <c r="BS1917" s="3">
        <v>45853</v>
      </c>
      <c r="BT1917" s="4">
        <v>0.41249999999999998</v>
      </c>
      <c r="BU1917" t="s">
        <v>143</v>
      </c>
      <c r="BV1917" t="s">
        <v>98</v>
      </c>
      <c r="BY1917">
        <v>1350</v>
      </c>
      <c r="BZ1917" t="s">
        <v>89</v>
      </c>
      <c r="CA1917" t="s">
        <v>144</v>
      </c>
      <c r="CC1917" t="s">
        <v>80</v>
      </c>
      <c r="CD1917">
        <v>7441</v>
      </c>
      <c r="CE1917" t="s">
        <v>1906</v>
      </c>
      <c r="CF1917" s="3">
        <v>45854</v>
      </c>
      <c r="CI1917">
        <v>1</v>
      </c>
      <c r="CJ1917">
        <v>1</v>
      </c>
      <c r="CK1917">
        <v>21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"080066553218"</f>
        <v>080066553218</v>
      </c>
      <c r="F1918" s="3">
        <v>45852</v>
      </c>
      <c r="G1918">
        <v>202604</v>
      </c>
      <c r="H1918" t="s">
        <v>75</v>
      </c>
      <c r="I1918" t="s">
        <v>76</v>
      </c>
      <c r="J1918" t="s">
        <v>77</v>
      </c>
      <c r="K1918" t="s">
        <v>78</v>
      </c>
      <c r="L1918" t="s">
        <v>168</v>
      </c>
      <c r="M1918" t="s">
        <v>169</v>
      </c>
      <c r="N1918" t="s">
        <v>662</v>
      </c>
      <c r="O1918" t="s">
        <v>82</v>
      </c>
      <c r="P1918" t="str">
        <f>"4170048627                    "</f>
        <v xml:space="preserve">4170048627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112.92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8</v>
      </c>
      <c r="BJ1918">
        <v>9.6999999999999993</v>
      </c>
      <c r="BK1918">
        <v>10</v>
      </c>
      <c r="BL1918">
        <v>355.76</v>
      </c>
      <c r="BM1918">
        <v>53.36</v>
      </c>
      <c r="BN1918">
        <v>409.12</v>
      </c>
      <c r="BO1918">
        <v>409.12</v>
      </c>
      <c r="BQ1918" t="s">
        <v>663</v>
      </c>
      <c r="BR1918" t="s">
        <v>84</v>
      </c>
      <c r="BS1918" s="3">
        <v>45853</v>
      </c>
      <c r="BT1918" s="4">
        <v>0.375</v>
      </c>
      <c r="BU1918" t="s">
        <v>2468</v>
      </c>
      <c r="BV1918" t="s">
        <v>98</v>
      </c>
      <c r="BY1918">
        <v>48384</v>
      </c>
      <c r="BZ1918" t="s">
        <v>89</v>
      </c>
      <c r="CA1918" t="s">
        <v>2469</v>
      </c>
      <c r="CC1918" t="s">
        <v>169</v>
      </c>
      <c r="CD1918">
        <v>6001</v>
      </c>
      <c r="CE1918" t="s">
        <v>91</v>
      </c>
      <c r="CF1918" s="3">
        <v>45853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"080066553245"</f>
        <v>080066553245</v>
      </c>
      <c r="F1919" s="3">
        <v>45852</v>
      </c>
      <c r="G1919">
        <v>202604</v>
      </c>
      <c r="H1919" t="s">
        <v>75</v>
      </c>
      <c r="I1919" t="s">
        <v>76</v>
      </c>
      <c r="J1919" t="s">
        <v>77</v>
      </c>
      <c r="K1919" t="s">
        <v>78</v>
      </c>
      <c r="L1919" t="s">
        <v>151</v>
      </c>
      <c r="M1919" t="s">
        <v>152</v>
      </c>
      <c r="N1919" t="s">
        <v>352</v>
      </c>
      <c r="O1919" t="s">
        <v>82</v>
      </c>
      <c r="P1919" t="str">
        <f>"4170048673                    "</f>
        <v xml:space="preserve">4170048673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22.6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0.9</v>
      </c>
      <c r="BK1919">
        <v>2</v>
      </c>
      <c r="BL1919">
        <v>71.2</v>
      </c>
      <c r="BM1919">
        <v>10.68</v>
      </c>
      <c r="BN1919">
        <v>81.88</v>
      </c>
      <c r="BO1919">
        <v>81.88</v>
      </c>
      <c r="BQ1919" t="s">
        <v>353</v>
      </c>
      <c r="BR1919" t="s">
        <v>84</v>
      </c>
      <c r="BS1919" s="3">
        <v>45853</v>
      </c>
      <c r="BT1919" s="4">
        <v>0.4375</v>
      </c>
      <c r="BU1919" t="s">
        <v>1649</v>
      </c>
      <c r="BV1919" t="s">
        <v>98</v>
      </c>
      <c r="BY1919">
        <v>4560</v>
      </c>
      <c r="BZ1919" t="s">
        <v>89</v>
      </c>
      <c r="CA1919" t="s">
        <v>716</v>
      </c>
      <c r="CC1919" t="s">
        <v>152</v>
      </c>
      <c r="CD1919" s="5" t="s">
        <v>911</v>
      </c>
      <c r="CE1919" t="s">
        <v>117</v>
      </c>
      <c r="CF1919" s="3">
        <v>45853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"080066553265"</f>
        <v>080066553265</v>
      </c>
      <c r="F1920" s="3">
        <v>45852</v>
      </c>
      <c r="G1920">
        <v>202604</v>
      </c>
      <c r="H1920" t="s">
        <v>75</v>
      </c>
      <c r="I1920" t="s">
        <v>76</v>
      </c>
      <c r="J1920" t="s">
        <v>77</v>
      </c>
      <c r="K1920" t="s">
        <v>78</v>
      </c>
      <c r="L1920" t="s">
        <v>168</v>
      </c>
      <c r="M1920" t="s">
        <v>169</v>
      </c>
      <c r="N1920" t="s">
        <v>191</v>
      </c>
      <c r="O1920" t="s">
        <v>82</v>
      </c>
      <c r="P1920" t="str">
        <f>"4170048659                    "</f>
        <v xml:space="preserve">4170048659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22.6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0.8</v>
      </c>
      <c r="BK1920">
        <v>1</v>
      </c>
      <c r="BL1920">
        <v>71.2</v>
      </c>
      <c r="BM1920">
        <v>10.68</v>
      </c>
      <c r="BN1920">
        <v>81.88</v>
      </c>
      <c r="BO1920">
        <v>81.88</v>
      </c>
      <c r="BQ1920" t="s">
        <v>192</v>
      </c>
      <c r="BR1920" t="s">
        <v>84</v>
      </c>
      <c r="BS1920" s="3">
        <v>45853</v>
      </c>
      <c r="BT1920" s="4">
        <v>0.39097222222222222</v>
      </c>
      <c r="BU1920" t="s">
        <v>193</v>
      </c>
      <c r="BV1920" t="s">
        <v>98</v>
      </c>
      <c r="BY1920">
        <v>4200</v>
      </c>
      <c r="BZ1920" t="s">
        <v>89</v>
      </c>
      <c r="CA1920" t="s">
        <v>196</v>
      </c>
      <c r="CC1920" t="s">
        <v>169</v>
      </c>
      <c r="CD1920">
        <v>6056</v>
      </c>
      <c r="CE1920" t="s">
        <v>91</v>
      </c>
      <c r="CF1920" s="3">
        <v>45853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"080066553296"</f>
        <v>080066553296</v>
      </c>
      <c r="F1921" s="3">
        <v>45852</v>
      </c>
      <c r="G1921">
        <v>202604</v>
      </c>
      <c r="H1921" t="s">
        <v>75</v>
      </c>
      <c r="I1921" t="s">
        <v>76</v>
      </c>
      <c r="J1921" t="s">
        <v>77</v>
      </c>
      <c r="K1921" t="s">
        <v>78</v>
      </c>
      <c r="L1921" t="s">
        <v>168</v>
      </c>
      <c r="M1921" t="s">
        <v>169</v>
      </c>
      <c r="N1921" t="s">
        <v>726</v>
      </c>
      <c r="O1921" t="s">
        <v>82</v>
      </c>
      <c r="P1921" t="str">
        <f>"4170048674                    "</f>
        <v xml:space="preserve">4170048674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56.47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3</v>
      </c>
      <c r="BJ1921">
        <v>4.9000000000000004</v>
      </c>
      <c r="BK1921">
        <v>5</v>
      </c>
      <c r="BL1921">
        <v>177.91</v>
      </c>
      <c r="BM1921">
        <v>26.69</v>
      </c>
      <c r="BN1921">
        <v>204.6</v>
      </c>
      <c r="BO1921">
        <v>204.6</v>
      </c>
      <c r="BQ1921" t="s">
        <v>727</v>
      </c>
      <c r="BR1921" t="s">
        <v>84</v>
      </c>
      <c r="BS1921" s="3">
        <v>45853</v>
      </c>
      <c r="BT1921" s="4">
        <v>0.39583333333333331</v>
      </c>
      <c r="BU1921" t="s">
        <v>2327</v>
      </c>
      <c r="BV1921" t="s">
        <v>98</v>
      </c>
      <c r="BY1921">
        <v>24576</v>
      </c>
      <c r="BZ1921" t="s">
        <v>89</v>
      </c>
      <c r="CA1921" t="s">
        <v>423</v>
      </c>
      <c r="CC1921" t="s">
        <v>169</v>
      </c>
      <c r="CD1921">
        <v>6001</v>
      </c>
      <c r="CE1921" t="s">
        <v>91</v>
      </c>
      <c r="CF1921" s="3">
        <v>45853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"080066553354"</f>
        <v>080066553354</v>
      </c>
      <c r="F1922" s="3">
        <v>45852</v>
      </c>
      <c r="G1922">
        <v>202604</v>
      </c>
      <c r="H1922" t="s">
        <v>75</v>
      </c>
      <c r="I1922" t="s">
        <v>76</v>
      </c>
      <c r="J1922" t="s">
        <v>77</v>
      </c>
      <c r="K1922" t="s">
        <v>78</v>
      </c>
      <c r="L1922" t="s">
        <v>234</v>
      </c>
      <c r="M1922" t="s">
        <v>235</v>
      </c>
      <c r="N1922" t="s">
        <v>2470</v>
      </c>
      <c r="O1922" t="s">
        <v>82</v>
      </c>
      <c r="P1922" t="str">
        <f>"4170048642                    "</f>
        <v xml:space="preserve">4170048642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17.649999999999999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55.61</v>
      </c>
      <c r="BM1922">
        <v>8.34</v>
      </c>
      <c r="BN1922">
        <v>63.95</v>
      </c>
      <c r="BO1922">
        <v>63.95</v>
      </c>
      <c r="BQ1922" t="s">
        <v>2471</v>
      </c>
      <c r="BR1922" t="s">
        <v>84</v>
      </c>
      <c r="BS1922" s="3">
        <v>45853</v>
      </c>
      <c r="BT1922" s="4">
        <v>0.38611111111111113</v>
      </c>
      <c r="BU1922" t="s">
        <v>2472</v>
      </c>
      <c r="BV1922" t="s">
        <v>98</v>
      </c>
      <c r="BY1922">
        <v>1200</v>
      </c>
      <c r="BZ1922" t="s">
        <v>89</v>
      </c>
      <c r="CA1922" t="s">
        <v>2473</v>
      </c>
      <c r="CC1922" t="s">
        <v>235</v>
      </c>
      <c r="CD1922">
        <v>1682</v>
      </c>
      <c r="CE1922" t="s">
        <v>214</v>
      </c>
      <c r="CF1922" s="3">
        <v>45854</v>
      </c>
      <c r="CI1922">
        <v>1</v>
      </c>
      <c r="CJ1922">
        <v>1</v>
      </c>
      <c r="CK1922">
        <v>22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"080066553377"</f>
        <v>080066553377</v>
      </c>
      <c r="F1923" s="3">
        <v>45852</v>
      </c>
      <c r="G1923">
        <v>202604</v>
      </c>
      <c r="H1923" t="s">
        <v>75</v>
      </c>
      <c r="I1923" t="s">
        <v>76</v>
      </c>
      <c r="J1923" t="s">
        <v>77</v>
      </c>
      <c r="K1923" t="s">
        <v>78</v>
      </c>
      <c r="L1923" t="s">
        <v>168</v>
      </c>
      <c r="M1923" t="s">
        <v>169</v>
      </c>
      <c r="N1923" t="s">
        <v>191</v>
      </c>
      <c r="O1923" t="s">
        <v>82</v>
      </c>
      <c r="P1923" t="str">
        <f>"4170048660                    "</f>
        <v xml:space="preserve">4170048660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22.6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1.1000000000000001</v>
      </c>
      <c r="BK1923">
        <v>2</v>
      </c>
      <c r="BL1923">
        <v>71.2</v>
      </c>
      <c r="BM1923">
        <v>10.68</v>
      </c>
      <c r="BN1923">
        <v>81.88</v>
      </c>
      <c r="BO1923">
        <v>81.88</v>
      </c>
      <c r="BQ1923" t="s">
        <v>192</v>
      </c>
      <c r="BR1923" t="s">
        <v>84</v>
      </c>
      <c r="BS1923" s="3">
        <v>45853</v>
      </c>
      <c r="BT1923" s="4">
        <v>0.39097222222222222</v>
      </c>
      <c r="BU1923" t="s">
        <v>193</v>
      </c>
      <c r="BV1923" t="s">
        <v>98</v>
      </c>
      <c r="BY1923">
        <v>5320</v>
      </c>
      <c r="BZ1923" t="s">
        <v>89</v>
      </c>
      <c r="CA1923" t="s">
        <v>196</v>
      </c>
      <c r="CC1923" t="s">
        <v>169</v>
      </c>
      <c r="CD1923">
        <v>6056</v>
      </c>
      <c r="CE1923" t="s">
        <v>117</v>
      </c>
      <c r="CF1923" s="3">
        <v>45853</v>
      </c>
      <c r="CI1923">
        <v>1</v>
      </c>
      <c r="CJ1923">
        <v>1</v>
      </c>
      <c r="CK1923">
        <v>21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"080066553437"</f>
        <v>080066553437</v>
      </c>
      <c r="F1924" s="3">
        <v>45852</v>
      </c>
      <c r="G1924">
        <v>202604</v>
      </c>
      <c r="H1924" t="s">
        <v>75</v>
      </c>
      <c r="I1924" t="s">
        <v>76</v>
      </c>
      <c r="J1924" t="s">
        <v>77</v>
      </c>
      <c r="K1924" t="s">
        <v>78</v>
      </c>
      <c r="L1924" t="s">
        <v>295</v>
      </c>
      <c r="M1924" t="s">
        <v>296</v>
      </c>
      <c r="N1924" t="s">
        <v>2474</v>
      </c>
      <c r="O1924" t="s">
        <v>82</v>
      </c>
      <c r="P1924" t="str">
        <f>"4170048625                    "</f>
        <v xml:space="preserve">4170048625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17.649999999999999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3</v>
      </c>
      <c r="BJ1924">
        <v>3.4</v>
      </c>
      <c r="BK1924">
        <v>4</v>
      </c>
      <c r="BL1924">
        <v>55.61</v>
      </c>
      <c r="BM1924">
        <v>8.34</v>
      </c>
      <c r="BN1924">
        <v>63.95</v>
      </c>
      <c r="BO1924">
        <v>63.95</v>
      </c>
      <c r="BQ1924" t="s">
        <v>2475</v>
      </c>
      <c r="BR1924" t="s">
        <v>84</v>
      </c>
      <c r="BS1924" s="3">
        <v>45853</v>
      </c>
      <c r="BT1924" s="4">
        <v>0.32430555555555557</v>
      </c>
      <c r="BU1924" t="s">
        <v>2476</v>
      </c>
      <c r="BV1924" t="s">
        <v>98</v>
      </c>
      <c r="BY1924">
        <v>16965</v>
      </c>
      <c r="BZ1924" t="s">
        <v>89</v>
      </c>
      <c r="CA1924" t="s">
        <v>565</v>
      </c>
      <c r="CC1924" t="s">
        <v>296</v>
      </c>
      <c r="CD1924">
        <v>1459</v>
      </c>
      <c r="CE1924" t="s">
        <v>117</v>
      </c>
      <c r="CF1924" s="3">
        <v>45853</v>
      </c>
      <c r="CI1924">
        <v>1</v>
      </c>
      <c r="CJ1924">
        <v>1</v>
      </c>
      <c r="CK1924">
        <v>22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"080066553468"</f>
        <v>080066553468</v>
      </c>
      <c r="F1925" s="3">
        <v>45852</v>
      </c>
      <c r="G1925">
        <v>202604</v>
      </c>
      <c r="H1925" t="s">
        <v>75</v>
      </c>
      <c r="I1925" t="s">
        <v>76</v>
      </c>
      <c r="J1925" t="s">
        <v>77</v>
      </c>
      <c r="K1925" t="s">
        <v>78</v>
      </c>
      <c r="L1925" t="s">
        <v>503</v>
      </c>
      <c r="M1925" t="s">
        <v>504</v>
      </c>
      <c r="N1925" t="s">
        <v>505</v>
      </c>
      <c r="O1925" t="s">
        <v>82</v>
      </c>
      <c r="P1925" t="str">
        <f>"4170048675                    "</f>
        <v xml:space="preserve">4170048675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83.33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</v>
      </c>
      <c r="BJ1925">
        <v>3.6</v>
      </c>
      <c r="BK1925">
        <v>4</v>
      </c>
      <c r="BL1925">
        <v>262.52999999999997</v>
      </c>
      <c r="BM1925">
        <v>39.380000000000003</v>
      </c>
      <c r="BN1925">
        <v>301.91000000000003</v>
      </c>
      <c r="BO1925">
        <v>301.91000000000003</v>
      </c>
      <c r="BQ1925" t="s">
        <v>506</v>
      </c>
      <c r="BR1925" t="s">
        <v>84</v>
      </c>
      <c r="BS1925" s="3">
        <v>45853</v>
      </c>
      <c r="BT1925" s="4">
        <v>0.46458333333333335</v>
      </c>
      <c r="BU1925" t="s">
        <v>507</v>
      </c>
      <c r="BV1925" t="s">
        <v>98</v>
      </c>
      <c r="BY1925">
        <v>18144</v>
      </c>
      <c r="BZ1925" t="s">
        <v>89</v>
      </c>
      <c r="CA1925" t="s">
        <v>508</v>
      </c>
      <c r="CC1925" t="s">
        <v>504</v>
      </c>
      <c r="CD1925">
        <v>7130</v>
      </c>
      <c r="CE1925" t="s">
        <v>91</v>
      </c>
      <c r="CF1925" s="3">
        <v>45854</v>
      </c>
      <c r="CI1925">
        <v>1</v>
      </c>
      <c r="CJ1925">
        <v>1</v>
      </c>
      <c r="CK1925">
        <v>23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"080066553487"</f>
        <v>080066553487</v>
      </c>
      <c r="F1926" s="3">
        <v>45852</v>
      </c>
      <c r="G1926">
        <v>202604</v>
      </c>
      <c r="H1926" t="s">
        <v>75</v>
      </c>
      <c r="I1926" t="s">
        <v>76</v>
      </c>
      <c r="J1926" t="s">
        <v>77</v>
      </c>
      <c r="K1926" t="s">
        <v>78</v>
      </c>
      <c r="L1926" t="s">
        <v>580</v>
      </c>
      <c r="M1926" t="s">
        <v>581</v>
      </c>
      <c r="N1926" t="s">
        <v>582</v>
      </c>
      <c r="O1926" t="s">
        <v>82</v>
      </c>
      <c r="P1926" t="str">
        <f>"4170048428                    "</f>
        <v xml:space="preserve">4170048428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22.6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71.2</v>
      </c>
      <c r="BM1926">
        <v>10.68</v>
      </c>
      <c r="BN1926">
        <v>81.88</v>
      </c>
      <c r="BO1926">
        <v>81.88</v>
      </c>
      <c r="BQ1926" t="s">
        <v>583</v>
      </c>
      <c r="BR1926" t="s">
        <v>84</v>
      </c>
      <c r="BS1926" s="3">
        <v>45853</v>
      </c>
      <c r="BT1926" s="4">
        <v>0.39583333333333331</v>
      </c>
      <c r="BU1926" t="s">
        <v>584</v>
      </c>
      <c r="BV1926" t="s">
        <v>98</v>
      </c>
      <c r="BY1926">
        <v>1200</v>
      </c>
      <c r="BZ1926" t="s">
        <v>89</v>
      </c>
      <c r="CA1926" t="s">
        <v>585</v>
      </c>
      <c r="CC1926" t="s">
        <v>581</v>
      </c>
      <c r="CD1926">
        <v>4302</v>
      </c>
      <c r="CE1926" t="s">
        <v>214</v>
      </c>
      <c r="CF1926" s="3">
        <v>45853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"080066553499"</f>
        <v>080066553499</v>
      </c>
      <c r="F1927" s="3">
        <v>45852</v>
      </c>
      <c r="G1927">
        <v>202604</v>
      </c>
      <c r="H1927" t="s">
        <v>75</v>
      </c>
      <c r="I1927" t="s">
        <v>76</v>
      </c>
      <c r="J1927" t="s">
        <v>77</v>
      </c>
      <c r="K1927" t="s">
        <v>78</v>
      </c>
      <c r="L1927" t="s">
        <v>92</v>
      </c>
      <c r="M1927" t="s">
        <v>93</v>
      </c>
      <c r="N1927" t="s">
        <v>479</v>
      </c>
      <c r="O1927" t="s">
        <v>82</v>
      </c>
      <c r="P1927" t="str">
        <f>"4170048584                    "</f>
        <v xml:space="preserve">4170048584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22.6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71.2</v>
      </c>
      <c r="BM1927">
        <v>10.68</v>
      </c>
      <c r="BN1927">
        <v>81.88</v>
      </c>
      <c r="BO1927">
        <v>81.88</v>
      </c>
      <c r="BQ1927" t="s">
        <v>480</v>
      </c>
      <c r="BR1927" t="s">
        <v>84</v>
      </c>
      <c r="BS1927" s="3">
        <v>45853</v>
      </c>
      <c r="BT1927" s="4">
        <v>0.3840277777777778</v>
      </c>
      <c r="BU1927" t="s">
        <v>2477</v>
      </c>
      <c r="BV1927" t="s">
        <v>98</v>
      </c>
      <c r="BY1927">
        <v>1200</v>
      </c>
      <c r="BZ1927" t="s">
        <v>89</v>
      </c>
      <c r="CA1927" t="s">
        <v>2339</v>
      </c>
      <c r="CC1927" t="s">
        <v>93</v>
      </c>
      <c r="CD1927">
        <v>4052</v>
      </c>
      <c r="CE1927" t="s">
        <v>214</v>
      </c>
      <c r="CF1927" s="3">
        <v>45853</v>
      </c>
      <c r="CI1927">
        <v>1</v>
      </c>
      <c r="CJ1927">
        <v>1</v>
      </c>
      <c r="CK1927">
        <v>21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"R080066473987"</f>
        <v>R080066473987</v>
      </c>
      <c r="F1928" s="3">
        <v>45853</v>
      </c>
      <c r="G1928">
        <v>202604</v>
      </c>
      <c r="H1928" t="s">
        <v>197</v>
      </c>
      <c r="I1928" t="s">
        <v>198</v>
      </c>
      <c r="J1928" t="s">
        <v>1955</v>
      </c>
      <c r="K1928" t="s">
        <v>78</v>
      </c>
      <c r="L1928" t="s">
        <v>197</v>
      </c>
      <c r="M1928" t="s">
        <v>198</v>
      </c>
      <c r="N1928" t="s">
        <v>2478</v>
      </c>
      <c r="O1928" t="s">
        <v>95</v>
      </c>
      <c r="P1928" t="str">
        <f>"4170047928                    "</f>
        <v xml:space="preserve">4170047928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33.72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0.3</v>
      </c>
      <c r="BK1928">
        <v>1</v>
      </c>
      <c r="BL1928">
        <v>112.11</v>
      </c>
      <c r="BM1928">
        <v>16.82</v>
      </c>
      <c r="BN1928">
        <v>128.93</v>
      </c>
      <c r="BO1928">
        <v>128.93</v>
      </c>
      <c r="BQ1928" t="s">
        <v>2479</v>
      </c>
      <c r="BR1928" t="s">
        <v>1956</v>
      </c>
      <c r="BS1928" s="3">
        <v>45854</v>
      </c>
      <c r="BT1928" s="4">
        <v>0.45555555555555555</v>
      </c>
      <c r="BU1928" t="s">
        <v>2480</v>
      </c>
      <c r="BV1928" t="s">
        <v>98</v>
      </c>
      <c r="BY1928">
        <v>1350</v>
      </c>
      <c r="BZ1928" t="s">
        <v>99</v>
      </c>
      <c r="CA1928" t="s">
        <v>522</v>
      </c>
      <c r="CC1928" t="s">
        <v>198</v>
      </c>
      <c r="CD1928">
        <v>1400</v>
      </c>
      <c r="CE1928" t="s">
        <v>1868</v>
      </c>
      <c r="CF1928" s="3">
        <v>45854</v>
      </c>
      <c r="CI1928">
        <v>1</v>
      </c>
      <c r="CJ1928">
        <v>1</v>
      </c>
      <c r="CK1928">
        <v>42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"080066566195"</f>
        <v>080066566195</v>
      </c>
      <c r="F1929" s="3">
        <v>45853</v>
      </c>
      <c r="G1929">
        <v>202604</v>
      </c>
      <c r="H1929" t="s">
        <v>75</v>
      </c>
      <c r="I1929" t="s">
        <v>76</v>
      </c>
      <c r="J1929" t="s">
        <v>77</v>
      </c>
      <c r="K1929" t="s">
        <v>78</v>
      </c>
      <c r="L1929" t="s">
        <v>644</v>
      </c>
      <c r="M1929" t="s">
        <v>645</v>
      </c>
      <c r="N1929" t="s">
        <v>2481</v>
      </c>
      <c r="O1929" t="s">
        <v>82</v>
      </c>
      <c r="P1929" t="str">
        <f>"4170048638                    "</f>
        <v xml:space="preserve">4170048638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39.53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3.1</v>
      </c>
      <c r="BK1929">
        <v>3.5</v>
      </c>
      <c r="BL1929">
        <v>124.55</v>
      </c>
      <c r="BM1929">
        <v>18.68</v>
      </c>
      <c r="BN1929">
        <v>143.22999999999999</v>
      </c>
      <c r="BO1929">
        <v>143.22999999999999</v>
      </c>
      <c r="BQ1929" t="s">
        <v>2482</v>
      </c>
      <c r="BR1929" t="s">
        <v>84</v>
      </c>
      <c r="BS1929" s="3">
        <v>45854</v>
      </c>
      <c r="BT1929" s="4">
        <v>0.42708333333333331</v>
      </c>
      <c r="BU1929" t="s">
        <v>2483</v>
      </c>
      <c r="BV1929" t="s">
        <v>98</v>
      </c>
      <c r="BY1929">
        <v>15360</v>
      </c>
      <c r="BZ1929" t="s">
        <v>89</v>
      </c>
      <c r="CA1929" t="s">
        <v>649</v>
      </c>
      <c r="CC1929" t="s">
        <v>645</v>
      </c>
      <c r="CD1929">
        <v>1200</v>
      </c>
      <c r="CE1929" t="s">
        <v>117</v>
      </c>
      <c r="CF1929" s="3">
        <v>45854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"080066566222"</f>
        <v>080066566222</v>
      </c>
      <c r="F1930" s="3">
        <v>45853</v>
      </c>
      <c r="G1930">
        <v>202604</v>
      </c>
      <c r="H1930" t="s">
        <v>75</v>
      </c>
      <c r="I1930" t="s">
        <v>76</v>
      </c>
      <c r="J1930" t="s">
        <v>77</v>
      </c>
      <c r="K1930" t="s">
        <v>78</v>
      </c>
      <c r="L1930" t="s">
        <v>92</v>
      </c>
      <c r="M1930" t="s">
        <v>93</v>
      </c>
      <c r="N1930" t="s">
        <v>2484</v>
      </c>
      <c r="O1930" t="s">
        <v>82</v>
      </c>
      <c r="P1930" t="str">
        <f>"4170048756                    "</f>
        <v xml:space="preserve">4170048756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22.6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71.2</v>
      </c>
      <c r="BM1930">
        <v>10.68</v>
      </c>
      <c r="BN1930">
        <v>81.88</v>
      </c>
      <c r="BO1930">
        <v>81.88</v>
      </c>
      <c r="BQ1930" t="s">
        <v>2485</v>
      </c>
      <c r="BR1930" t="s">
        <v>84</v>
      </c>
      <c r="BS1930" s="3">
        <v>45854</v>
      </c>
      <c r="BT1930" s="4">
        <v>0.55555555555555558</v>
      </c>
      <c r="BU1930" t="s">
        <v>2486</v>
      </c>
      <c r="BV1930" t="s">
        <v>86</v>
      </c>
      <c r="BW1930" t="s">
        <v>194</v>
      </c>
      <c r="BX1930" t="s">
        <v>220</v>
      </c>
      <c r="BY1930">
        <v>1200</v>
      </c>
      <c r="BZ1930" t="s">
        <v>89</v>
      </c>
      <c r="CA1930" t="s">
        <v>1898</v>
      </c>
      <c r="CC1930" t="s">
        <v>93</v>
      </c>
      <c r="CD1930">
        <v>4001</v>
      </c>
      <c r="CE1930" t="s">
        <v>239</v>
      </c>
      <c r="CF1930" s="3">
        <v>45854</v>
      </c>
      <c r="CI1930">
        <v>1</v>
      </c>
      <c r="CJ1930">
        <v>1</v>
      </c>
      <c r="CK1930">
        <v>21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"080066566655"</f>
        <v>080066566655</v>
      </c>
      <c r="F1931" s="3">
        <v>45853</v>
      </c>
      <c r="G1931">
        <v>202604</v>
      </c>
      <c r="H1931" t="s">
        <v>75</v>
      </c>
      <c r="I1931" t="s">
        <v>76</v>
      </c>
      <c r="J1931" t="s">
        <v>77</v>
      </c>
      <c r="K1931" t="s">
        <v>78</v>
      </c>
      <c r="L1931" t="s">
        <v>168</v>
      </c>
      <c r="M1931" t="s">
        <v>169</v>
      </c>
      <c r="N1931" t="s">
        <v>412</v>
      </c>
      <c r="O1931" t="s">
        <v>82</v>
      </c>
      <c r="P1931" t="str">
        <f>"4170048816                    "</f>
        <v xml:space="preserve">4170048816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22.6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1.1000000000000001</v>
      </c>
      <c r="BK1931">
        <v>1.5</v>
      </c>
      <c r="BL1931">
        <v>71.2</v>
      </c>
      <c r="BM1931">
        <v>10.68</v>
      </c>
      <c r="BN1931">
        <v>81.88</v>
      </c>
      <c r="BO1931">
        <v>81.88</v>
      </c>
      <c r="BQ1931" t="s">
        <v>413</v>
      </c>
      <c r="BR1931" t="s">
        <v>84</v>
      </c>
      <c r="BS1931" s="3">
        <v>45854</v>
      </c>
      <c r="BT1931" s="4">
        <v>0.41597222222222224</v>
      </c>
      <c r="BU1931" t="s">
        <v>470</v>
      </c>
      <c r="BV1931" t="s">
        <v>98</v>
      </c>
      <c r="BY1931">
        <v>5320</v>
      </c>
      <c r="BZ1931" t="s">
        <v>89</v>
      </c>
      <c r="CA1931" t="s">
        <v>415</v>
      </c>
      <c r="CC1931" t="s">
        <v>169</v>
      </c>
      <c r="CD1931">
        <v>6001</v>
      </c>
      <c r="CE1931" t="s">
        <v>117</v>
      </c>
      <c r="CF1931" s="3">
        <v>45854</v>
      </c>
      <c r="CI1931">
        <v>1</v>
      </c>
      <c r="CJ1931">
        <v>1</v>
      </c>
      <c r="CK1931">
        <v>21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"080066566676"</f>
        <v>080066566676</v>
      </c>
      <c r="F1932" s="3">
        <v>45853</v>
      </c>
      <c r="G1932">
        <v>202604</v>
      </c>
      <c r="H1932" t="s">
        <v>75</v>
      </c>
      <c r="I1932" t="s">
        <v>76</v>
      </c>
      <c r="J1932" t="s">
        <v>77</v>
      </c>
      <c r="K1932" t="s">
        <v>78</v>
      </c>
      <c r="L1932" t="s">
        <v>122</v>
      </c>
      <c r="M1932" t="s">
        <v>123</v>
      </c>
      <c r="N1932" t="s">
        <v>357</v>
      </c>
      <c r="O1932" t="s">
        <v>82</v>
      </c>
      <c r="P1932" t="str">
        <f>"4170048885                    "</f>
        <v xml:space="preserve">4170048885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22.6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0.3</v>
      </c>
      <c r="BK1932">
        <v>1</v>
      </c>
      <c r="BL1932">
        <v>71.2</v>
      </c>
      <c r="BM1932">
        <v>10.68</v>
      </c>
      <c r="BN1932">
        <v>81.88</v>
      </c>
      <c r="BO1932">
        <v>81.88</v>
      </c>
      <c r="BQ1932" t="s">
        <v>358</v>
      </c>
      <c r="BR1932" t="s">
        <v>84</v>
      </c>
      <c r="BS1932" s="3">
        <v>45854</v>
      </c>
      <c r="BT1932" s="4">
        <v>0.47430555555555554</v>
      </c>
      <c r="BU1932" t="s">
        <v>359</v>
      </c>
      <c r="BV1932" t="s">
        <v>98</v>
      </c>
      <c r="BY1932">
        <v>1350</v>
      </c>
      <c r="BZ1932" t="s">
        <v>89</v>
      </c>
      <c r="CA1932" t="s">
        <v>166</v>
      </c>
      <c r="CC1932" t="s">
        <v>123</v>
      </c>
      <c r="CD1932">
        <v>3610</v>
      </c>
      <c r="CE1932" t="s">
        <v>1868</v>
      </c>
      <c r="CF1932" s="3">
        <v>45855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"080066566701"</f>
        <v>080066566701</v>
      </c>
      <c r="F1933" s="3">
        <v>45853</v>
      </c>
      <c r="G1933">
        <v>202604</v>
      </c>
      <c r="H1933" t="s">
        <v>75</v>
      </c>
      <c r="I1933" t="s">
        <v>76</v>
      </c>
      <c r="J1933" t="s">
        <v>77</v>
      </c>
      <c r="K1933" t="s">
        <v>78</v>
      </c>
      <c r="L1933" t="s">
        <v>2045</v>
      </c>
      <c r="M1933" t="s">
        <v>2046</v>
      </c>
      <c r="N1933" t="s">
        <v>2487</v>
      </c>
      <c r="O1933" t="s">
        <v>82</v>
      </c>
      <c r="P1933" t="str">
        <f>"4170048765                    "</f>
        <v xml:space="preserve">4170048765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56.47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5</v>
      </c>
      <c r="BJ1933">
        <v>1.1000000000000001</v>
      </c>
      <c r="BK1933">
        <v>5</v>
      </c>
      <c r="BL1933">
        <v>177.91</v>
      </c>
      <c r="BM1933">
        <v>26.69</v>
      </c>
      <c r="BN1933">
        <v>204.6</v>
      </c>
      <c r="BO1933">
        <v>204.6</v>
      </c>
      <c r="BQ1933" t="s">
        <v>2488</v>
      </c>
      <c r="BR1933" t="s">
        <v>84</v>
      </c>
      <c r="BS1933" s="3">
        <v>45854</v>
      </c>
      <c r="BT1933" s="4">
        <v>0.41666666666666669</v>
      </c>
      <c r="BU1933" t="s">
        <v>1167</v>
      </c>
      <c r="BV1933" t="s">
        <v>98</v>
      </c>
      <c r="BY1933">
        <v>5320</v>
      </c>
      <c r="BZ1933" t="s">
        <v>89</v>
      </c>
      <c r="CA1933" t="s">
        <v>2048</v>
      </c>
      <c r="CC1933" t="s">
        <v>2046</v>
      </c>
      <c r="CD1933">
        <v>4126</v>
      </c>
      <c r="CE1933" t="s">
        <v>117</v>
      </c>
      <c r="CF1933" s="3">
        <v>45855</v>
      </c>
      <c r="CI1933">
        <v>1</v>
      </c>
      <c r="CJ1933">
        <v>1</v>
      </c>
      <c r="CK1933">
        <v>21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"080066566885"</f>
        <v>080066566885</v>
      </c>
      <c r="F1934" s="3">
        <v>45853</v>
      </c>
      <c r="G1934">
        <v>202604</v>
      </c>
      <c r="H1934" t="s">
        <v>75</v>
      </c>
      <c r="I1934" t="s">
        <v>76</v>
      </c>
      <c r="J1934" t="s">
        <v>77</v>
      </c>
      <c r="K1934" t="s">
        <v>78</v>
      </c>
      <c r="L1934" t="s">
        <v>398</v>
      </c>
      <c r="M1934" t="s">
        <v>399</v>
      </c>
      <c r="N1934" t="s">
        <v>1957</v>
      </c>
      <c r="O1934" t="s">
        <v>82</v>
      </c>
      <c r="P1934" t="str">
        <f>"4170048416                    "</f>
        <v xml:space="preserve">4170048416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17.649999999999999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0.9</v>
      </c>
      <c r="BK1934">
        <v>1</v>
      </c>
      <c r="BL1934">
        <v>55.61</v>
      </c>
      <c r="BM1934">
        <v>8.34</v>
      </c>
      <c r="BN1934">
        <v>63.95</v>
      </c>
      <c r="BO1934">
        <v>63.95</v>
      </c>
      <c r="BQ1934" t="s">
        <v>1958</v>
      </c>
      <c r="BR1934" t="s">
        <v>84</v>
      </c>
      <c r="BS1934" s="3">
        <v>45854</v>
      </c>
      <c r="BT1934" s="4">
        <v>0.40902777777777777</v>
      </c>
      <c r="BU1934" t="s">
        <v>2489</v>
      </c>
      <c r="BV1934" t="s">
        <v>98</v>
      </c>
      <c r="BY1934">
        <v>4680</v>
      </c>
      <c r="BZ1934" t="s">
        <v>89</v>
      </c>
      <c r="CA1934" t="s">
        <v>1624</v>
      </c>
      <c r="CC1934" t="s">
        <v>399</v>
      </c>
      <c r="CD1934">
        <v>1502</v>
      </c>
      <c r="CE1934" t="s">
        <v>91</v>
      </c>
      <c r="CF1934" s="3">
        <v>45855</v>
      </c>
      <c r="CI1934">
        <v>1</v>
      </c>
      <c r="CJ1934">
        <v>1</v>
      </c>
      <c r="CK1934">
        <v>22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"080066566930"</f>
        <v>080066566930</v>
      </c>
      <c r="F1935" s="3">
        <v>45853</v>
      </c>
      <c r="G1935">
        <v>202604</v>
      </c>
      <c r="H1935" t="s">
        <v>75</v>
      </c>
      <c r="I1935" t="s">
        <v>76</v>
      </c>
      <c r="J1935" t="s">
        <v>77</v>
      </c>
      <c r="K1935" t="s">
        <v>78</v>
      </c>
      <c r="L1935" t="s">
        <v>197</v>
      </c>
      <c r="M1935" t="s">
        <v>198</v>
      </c>
      <c r="N1935" t="s">
        <v>890</v>
      </c>
      <c r="O1935" t="s">
        <v>82</v>
      </c>
      <c r="P1935" t="str">
        <f>"4170048699                    "</f>
        <v xml:space="preserve">4170048699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17.649999999999999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3</v>
      </c>
      <c r="BJ1935">
        <v>4.2</v>
      </c>
      <c r="BK1935">
        <v>5</v>
      </c>
      <c r="BL1935">
        <v>55.61</v>
      </c>
      <c r="BM1935">
        <v>8.34</v>
      </c>
      <c r="BN1935">
        <v>63.95</v>
      </c>
      <c r="BO1935">
        <v>63.95</v>
      </c>
      <c r="BQ1935" t="s">
        <v>891</v>
      </c>
      <c r="BR1935" t="s">
        <v>84</v>
      </c>
      <c r="BS1935" s="3">
        <v>45854</v>
      </c>
      <c r="BT1935" s="4">
        <v>0.38194444444444442</v>
      </c>
      <c r="BU1935" t="s">
        <v>2490</v>
      </c>
      <c r="BV1935" t="s">
        <v>98</v>
      </c>
      <c r="BY1935">
        <v>21090</v>
      </c>
      <c r="BZ1935" t="s">
        <v>89</v>
      </c>
      <c r="CA1935" t="s">
        <v>893</v>
      </c>
      <c r="CC1935" t="s">
        <v>198</v>
      </c>
      <c r="CD1935">
        <v>1401</v>
      </c>
      <c r="CE1935" t="s">
        <v>91</v>
      </c>
      <c r="CF1935" s="3">
        <v>45854</v>
      </c>
      <c r="CI1935">
        <v>1</v>
      </c>
      <c r="CJ1935">
        <v>1</v>
      </c>
      <c r="CK1935">
        <v>22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"080066566989"</f>
        <v>080066566989</v>
      </c>
      <c r="F1936" s="3">
        <v>45853</v>
      </c>
      <c r="G1936">
        <v>202604</v>
      </c>
      <c r="H1936" t="s">
        <v>75</v>
      </c>
      <c r="I1936" t="s">
        <v>76</v>
      </c>
      <c r="J1936" t="s">
        <v>77</v>
      </c>
      <c r="K1936" t="s">
        <v>78</v>
      </c>
      <c r="L1936" t="s">
        <v>168</v>
      </c>
      <c r="M1936" t="s">
        <v>169</v>
      </c>
      <c r="N1936" t="s">
        <v>487</v>
      </c>
      <c r="O1936" t="s">
        <v>82</v>
      </c>
      <c r="P1936" t="str">
        <f>"4170048769                    "</f>
        <v xml:space="preserve">4170048769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22.6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71.2</v>
      </c>
      <c r="BM1936">
        <v>10.68</v>
      </c>
      <c r="BN1936">
        <v>81.88</v>
      </c>
      <c r="BO1936">
        <v>81.88</v>
      </c>
      <c r="BQ1936" t="s">
        <v>488</v>
      </c>
      <c r="BR1936" t="s">
        <v>84</v>
      </c>
      <c r="BS1936" s="3">
        <v>45854</v>
      </c>
      <c r="BT1936" s="4">
        <v>0.43263888888888891</v>
      </c>
      <c r="BU1936" t="s">
        <v>2491</v>
      </c>
      <c r="BV1936" t="s">
        <v>98</v>
      </c>
      <c r="BY1936">
        <v>1200</v>
      </c>
      <c r="BZ1936" t="s">
        <v>89</v>
      </c>
      <c r="CA1936" t="s">
        <v>415</v>
      </c>
      <c r="CC1936" t="s">
        <v>169</v>
      </c>
      <c r="CD1936">
        <v>6012</v>
      </c>
      <c r="CE1936" t="s">
        <v>239</v>
      </c>
      <c r="CF1936" s="3">
        <v>45854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"080066567492"</f>
        <v>080066567492</v>
      </c>
      <c r="F1937" s="3">
        <v>45853</v>
      </c>
      <c r="G1937">
        <v>202604</v>
      </c>
      <c r="H1937" t="s">
        <v>75</v>
      </c>
      <c r="I1937" t="s">
        <v>76</v>
      </c>
      <c r="J1937" t="s">
        <v>77</v>
      </c>
      <c r="K1937" t="s">
        <v>78</v>
      </c>
      <c r="L1937" t="s">
        <v>174</v>
      </c>
      <c r="M1937" t="s">
        <v>175</v>
      </c>
      <c r="N1937" t="s">
        <v>352</v>
      </c>
      <c r="O1937" t="s">
        <v>82</v>
      </c>
      <c r="P1937" t="str">
        <f>"4170048842                    "</f>
        <v xml:space="preserve">4170048842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22.6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71.2</v>
      </c>
      <c r="BM1937">
        <v>10.68</v>
      </c>
      <c r="BN1937">
        <v>81.88</v>
      </c>
      <c r="BO1937">
        <v>81.88</v>
      </c>
      <c r="BQ1937" t="s">
        <v>1994</v>
      </c>
      <c r="BR1937" t="s">
        <v>84</v>
      </c>
      <c r="BS1937" s="3">
        <v>45854</v>
      </c>
      <c r="BT1937" s="4">
        <v>0.49027777777777776</v>
      </c>
      <c r="BU1937" t="s">
        <v>1995</v>
      </c>
      <c r="BV1937" t="s">
        <v>86</v>
      </c>
      <c r="BW1937" t="s">
        <v>194</v>
      </c>
      <c r="BX1937" t="s">
        <v>1382</v>
      </c>
      <c r="BY1937">
        <v>1200</v>
      </c>
      <c r="BZ1937" t="s">
        <v>89</v>
      </c>
      <c r="CA1937" t="s">
        <v>173</v>
      </c>
      <c r="CC1937" t="s">
        <v>175</v>
      </c>
      <c r="CD1937">
        <v>6220</v>
      </c>
      <c r="CE1937" t="s">
        <v>239</v>
      </c>
      <c r="CF1937" s="3">
        <v>45854</v>
      </c>
      <c r="CI1937">
        <v>1</v>
      </c>
      <c r="CJ1937">
        <v>1</v>
      </c>
      <c r="CK1937">
        <v>21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"080066567653"</f>
        <v>080066567653</v>
      </c>
      <c r="F1938" s="3">
        <v>45853</v>
      </c>
      <c r="G1938">
        <v>202604</v>
      </c>
      <c r="H1938" t="s">
        <v>75</v>
      </c>
      <c r="I1938" t="s">
        <v>76</v>
      </c>
      <c r="J1938" t="s">
        <v>77</v>
      </c>
      <c r="K1938" t="s">
        <v>78</v>
      </c>
      <c r="L1938" t="s">
        <v>75</v>
      </c>
      <c r="M1938" t="s">
        <v>76</v>
      </c>
      <c r="N1938" t="s">
        <v>118</v>
      </c>
      <c r="O1938" t="s">
        <v>95</v>
      </c>
      <c r="P1938" t="str">
        <f>"4170048722                    "</f>
        <v xml:space="preserve">4170048722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36.68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8</v>
      </c>
      <c r="BJ1938">
        <v>17.7</v>
      </c>
      <c r="BK1938">
        <v>18</v>
      </c>
      <c r="BL1938">
        <v>121.43</v>
      </c>
      <c r="BM1938">
        <v>18.21</v>
      </c>
      <c r="BN1938">
        <v>139.63999999999999</v>
      </c>
      <c r="BO1938">
        <v>139.63999999999999</v>
      </c>
      <c r="BQ1938" t="s">
        <v>119</v>
      </c>
      <c r="BR1938" t="s">
        <v>84</v>
      </c>
      <c r="BS1938" s="3">
        <v>45854</v>
      </c>
      <c r="BT1938" s="4">
        <v>0.30625000000000002</v>
      </c>
      <c r="BU1938" t="s">
        <v>768</v>
      </c>
      <c r="BV1938" t="s">
        <v>98</v>
      </c>
      <c r="BY1938">
        <v>88320</v>
      </c>
      <c r="BZ1938" t="s">
        <v>99</v>
      </c>
      <c r="CA1938" t="s">
        <v>1537</v>
      </c>
      <c r="CC1938" t="s">
        <v>76</v>
      </c>
      <c r="CD1938">
        <v>1600</v>
      </c>
      <c r="CE1938" t="s">
        <v>117</v>
      </c>
      <c r="CF1938" s="3">
        <v>45854</v>
      </c>
      <c r="CI1938">
        <v>1</v>
      </c>
      <c r="CJ1938">
        <v>1</v>
      </c>
      <c r="CK1938">
        <v>42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"080066568923"</f>
        <v>080066568923</v>
      </c>
      <c r="F1939" s="3">
        <v>45853</v>
      </c>
      <c r="G1939">
        <v>202604</v>
      </c>
      <c r="H1939" t="s">
        <v>75</v>
      </c>
      <c r="I1939" t="s">
        <v>76</v>
      </c>
      <c r="J1939" t="s">
        <v>77</v>
      </c>
      <c r="K1939" t="s">
        <v>78</v>
      </c>
      <c r="L1939" t="s">
        <v>92</v>
      </c>
      <c r="M1939" t="s">
        <v>93</v>
      </c>
      <c r="N1939" t="s">
        <v>94</v>
      </c>
      <c r="O1939" t="s">
        <v>82</v>
      </c>
      <c r="P1939" t="str">
        <f>"4170048860                    "</f>
        <v xml:space="preserve">4170048860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22.6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71.2</v>
      </c>
      <c r="BM1939">
        <v>10.68</v>
      </c>
      <c r="BN1939">
        <v>81.88</v>
      </c>
      <c r="BO1939">
        <v>81.88</v>
      </c>
      <c r="BQ1939" t="s">
        <v>96</v>
      </c>
      <c r="BR1939" t="s">
        <v>84</v>
      </c>
      <c r="BS1939" s="3">
        <v>45854</v>
      </c>
      <c r="BT1939" s="4">
        <v>0.60069444444444442</v>
      </c>
      <c r="BU1939" t="s">
        <v>2492</v>
      </c>
      <c r="BV1939" t="s">
        <v>86</v>
      </c>
      <c r="BW1939" t="s">
        <v>219</v>
      </c>
      <c r="BX1939" t="s">
        <v>220</v>
      </c>
      <c r="BY1939">
        <v>1200</v>
      </c>
      <c r="BZ1939" t="s">
        <v>89</v>
      </c>
      <c r="CA1939" t="s">
        <v>100</v>
      </c>
      <c r="CC1939" t="s">
        <v>93</v>
      </c>
      <c r="CD1939">
        <v>4052</v>
      </c>
      <c r="CE1939" t="s">
        <v>239</v>
      </c>
      <c r="CF1939" s="3">
        <v>45854</v>
      </c>
      <c r="CI1939">
        <v>1</v>
      </c>
      <c r="CJ1939">
        <v>1</v>
      </c>
      <c r="CK1939">
        <v>21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"080066568954"</f>
        <v>080066568954</v>
      </c>
      <c r="F1940" s="3">
        <v>45853</v>
      </c>
      <c r="G1940">
        <v>202604</v>
      </c>
      <c r="H1940" t="s">
        <v>75</v>
      </c>
      <c r="I1940" t="s">
        <v>76</v>
      </c>
      <c r="J1940" t="s">
        <v>77</v>
      </c>
      <c r="K1940" t="s">
        <v>78</v>
      </c>
      <c r="L1940" t="s">
        <v>305</v>
      </c>
      <c r="M1940" t="s">
        <v>306</v>
      </c>
      <c r="N1940" t="s">
        <v>1820</v>
      </c>
      <c r="O1940" t="s">
        <v>82</v>
      </c>
      <c r="P1940" t="str">
        <f>"4170048803                    "</f>
        <v xml:space="preserve">4170048803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22.6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71.2</v>
      </c>
      <c r="BM1940">
        <v>10.68</v>
      </c>
      <c r="BN1940">
        <v>81.88</v>
      </c>
      <c r="BO1940">
        <v>81.88</v>
      </c>
      <c r="BQ1940" t="s">
        <v>1821</v>
      </c>
      <c r="BR1940" t="s">
        <v>84</v>
      </c>
      <c r="BS1940" s="3">
        <v>45854</v>
      </c>
      <c r="BT1940" s="4">
        <v>0.4513888888888889</v>
      </c>
      <c r="BU1940" t="s">
        <v>2493</v>
      </c>
      <c r="BV1940" t="s">
        <v>86</v>
      </c>
      <c r="BY1940">
        <v>1200</v>
      </c>
      <c r="BZ1940" t="s">
        <v>89</v>
      </c>
      <c r="CA1940" t="s">
        <v>1877</v>
      </c>
      <c r="CC1940" t="s">
        <v>306</v>
      </c>
      <c r="CD1940">
        <v>5200</v>
      </c>
      <c r="CE1940" t="s">
        <v>239</v>
      </c>
      <c r="CF1940" s="3">
        <v>45854</v>
      </c>
      <c r="CI1940">
        <v>1</v>
      </c>
      <c r="CJ1940">
        <v>1</v>
      </c>
      <c r="CK1940">
        <v>21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"080066568991"</f>
        <v>080066568991</v>
      </c>
      <c r="F1941" s="3">
        <v>45853</v>
      </c>
      <c r="G1941">
        <v>202604</v>
      </c>
      <c r="H1941" t="s">
        <v>75</v>
      </c>
      <c r="I1941" t="s">
        <v>76</v>
      </c>
      <c r="J1941" t="s">
        <v>77</v>
      </c>
      <c r="K1941" t="s">
        <v>78</v>
      </c>
      <c r="L1941" t="s">
        <v>168</v>
      </c>
      <c r="M1941" t="s">
        <v>169</v>
      </c>
      <c r="N1941" t="s">
        <v>894</v>
      </c>
      <c r="O1941" t="s">
        <v>82</v>
      </c>
      <c r="P1941" t="str">
        <f>"4170048770                    "</f>
        <v xml:space="preserve">4170048770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22.6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71.2</v>
      </c>
      <c r="BM1941">
        <v>10.68</v>
      </c>
      <c r="BN1941">
        <v>81.88</v>
      </c>
      <c r="BO1941">
        <v>81.88</v>
      </c>
      <c r="BQ1941" t="s">
        <v>895</v>
      </c>
      <c r="BR1941" t="s">
        <v>84</v>
      </c>
      <c r="BS1941" s="3">
        <v>45854</v>
      </c>
      <c r="BT1941" s="4">
        <v>0.43472222222222223</v>
      </c>
      <c r="BU1941" t="s">
        <v>896</v>
      </c>
      <c r="BV1941" t="s">
        <v>98</v>
      </c>
      <c r="BY1941">
        <v>1200</v>
      </c>
      <c r="BZ1941" t="s">
        <v>89</v>
      </c>
      <c r="CA1941" t="s">
        <v>282</v>
      </c>
      <c r="CC1941" t="s">
        <v>169</v>
      </c>
      <c r="CD1941">
        <v>6001</v>
      </c>
      <c r="CE1941" t="s">
        <v>239</v>
      </c>
      <c r="CF1941" s="3">
        <v>45854</v>
      </c>
      <c r="CI1941">
        <v>1</v>
      </c>
      <c r="CJ1941">
        <v>1</v>
      </c>
      <c r="CK1941">
        <v>21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"080066569106"</f>
        <v>080066569106</v>
      </c>
      <c r="F1942" s="3">
        <v>45853</v>
      </c>
      <c r="G1942">
        <v>202604</v>
      </c>
      <c r="H1942" t="s">
        <v>75</v>
      </c>
      <c r="I1942" t="s">
        <v>76</v>
      </c>
      <c r="J1942" t="s">
        <v>77</v>
      </c>
      <c r="K1942" t="s">
        <v>78</v>
      </c>
      <c r="L1942" t="s">
        <v>135</v>
      </c>
      <c r="M1942" t="s">
        <v>136</v>
      </c>
      <c r="N1942" t="s">
        <v>379</v>
      </c>
      <c r="O1942" t="s">
        <v>82</v>
      </c>
      <c r="P1942" t="str">
        <f>"4170048725                    "</f>
        <v xml:space="preserve">4170048725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22.6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71.2</v>
      </c>
      <c r="BM1942">
        <v>10.68</v>
      </c>
      <c r="BN1942">
        <v>81.88</v>
      </c>
      <c r="BO1942">
        <v>81.88</v>
      </c>
      <c r="BQ1942" t="s">
        <v>380</v>
      </c>
      <c r="BR1942" t="s">
        <v>84</v>
      </c>
      <c r="BS1942" s="3">
        <v>45854</v>
      </c>
      <c r="BT1942" s="4">
        <v>0.41666666666666669</v>
      </c>
      <c r="BU1942" t="s">
        <v>2019</v>
      </c>
      <c r="BV1942" t="s">
        <v>98</v>
      </c>
      <c r="BY1942">
        <v>1200</v>
      </c>
      <c r="BZ1942" t="s">
        <v>89</v>
      </c>
      <c r="CA1942" t="s">
        <v>382</v>
      </c>
      <c r="CC1942" t="s">
        <v>136</v>
      </c>
      <c r="CD1942">
        <v>3212</v>
      </c>
      <c r="CE1942" t="s">
        <v>239</v>
      </c>
      <c r="CF1942" s="3">
        <v>45854</v>
      </c>
      <c r="CI1942">
        <v>2</v>
      </c>
      <c r="CJ1942">
        <v>1</v>
      </c>
      <c r="CK1942">
        <v>21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"080066569268"</f>
        <v>080066569268</v>
      </c>
      <c r="F1943" s="3">
        <v>45853</v>
      </c>
      <c r="G1943">
        <v>202604</v>
      </c>
      <c r="H1943" t="s">
        <v>75</v>
      </c>
      <c r="I1943" t="s">
        <v>76</v>
      </c>
      <c r="J1943" t="s">
        <v>77</v>
      </c>
      <c r="K1943" t="s">
        <v>78</v>
      </c>
      <c r="L1943" t="s">
        <v>1768</v>
      </c>
      <c r="M1943" t="s">
        <v>1769</v>
      </c>
      <c r="N1943" t="s">
        <v>1770</v>
      </c>
      <c r="O1943" t="s">
        <v>95</v>
      </c>
      <c r="P1943" t="str">
        <f>"4170048902                    "</f>
        <v xml:space="preserve">4170048902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404.77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124</v>
      </c>
      <c r="BJ1943">
        <v>61.3</v>
      </c>
      <c r="BK1943">
        <v>124</v>
      </c>
      <c r="BL1943">
        <v>1281.1199999999999</v>
      </c>
      <c r="BM1943">
        <v>192.17</v>
      </c>
      <c r="BN1943">
        <v>1473.29</v>
      </c>
      <c r="BO1943">
        <v>1473.29</v>
      </c>
      <c r="BQ1943" t="s">
        <v>1771</v>
      </c>
      <c r="BR1943" t="s">
        <v>84</v>
      </c>
      <c r="BS1943" s="3">
        <v>45854</v>
      </c>
      <c r="BT1943" s="4">
        <v>0.53611111111111109</v>
      </c>
      <c r="BU1943" t="s">
        <v>1772</v>
      </c>
      <c r="BV1943" t="s">
        <v>98</v>
      </c>
      <c r="BY1943">
        <v>306342</v>
      </c>
      <c r="BZ1943" t="s">
        <v>99</v>
      </c>
      <c r="CA1943" t="s">
        <v>1773</v>
      </c>
      <c r="CC1943" t="s">
        <v>1769</v>
      </c>
      <c r="CD1943">
        <v>2302</v>
      </c>
      <c r="CE1943" t="s">
        <v>2082</v>
      </c>
      <c r="CF1943" s="3">
        <v>45855</v>
      </c>
      <c r="CI1943">
        <v>1</v>
      </c>
      <c r="CJ1943">
        <v>1</v>
      </c>
      <c r="CK1943">
        <v>43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"080066569536"</f>
        <v>080066569536</v>
      </c>
      <c r="F1944" s="3">
        <v>45853</v>
      </c>
      <c r="G1944">
        <v>202604</v>
      </c>
      <c r="H1944" t="s">
        <v>75</v>
      </c>
      <c r="I1944" t="s">
        <v>76</v>
      </c>
      <c r="J1944" t="s">
        <v>77</v>
      </c>
      <c r="K1944" t="s">
        <v>78</v>
      </c>
      <c r="L1944" t="s">
        <v>122</v>
      </c>
      <c r="M1944" t="s">
        <v>123</v>
      </c>
      <c r="N1944" t="s">
        <v>163</v>
      </c>
      <c r="O1944" t="s">
        <v>82</v>
      </c>
      <c r="P1944" t="str">
        <f>"4170048845                    "</f>
        <v xml:space="preserve">4170048845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22.6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71.2</v>
      </c>
      <c r="BM1944">
        <v>10.68</v>
      </c>
      <c r="BN1944">
        <v>81.88</v>
      </c>
      <c r="BO1944">
        <v>81.88</v>
      </c>
      <c r="BQ1944" t="s">
        <v>164</v>
      </c>
      <c r="BR1944" t="s">
        <v>84</v>
      </c>
      <c r="BS1944" s="3">
        <v>45854</v>
      </c>
      <c r="BT1944" s="4">
        <v>0.54166666666666663</v>
      </c>
      <c r="BU1944" t="s">
        <v>165</v>
      </c>
      <c r="BV1944" t="s">
        <v>86</v>
      </c>
      <c r="BW1944" t="s">
        <v>219</v>
      </c>
      <c r="BX1944" t="s">
        <v>220</v>
      </c>
      <c r="BY1944">
        <v>1200</v>
      </c>
      <c r="BZ1944" t="s">
        <v>89</v>
      </c>
      <c r="CA1944" t="s">
        <v>166</v>
      </c>
      <c r="CC1944" t="s">
        <v>123</v>
      </c>
      <c r="CD1944">
        <v>3600</v>
      </c>
      <c r="CE1944" t="s">
        <v>239</v>
      </c>
      <c r="CF1944" s="3">
        <v>45855</v>
      </c>
      <c r="CI1944">
        <v>1</v>
      </c>
      <c r="CJ1944">
        <v>1</v>
      </c>
      <c r="CK1944">
        <v>21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"080066569708"</f>
        <v>080066569708</v>
      </c>
      <c r="F1945" s="3">
        <v>45853</v>
      </c>
      <c r="G1945">
        <v>202604</v>
      </c>
      <c r="H1945" t="s">
        <v>75</v>
      </c>
      <c r="I1945" t="s">
        <v>76</v>
      </c>
      <c r="J1945" t="s">
        <v>77</v>
      </c>
      <c r="K1945" t="s">
        <v>78</v>
      </c>
      <c r="L1945" t="s">
        <v>146</v>
      </c>
      <c r="M1945" t="s">
        <v>146</v>
      </c>
      <c r="N1945" t="s">
        <v>147</v>
      </c>
      <c r="O1945" t="s">
        <v>82</v>
      </c>
      <c r="P1945" t="str">
        <f>"4170048689                    "</f>
        <v xml:space="preserve">4170048689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43.78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137.94</v>
      </c>
      <c r="BM1945">
        <v>20.69</v>
      </c>
      <c r="BN1945">
        <v>158.63</v>
      </c>
      <c r="BO1945">
        <v>158.63</v>
      </c>
      <c r="BQ1945" t="s">
        <v>764</v>
      </c>
      <c r="BR1945" t="s">
        <v>84</v>
      </c>
      <c r="BS1945" s="3">
        <v>45854</v>
      </c>
      <c r="BT1945" s="4">
        <v>0.53819444444444442</v>
      </c>
      <c r="BU1945" t="s">
        <v>149</v>
      </c>
      <c r="BV1945" t="s">
        <v>98</v>
      </c>
      <c r="BY1945">
        <v>1200</v>
      </c>
      <c r="BZ1945" t="s">
        <v>89</v>
      </c>
      <c r="CA1945" t="s">
        <v>150</v>
      </c>
      <c r="CC1945" t="s">
        <v>146</v>
      </c>
      <c r="CD1945">
        <v>7646</v>
      </c>
      <c r="CE1945" t="s">
        <v>239</v>
      </c>
      <c r="CF1945" s="3">
        <v>45855</v>
      </c>
      <c r="CI1945">
        <v>1</v>
      </c>
      <c r="CJ1945">
        <v>1</v>
      </c>
      <c r="CK1945">
        <v>23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"080066569892"</f>
        <v>080066569892</v>
      </c>
      <c r="F1946" s="3">
        <v>45853</v>
      </c>
      <c r="G1946">
        <v>202604</v>
      </c>
      <c r="H1946" t="s">
        <v>75</v>
      </c>
      <c r="I1946" t="s">
        <v>76</v>
      </c>
      <c r="J1946" t="s">
        <v>77</v>
      </c>
      <c r="K1946" t="s">
        <v>78</v>
      </c>
      <c r="L1946" t="s">
        <v>135</v>
      </c>
      <c r="M1946" t="s">
        <v>136</v>
      </c>
      <c r="N1946" t="s">
        <v>379</v>
      </c>
      <c r="O1946" t="s">
        <v>82</v>
      </c>
      <c r="P1946" t="str">
        <f>"4170048779                    "</f>
        <v xml:space="preserve">4170048779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22.6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71.2</v>
      </c>
      <c r="BM1946">
        <v>10.68</v>
      </c>
      <c r="BN1946">
        <v>81.88</v>
      </c>
      <c r="BO1946">
        <v>81.88</v>
      </c>
      <c r="BQ1946" t="s">
        <v>380</v>
      </c>
      <c r="BR1946" t="s">
        <v>84</v>
      </c>
      <c r="BS1946" s="3">
        <v>45854</v>
      </c>
      <c r="BT1946" s="4">
        <v>0.41666666666666669</v>
      </c>
      <c r="BU1946" t="s">
        <v>2019</v>
      </c>
      <c r="BV1946" t="s">
        <v>98</v>
      </c>
      <c r="BY1946">
        <v>1200</v>
      </c>
      <c r="BZ1946" t="s">
        <v>89</v>
      </c>
      <c r="CA1946" t="s">
        <v>382</v>
      </c>
      <c r="CC1946" t="s">
        <v>136</v>
      </c>
      <c r="CD1946">
        <v>3212</v>
      </c>
      <c r="CE1946" t="s">
        <v>239</v>
      </c>
      <c r="CF1946" s="3">
        <v>45854</v>
      </c>
      <c r="CI1946">
        <v>2</v>
      </c>
      <c r="CJ1946">
        <v>1</v>
      </c>
      <c r="CK1946">
        <v>21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"080066570071"</f>
        <v>080066570071</v>
      </c>
      <c r="F1947" s="3">
        <v>45853</v>
      </c>
      <c r="G1947">
        <v>202604</v>
      </c>
      <c r="H1947" t="s">
        <v>75</v>
      </c>
      <c r="I1947" t="s">
        <v>76</v>
      </c>
      <c r="J1947" t="s">
        <v>77</v>
      </c>
      <c r="K1947" t="s">
        <v>78</v>
      </c>
      <c r="L1947" t="s">
        <v>704</v>
      </c>
      <c r="M1947" t="s">
        <v>705</v>
      </c>
      <c r="N1947" t="s">
        <v>848</v>
      </c>
      <c r="O1947" t="s">
        <v>82</v>
      </c>
      <c r="P1947" t="str">
        <f>"4170048828                    "</f>
        <v xml:space="preserve">4170048828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43.78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137.94</v>
      </c>
      <c r="BM1947">
        <v>20.69</v>
      </c>
      <c r="BN1947">
        <v>158.63</v>
      </c>
      <c r="BO1947">
        <v>158.63</v>
      </c>
      <c r="BQ1947" t="s">
        <v>849</v>
      </c>
      <c r="BR1947" t="s">
        <v>84</v>
      </c>
      <c r="BS1947" s="3">
        <v>45854</v>
      </c>
      <c r="BT1947" s="4">
        <v>0.52361111111111114</v>
      </c>
      <c r="BU1947" t="s">
        <v>2274</v>
      </c>
      <c r="BV1947" t="s">
        <v>98</v>
      </c>
      <c r="BY1947">
        <v>1200</v>
      </c>
      <c r="BZ1947" t="s">
        <v>89</v>
      </c>
      <c r="CA1947" t="s">
        <v>1665</v>
      </c>
      <c r="CC1947" t="s">
        <v>705</v>
      </c>
      <c r="CD1947">
        <v>6850</v>
      </c>
      <c r="CE1947" t="s">
        <v>214</v>
      </c>
      <c r="CF1947" s="3">
        <v>45855</v>
      </c>
      <c r="CI1947">
        <v>2</v>
      </c>
      <c r="CJ1947">
        <v>1</v>
      </c>
      <c r="CK1947">
        <v>23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"080066570163"</f>
        <v>080066570163</v>
      </c>
      <c r="F1948" s="3">
        <v>45853</v>
      </c>
      <c r="G1948">
        <v>202604</v>
      </c>
      <c r="H1948" t="s">
        <v>75</v>
      </c>
      <c r="I1948" t="s">
        <v>76</v>
      </c>
      <c r="J1948" t="s">
        <v>77</v>
      </c>
      <c r="K1948" t="s">
        <v>78</v>
      </c>
      <c r="L1948" t="s">
        <v>75</v>
      </c>
      <c r="M1948" t="s">
        <v>76</v>
      </c>
      <c r="N1948" t="s">
        <v>1324</v>
      </c>
      <c r="O1948" t="s">
        <v>82</v>
      </c>
      <c r="P1948" t="str">
        <f>"4170048768                    "</f>
        <v xml:space="preserve">4170048768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17.649999999999999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55.61</v>
      </c>
      <c r="BM1948">
        <v>8.34</v>
      </c>
      <c r="BN1948">
        <v>63.95</v>
      </c>
      <c r="BO1948">
        <v>63.95</v>
      </c>
      <c r="BQ1948" t="s">
        <v>1325</v>
      </c>
      <c r="BR1948" t="s">
        <v>84</v>
      </c>
      <c r="BS1948" s="3">
        <v>45854</v>
      </c>
      <c r="BT1948" s="4">
        <v>0.29444444444444445</v>
      </c>
      <c r="BU1948" t="s">
        <v>2494</v>
      </c>
      <c r="BV1948" t="s">
        <v>98</v>
      </c>
      <c r="BY1948">
        <v>1200</v>
      </c>
      <c r="BZ1948" t="s">
        <v>89</v>
      </c>
      <c r="CA1948" t="s">
        <v>522</v>
      </c>
      <c r="CC1948" t="s">
        <v>76</v>
      </c>
      <c r="CD1948">
        <v>1600</v>
      </c>
      <c r="CE1948" t="s">
        <v>239</v>
      </c>
      <c r="CF1948" s="3">
        <v>45854</v>
      </c>
      <c r="CI1948">
        <v>1</v>
      </c>
      <c r="CJ1948">
        <v>1</v>
      </c>
      <c r="CK1948">
        <v>22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"080066570437"</f>
        <v>080066570437</v>
      </c>
      <c r="F1949" s="3">
        <v>45853</v>
      </c>
      <c r="G1949">
        <v>202604</v>
      </c>
      <c r="H1949" t="s">
        <v>75</v>
      </c>
      <c r="I1949" t="s">
        <v>76</v>
      </c>
      <c r="J1949" t="s">
        <v>77</v>
      </c>
      <c r="K1949" t="s">
        <v>78</v>
      </c>
      <c r="L1949" t="s">
        <v>329</v>
      </c>
      <c r="M1949" t="s">
        <v>330</v>
      </c>
      <c r="N1949" t="s">
        <v>331</v>
      </c>
      <c r="O1949" t="s">
        <v>82</v>
      </c>
      <c r="P1949" t="str">
        <f>"4170048824                    "</f>
        <v xml:space="preserve">4170048824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43.78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137.94</v>
      </c>
      <c r="BM1949">
        <v>20.69</v>
      </c>
      <c r="BN1949">
        <v>158.63</v>
      </c>
      <c r="BO1949">
        <v>158.63</v>
      </c>
      <c r="BQ1949" t="s">
        <v>332</v>
      </c>
      <c r="BR1949" t="s">
        <v>84</v>
      </c>
      <c r="BS1949" s="3">
        <v>45854</v>
      </c>
      <c r="BT1949" s="4">
        <v>0.53541666666666665</v>
      </c>
      <c r="BU1949" t="s">
        <v>527</v>
      </c>
      <c r="BV1949" t="s">
        <v>98</v>
      </c>
      <c r="BY1949">
        <v>1200</v>
      </c>
      <c r="BZ1949" t="s">
        <v>89</v>
      </c>
      <c r="CA1949" t="s">
        <v>1153</v>
      </c>
      <c r="CC1949" t="s">
        <v>330</v>
      </c>
      <c r="CD1949">
        <v>6300</v>
      </c>
      <c r="CE1949" t="s">
        <v>239</v>
      </c>
      <c r="CF1949" s="3">
        <v>45854</v>
      </c>
      <c r="CI1949">
        <v>2</v>
      </c>
      <c r="CJ1949">
        <v>1</v>
      </c>
      <c r="CK1949">
        <v>23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"080066570511"</f>
        <v>080066570511</v>
      </c>
      <c r="F1950" s="3">
        <v>45853</v>
      </c>
      <c r="G1950">
        <v>202604</v>
      </c>
      <c r="H1950" t="s">
        <v>75</v>
      </c>
      <c r="I1950" t="s">
        <v>76</v>
      </c>
      <c r="J1950" t="s">
        <v>77</v>
      </c>
      <c r="K1950" t="s">
        <v>78</v>
      </c>
      <c r="L1950" t="s">
        <v>758</v>
      </c>
      <c r="M1950" t="s">
        <v>759</v>
      </c>
      <c r="N1950" t="s">
        <v>760</v>
      </c>
      <c r="O1950" t="s">
        <v>82</v>
      </c>
      <c r="P1950" t="str">
        <f>"4170048883                    "</f>
        <v xml:space="preserve">4170048883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132.76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6.5</v>
      </c>
      <c r="BK1950">
        <v>6.5</v>
      </c>
      <c r="BL1950">
        <v>418.26</v>
      </c>
      <c r="BM1950">
        <v>62.74</v>
      </c>
      <c r="BN1950">
        <v>481</v>
      </c>
      <c r="BO1950">
        <v>481</v>
      </c>
      <c r="BQ1950" t="s">
        <v>761</v>
      </c>
      <c r="BR1950" t="s">
        <v>84</v>
      </c>
      <c r="BS1950" s="3">
        <v>45854</v>
      </c>
      <c r="BT1950" s="4">
        <v>0.51180555555555551</v>
      </c>
      <c r="BU1950" t="s">
        <v>1819</v>
      </c>
      <c r="BV1950" t="s">
        <v>98</v>
      </c>
      <c r="BY1950">
        <v>32256</v>
      </c>
      <c r="BZ1950" t="s">
        <v>89</v>
      </c>
      <c r="CA1950" t="s">
        <v>763</v>
      </c>
      <c r="CC1950" t="s">
        <v>759</v>
      </c>
      <c r="CD1950">
        <v>2531</v>
      </c>
      <c r="CE1950" t="s">
        <v>91</v>
      </c>
      <c r="CF1950" s="3">
        <v>45855</v>
      </c>
      <c r="CI1950">
        <v>1</v>
      </c>
      <c r="CJ1950">
        <v>1</v>
      </c>
      <c r="CK1950">
        <v>23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"080066570598"</f>
        <v>080066570598</v>
      </c>
      <c r="F1951" s="3">
        <v>45853</v>
      </c>
      <c r="G1951">
        <v>202604</v>
      </c>
      <c r="H1951" t="s">
        <v>75</v>
      </c>
      <c r="I1951" t="s">
        <v>76</v>
      </c>
      <c r="J1951" t="s">
        <v>77</v>
      </c>
      <c r="K1951" t="s">
        <v>78</v>
      </c>
      <c r="L1951" t="s">
        <v>135</v>
      </c>
      <c r="M1951" t="s">
        <v>136</v>
      </c>
      <c r="N1951" t="s">
        <v>379</v>
      </c>
      <c r="O1951" t="s">
        <v>82</v>
      </c>
      <c r="P1951" t="str">
        <f>"4170048806                    "</f>
        <v xml:space="preserve">4170048806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22.6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1.1000000000000001</v>
      </c>
      <c r="BK1951">
        <v>1.5</v>
      </c>
      <c r="BL1951">
        <v>71.2</v>
      </c>
      <c r="BM1951">
        <v>10.68</v>
      </c>
      <c r="BN1951">
        <v>81.88</v>
      </c>
      <c r="BO1951">
        <v>81.88</v>
      </c>
      <c r="BQ1951" t="s">
        <v>380</v>
      </c>
      <c r="BR1951" t="s">
        <v>84</v>
      </c>
      <c r="BS1951" s="3">
        <v>45854</v>
      </c>
      <c r="BT1951" s="4">
        <v>0.41666666666666669</v>
      </c>
      <c r="BU1951" t="s">
        <v>2019</v>
      </c>
      <c r="BV1951" t="s">
        <v>98</v>
      </c>
      <c r="BY1951">
        <v>5320</v>
      </c>
      <c r="BZ1951" t="s">
        <v>89</v>
      </c>
      <c r="CA1951" t="s">
        <v>382</v>
      </c>
      <c r="CC1951" t="s">
        <v>136</v>
      </c>
      <c r="CD1951">
        <v>3212</v>
      </c>
      <c r="CE1951" t="s">
        <v>117</v>
      </c>
      <c r="CF1951" s="3">
        <v>45854</v>
      </c>
      <c r="CI1951">
        <v>2</v>
      </c>
      <c r="CJ1951">
        <v>1</v>
      </c>
      <c r="CK1951">
        <v>21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"080066571228"</f>
        <v>080066571228</v>
      </c>
      <c r="F1952" s="3">
        <v>45853</v>
      </c>
      <c r="G1952">
        <v>202604</v>
      </c>
      <c r="H1952" t="s">
        <v>75</v>
      </c>
      <c r="I1952" t="s">
        <v>76</v>
      </c>
      <c r="J1952" t="s">
        <v>77</v>
      </c>
      <c r="K1952" t="s">
        <v>78</v>
      </c>
      <c r="L1952" t="s">
        <v>135</v>
      </c>
      <c r="M1952" t="s">
        <v>136</v>
      </c>
      <c r="N1952" t="s">
        <v>379</v>
      </c>
      <c r="O1952" t="s">
        <v>82</v>
      </c>
      <c r="P1952" t="str">
        <f>"4170048730                    "</f>
        <v xml:space="preserve">4170048730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90.34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8</v>
      </c>
      <c r="BJ1952">
        <v>3.4</v>
      </c>
      <c r="BK1952">
        <v>8</v>
      </c>
      <c r="BL1952">
        <v>284.62</v>
      </c>
      <c r="BM1952">
        <v>42.69</v>
      </c>
      <c r="BN1952">
        <v>327.31</v>
      </c>
      <c r="BO1952">
        <v>327.31</v>
      </c>
      <c r="BQ1952" t="s">
        <v>380</v>
      </c>
      <c r="BR1952" t="s">
        <v>84</v>
      </c>
      <c r="BS1952" s="3">
        <v>45854</v>
      </c>
      <c r="BT1952" s="4">
        <v>0.41666666666666669</v>
      </c>
      <c r="BU1952" t="s">
        <v>2019</v>
      </c>
      <c r="BV1952" t="s">
        <v>98</v>
      </c>
      <c r="BY1952">
        <v>16965</v>
      </c>
      <c r="BZ1952" t="s">
        <v>89</v>
      </c>
      <c r="CA1952" t="s">
        <v>382</v>
      </c>
      <c r="CC1952" t="s">
        <v>136</v>
      </c>
      <c r="CD1952">
        <v>3212</v>
      </c>
      <c r="CE1952" t="s">
        <v>117</v>
      </c>
      <c r="CF1952" s="3">
        <v>45854</v>
      </c>
      <c r="CI1952">
        <v>2</v>
      </c>
      <c r="CJ1952">
        <v>1</v>
      </c>
      <c r="CK1952">
        <v>21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"080066571249"</f>
        <v>080066571249</v>
      </c>
      <c r="F1953" s="3">
        <v>45853</v>
      </c>
      <c r="G1953">
        <v>202604</v>
      </c>
      <c r="H1953" t="s">
        <v>75</v>
      </c>
      <c r="I1953" t="s">
        <v>76</v>
      </c>
      <c r="J1953" t="s">
        <v>77</v>
      </c>
      <c r="K1953" t="s">
        <v>78</v>
      </c>
      <c r="L1953" t="s">
        <v>554</v>
      </c>
      <c r="M1953" t="s">
        <v>555</v>
      </c>
      <c r="N1953" t="s">
        <v>556</v>
      </c>
      <c r="O1953" t="s">
        <v>82</v>
      </c>
      <c r="P1953" t="str">
        <f>"4170048821                    "</f>
        <v xml:space="preserve">4170048821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22.6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0.3</v>
      </c>
      <c r="BK1953">
        <v>1</v>
      </c>
      <c r="BL1953">
        <v>71.2</v>
      </c>
      <c r="BM1953">
        <v>10.68</v>
      </c>
      <c r="BN1953">
        <v>81.88</v>
      </c>
      <c r="BO1953">
        <v>81.88</v>
      </c>
      <c r="BQ1953" t="s">
        <v>557</v>
      </c>
      <c r="BR1953" t="s">
        <v>84</v>
      </c>
      <c r="BS1953" s="3">
        <v>45854</v>
      </c>
      <c r="BT1953" s="4">
        <v>0.36249999999999999</v>
      </c>
      <c r="BU1953" t="s">
        <v>558</v>
      </c>
      <c r="BV1953" t="s">
        <v>98</v>
      </c>
      <c r="BY1953">
        <v>1350</v>
      </c>
      <c r="BZ1953" t="s">
        <v>89</v>
      </c>
      <c r="CA1953" t="s">
        <v>559</v>
      </c>
      <c r="CC1953" t="s">
        <v>555</v>
      </c>
      <c r="CD1953" s="5" t="s">
        <v>560</v>
      </c>
      <c r="CE1953" t="s">
        <v>1868</v>
      </c>
      <c r="CF1953" s="3">
        <v>45854</v>
      </c>
      <c r="CI1953">
        <v>1</v>
      </c>
      <c r="CJ1953">
        <v>1</v>
      </c>
      <c r="CK1953">
        <v>21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"080066571298"</f>
        <v>080066571298</v>
      </c>
      <c r="F1954" s="3">
        <v>45853</v>
      </c>
      <c r="G1954">
        <v>202604</v>
      </c>
      <c r="H1954" t="s">
        <v>75</v>
      </c>
      <c r="I1954" t="s">
        <v>76</v>
      </c>
      <c r="J1954" t="s">
        <v>77</v>
      </c>
      <c r="K1954" t="s">
        <v>78</v>
      </c>
      <c r="L1954" t="s">
        <v>329</v>
      </c>
      <c r="M1954" t="s">
        <v>330</v>
      </c>
      <c r="N1954" t="s">
        <v>331</v>
      </c>
      <c r="O1954" t="s">
        <v>82</v>
      </c>
      <c r="P1954" t="str">
        <f>"4170048865                    "</f>
        <v xml:space="preserve">4170048865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103.1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3</v>
      </c>
      <c r="BJ1954">
        <v>4.9000000000000004</v>
      </c>
      <c r="BK1954">
        <v>5</v>
      </c>
      <c r="BL1954">
        <v>324.82</v>
      </c>
      <c r="BM1954">
        <v>48.72</v>
      </c>
      <c r="BN1954">
        <v>373.54</v>
      </c>
      <c r="BO1954">
        <v>373.54</v>
      </c>
      <c r="BQ1954" t="s">
        <v>332</v>
      </c>
      <c r="BR1954" t="s">
        <v>84</v>
      </c>
      <c r="BS1954" s="3">
        <v>45854</v>
      </c>
      <c r="BT1954" s="4">
        <v>0.5395833333333333</v>
      </c>
      <c r="BU1954" t="s">
        <v>527</v>
      </c>
      <c r="BV1954" t="s">
        <v>98</v>
      </c>
      <c r="BY1954">
        <v>24320</v>
      </c>
      <c r="BZ1954" t="s">
        <v>89</v>
      </c>
      <c r="CA1954" t="s">
        <v>1153</v>
      </c>
      <c r="CC1954" t="s">
        <v>330</v>
      </c>
      <c r="CD1954">
        <v>6300</v>
      </c>
      <c r="CE1954" t="s">
        <v>91</v>
      </c>
      <c r="CF1954" s="3">
        <v>45854</v>
      </c>
      <c r="CI1954">
        <v>2</v>
      </c>
      <c r="CJ1954">
        <v>1</v>
      </c>
      <c r="CK1954">
        <v>23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"080066571338"</f>
        <v>080066571338</v>
      </c>
      <c r="F1955" s="3">
        <v>45853</v>
      </c>
      <c r="G1955">
        <v>202604</v>
      </c>
      <c r="H1955" t="s">
        <v>75</v>
      </c>
      <c r="I1955" t="s">
        <v>76</v>
      </c>
      <c r="J1955" t="s">
        <v>77</v>
      </c>
      <c r="K1955" t="s">
        <v>78</v>
      </c>
      <c r="L1955" t="s">
        <v>122</v>
      </c>
      <c r="M1955" t="s">
        <v>123</v>
      </c>
      <c r="N1955" t="s">
        <v>1825</v>
      </c>
      <c r="O1955" t="s">
        <v>82</v>
      </c>
      <c r="P1955" t="str">
        <f>"4170048798                    "</f>
        <v xml:space="preserve">4170048798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22.6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0.3</v>
      </c>
      <c r="BK1955">
        <v>1</v>
      </c>
      <c r="BL1955">
        <v>71.2</v>
      </c>
      <c r="BM1955">
        <v>10.68</v>
      </c>
      <c r="BN1955">
        <v>81.88</v>
      </c>
      <c r="BO1955">
        <v>81.88</v>
      </c>
      <c r="BQ1955" t="s">
        <v>1826</v>
      </c>
      <c r="BR1955" t="s">
        <v>84</v>
      </c>
      <c r="BS1955" s="3">
        <v>45854</v>
      </c>
      <c r="BT1955" s="4">
        <v>0.50347222222222221</v>
      </c>
      <c r="BU1955" t="s">
        <v>2495</v>
      </c>
      <c r="BV1955" t="s">
        <v>86</v>
      </c>
      <c r="BW1955" t="s">
        <v>219</v>
      </c>
      <c r="BX1955" t="s">
        <v>220</v>
      </c>
      <c r="BY1955">
        <v>1350</v>
      </c>
      <c r="BZ1955" t="s">
        <v>89</v>
      </c>
      <c r="CC1955" t="s">
        <v>123</v>
      </c>
      <c r="CD1955">
        <v>3620</v>
      </c>
      <c r="CE1955" t="s">
        <v>1868</v>
      </c>
      <c r="CF1955" s="3">
        <v>45855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"080066571347"</f>
        <v>080066571347</v>
      </c>
      <c r="F1956" s="3">
        <v>45853</v>
      </c>
      <c r="G1956">
        <v>202604</v>
      </c>
      <c r="H1956" t="s">
        <v>75</v>
      </c>
      <c r="I1956" t="s">
        <v>76</v>
      </c>
      <c r="J1956" t="s">
        <v>77</v>
      </c>
      <c r="K1956" t="s">
        <v>78</v>
      </c>
      <c r="L1956" t="s">
        <v>168</v>
      </c>
      <c r="M1956" t="s">
        <v>169</v>
      </c>
      <c r="N1956" t="s">
        <v>206</v>
      </c>
      <c r="O1956" t="s">
        <v>82</v>
      </c>
      <c r="P1956" t="str">
        <f>"4170048761                    "</f>
        <v xml:space="preserve">4170048761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45.18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4</v>
      </c>
      <c r="BJ1956">
        <v>1.1000000000000001</v>
      </c>
      <c r="BK1956">
        <v>4</v>
      </c>
      <c r="BL1956">
        <v>142.34</v>
      </c>
      <c r="BM1956">
        <v>21.35</v>
      </c>
      <c r="BN1956">
        <v>163.69</v>
      </c>
      <c r="BO1956">
        <v>163.69</v>
      </c>
      <c r="BQ1956" t="s">
        <v>207</v>
      </c>
      <c r="BR1956" t="s">
        <v>84</v>
      </c>
      <c r="BS1956" s="3">
        <v>45854</v>
      </c>
      <c r="BT1956" s="4">
        <v>0.41666666666666669</v>
      </c>
      <c r="BU1956" t="s">
        <v>2414</v>
      </c>
      <c r="BV1956" t="s">
        <v>98</v>
      </c>
      <c r="BY1956">
        <v>5655</v>
      </c>
      <c r="BZ1956" t="s">
        <v>89</v>
      </c>
      <c r="CA1956" t="s">
        <v>196</v>
      </c>
      <c r="CC1956" t="s">
        <v>169</v>
      </c>
      <c r="CD1956">
        <v>6001</v>
      </c>
      <c r="CE1956" t="s">
        <v>117</v>
      </c>
      <c r="CF1956" s="3">
        <v>45854</v>
      </c>
      <c r="CI1956">
        <v>1</v>
      </c>
      <c r="CJ1956">
        <v>1</v>
      </c>
      <c r="CK1956">
        <v>21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"080066571410"</f>
        <v>080066571410</v>
      </c>
      <c r="F1957" s="3">
        <v>45853</v>
      </c>
      <c r="G1957">
        <v>202604</v>
      </c>
      <c r="H1957" t="s">
        <v>75</v>
      </c>
      <c r="I1957" t="s">
        <v>76</v>
      </c>
      <c r="J1957" t="s">
        <v>77</v>
      </c>
      <c r="K1957" t="s">
        <v>78</v>
      </c>
      <c r="L1957" t="s">
        <v>168</v>
      </c>
      <c r="M1957" t="s">
        <v>169</v>
      </c>
      <c r="N1957" t="s">
        <v>412</v>
      </c>
      <c r="O1957" t="s">
        <v>82</v>
      </c>
      <c r="P1957" t="str">
        <f>"4170048714                    "</f>
        <v xml:space="preserve">4170048714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22.6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2</v>
      </c>
      <c r="BJ1957">
        <v>1.9</v>
      </c>
      <c r="BK1957">
        <v>2</v>
      </c>
      <c r="BL1957">
        <v>71.2</v>
      </c>
      <c r="BM1957">
        <v>10.68</v>
      </c>
      <c r="BN1957">
        <v>81.88</v>
      </c>
      <c r="BO1957">
        <v>81.88</v>
      </c>
      <c r="BQ1957" t="s">
        <v>413</v>
      </c>
      <c r="BR1957" t="s">
        <v>84</v>
      </c>
      <c r="BS1957" s="3">
        <v>45854</v>
      </c>
      <c r="BT1957" s="4">
        <v>0.4201388888888889</v>
      </c>
      <c r="BU1957" t="s">
        <v>2496</v>
      </c>
      <c r="BV1957" t="s">
        <v>98</v>
      </c>
      <c r="BY1957">
        <v>9600</v>
      </c>
      <c r="BZ1957" t="s">
        <v>89</v>
      </c>
      <c r="CA1957" t="s">
        <v>415</v>
      </c>
      <c r="CC1957" t="s">
        <v>169</v>
      </c>
      <c r="CD1957">
        <v>6001</v>
      </c>
      <c r="CE1957" t="s">
        <v>117</v>
      </c>
      <c r="CF1957" s="3">
        <v>45854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"080066571425"</f>
        <v>080066571425</v>
      </c>
      <c r="F1958" s="3">
        <v>45853</v>
      </c>
      <c r="G1958">
        <v>202604</v>
      </c>
      <c r="H1958" t="s">
        <v>75</v>
      </c>
      <c r="I1958" t="s">
        <v>76</v>
      </c>
      <c r="J1958" t="s">
        <v>77</v>
      </c>
      <c r="K1958" t="s">
        <v>78</v>
      </c>
      <c r="L1958" t="s">
        <v>122</v>
      </c>
      <c r="M1958" t="s">
        <v>123</v>
      </c>
      <c r="N1958" t="s">
        <v>972</v>
      </c>
      <c r="O1958" t="s">
        <v>82</v>
      </c>
      <c r="P1958" t="str">
        <f>"4170048888                    "</f>
        <v xml:space="preserve">4170048888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22.6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0.3</v>
      </c>
      <c r="BK1958">
        <v>1</v>
      </c>
      <c r="BL1958">
        <v>71.2</v>
      </c>
      <c r="BM1958">
        <v>10.68</v>
      </c>
      <c r="BN1958">
        <v>81.88</v>
      </c>
      <c r="BO1958">
        <v>81.88</v>
      </c>
      <c r="BQ1958" t="s">
        <v>973</v>
      </c>
      <c r="BR1958" t="s">
        <v>84</v>
      </c>
      <c r="BS1958" s="3">
        <v>45854</v>
      </c>
      <c r="BT1958" s="4">
        <v>0.46875</v>
      </c>
      <c r="BU1958" t="s">
        <v>2497</v>
      </c>
      <c r="BV1958" t="s">
        <v>98</v>
      </c>
      <c r="BY1958">
        <v>1350</v>
      </c>
      <c r="BZ1958" t="s">
        <v>89</v>
      </c>
      <c r="CA1958" t="s">
        <v>166</v>
      </c>
      <c r="CC1958" t="s">
        <v>123</v>
      </c>
      <c r="CD1958">
        <v>3610</v>
      </c>
      <c r="CE1958" t="s">
        <v>1868</v>
      </c>
      <c r="CF1958" s="3">
        <v>45855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"080066571474"</f>
        <v>080066571474</v>
      </c>
      <c r="F1959" s="3">
        <v>45853</v>
      </c>
      <c r="G1959">
        <v>202604</v>
      </c>
      <c r="H1959" t="s">
        <v>75</v>
      </c>
      <c r="I1959" t="s">
        <v>76</v>
      </c>
      <c r="J1959" t="s">
        <v>77</v>
      </c>
      <c r="K1959" t="s">
        <v>78</v>
      </c>
      <c r="L1959" t="s">
        <v>240</v>
      </c>
      <c r="M1959" t="s">
        <v>241</v>
      </c>
      <c r="N1959" t="s">
        <v>457</v>
      </c>
      <c r="O1959" t="s">
        <v>82</v>
      </c>
      <c r="P1959" t="str">
        <f>"4170048829                    "</f>
        <v xml:space="preserve">4170048829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1.7</v>
      </c>
      <c r="BK1959">
        <v>2</v>
      </c>
      <c r="BL1959">
        <v>0</v>
      </c>
      <c r="BM1959">
        <v>0</v>
      </c>
      <c r="BN1959">
        <v>0</v>
      </c>
      <c r="BO1959">
        <v>0</v>
      </c>
      <c r="BQ1959" t="s">
        <v>458</v>
      </c>
      <c r="BR1959" t="s">
        <v>84</v>
      </c>
      <c r="BS1959" s="3">
        <v>45853</v>
      </c>
      <c r="BT1959" s="4">
        <v>0.57638888888888884</v>
      </c>
      <c r="BU1959" t="s">
        <v>424</v>
      </c>
      <c r="BV1959" t="s">
        <v>98</v>
      </c>
      <c r="BY1959">
        <v>8512</v>
      </c>
      <c r="BZ1959" t="s">
        <v>2498</v>
      </c>
      <c r="CA1959" t="s">
        <v>2499</v>
      </c>
      <c r="CC1959" t="s">
        <v>241</v>
      </c>
      <c r="CD1959">
        <v>2188</v>
      </c>
      <c r="CE1959" t="s">
        <v>117</v>
      </c>
      <c r="CF1959" s="3">
        <v>45854</v>
      </c>
      <c r="CI1959">
        <v>1</v>
      </c>
      <c r="CJ1959">
        <v>0</v>
      </c>
      <c r="CK1959">
        <v>-1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"080066571529"</f>
        <v>080066571529</v>
      </c>
      <c r="F1960" s="3">
        <v>45853</v>
      </c>
      <c r="G1960">
        <v>202604</v>
      </c>
      <c r="H1960" t="s">
        <v>75</v>
      </c>
      <c r="I1960" t="s">
        <v>76</v>
      </c>
      <c r="J1960" t="s">
        <v>77</v>
      </c>
      <c r="K1960" t="s">
        <v>78</v>
      </c>
      <c r="L1960" t="s">
        <v>79</v>
      </c>
      <c r="M1960" t="s">
        <v>80</v>
      </c>
      <c r="N1960" t="s">
        <v>931</v>
      </c>
      <c r="O1960" t="s">
        <v>82</v>
      </c>
      <c r="P1960" t="str">
        <f>"4170048818                    "</f>
        <v xml:space="preserve">4170048818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22.6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0.3</v>
      </c>
      <c r="BK1960">
        <v>1</v>
      </c>
      <c r="BL1960">
        <v>71.2</v>
      </c>
      <c r="BM1960">
        <v>10.68</v>
      </c>
      <c r="BN1960">
        <v>81.88</v>
      </c>
      <c r="BO1960">
        <v>81.88</v>
      </c>
      <c r="BQ1960" t="s">
        <v>932</v>
      </c>
      <c r="BR1960" t="s">
        <v>84</v>
      </c>
      <c r="BS1960" s="3">
        <v>45854</v>
      </c>
      <c r="BT1960" s="4">
        <v>0.4201388888888889</v>
      </c>
      <c r="BU1960" t="s">
        <v>2500</v>
      </c>
      <c r="BV1960" t="s">
        <v>98</v>
      </c>
      <c r="BY1960">
        <v>1350</v>
      </c>
      <c r="BZ1960" t="s">
        <v>89</v>
      </c>
      <c r="CA1960" t="s">
        <v>934</v>
      </c>
      <c r="CC1960" t="s">
        <v>80</v>
      </c>
      <c r="CD1960">
        <v>7535</v>
      </c>
      <c r="CE1960" t="s">
        <v>1868</v>
      </c>
      <c r="CF1960" s="3">
        <v>45855</v>
      </c>
      <c r="CI1960">
        <v>1</v>
      </c>
      <c r="CJ1960">
        <v>1</v>
      </c>
      <c r="CK1960">
        <v>21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"080066571536"</f>
        <v>080066571536</v>
      </c>
      <c r="F1961" s="3">
        <v>45853</v>
      </c>
      <c r="G1961">
        <v>202604</v>
      </c>
      <c r="H1961" t="s">
        <v>75</v>
      </c>
      <c r="I1961" t="s">
        <v>76</v>
      </c>
      <c r="J1961" t="s">
        <v>77</v>
      </c>
      <c r="K1961" t="s">
        <v>78</v>
      </c>
      <c r="L1961" t="s">
        <v>75</v>
      </c>
      <c r="M1961" t="s">
        <v>76</v>
      </c>
      <c r="N1961" t="s">
        <v>809</v>
      </c>
      <c r="O1961" t="s">
        <v>82</v>
      </c>
      <c r="P1961" t="str">
        <f>"4170048850                    "</f>
        <v xml:space="preserve">4170048850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17.649999999999999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0.6</v>
      </c>
      <c r="BK1961">
        <v>1</v>
      </c>
      <c r="BL1961">
        <v>55.61</v>
      </c>
      <c r="BM1961">
        <v>8.34</v>
      </c>
      <c r="BN1961">
        <v>63.95</v>
      </c>
      <c r="BO1961">
        <v>63.95</v>
      </c>
      <c r="BQ1961" t="s">
        <v>810</v>
      </c>
      <c r="BR1961" t="s">
        <v>84</v>
      </c>
      <c r="BS1961" s="3">
        <v>45854</v>
      </c>
      <c r="BT1961" s="4">
        <v>0.35</v>
      </c>
      <c r="BU1961" t="s">
        <v>1227</v>
      </c>
      <c r="BV1961" t="s">
        <v>98</v>
      </c>
      <c r="BY1961">
        <v>3192</v>
      </c>
      <c r="BZ1961" t="s">
        <v>89</v>
      </c>
      <c r="CA1961" t="s">
        <v>883</v>
      </c>
      <c r="CC1961" t="s">
        <v>76</v>
      </c>
      <c r="CD1961">
        <v>1666</v>
      </c>
      <c r="CE1961" t="s">
        <v>266</v>
      </c>
      <c r="CF1961" s="3">
        <v>45855</v>
      </c>
      <c r="CI1961">
        <v>1</v>
      </c>
      <c r="CJ1961">
        <v>1</v>
      </c>
      <c r="CK1961">
        <v>22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"080066571607"</f>
        <v>080066571607</v>
      </c>
      <c r="F1962" s="3">
        <v>45853</v>
      </c>
      <c r="G1962">
        <v>202604</v>
      </c>
      <c r="H1962" t="s">
        <v>75</v>
      </c>
      <c r="I1962" t="s">
        <v>76</v>
      </c>
      <c r="J1962" t="s">
        <v>77</v>
      </c>
      <c r="K1962" t="s">
        <v>78</v>
      </c>
      <c r="L1962" t="s">
        <v>75</v>
      </c>
      <c r="M1962" t="s">
        <v>76</v>
      </c>
      <c r="N1962" t="s">
        <v>1469</v>
      </c>
      <c r="O1962" t="s">
        <v>82</v>
      </c>
      <c r="P1962" t="str">
        <f>"4170048827                    "</f>
        <v xml:space="preserve">4170048827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17.649999999999999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5</v>
      </c>
      <c r="BJ1962">
        <v>1.7</v>
      </c>
      <c r="BK1962">
        <v>5</v>
      </c>
      <c r="BL1962">
        <v>55.61</v>
      </c>
      <c r="BM1962">
        <v>8.34</v>
      </c>
      <c r="BN1962">
        <v>63.95</v>
      </c>
      <c r="BO1962">
        <v>63.95</v>
      </c>
      <c r="BQ1962" t="s">
        <v>1470</v>
      </c>
      <c r="BR1962" t="s">
        <v>84</v>
      </c>
      <c r="BS1962" s="3">
        <v>45854</v>
      </c>
      <c r="BT1962" s="4">
        <v>0.3888888888888889</v>
      </c>
      <c r="BU1962" t="s">
        <v>2501</v>
      </c>
      <c r="BV1962" t="s">
        <v>98</v>
      </c>
      <c r="BY1962">
        <v>8512</v>
      </c>
      <c r="BZ1962" t="s">
        <v>89</v>
      </c>
      <c r="CA1962" t="s">
        <v>2502</v>
      </c>
      <c r="CC1962" t="s">
        <v>76</v>
      </c>
      <c r="CD1962">
        <v>1609</v>
      </c>
      <c r="CE1962" t="s">
        <v>117</v>
      </c>
      <c r="CF1962" s="3">
        <v>45854</v>
      </c>
      <c r="CI1962">
        <v>1</v>
      </c>
      <c r="CJ1962">
        <v>1</v>
      </c>
      <c r="CK1962">
        <v>22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"080066571685"</f>
        <v>080066571685</v>
      </c>
      <c r="F1963" s="3">
        <v>45853</v>
      </c>
      <c r="G1963">
        <v>202604</v>
      </c>
      <c r="H1963" t="s">
        <v>75</v>
      </c>
      <c r="I1963" t="s">
        <v>76</v>
      </c>
      <c r="J1963" t="s">
        <v>77</v>
      </c>
      <c r="K1963" t="s">
        <v>78</v>
      </c>
      <c r="L1963" t="s">
        <v>151</v>
      </c>
      <c r="M1963" t="s">
        <v>152</v>
      </c>
      <c r="N1963" t="s">
        <v>153</v>
      </c>
      <c r="O1963" t="s">
        <v>95</v>
      </c>
      <c r="P1963" t="str">
        <f>"4170048893                    "</f>
        <v xml:space="preserve">4170048893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43.7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2</v>
      </c>
      <c r="BI1963">
        <v>13</v>
      </c>
      <c r="BJ1963">
        <v>9.3000000000000007</v>
      </c>
      <c r="BK1963">
        <v>13</v>
      </c>
      <c r="BL1963">
        <v>143.55000000000001</v>
      </c>
      <c r="BM1963">
        <v>21.53</v>
      </c>
      <c r="BN1963">
        <v>165.08</v>
      </c>
      <c r="BO1963">
        <v>165.08</v>
      </c>
      <c r="BQ1963" t="s">
        <v>154</v>
      </c>
      <c r="BR1963" t="s">
        <v>84</v>
      </c>
      <c r="BS1963" s="3">
        <v>45854</v>
      </c>
      <c r="BT1963" s="4">
        <v>0.44583333333333336</v>
      </c>
      <c r="BU1963" t="s">
        <v>2503</v>
      </c>
      <c r="BV1963" t="s">
        <v>98</v>
      </c>
      <c r="BY1963">
        <v>46575</v>
      </c>
      <c r="BZ1963" t="s">
        <v>99</v>
      </c>
      <c r="CA1963" t="s">
        <v>2504</v>
      </c>
      <c r="CC1963" t="s">
        <v>152</v>
      </c>
      <c r="CD1963" s="5" t="s">
        <v>157</v>
      </c>
      <c r="CE1963" t="s">
        <v>239</v>
      </c>
      <c r="CF1963" s="3">
        <v>45854</v>
      </c>
      <c r="CI1963">
        <v>1</v>
      </c>
      <c r="CJ1963">
        <v>1</v>
      </c>
      <c r="CK1963">
        <v>41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"080066571725"</f>
        <v>080066571725</v>
      </c>
      <c r="F1964" s="3">
        <v>45853</v>
      </c>
      <c r="G1964">
        <v>202604</v>
      </c>
      <c r="H1964" t="s">
        <v>75</v>
      </c>
      <c r="I1964" t="s">
        <v>76</v>
      </c>
      <c r="J1964" t="s">
        <v>77</v>
      </c>
      <c r="K1964" t="s">
        <v>78</v>
      </c>
      <c r="L1964" t="s">
        <v>79</v>
      </c>
      <c r="M1964" t="s">
        <v>80</v>
      </c>
      <c r="N1964" t="s">
        <v>1816</v>
      </c>
      <c r="O1964" t="s">
        <v>82</v>
      </c>
      <c r="P1964" t="str">
        <f>"4170048809                    "</f>
        <v xml:space="preserve">4170048809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22.6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1.3</v>
      </c>
      <c r="BK1964">
        <v>1.5</v>
      </c>
      <c r="BL1964">
        <v>71.2</v>
      </c>
      <c r="BM1964">
        <v>10.68</v>
      </c>
      <c r="BN1964">
        <v>81.88</v>
      </c>
      <c r="BO1964">
        <v>81.88</v>
      </c>
      <c r="BQ1964" t="s">
        <v>1817</v>
      </c>
      <c r="BR1964" t="s">
        <v>84</v>
      </c>
      <c r="BS1964" s="3">
        <v>45854</v>
      </c>
      <c r="BT1964" s="4">
        <v>0.65277777777777779</v>
      </c>
      <c r="BU1964" t="s">
        <v>2505</v>
      </c>
      <c r="BV1964" t="s">
        <v>86</v>
      </c>
      <c r="BW1964" t="s">
        <v>395</v>
      </c>
      <c r="BX1964" t="s">
        <v>2389</v>
      </c>
      <c r="BY1964">
        <v>6480</v>
      </c>
      <c r="BZ1964" t="s">
        <v>89</v>
      </c>
      <c r="CA1964" t="s">
        <v>90</v>
      </c>
      <c r="CC1964" t="s">
        <v>80</v>
      </c>
      <c r="CD1964">
        <v>7550</v>
      </c>
      <c r="CE1964" t="s">
        <v>91</v>
      </c>
      <c r="CF1964" s="3">
        <v>45855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"080066571729"</f>
        <v>080066571729</v>
      </c>
      <c r="F1965" s="3">
        <v>45853</v>
      </c>
      <c r="G1965">
        <v>202604</v>
      </c>
      <c r="H1965" t="s">
        <v>75</v>
      </c>
      <c r="I1965" t="s">
        <v>76</v>
      </c>
      <c r="J1965" t="s">
        <v>77</v>
      </c>
      <c r="K1965" t="s">
        <v>78</v>
      </c>
      <c r="L1965" t="s">
        <v>146</v>
      </c>
      <c r="M1965" t="s">
        <v>146</v>
      </c>
      <c r="N1965" t="s">
        <v>147</v>
      </c>
      <c r="O1965" t="s">
        <v>82</v>
      </c>
      <c r="P1965" t="str">
        <f>"4170048844                    "</f>
        <v xml:space="preserve">4170048844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43.78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0.3</v>
      </c>
      <c r="BK1965">
        <v>1</v>
      </c>
      <c r="BL1965">
        <v>137.94</v>
      </c>
      <c r="BM1965">
        <v>20.69</v>
      </c>
      <c r="BN1965">
        <v>158.63</v>
      </c>
      <c r="BO1965">
        <v>158.63</v>
      </c>
      <c r="BQ1965" t="s">
        <v>148</v>
      </c>
      <c r="BR1965" t="s">
        <v>84</v>
      </c>
      <c r="BS1965" s="3">
        <v>45854</v>
      </c>
      <c r="BT1965" s="4">
        <v>0.53819444444444442</v>
      </c>
      <c r="BU1965" t="s">
        <v>149</v>
      </c>
      <c r="BV1965" t="s">
        <v>98</v>
      </c>
      <c r="BY1965">
        <v>1350</v>
      </c>
      <c r="BZ1965" t="s">
        <v>89</v>
      </c>
      <c r="CA1965" t="s">
        <v>150</v>
      </c>
      <c r="CC1965" t="s">
        <v>146</v>
      </c>
      <c r="CD1965">
        <v>7646</v>
      </c>
      <c r="CE1965" t="s">
        <v>1868</v>
      </c>
      <c r="CF1965" s="3">
        <v>45855</v>
      </c>
      <c r="CI1965">
        <v>1</v>
      </c>
      <c r="CJ1965">
        <v>1</v>
      </c>
      <c r="CK1965">
        <v>23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"080066571797"</f>
        <v>080066571797</v>
      </c>
      <c r="F1966" s="3">
        <v>45853</v>
      </c>
      <c r="G1966">
        <v>202604</v>
      </c>
      <c r="H1966" t="s">
        <v>75</v>
      </c>
      <c r="I1966" t="s">
        <v>76</v>
      </c>
      <c r="J1966" t="s">
        <v>77</v>
      </c>
      <c r="K1966" t="s">
        <v>78</v>
      </c>
      <c r="L1966" t="s">
        <v>146</v>
      </c>
      <c r="M1966" t="s">
        <v>146</v>
      </c>
      <c r="N1966" t="s">
        <v>633</v>
      </c>
      <c r="O1966" t="s">
        <v>82</v>
      </c>
      <c r="P1966" t="str">
        <f>"4170048826                    "</f>
        <v xml:space="preserve">4170048826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43.78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0.3</v>
      </c>
      <c r="BK1966">
        <v>1</v>
      </c>
      <c r="BL1966">
        <v>137.94</v>
      </c>
      <c r="BM1966">
        <v>20.69</v>
      </c>
      <c r="BN1966">
        <v>158.63</v>
      </c>
      <c r="BO1966">
        <v>158.63</v>
      </c>
      <c r="BQ1966" t="s">
        <v>634</v>
      </c>
      <c r="BR1966" t="s">
        <v>84</v>
      </c>
      <c r="BS1966" s="3">
        <v>45854</v>
      </c>
      <c r="BT1966" s="4">
        <v>0.53680555555555554</v>
      </c>
      <c r="BU1966" t="s">
        <v>635</v>
      </c>
      <c r="BV1966" t="s">
        <v>98</v>
      </c>
      <c r="BY1966">
        <v>1350</v>
      </c>
      <c r="BZ1966" t="s">
        <v>89</v>
      </c>
      <c r="CA1966" t="s">
        <v>150</v>
      </c>
      <c r="CC1966" t="s">
        <v>146</v>
      </c>
      <c r="CD1966">
        <v>7646</v>
      </c>
      <c r="CE1966" t="s">
        <v>1868</v>
      </c>
      <c r="CF1966" s="3">
        <v>45855</v>
      </c>
      <c r="CI1966">
        <v>1</v>
      </c>
      <c r="CJ1966">
        <v>1</v>
      </c>
      <c r="CK1966">
        <v>23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"080066571884"</f>
        <v>080066571884</v>
      </c>
      <c r="F1967" s="3">
        <v>45853</v>
      </c>
      <c r="G1967">
        <v>202604</v>
      </c>
      <c r="H1967" t="s">
        <v>75</v>
      </c>
      <c r="I1967" t="s">
        <v>76</v>
      </c>
      <c r="J1967" t="s">
        <v>77</v>
      </c>
      <c r="K1967" t="s">
        <v>78</v>
      </c>
      <c r="L1967" t="s">
        <v>168</v>
      </c>
      <c r="M1967" t="s">
        <v>169</v>
      </c>
      <c r="N1967" t="s">
        <v>206</v>
      </c>
      <c r="O1967" t="s">
        <v>82</v>
      </c>
      <c r="P1967" t="str">
        <f>"4170048682                    "</f>
        <v xml:space="preserve">4170048682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22.6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0.3</v>
      </c>
      <c r="BK1967">
        <v>1</v>
      </c>
      <c r="BL1967">
        <v>71.2</v>
      </c>
      <c r="BM1967">
        <v>10.68</v>
      </c>
      <c r="BN1967">
        <v>81.88</v>
      </c>
      <c r="BO1967">
        <v>81.88</v>
      </c>
      <c r="BQ1967" t="s">
        <v>207</v>
      </c>
      <c r="BR1967" t="s">
        <v>84</v>
      </c>
      <c r="BS1967" s="3">
        <v>45854</v>
      </c>
      <c r="BT1967" s="4">
        <v>0.41666666666666669</v>
      </c>
      <c r="BU1967" t="s">
        <v>2414</v>
      </c>
      <c r="BV1967" t="s">
        <v>98</v>
      </c>
      <c r="BY1967">
        <v>1350</v>
      </c>
      <c r="BZ1967" t="s">
        <v>89</v>
      </c>
      <c r="CA1967" t="s">
        <v>196</v>
      </c>
      <c r="CC1967" t="s">
        <v>169</v>
      </c>
      <c r="CD1967">
        <v>6001</v>
      </c>
      <c r="CE1967" t="s">
        <v>1868</v>
      </c>
      <c r="CF1967" s="3">
        <v>45854</v>
      </c>
      <c r="CI1967">
        <v>1</v>
      </c>
      <c r="CJ1967">
        <v>1</v>
      </c>
      <c r="CK1967">
        <v>21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"080066571920"</f>
        <v>080066571920</v>
      </c>
      <c r="F1968" s="3">
        <v>45853</v>
      </c>
      <c r="G1968">
        <v>202604</v>
      </c>
      <c r="H1968" t="s">
        <v>75</v>
      </c>
      <c r="I1968" t="s">
        <v>76</v>
      </c>
      <c r="J1968" t="s">
        <v>77</v>
      </c>
      <c r="K1968" t="s">
        <v>78</v>
      </c>
      <c r="L1968" t="s">
        <v>168</v>
      </c>
      <c r="M1968" t="s">
        <v>169</v>
      </c>
      <c r="N1968" t="s">
        <v>206</v>
      </c>
      <c r="O1968" t="s">
        <v>82</v>
      </c>
      <c r="P1968" t="str">
        <f>"4170048815                    "</f>
        <v xml:space="preserve">4170048815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22.6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0.3</v>
      </c>
      <c r="BK1968">
        <v>1</v>
      </c>
      <c r="BL1968">
        <v>71.2</v>
      </c>
      <c r="BM1968">
        <v>10.68</v>
      </c>
      <c r="BN1968">
        <v>81.88</v>
      </c>
      <c r="BO1968">
        <v>81.88</v>
      </c>
      <c r="BQ1968" t="s">
        <v>207</v>
      </c>
      <c r="BR1968" t="s">
        <v>84</v>
      </c>
      <c r="BS1968" s="3">
        <v>45854</v>
      </c>
      <c r="BT1968" s="4">
        <v>0.41666666666666669</v>
      </c>
      <c r="BU1968" t="s">
        <v>2414</v>
      </c>
      <c r="BV1968" t="s">
        <v>98</v>
      </c>
      <c r="BY1968">
        <v>1350</v>
      </c>
      <c r="BZ1968" t="s">
        <v>89</v>
      </c>
      <c r="CA1968" t="s">
        <v>196</v>
      </c>
      <c r="CC1968" t="s">
        <v>169</v>
      </c>
      <c r="CD1968">
        <v>6001</v>
      </c>
      <c r="CE1968" t="s">
        <v>1868</v>
      </c>
      <c r="CF1968" s="3">
        <v>45854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"080066571984"</f>
        <v>080066571984</v>
      </c>
      <c r="F1969" s="3">
        <v>45853</v>
      </c>
      <c r="G1969">
        <v>202604</v>
      </c>
      <c r="H1969" t="s">
        <v>75</v>
      </c>
      <c r="I1969" t="s">
        <v>76</v>
      </c>
      <c r="J1969" t="s">
        <v>77</v>
      </c>
      <c r="K1969" t="s">
        <v>78</v>
      </c>
      <c r="L1969" t="s">
        <v>240</v>
      </c>
      <c r="M1969" t="s">
        <v>241</v>
      </c>
      <c r="N1969" t="s">
        <v>242</v>
      </c>
      <c r="O1969" t="s">
        <v>82</v>
      </c>
      <c r="P1969" t="str">
        <f>"4170048819                    "</f>
        <v xml:space="preserve">4170048819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17.649999999999999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0.3</v>
      </c>
      <c r="BK1969">
        <v>1</v>
      </c>
      <c r="BL1969">
        <v>55.61</v>
      </c>
      <c r="BM1969">
        <v>8.34</v>
      </c>
      <c r="BN1969">
        <v>63.95</v>
      </c>
      <c r="BO1969">
        <v>63.95</v>
      </c>
      <c r="BQ1969" t="s">
        <v>243</v>
      </c>
      <c r="BR1969" t="s">
        <v>84</v>
      </c>
      <c r="BS1969" s="3">
        <v>45854</v>
      </c>
      <c r="BT1969" s="4">
        <v>0.36458333333333331</v>
      </c>
      <c r="BU1969" t="s">
        <v>244</v>
      </c>
      <c r="BV1969" t="s">
        <v>98</v>
      </c>
      <c r="BY1969">
        <v>1350</v>
      </c>
      <c r="BZ1969" t="s">
        <v>89</v>
      </c>
      <c r="CA1969" t="s">
        <v>245</v>
      </c>
      <c r="CC1969" t="s">
        <v>241</v>
      </c>
      <c r="CD1969">
        <v>2091</v>
      </c>
      <c r="CE1969" t="s">
        <v>1868</v>
      </c>
      <c r="CF1969" s="3">
        <v>45855</v>
      </c>
      <c r="CI1969">
        <v>1</v>
      </c>
      <c r="CJ1969">
        <v>1</v>
      </c>
      <c r="CK1969">
        <v>22</v>
      </c>
      <c r="CL1969" t="s">
        <v>86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"080066572041"</f>
        <v>080066572041</v>
      </c>
      <c r="F1970" s="3">
        <v>45853</v>
      </c>
      <c r="G1970">
        <v>202604</v>
      </c>
      <c r="H1970" t="s">
        <v>75</v>
      </c>
      <c r="I1970" t="s">
        <v>76</v>
      </c>
      <c r="J1970" t="s">
        <v>77</v>
      </c>
      <c r="K1970" t="s">
        <v>78</v>
      </c>
      <c r="L1970" t="s">
        <v>1861</v>
      </c>
      <c r="M1970" t="s">
        <v>1862</v>
      </c>
      <c r="N1970" t="s">
        <v>1863</v>
      </c>
      <c r="O1970" t="s">
        <v>82</v>
      </c>
      <c r="P1970" t="str">
        <f>"4170048754                    "</f>
        <v xml:space="preserve">4170048754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43.78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0.3</v>
      </c>
      <c r="BK1970">
        <v>1</v>
      </c>
      <c r="BL1970">
        <v>137.94</v>
      </c>
      <c r="BM1970">
        <v>20.69</v>
      </c>
      <c r="BN1970">
        <v>158.63</v>
      </c>
      <c r="BO1970">
        <v>158.63</v>
      </c>
      <c r="BQ1970" t="s">
        <v>1864</v>
      </c>
      <c r="BR1970" t="s">
        <v>84</v>
      </c>
      <c r="BS1970" s="3">
        <v>45854</v>
      </c>
      <c r="BT1970" s="4">
        <v>0.53472222222222221</v>
      </c>
      <c r="BU1970" t="s">
        <v>2506</v>
      </c>
      <c r="BV1970" t="s">
        <v>98</v>
      </c>
      <c r="BY1970">
        <v>1350</v>
      </c>
      <c r="BZ1970" t="s">
        <v>89</v>
      </c>
      <c r="CA1970" t="s">
        <v>1866</v>
      </c>
      <c r="CC1970" t="s">
        <v>1862</v>
      </c>
      <c r="CD1970">
        <v>6500</v>
      </c>
      <c r="CE1970" t="s">
        <v>1868</v>
      </c>
      <c r="CF1970" s="3">
        <v>45855</v>
      </c>
      <c r="CI1970">
        <v>1</v>
      </c>
      <c r="CJ1970">
        <v>1</v>
      </c>
      <c r="CK1970">
        <v>23</v>
      </c>
      <c r="CL1970" t="s">
        <v>86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"080066572146"</f>
        <v>080066572146</v>
      </c>
      <c r="F1971" s="3">
        <v>45853</v>
      </c>
      <c r="G1971">
        <v>202604</v>
      </c>
      <c r="H1971" t="s">
        <v>75</v>
      </c>
      <c r="I1971" t="s">
        <v>76</v>
      </c>
      <c r="J1971" t="s">
        <v>77</v>
      </c>
      <c r="K1971" t="s">
        <v>78</v>
      </c>
      <c r="L1971" t="s">
        <v>151</v>
      </c>
      <c r="M1971" t="s">
        <v>152</v>
      </c>
      <c r="N1971" t="s">
        <v>153</v>
      </c>
      <c r="O1971" t="s">
        <v>82</v>
      </c>
      <c r="P1971" t="str">
        <f>"4170048749                    "</f>
        <v xml:space="preserve">4170048749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22.6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0.3</v>
      </c>
      <c r="BK1971">
        <v>1</v>
      </c>
      <c r="BL1971">
        <v>71.2</v>
      </c>
      <c r="BM1971">
        <v>10.68</v>
      </c>
      <c r="BN1971">
        <v>81.88</v>
      </c>
      <c r="BO1971">
        <v>81.88</v>
      </c>
      <c r="BQ1971" t="s">
        <v>154</v>
      </c>
      <c r="BR1971" t="s">
        <v>84</v>
      </c>
      <c r="BS1971" s="3">
        <v>45854</v>
      </c>
      <c r="BT1971" s="4">
        <v>0.34861111111111109</v>
      </c>
      <c r="BU1971" t="s">
        <v>155</v>
      </c>
      <c r="BV1971" t="s">
        <v>98</v>
      </c>
      <c r="BY1971">
        <v>1350</v>
      </c>
      <c r="BZ1971" t="s">
        <v>89</v>
      </c>
      <c r="CA1971" t="s">
        <v>156</v>
      </c>
      <c r="CC1971" t="s">
        <v>152</v>
      </c>
      <c r="CD1971" s="5" t="s">
        <v>157</v>
      </c>
      <c r="CE1971" t="s">
        <v>1868</v>
      </c>
      <c r="CF1971" s="3">
        <v>45854</v>
      </c>
      <c r="CI1971">
        <v>1</v>
      </c>
      <c r="CJ1971">
        <v>1</v>
      </c>
      <c r="CK1971">
        <v>21</v>
      </c>
      <c r="CL1971" t="s">
        <v>86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"080066572215"</f>
        <v>080066572215</v>
      </c>
      <c r="F1972" s="3">
        <v>45853</v>
      </c>
      <c r="G1972">
        <v>202604</v>
      </c>
      <c r="H1972" t="s">
        <v>75</v>
      </c>
      <c r="I1972" t="s">
        <v>76</v>
      </c>
      <c r="J1972" t="s">
        <v>77</v>
      </c>
      <c r="K1972" t="s">
        <v>78</v>
      </c>
      <c r="L1972" t="s">
        <v>146</v>
      </c>
      <c r="M1972" t="s">
        <v>146</v>
      </c>
      <c r="N1972" t="s">
        <v>633</v>
      </c>
      <c r="O1972" t="s">
        <v>82</v>
      </c>
      <c r="P1972" t="str">
        <f>"4170048899                    "</f>
        <v xml:space="preserve">4170048899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43.78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0.3</v>
      </c>
      <c r="BK1972">
        <v>1</v>
      </c>
      <c r="BL1972">
        <v>137.94</v>
      </c>
      <c r="BM1972">
        <v>20.69</v>
      </c>
      <c r="BN1972">
        <v>158.63</v>
      </c>
      <c r="BO1972">
        <v>158.63</v>
      </c>
      <c r="BQ1972" t="s">
        <v>634</v>
      </c>
      <c r="BR1972" t="s">
        <v>84</v>
      </c>
      <c r="BS1972" s="3">
        <v>45854</v>
      </c>
      <c r="BT1972" s="4">
        <v>0.53680555555555554</v>
      </c>
      <c r="BU1972" t="s">
        <v>635</v>
      </c>
      <c r="BV1972" t="s">
        <v>98</v>
      </c>
      <c r="BY1972">
        <v>1350</v>
      </c>
      <c r="BZ1972" t="s">
        <v>89</v>
      </c>
      <c r="CA1972" t="s">
        <v>150</v>
      </c>
      <c r="CC1972" t="s">
        <v>146</v>
      </c>
      <c r="CD1972">
        <v>7646</v>
      </c>
      <c r="CE1972" t="s">
        <v>1868</v>
      </c>
      <c r="CF1972" s="3">
        <v>45855</v>
      </c>
      <c r="CI1972">
        <v>1</v>
      </c>
      <c r="CJ1972">
        <v>1</v>
      </c>
      <c r="CK1972">
        <v>23</v>
      </c>
      <c r="CL1972" t="s">
        <v>86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"080066572245"</f>
        <v>080066572245</v>
      </c>
      <c r="F1973" s="3">
        <v>45853</v>
      </c>
      <c r="G1973">
        <v>202604</v>
      </c>
      <c r="H1973" t="s">
        <v>75</v>
      </c>
      <c r="I1973" t="s">
        <v>76</v>
      </c>
      <c r="J1973" t="s">
        <v>77</v>
      </c>
      <c r="K1973" t="s">
        <v>78</v>
      </c>
      <c r="L1973" t="s">
        <v>554</v>
      </c>
      <c r="M1973" t="s">
        <v>555</v>
      </c>
      <c r="N1973" t="s">
        <v>765</v>
      </c>
      <c r="O1973" t="s">
        <v>82</v>
      </c>
      <c r="P1973" t="str">
        <f>"4170048903                    "</f>
        <v xml:space="preserve">4170048903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22.6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0.3</v>
      </c>
      <c r="BK1973">
        <v>1</v>
      </c>
      <c r="BL1973">
        <v>71.2</v>
      </c>
      <c r="BM1973">
        <v>10.68</v>
      </c>
      <c r="BN1973">
        <v>81.88</v>
      </c>
      <c r="BO1973">
        <v>81.88</v>
      </c>
      <c r="BQ1973" t="s">
        <v>766</v>
      </c>
      <c r="BR1973" t="s">
        <v>84</v>
      </c>
      <c r="BS1973" s="3">
        <v>45854</v>
      </c>
      <c r="BT1973" s="4">
        <v>0.36041666666666666</v>
      </c>
      <c r="BU1973" t="s">
        <v>767</v>
      </c>
      <c r="BV1973" t="s">
        <v>98</v>
      </c>
      <c r="BY1973">
        <v>1350</v>
      </c>
      <c r="BZ1973" t="s">
        <v>89</v>
      </c>
      <c r="CA1973" t="s">
        <v>559</v>
      </c>
      <c r="CC1973" t="s">
        <v>555</v>
      </c>
      <c r="CD1973" s="5" t="s">
        <v>560</v>
      </c>
      <c r="CE1973" t="s">
        <v>1868</v>
      </c>
      <c r="CF1973" s="3">
        <v>45854</v>
      </c>
      <c r="CI1973">
        <v>1</v>
      </c>
      <c r="CJ1973">
        <v>1</v>
      </c>
      <c r="CK1973">
        <v>21</v>
      </c>
      <c r="CL1973" t="s">
        <v>86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"080066572287"</f>
        <v>080066572287</v>
      </c>
      <c r="F1974" s="3">
        <v>45853</v>
      </c>
      <c r="G1974">
        <v>202604</v>
      </c>
      <c r="H1974" t="s">
        <v>75</v>
      </c>
      <c r="I1974" t="s">
        <v>76</v>
      </c>
      <c r="J1974" t="s">
        <v>77</v>
      </c>
      <c r="K1974" t="s">
        <v>78</v>
      </c>
      <c r="L1974" t="s">
        <v>295</v>
      </c>
      <c r="M1974" t="s">
        <v>296</v>
      </c>
      <c r="N1974" t="s">
        <v>2507</v>
      </c>
      <c r="O1974" t="s">
        <v>82</v>
      </c>
      <c r="P1974" t="str">
        <f>"4170048776                    "</f>
        <v xml:space="preserve">4170048776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17.649999999999999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55.61</v>
      </c>
      <c r="BM1974">
        <v>8.34</v>
      </c>
      <c r="BN1974">
        <v>63.95</v>
      </c>
      <c r="BO1974">
        <v>63.95</v>
      </c>
      <c r="BQ1974" t="s">
        <v>2508</v>
      </c>
      <c r="BR1974" t="s">
        <v>84</v>
      </c>
      <c r="BS1974" s="3">
        <v>45854</v>
      </c>
      <c r="BT1974" s="4">
        <v>0.34861111111111109</v>
      </c>
      <c r="BU1974" t="s">
        <v>2509</v>
      </c>
      <c r="BV1974" t="s">
        <v>98</v>
      </c>
      <c r="BY1974">
        <v>1200</v>
      </c>
      <c r="BZ1974" t="s">
        <v>89</v>
      </c>
      <c r="CA1974" t="s">
        <v>300</v>
      </c>
      <c r="CC1974" t="s">
        <v>296</v>
      </c>
      <c r="CD1974">
        <v>1459</v>
      </c>
      <c r="CE1974" t="s">
        <v>239</v>
      </c>
      <c r="CF1974" s="3">
        <v>45854</v>
      </c>
      <c r="CI1974">
        <v>1</v>
      </c>
      <c r="CJ1974">
        <v>1</v>
      </c>
      <c r="CK1974">
        <v>22</v>
      </c>
      <c r="CL1974" t="s">
        <v>86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"080066572283"</f>
        <v>080066572283</v>
      </c>
      <c r="F1975" s="3">
        <v>45853</v>
      </c>
      <c r="G1975">
        <v>202604</v>
      </c>
      <c r="H1975" t="s">
        <v>75</v>
      </c>
      <c r="I1975" t="s">
        <v>76</v>
      </c>
      <c r="J1975" t="s">
        <v>77</v>
      </c>
      <c r="K1975" t="s">
        <v>78</v>
      </c>
      <c r="L1975" t="s">
        <v>295</v>
      </c>
      <c r="M1975" t="s">
        <v>296</v>
      </c>
      <c r="N1975" t="s">
        <v>297</v>
      </c>
      <c r="O1975" t="s">
        <v>82</v>
      </c>
      <c r="P1975" t="str">
        <f>"4170048794                    "</f>
        <v xml:space="preserve">4170048794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17.649999999999999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0.3</v>
      </c>
      <c r="BK1975">
        <v>1</v>
      </c>
      <c r="BL1975">
        <v>55.61</v>
      </c>
      <c r="BM1975">
        <v>8.34</v>
      </c>
      <c r="BN1975">
        <v>63.95</v>
      </c>
      <c r="BO1975">
        <v>63.95</v>
      </c>
      <c r="BQ1975" t="s">
        <v>298</v>
      </c>
      <c r="BR1975" t="s">
        <v>84</v>
      </c>
      <c r="BS1975" s="3">
        <v>45854</v>
      </c>
      <c r="BT1975" s="4">
        <v>0.33263888888888887</v>
      </c>
      <c r="BU1975" t="s">
        <v>1726</v>
      </c>
      <c r="BV1975" t="s">
        <v>98</v>
      </c>
      <c r="BY1975">
        <v>1350</v>
      </c>
      <c r="BZ1975" t="s">
        <v>89</v>
      </c>
      <c r="CA1975" t="s">
        <v>300</v>
      </c>
      <c r="CC1975" t="s">
        <v>296</v>
      </c>
      <c r="CD1975">
        <v>1459</v>
      </c>
      <c r="CE1975" t="s">
        <v>1868</v>
      </c>
      <c r="CF1975" s="3">
        <v>45854</v>
      </c>
      <c r="CI1975">
        <v>1</v>
      </c>
      <c r="CJ1975">
        <v>1</v>
      </c>
      <c r="CK1975">
        <v>22</v>
      </c>
      <c r="CL1975" t="s">
        <v>86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"080066572310"</f>
        <v>080066572310</v>
      </c>
      <c r="F1976" s="3">
        <v>45853</v>
      </c>
      <c r="G1976">
        <v>202604</v>
      </c>
      <c r="H1976" t="s">
        <v>75</v>
      </c>
      <c r="I1976" t="s">
        <v>76</v>
      </c>
      <c r="J1976" t="s">
        <v>77</v>
      </c>
      <c r="K1976" t="s">
        <v>78</v>
      </c>
      <c r="L1976" t="s">
        <v>168</v>
      </c>
      <c r="M1976" t="s">
        <v>169</v>
      </c>
      <c r="N1976" t="s">
        <v>487</v>
      </c>
      <c r="O1976" t="s">
        <v>82</v>
      </c>
      <c r="P1976" t="str">
        <f>"4170048834                    "</f>
        <v xml:space="preserve">4170048834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22.6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71.2</v>
      </c>
      <c r="BM1976">
        <v>10.68</v>
      </c>
      <c r="BN1976">
        <v>81.88</v>
      </c>
      <c r="BO1976">
        <v>81.88</v>
      </c>
      <c r="BQ1976" t="s">
        <v>488</v>
      </c>
      <c r="BR1976" t="s">
        <v>84</v>
      </c>
      <c r="BS1976" s="3">
        <v>45854</v>
      </c>
      <c r="BT1976" s="4">
        <v>0.43333333333333335</v>
      </c>
      <c r="BU1976" t="s">
        <v>2491</v>
      </c>
      <c r="BV1976" t="s">
        <v>98</v>
      </c>
      <c r="BY1976">
        <v>1200</v>
      </c>
      <c r="BZ1976" t="s">
        <v>89</v>
      </c>
      <c r="CA1976" t="s">
        <v>415</v>
      </c>
      <c r="CC1976" t="s">
        <v>169</v>
      </c>
      <c r="CD1976">
        <v>6012</v>
      </c>
      <c r="CE1976" t="s">
        <v>239</v>
      </c>
      <c r="CF1976" s="3">
        <v>45854</v>
      </c>
      <c r="CI1976">
        <v>1</v>
      </c>
      <c r="CJ1976">
        <v>1</v>
      </c>
      <c r="CK1976">
        <v>21</v>
      </c>
      <c r="CL1976" t="s">
        <v>86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"080066572327"</f>
        <v>080066572327</v>
      </c>
      <c r="F1977" s="3">
        <v>45853</v>
      </c>
      <c r="G1977">
        <v>202604</v>
      </c>
      <c r="H1977" t="s">
        <v>75</v>
      </c>
      <c r="I1977" t="s">
        <v>76</v>
      </c>
      <c r="J1977" t="s">
        <v>77</v>
      </c>
      <c r="K1977" t="s">
        <v>78</v>
      </c>
      <c r="L1977" t="s">
        <v>79</v>
      </c>
      <c r="M1977" t="s">
        <v>80</v>
      </c>
      <c r="N1977" t="s">
        <v>141</v>
      </c>
      <c r="O1977" t="s">
        <v>82</v>
      </c>
      <c r="P1977" t="str">
        <f>"4170048791                    "</f>
        <v xml:space="preserve">4170048791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22.6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71.2</v>
      </c>
      <c r="BM1977">
        <v>10.68</v>
      </c>
      <c r="BN1977">
        <v>81.88</v>
      </c>
      <c r="BO1977">
        <v>81.88</v>
      </c>
      <c r="BQ1977" t="s">
        <v>142</v>
      </c>
      <c r="BR1977" t="s">
        <v>84</v>
      </c>
      <c r="BS1977" s="3">
        <v>45854</v>
      </c>
      <c r="BT1977" s="4">
        <v>0.41111111111111109</v>
      </c>
      <c r="BU1977" t="s">
        <v>143</v>
      </c>
      <c r="BV1977" t="s">
        <v>98</v>
      </c>
      <c r="BY1977">
        <v>1200</v>
      </c>
      <c r="BZ1977" t="s">
        <v>89</v>
      </c>
      <c r="CA1977" t="s">
        <v>144</v>
      </c>
      <c r="CC1977" t="s">
        <v>80</v>
      </c>
      <c r="CD1977">
        <v>7441</v>
      </c>
      <c r="CE1977" t="s">
        <v>239</v>
      </c>
      <c r="CF1977" s="3">
        <v>45855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"080066572361"</f>
        <v>080066572361</v>
      </c>
      <c r="F1978" s="3">
        <v>45853</v>
      </c>
      <c r="G1978">
        <v>202604</v>
      </c>
      <c r="H1978" t="s">
        <v>75</v>
      </c>
      <c r="I1978" t="s">
        <v>76</v>
      </c>
      <c r="J1978" t="s">
        <v>77</v>
      </c>
      <c r="K1978" t="s">
        <v>78</v>
      </c>
      <c r="L1978" t="s">
        <v>122</v>
      </c>
      <c r="M1978" t="s">
        <v>123</v>
      </c>
      <c r="N1978" t="s">
        <v>1825</v>
      </c>
      <c r="O1978" t="s">
        <v>82</v>
      </c>
      <c r="P1978" t="str">
        <f>"4170048799                    "</f>
        <v xml:space="preserve">4170048799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22.6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71.2</v>
      </c>
      <c r="BM1978">
        <v>10.68</v>
      </c>
      <c r="BN1978">
        <v>81.88</v>
      </c>
      <c r="BO1978">
        <v>81.88</v>
      </c>
      <c r="BQ1978" t="s">
        <v>1826</v>
      </c>
      <c r="BR1978" t="s">
        <v>84</v>
      </c>
      <c r="BS1978" s="3">
        <v>45854</v>
      </c>
      <c r="BT1978" s="4">
        <v>0.50347222222222221</v>
      </c>
      <c r="BU1978" t="s">
        <v>2510</v>
      </c>
      <c r="BV1978" t="s">
        <v>98</v>
      </c>
      <c r="BY1978">
        <v>1200</v>
      </c>
      <c r="BZ1978" t="s">
        <v>89</v>
      </c>
      <c r="CA1978" t="s">
        <v>166</v>
      </c>
      <c r="CC1978" t="s">
        <v>123</v>
      </c>
      <c r="CD1978">
        <v>3610</v>
      </c>
      <c r="CE1978" t="s">
        <v>239</v>
      </c>
      <c r="CF1978" s="3">
        <v>45855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"080066572383"</f>
        <v>080066572383</v>
      </c>
      <c r="F1979" s="3">
        <v>45853</v>
      </c>
      <c r="G1979">
        <v>202604</v>
      </c>
      <c r="H1979" t="s">
        <v>75</v>
      </c>
      <c r="I1979" t="s">
        <v>76</v>
      </c>
      <c r="J1979" t="s">
        <v>77</v>
      </c>
      <c r="K1979" t="s">
        <v>78</v>
      </c>
      <c r="L1979" t="s">
        <v>1768</v>
      </c>
      <c r="M1979" t="s">
        <v>1769</v>
      </c>
      <c r="N1979" t="s">
        <v>1770</v>
      </c>
      <c r="O1979" t="s">
        <v>82</v>
      </c>
      <c r="P1979" t="str">
        <f>"4170048861                    "</f>
        <v xml:space="preserve">4170048861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43.78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137.94</v>
      </c>
      <c r="BM1979">
        <v>20.69</v>
      </c>
      <c r="BN1979">
        <v>158.63</v>
      </c>
      <c r="BO1979">
        <v>158.63</v>
      </c>
      <c r="BQ1979" t="s">
        <v>1771</v>
      </c>
      <c r="BR1979" t="s">
        <v>84</v>
      </c>
      <c r="BS1979" t="s">
        <v>587</v>
      </c>
      <c r="BY1979">
        <v>1200</v>
      </c>
      <c r="BZ1979" t="s">
        <v>89</v>
      </c>
      <c r="CC1979" t="s">
        <v>1769</v>
      </c>
      <c r="CD1979">
        <v>2302</v>
      </c>
      <c r="CE1979" t="s">
        <v>121</v>
      </c>
      <c r="CI1979">
        <v>1</v>
      </c>
      <c r="CJ1979" t="s">
        <v>587</v>
      </c>
      <c r="CK1979">
        <v>23</v>
      </c>
      <c r="CL1979" t="s">
        <v>86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"080066572429"</f>
        <v>080066572429</v>
      </c>
      <c r="F1980" s="3">
        <v>45853</v>
      </c>
      <c r="G1980">
        <v>202604</v>
      </c>
      <c r="H1980" t="s">
        <v>75</v>
      </c>
      <c r="I1980" t="s">
        <v>76</v>
      </c>
      <c r="J1980" t="s">
        <v>77</v>
      </c>
      <c r="K1980" t="s">
        <v>78</v>
      </c>
      <c r="L1980" t="s">
        <v>580</v>
      </c>
      <c r="M1980" t="s">
        <v>581</v>
      </c>
      <c r="N1980" t="s">
        <v>582</v>
      </c>
      <c r="O1980" t="s">
        <v>82</v>
      </c>
      <c r="P1980" t="str">
        <f>"4170048790                    "</f>
        <v xml:space="preserve">4170048790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22.6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71.2</v>
      </c>
      <c r="BM1980">
        <v>10.68</v>
      </c>
      <c r="BN1980">
        <v>81.88</v>
      </c>
      <c r="BO1980">
        <v>81.88</v>
      </c>
      <c r="BQ1980" t="s">
        <v>583</v>
      </c>
      <c r="BR1980" t="s">
        <v>84</v>
      </c>
      <c r="BS1980" s="3">
        <v>45854</v>
      </c>
      <c r="BT1980" s="4">
        <v>0.40833333333333333</v>
      </c>
      <c r="BU1980" t="s">
        <v>584</v>
      </c>
      <c r="BV1980" t="s">
        <v>98</v>
      </c>
      <c r="BY1980">
        <v>1200</v>
      </c>
      <c r="BZ1980" t="s">
        <v>89</v>
      </c>
      <c r="CA1980" t="s">
        <v>585</v>
      </c>
      <c r="CC1980" t="s">
        <v>581</v>
      </c>
      <c r="CD1980">
        <v>4302</v>
      </c>
      <c r="CE1980" t="s">
        <v>239</v>
      </c>
      <c r="CF1980" s="3">
        <v>45855</v>
      </c>
      <c r="CI1980">
        <v>1</v>
      </c>
      <c r="CJ1980">
        <v>1</v>
      </c>
      <c r="CK1980">
        <v>21</v>
      </c>
      <c r="CL1980" t="s">
        <v>86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"080066572457"</f>
        <v>080066572457</v>
      </c>
      <c r="F1981" s="3">
        <v>45853</v>
      </c>
      <c r="G1981">
        <v>202604</v>
      </c>
      <c r="H1981" t="s">
        <v>75</v>
      </c>
      <c r="I1981" t="s">
        <v>76</v>
      </c>
      <c r="J1981" t="s">
        <v>77</v>
      </c>
      <c r="K1981" t="s">
        <v>78</v>
      </c>
      <c r="L1981" t="s">
        <v>79</v>
      </c>
      <c r="M1981" t="s">
        <v>80</v>
      </c>
      <c r="N1981" t="s">
        <v>286</v>
      </c>
      <c r="O1981" t="s">
        <v>82</v>
      </c>
      <c r="P1981" t="str">
        <f>"4170048801                    "</f>
        <v xml:space="preserve">4170048801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22.6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71.2</v>
      </c>
      <c r="BM1981">
        <v>10.68</v>
      </c>
      <c r="BN1981">
        <v>81.88</v>
      </c>
      <c r="BO1981">
        <v>81.88</v>
      </c>
      <c r="BQ1981" t="s">
        <v>287</v>
      </c>
      <c r="BR1981" t="s">
        <v>84</v>
      </c>
      <c r="BS1981" s="3">
        <v>45854</v>
      </c>
      <c r="BT1981" s="4">
        <v>0.34305555555555556</v>
      </c>
      <c r="BU1981" t="s">
        <v>2322</v>
      </c>
      <c r="BV1981" t="s">
        <v>98</v>
      </c>
      <c r="BY1981">
        <v>1200</v>
      </c>
      <c r="BZ1981" t="s">
        <v>89</v>
      </c>
      <c r="CA1981" t="s">
        <v>289</v>
      </c>
      <c r="CC1981" t="s">
        <v>80</v>
      </c>
      <c r="CD1981">
        <v>7530</v>
      </c>
      <c r="CE1981" t="s">
        <v>239</v>
      </c>
      <c r="CF1981" s="3">
        <v>45855</v>
      </c>
      <c r="CI1981">
        <v>1</v>
      </c>
      <c r="CJ1981">
        <v>1</v>
      </c>
      <c r="CK1981">
        <v>21</v>
      </c>
      <c r="CL1981" t="s">
        <v>86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"080066572485"</f>
        <v>080066572485</v>
      </c>
      <c r="F1982" s="3">
        <v>45853</v>
      </c>
      <c r="G1982">
        <v>202604</v>
      </c>
      <c r="H1982" t="s">
        <v>75</v>
      </c>
      <c r="I1982" t="s">
        <v>76</v>
      </c>
      <c r="J1982" t="s">
        <v>77</v>
      </c>
      <c r="K1982" t="s">
        <v>78</v>
      </c>
      <c r="L1982" t="s">
        <v>75</v>
      </c>
      <c r="M1982" t="s">
        <v>76</v>
      </c>
      <c r="N1982" t="s">
        <v>562</v>
      </c>
      <c r="O1982" t="s">
        <v>82</v>
      </c>
      <c r="P1982" t="str">
        <f>"4170048820                    "</f>
        <v xml:space="preserve">4170048820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17.649999999999999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55.61</v>
      </c>
      <c r="BM1982">
        <v>8.34</v>
      </c>
      <c r="BN1982">
        <v>63.95</v>
      </c>
      <c r="BO1982">
        <v>63.95</v>
      </c>
      <c r="BQ1982" t="s">
        <v>563</v>
      </c>
      <c r="BR1982" t="s">
        <v>84</v>
      </c>
      <c r="BS1982" s="3">
        <v>45854</v>
      </c>
      <c r="BT1982" s="4">
        <v>0.37013888888888891</v>
      </c>
      <c r="BU1982" t="s">
        <v>2155</v>
      </c>
      <c r="BV1982" t="s">
        <v>98</v>
      </c>
      <c r="BY1982">
        <v>1200</v>
      </c>
      <c r="BZ1982" t="s">
        <v>89</v>
      </c>
      <c r="CA1982" t="s">
        <v>565</v>
      </c>
      <c r="CC1982" t="s">
        <v>76</v>
      </c>
      <c r="CD1982">
        <v>1619</v>
      </c>
      <c r="CE1982" t="s">
        <v>239</v>
      </c>
      <c r="CF1982" s="3">
        <v>45854</v>
      </c>
      <c r="CI1982">
        <v>1</v>
      </c>
      <c r="CJ1982">
        <v>1</v>
      </c>
      <c r="CK1982">
        <v>22</v>
      </c>
      <c r="CL1982" t="s">
        <v>86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"080066572530"</f>
        <v>080066572530</v>
      </c>
      <c r="F1983" s="3">
        <v>45853</v>
      </c>
      <c r="G1983">
        <v>202604</v>
      </c>
      <c r="H1983" t="s">
        <v>75</v>
      </c>
      <c r="I1983" t="s">
        <v>76</v>
      </c>
      <c r="J1983" t="s">
        <v>77</v>
      </c>
      <c r="K1983" t="s">
        <v>78</v>
      </c>
      <c r="L1983" t="s">
        <v>363</v>
      </c>
      <c r="M1983" t="s">
        <v>364</v>
      </c>
      <c r="N1983" t="s">
        <v>365</v>
      </c>
      <c r="O1983" t="s">
        <v>82</v>
      </c>
      <c r="P1983" t="str">
        <f>"4170048858                    "</f>
        <v xml:space="preserve">4170048858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43.78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137.94</v>
      </c>
      <c r="BM1983">
        <v>20.69</v>
      </c>
      <c r="BN1983">
        <v>158.63</v>
      </c>
      <c r="BO1983">
        <v>158.63</v>
      </c>
      <c r="BQ1983" t="s">
        <v>1118</v>
      </c>
      <c r="BR1983" t="s">
        <v>84</v>
      </c>
      <c r="BS1983" s="3">
        <v>45854</v>
      </c>
      <c r="BT1983" s="4">
        <v>0.62847222222222221</v>
      </c>
      <c r="BU1983" t="s">
        <v>2511</v>
      </c>
      <c r="BV1983" t="s">
        <v>98</v>
      </c>
      <c r="BY1983">
        <v>1200</v>
      </c>
      <c r="BZ1983" t="s">
        <v>89</v>
      </c>
      <c r="CA1983" t="s">
        <v>522</v>
      </c>
      <c r="CC1983" t="s">
        <v>364</v>
      </c>
      <c r="CD1983">
        <v>7300</v>
      </c>
      <c r="CE1983" t="s">
        <v>239</v>
      </c>
      <c r="CF1983" s="3">
        <v>45855</v>
      </c>
      <c r="CI1983">
        <v>1</v>
      </c>
      <c r="CJ1983">
        <v>1</v>
      </c>
      <c r="CK1983">
        <v>23</v>
      </c>
      <c r="CL1983" t="s">
        <v>86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"080066572557"</f>
        <v>080066572557</v>
      </c>
      <c r="F1984" s="3">
        <v>45853</v>
      </c>
      <c r="G1984">
        <v>202604</v>
      </c>
      <c r="H1984" t="s">
        <v>75</v>
      </c>
      <c r="I1984" t="s">
        <v>76</v>
      </c>
      <c r="J1984" t="s">
        <v>77</v>
      </c>
      <c r="K1984" t="s">
        <v>78</v>
      </c>
      <c r="L1984" t="s">
        <v>168</v>
      </c>
      <c r="M1984" t="s">
        <v>169</v>
      </c>
      <c r="N1984" t="s">
        <v>202</v>
      </c>
      <c r="O1984" t="s">
        <v>82</v>
      </c>
      <c r="P1984" t="str">
        <f>"4170048796                    "</f>
        <v xml:space="preserve">4170048796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22.6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71.2</v>
      </c>
      <c r="BM1984">
        <v>10.68</v>
      </c>
      <c r="BN1984">
        <v>81.88</v>
      </c>
      <c r="BO1984">
        <v>81.88</v>
      </c>
      <c r="BQ1984" t="s">
        <v>203</v>
      </c>
      <c r="BR1984" t="s">
        <v>84</v>
      </c>
      <c r="BS1984" s="3">
        <v>45854</v>
      </c>
      <c r="BT1984" s="4">
        <v>0.37638888888888888</v>
      </c>
      <c r="BU1984" t="s">
        <v>1713</v>
      </c>
      <c r="BV1984" t="s">
        <v>98</v>
      </c>
      <c r="BY1984">
        <v>1200</v>
      </c>
      <c r="BZ1984" t="s">
        <v>89</v>
      </c>
      <c r="CA1984" t="s">
        <v>205</v>
      </c>
      <c r="CC1984" t="s">
        <v>169</v>
      </c>
      <c r="CD1984">
        <v>6001</v>
      </c>
      <c r="CE1984" t="s">
        <v>239</v>
      </c>
      <c r="CF1984" s="3">
        <v>45854</v>
      </c>
      <c r="CI1984">
        <v>1</v>
      </c>
      <c r="CJ1984">
        <v>1</v>
      </c>
      <c r="CK1984">
        <v>21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"080066572602"</f>
        <v>080066572602</v>
      </c>
      <c r="F1985" s="3">
        <v>45853</v>
      </c>
      <c r="G1985">
        <v>202604</v>
      </c>
      <c r="H1985" t="s">
        <v>75</v>
      </c>
      <c r="I1985" t="s">
        <v>76</v>
      </c>
      <c r="J1985" t="s">
        <v>77</v>
      </c>
      <c r="K1985" t="s">
        <v>78</v>
      </c>
      <c r="L1985" t="s">
        <v>252</v>
      </c>
      <c r="M1985" t="s">
        <v>253</v>
      </c>
      <c r="N1985" t="s">
        <v>254</v>
      </c>
      <c r="O1985" t="s">
        <v>82</v>
      </c>
      <c r="P1985" t="str">
        <f>"4170048879                    "</f>
        <v xml:space="preserve">4170048879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43.78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137.94</v>
      </c>
      <c r="BM1985">
        <v>20.69</v>
      </c>
      <c r="BN1985">
        <v>158.63</v>
      </c>
      <c r="BO1985">
        <v>158.63</v>
      </c>
      <c r="BQ1985" t="s">
        <v>255</v>
      </c>
      <c r="BR1985" t="s">
        <v>84</v>
      </c>
      <c r="BS1985" s="3">
        <v>45854</v>
      </c>
      <c r="BT1985" s="4">
        <v>0.40416666666666667</v>
      </c>
      <c r="BU1985" t="s">
        <v>2512</v>
      </c>
      <c r="BV1985" t="s">
        <v>98</v>
      </c>
      <c r="BY1985">
        <v>1200</v>
      </c>
      <c r="BZ1985" t="s">
        <v>89</v>
      </c>
      <c r="CA1985" t="s">
        <v>2513</v>
      </c>
      <c r="CC1985" t="s">
        <v>253</v>
      </c>
      <c r="CD1985">
        <v>1947</v>
      </c>
      <c r="CE1985" t="s">
        <v>239</v>
      </c>
      <c r="CF1985" s="3">
        <v>45854</v>
      </c>
      <c r="CI1985">
        <v>1</v>
      </c>
      <c r="CJ1985">
        <v>1</v>
      </c>
      <c r="CK1985">
        <v>23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"080066572636"</f>
        <v>080066572636</v>
      </c>
      <c r="F1986" s="3">
        <v>45853</v>
      </c>
      <c r="G1986">
        <v>202604</v>
      </c>
      <c r="H1986" t="s">
        <v>75</v>
      </c>
      <c r="I1986" t="s">
        <v>76</v>
      </c>
      <c r="J1986" t="s">
        <v>77</v>
      </c>
      <c r="K1986" t="s">
        <v>78</v>
      </c>
      <c r="L1986" t="s">
        <v>329</v>
      </c>
      <c r="M1986" t="s">
        <v>330</v>
      </c>
      <c r="N1986" t="s">
        <v>331</v>
      </c>
      <c r="O1986" t="s">
        <v>82</v>
      </c>
      <c r="P1986" t="str">
        <f>"4170048788                    "</f>
        <v xml:space="preserve">4170048788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43.78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137.94</v>
      </c>
      <c r="BM1986">
        <v>20.69</v>
      </c>
      <c r="BN1986">
        <v>158.63</v>
      </c>
      <c r="BO1986">
        <v>158.63</v>
      </c>
      <c r="BQ1986" t="s">
        <v>332</v>
      </c>
      <c r="BR1986" t="s">
        <v>84</v>
      </c>
      <c r="BS1986" s="3">
        <v>45854</v>
      </c>
      <c r="BT1986" s="4">
        <v>0.53541666666666665</v>
      </c>
      <c r="BU1986" t="s">
        <v>527</v>
      </c>
      <c r="BV1986" t="s">
        <v>98</v>
      </c>
      <c r="BY1986">
        <v>1200</v>
      </c>
      <c r="BZ1986" t="s">
        <v>89</v>
      </c>
      <c r="CA1986" t="s">
        <v>1153</v>
      </c>
      <c r="CC1986" t="s">
        <v>330</v>
      </c>
      <c r="CD1986">
        <v>6300</v>
      </c>
      <c r="CE1986" t="s">
        <v>239</v>
      </c>
      <c r="CF1986" s="3">
        <v>45854</v>
      </c>
      <c r="CI1986">
        <v>2</v>
      </c>
      <c r="CJ1986">
        <v>1</v>
      </c>
      <c r="CK1986">
        <v>23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"080066572697"</f>
        <v>080066572697</v>
      </c>
      <c r="F1987" s="3">
        <v>45853</v>
      </c>
      <c r="G1987">
        <v>202604</v>
      </c>
      <c r="H1987" t="s">
        <v>75</v>
      </c>
      <c r="I1987" t="s">
        <v>76</v>
      </c>
      <c r="J1987" t="s">
        <v>77</v>
      </c>
      <c r="K1987" t="s">
        <v>78</v>
      </c>
      <c r="L1987" t="s">
        <v>79</v>
      </c>
      <c r="M1987" t="s">
        <v>80</v>
      </c>
      <c r="N1987" t="s">
        <v>141</v>
      </c>
      <c r="O1987" t="s">
        <v>82</v>
      </c>
      <c r="P1987" t="str">
        <f>"4170048802                    "</f>
        <v xml:space="preserve">4170048802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22.6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71.2</v>
      </c>
      <c r="BM1987">
        <v>10.68</v>
      </c>
      <c r="BN1987">
        <v>81.88</v>
      </c>
      <c r="BO1987">
        <v>81.88</v>
      </c>
      <c r="BQ1987" t="s">
        <v>142</v>
      </c>
      <c r="BR1987" t="s">
        <v>84</v>
      </c>
      <c r="BS1987" s="3">
        <v>45854</v>
      </c>
      <c r="BT1987" s="4">
        <v>0.41111111111111109</v>
      </c>
      <c r="BU1987" t="s">
        <v>143</v>
      </c>
      <c r="BV1987" t="s">
        <v>98</v>
      </c>
      <c r="BY1987">
        <v>1200</v>
      </c>
      <c r="BZ1987" t="s">
        <v>89</v>
      </c>
      <c r="CA1987" t="s">
        <v>144</v>
      </c>
      <c r="CC1987" t="s">
        <v>80</v>
      </c>
      <c r="CD1987">
        <v>7441</v>
      </c>
      <c r="CE1987" t="s">
        <v>239</v>
      </c>
      <c r="CF1987" s="3">
        <v>45855</v>
      </c>
      <c r="CI1987">
        <v>1</v>
      </c>
      <c r="CJ1987">
        <v>1</v>
      </c>
      <c r="CK1987">
        <v>21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"080066572776"</f>
        <v>080066572776</v>
      </c>
      <c r="F1988" s="3">
        <v>45853</v>
      </c>
      <c r="G1988">
        <v>202604</v>
      </c>
      <c r="H1988" t="s">
        <v>75</v>
      </c>
      <c r="I1988" t="s">
        <v>76</v>
      </c>
      <c r="J1988" t="s">
        <v>77</v>
      </c>
      <c r="K1988" t="s">
        <v>78</v>
      </c>
      <c r="L1988" t="s">
        <v>670</v>
      </c>
      <c r="M1988" t="s">
        <v>671</v>
      </c>
      <c r="N1988" t="s">
        <v>1609</v>
      </c>
      <c r="O1988" t="s">
        <v>311</v>
      </c>
      <c r="P1988" t="str">
        <f>"4170048843                    "</f>
        <v xml:space="preserve">4170048843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17.66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6</v>
      </c>
      <c r="BJ1988">
        <v>4.3</v>
      </c>
      <c r="BK1988">
        <v>6</v>
      </c>
      <c r="BL1988">
        <v>55.63</v>
      </c>
      <c r="BM1988">
        <v>8.34</v>
      </c>
      <c r="BN1988">
        <v>63.97</v>
      </c>
      <c r="BO1988">
        <v>63.97</v>
      </c>
      <c r="BQ1988" t="s">
        <v>1610</v>
      </c>
      <c r="BR1988" t="s">
        <v>84</v>
      </c>
      <c r="BS1988" s="3">
        <v>45854</v>
      </c>
      <c r="BT1988" s="4">
        <v>0.44791666666666669</v>
      </c>
      <c r="BU1988" t="s">
        <v>1611</v>
      </c>
      <c r="BV1988" t="s">
        <v>98</v>
      </c>
      <c r="BY1988">
        <v>21489</v>
      </c>
      <c r="BZ1988" t="s">
        <v>99</v>
      </c>
      <c r="CA1988" t="s">
        <v>676</v>
      </c>
      <c r="CC1988" t="s">
        <v>671</v>
      </c>
      <c r="CD1988">
        <v>2163</v>
      </c>
      <c r="CE1988" t="s">
        <v>1231</v>
      </c>
      <c r="CF1988" s="3">
        <v>45855</v>
      </c>
      <c r="CI1988">
        <v>1</v>
      </c>
      <c r="CJ1988">
        <v>1</v>
      </c>
      <c r="CK1988">
        <v>32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"080066572824"</f>
        <v>080066572824</v>
      </c>
      <c r="F1989" s="3">
        <v>45853</v>
      </c>
      <c r="G1989">
        <v>202604</v>
      </c>
      <c r="H1989" t="s">
        <v>75</v>
      </c>
      <c r="I1989" t="s">
        <v>76</v>
      </c>
      <c r="J1989" t="s">
        <v>77</v>
      </c>
      <c r="K1989" t="s">
        <v>78</v>
      </c>
      <c r="L1989" t="s">
        <v>79</v>
      </c>
      <c r="M1989" t="s">
        <v>80</v>
      </c>
      <c r="N1989" t="s">
        <v>141</v>
      </c>
      <c r="O1989" t="s">
        <v>82</v>
      </c>
      <c r="P1989" t="str">
        <f>"4170048908                    "</f>
        <v xml:space="preserve">4170048908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56.47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4.8</v>
      </c>
      <c r="BK1989">
        <v>5</v>
      </c>
      <c r="BL1989">
        <v>177.91</v>
      </c>
      <c r="BM1989">
        <v>26.69</v>
      </c>
      <c r="BN1989">
        <v>204.6</v>
      </c>
      <c r="BO1989">
        <v>204.6</v>
      </c>
      <c r="BQ1989" t="s">
        <v>142</v>
      </c>
      <c r="BR1989" t="s">
        <v>84</v>
      </c>
      <c r="BS1989" s="3">
        <v>45854</v>
      </c>
      <c r="BT1989" s="4">
        <v>0.41111111111111109</v>
      </c>
      <c r="BU1989" t="s">
        <v>143</v>
      </c>
      <c r="BV1989" t="s">
        <v>98</v>
      </c>
      <c r="BY1989">
        <v>23751</v>
      </c>
      <c r="BZ1989" t="s">
        <v>89</v>
      </c>
      <c r="CA1989" t="s">
        <v>144</v>
      </c>
      <c r="CC1989" t="s">
        <v>80</v>
      </c>
      <c r="CD1989">
        <v>7441</v>
      </c>
      <c r="CE1989" t="s">
        <v>117</v>
      </c>
      <c r="CF1989" s="3">
        <v>45855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"080066572999"</f>
        <v>080066572999</v>
      </c>
      <c r="F1990" s="3">
        <v>45853</v>
      </c>
      <c r="G1990">
        <v>202604</v>
      </c>
      <c r="H1990" t="s">
        <v>75</v>
      </c>
      <c r="I1990" t="s">
        <v>76</v>
      </c>
      <c r="J1990" t="s">
        <v>77</v>
      </c>
      <c r="K1990" t="s">
        <v>78</v>
      </c>
      <c r="L1990" t="s">
        <v>580</v>
      </c>
      <c r="M1990" t="s">
        <v>581</v>
      </c>
      <c r="N1990" t="s">
        <v>582</v>
      </c>
      <c r="O1990" t="s">
        <v>82</v>
      </c>
      <c r="P1990" t="str">
        <f>"4170048810                    "</f>
        <v xml:space="preserve">4170048810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22.6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1.1000000000000001</v>
      </c>
      <c r="BK1990">
        <v>1.5</v>
      </c>
      <c r="BL1990">
        <v>71.2</v>
      </c>
      <c r="BM1990">
        <v>10.68</v>
      </c>
      <c r="BN1990">
        <v>81.88</v>
      </c>
      <c r="BO1990">
        <v>81.88</v>
      </c>
      <c r="BQ1990" t="s">
        <v>583</v>
      </c>
      <c r="BR1990" t="s">
        <v>84</v>
      </c>
      <c r="BS1990" s="3">
        <v>45854</v>
      </c>
      <c r="BT1990" s="4">
        <v>0.40833333333333333</v>
      </c>
      <c r="BU1990" t="s">
        <v>584</v>
      </c>
      <c r="BV1990" t="s">
        <v>98</v>
      </c>
      <c r="BY1990">
        <v>5320</v>
      </c>
      <c r="BZ1990" t="s">
        <v>89</v>
      </c>
      <c r="CA1990" t="s">
        <v>585</v>
      </c>
      <c r="CC1990" t="s">
        <v>581</v>
      </c>
      <c r="CD1990">
        <v>4302</v>
      </c>
      <c r="CE1990" t="s">
        <v>117</v>
      </c>
      <c r="CF1990" s="3">
        <v>45855</v>
      </c>
      <c r="CI1990">
        <v>1</v>
      </c>
      <c r="CJ1990">
        <v>1</v>
      </c>
      <c r="CK1990">
        <v>21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"080066573023"</f>
        <v>080066573023</v>
      </c>
      <c r="F1991" s="3">
        <v>45853</v>
      </c>
      <c r="G1991">
        <v>202604</v>
      </c>
      <c r="H1991" t="s">
        <v>75</v>
      </c>
      <c r="I1991" t="s">
        <v>76</v>
      </c>
      <c r="J1991" t="s">
        <v>77</v>
      </c>
      <c r="K1991" t="s">
        <v>78</v>
      </c>
      <c r="L1991" t="s">
        <v>75</v>
      </c>
      <c r="M1991" t="s">
        <v>76</v>
      </c>
      <c r="N1991" t="s">
        <v>118</v>
      </c>
      <c r="O1991" t="s">
        <v>82</v>
      </c>
      <c r="P1991" t="str">
        <f>"4170048833                    "</f>
        <v xml:space="preserve">4170048833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17.649999999999999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1.7</v>
      </c>
      <c r="BK1991">
        <v>3</v>
      </c>
      <c r="BL1991">
        <v>55.61</v>
      </c>
      <c r="BM1991">
        <v>8.34</v>
      </c>
      <c r="BN1991">
        <v>63.95</v>
      </c>
      <c r="BO1991">
        <v>63.95</v>
      </c>
      <c r="BQ1991" t="s">
        <v>119</v>
      </c>
      <c r="BR1991" t="s">
        <v>84</v>
      </c>
      <c r="BS1991" s="3">
        <v>45854</v>
      </c>
      <c r="BT1991" s="4">
        <v>0.30972222222222223</v>
      </c>
      <c r="BU1991" t="s">
        <v>768</v>
      </c>
      <c r="BV1991" t="s">
        <v>98</v>
      </c>
      <c r="BY1991">
        <v>8550</v>
      </c>
      <c r="BZ1991" t="s">
        <v>89</v>
      </c>
      <c r="CA1991" t="s">
        <v>1537</v>
      </c>
      <c r="CC1991" t="s">
        <v>76</v>
      </c>
      <c r="CD1991">
        <v>1600</v>
      </c>
      <c r="CE1991" t="s">
        <v>117</v>
      </c>
      <c r="CF1991" s="3">
        <v>45854</v>
      </c>
      <c r="CI1991">
        <v>1</v>
      </c>
      <c r="CJ1991">
        <v>1</v>
      </c>
      <c r="CK1991">
        <v>22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"080066573056"</f>
        <v>080066573056</v>
      </c>
      <c r="F1992" s="3">
        <v>45853</v>
      </c>
      <c r="G1992">
        <v>202604</v>
      </c>
      <c r="H1992" t="s">
        <v>75</v>
      </c>
      <c r="I1992" t="s">
        <v>76</v>
      </c>
      <c r="J1992" t="s">
        <v>77</v>
      </c>
      <c r="K1992" t="s">
        <v>78</v>
      </c>
      <c r="L1992" t="s">
        <v>79</v>
      </c>
      <c r="M1992" t="s">
        <v>80</v>
      </c>
      <c r="N1992" t="s">
        <v>188</v>
      </c>
      <c r="O1992" t="s">
        <v>82</v>
      </c>
      <c r="P1992" t="str">
        <f>"4170048875                    "</f>
        <v xml:space="preserve">4170048875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22.6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</v>
      </c>
      <c r="BJ1992">
        <v>1.9</v>
      </c>
      <c r="BK1992">
        <v>2</v>
      </c>
      <c r="BL1992">
        <v>71.2</v>
      </c>
      <c r="BM1992">
        <v>10.68</v>
      </c>
      <c r="BN1992">
        <v>81.88</v>
      </c>
      <c r="BO1992">
        <v>81.88</v>
      </c>
      <c r="BQ1992" t="s">
        <v>189</v>
      </c>
      <c r="BR1992" t="s">
        <v>84</v>
      </c>
      <c r="BS1992" s="3">
        <v>45854</v>
      </c>
      <c r="BT1992" s="4">
        <v>0.37847222222222221</v>
      </c>
      <c r="BU1992" t="s">
        <v>509</v>
      </c>
      <c r="BV1992" t="s">
        <v>98</v>
      </c>
      <c r="BY1992">
        <v>9600</v>
      </c>
      <c r="BZ1992" t="s">
        <v>89</v>
      </c>
      <c r="CA1992" t="s">
        <v>144</v>
      </c>
      <c r="CC1992" t="s">
        <v>80</v>
      </c>
      <c r="CD1992">
        <v>7441</v>
      </c>
      <c r="CE1992" t="s">
        <v>117</v>
      </c>
      <c r="CF1992" s="3">
        <v>45855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"080066573213"</f>
        <v>080066573213</v>
      </c>
      <c r="F1993" s="3">
        <v>45853</v>
      </c>
      <c r="G1993">
        <v>202604</v>
      </c>
      <c r="H1993" t="s">
        <v>75</v>
      </c>
      <c r="I1993" t="s">
        <v>76</v>
      </c>
      <c r="J1993" t="s">
        <v>77</v>
      </c>
      <c r="K1993" t="s">
        <v>78</v>
      </c>
      <c r="L1993" t="s">
        <v>135</v>
      </c>
      <c r="M1993" t="s">
        <v>136</v>
      </c>
      <c r="N1993" t="s">
        <v>1228</v>
      </c>
      <c r="O1993" t="s">
        <v>82</v>
      </c>
      <c r="P1993" t="str">
        <f>"4170048685                    "</f>
        <v xml:space="preserve">4170048685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33.89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3</v>
      </c>
      <c r="BJ1993">
        <v>1</v>
      </c>
      <c r="BK1993">
        <v>3</v>
      </c>
      <c r="BL1993">
        <v>106.77</v>
      </c>
      <c r="BM1993">
        <v>16.02</v>
      </c>
      <c r="BN1993">
        <v>122.79</v>
      </c>
      <c r="BO1993">
        <v>122.79</v>
      </c>
      <c r="BQ1993" t="s">
        <v>1229</v>
      </c>
      <c r="BR1993" t="s">
        <v>84</v>
      </c>
      <c r="BS1993" s="3">
        <v>45854</v>
      </c>
      <c r="BT1993" s="4">
        <v>0.41666666666666669</v>
      </c>
      <c r="BU1993" t="s">
        <v>1230</v>
      </c>
      <c r="BV1993" t="s">
        <v>98</v>
      </c>
      <c r="BY1993">
        <v>4800</v>
      </c>
      <c r="BZ1993" t="s">
        <v>89</v>
      </c>
      <c r="CA1993" t="s">
        <v>382</v>
      </c>
      <c r="CC1993" t="s">
        <v>136</v>
      </c>
      <c r="CD1993">
        <v>3212</v>
      </c>
      <c r="CE1993" t="s">
        <v>91</v>
      </c>
      <c r="CF1993" s="3">
        <v>45854</v>
      </c>
      <c r="CI1993">
        <v>2</v>
      </c>
      <c r="CJ1993">
        <v>1</v>
      </c>
      <c r="CK1993">
        <v>21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"080066573232"</f>
        <v>080066573232</v>
      </c>
      <c r="F1994" s="3">
        <v>45853</v>
      </c>
      <c r="G1994">
        <v>202604</v>
      </c>
      <c r="H1994" t="s">
        <v>75</v>
      </c>
      <c r="I1994" t="s">
        <v>76</v>
      </c>
      <c r="J1994" t="s">
        <v>77</v>
      </c>
      <c r="K1994" t="s">
        <v>78</v>
      </c>
      <c r="L1994" t="s">
        <v>75</v>
      </c>
      <c r="M1994" t="s">
        <v>76</v>
      </c>
      <c r="N1994" t="s">
        <v>2343</v>
      </c>
      <c r="O1994" t="s">
        <v>82</v>
      </c>
      <c r="P1994" t="str">
        <f>"4170048703                    "</f>
        <v xml:space="preserve">4170048703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17.649999999999999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1.1000000000000001</v>
      </c>
      <c r="BK1994">
        <v>2</v>
      </c>
      <c r="BL1994">
        <v>55.61</v>
      </c>
      <c r="BM1994">
        <v>8.34</v>
      </c>
      <c r="BN1994">
        <v>63.95</v>
      </c>
      <c r="BO1994">
        <v>63.95</v>
      </c>
      <c r="BQ1994" t="s">
        <v>2344</v>
      </c>
      <c r="BR1994" t="s">
        <v>84</v>
      </c>
      <c r="BS1994" s="3">
        <v>45854</v>
      </c>
      <c r="BT1994" s="4">
        <v>0.40902777777777777</v>
      </c>
      <c r="BU1994" t="s">
        <v>2514</v>
      </c>
      <c r="BV1994" t="s">
        <v>98</v>
      </c>
      <c r="BY1994">
        <v>5320</v>
      </c>
      <c r="BZ1994" t="s">
        <v>89</v>
      </c>
      <c r="CA1994" t="s">
        <v>1799</v>
      </c>
      <c r="CC1994" t="s">
        <v>76</v>
      </c>
      <c r="CD1994">
        <v>1614</v>
      </c>
      <c r="CE1994" t="s">
        <v>117</v>
      </c>
      <c r="CF1994" s="3">
        <v>45855</v>
      </c>
      <c r="CI1994">
        <v>1</v>
      </c>
      <c r="CJ1994">
        <v>1</v>
      </c>
      <c r="CK1994">
        <v>22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"080066573262"</f>
        <v>080066573262</v>
      </c>
      <c r="F1995" s="3">
        <v>45853</v>
      </c>
      <c r="G1995">
        <v>202604</v>
      </c>
      <c r="H1995" t="s">
        <v>75</v>
      </c>
      <c r="I1995" t="s">
        <v>76</v>
      </c>
      <c r="J1995" t="s">
        <v>77</v>
      </c>
      <c r="K1995" t="s">
        <v>78</v>
      </c>
      <c r="L1995" t="s">
        <v>406</v>
      </c>
      <c r="M1995" t="s">
        <v>407</v>
      </c>
      <c r="N1995" t="s">
        <v>1283</v>
      </c>
      <c r="O1995" t="s">
        <v>82</v>
      </c>
      <c r="P1995" t="str">
        <f>"4170048800                    "</f>
        <v xml:space="preserve">4170048800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63.56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3</v>
      </c>
      <c r="BJ1995">
        <v>1.1000000000000001</v>
      </c>
      <c r="BK1995">
        <v>3</v>
      </c>
      <c r="BL1995">
        <v>200.24</v>
      </c>
      <c r="BM1995">
        <v>30.04</v>
      </c>
      <c r="BN1995">
        <v>230.28</v>
      </c>
      <c r="BO1995">
        <v>230.28</v>
      </c>
      <c r="BQ1995" t="s">
        <v>1284</v>
      </c>
      <c r="BR1995" t="s">
        <v>84</v>
      </c>
      <c r="BS1995" s="3">
        <v>45854</v>
      </c>
      <c r="BT1995" s="4">
        <v>0.4861111111111111</v>
      </c>
      <c r="BU1995" t="s">
        <v>2367</v>
      </c>
      <c r="BV1995" t="s">
        <v>98</v>
      </c>
      <c r="BY1995">
        <v>5320</v>
      </c>
      <c r="BZ1995" t="s">
        <v>89</v>
      </c>
      <c r="CA1995" t="s">
        <v>1286</v>
      </c>
      <c r="CC1995" t="s">
        <v>407</v>
      </c>
      <c r="CD1995">
        <v>4400</v>
      </c>
      <c r="CE1995" t="s">
        <v>117</v>
      </c>
      <c r="CF1995" s="3">
        <v>45855</v>
      </c>
      <c r="CI1995">
        <v>1</v>
      </c>
      <c r="CJ1995">
        <v>1</v>
      </c>
      <c r="CK1995">
        <v>23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"080066573300"</f>
        <v>080066573300</v>
      </c>
      <c r="F1996" s="3">
        <v>45853</v>
      </c>
      <c r="G1996">
        <v>202604</v>
      </c>
      <c r="H1996" t="s">
        <v>75</v>
      </c>
      <c r="I1996" t="s">
        <v>76</v>
      </c>
      <c r="J1996" t="s">
        <v>77</v>
      </c>
      <c r="K1996" t="s">
        <v>78</v>
      </c>
      <c r="L1996" t="s">
        <v>146</v>
      </c>
      <c r="M1996" t="s">
        <v>146</v>
      </c>
      <c r="N1996" t="s">
        <v>986</v>
      </c>
      <c r="O1996" t="s">
        <v>82</v>
      </c>
      <c r="P1996" t="str">
        <f>"4170048837                    "</f>
        <v xml:space="preserve">4170048837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221.73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6</v>
      </c>
      <c r="BJ1996">
        <v>10.6</v>
      </c>
      <c r="BK1996">
        <v>11</v>
      </c>
      <c r="BL1996">
        <v>698.57</v>
      </c>
      <c r="BM1996">
        <v>104.79</v>
      </c>
      <c r="BN1996">
        <v>803.36</v>
      </c>
      <c r="BO1996">
        <v>803.36</v>
      </c>
      <c r="BQ1996" t="s">
        <v>987</v>
      </c>
      <c r="BR1996" t="s">
        <v>84</v>
      </c>
      <c r="BS1996" s="3">
        <v>45854</v>
      </c>
      <c r="BT1996" s="4">
        <v>0.53680555555555554</v>
      </c>
      <c r="BU1996" t="s">
        <v>635</v>
      </c>
      <c r="BV1996" t="s">
        <v>98</v>
      </c>
      <c r="BY1996">
        <v>52992</v>
      </c>
      <c r="BZ1996" t="s">
        <v>89</v>
      </c>
      <c r="CA1996" t="s">
        <v>150</v>
      </c>
      <c r="CC1996" t="s">
        <v>146</v>
      </c>
      <c r="CD1996">
        <v>7646</v>
      </c>
      <c r="CE1996" t="s">
        <v>91</v>
      </c>
      <c r="CF1996" s="3">
        <v>45855</v>
      </c>
      <c r="CI1996">
        <v>1</v>
      </c>
      <c r="CJ1996">
        <v>1</v>
      </c>
      <c r="CK1996">
        <v>23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"080066573317"</f>
        <v>080066573317</v>
      </c>
      <c r="F1997" s="3">
        <v>45853</v>
      </c>
      <c r="G1997">
        <v>202604</v>
      </c>
      <c r="H1997" t="s">
        <v>75</v>
      </c>
      <c r="I1997" t="s">
        <v>76</v>
      </c>
      <c r="J1997" t="s">
        <v>77</v>
      </c>
      <c r="K1997" t="s">
        <v>78</v>
      </c>
      <c r="L1997" t="s">
        <v>305</v>
      </c>
      <c r="M1997" t="s">
        <v>306</v>
      </c>
      <c r="N1997" t="s">
        <v>640</v>
      </c>
      <c r="O1997" t="s">
        <v>82</v>
      </c>
      <c r="P1997" t="str">
        <f>"4170048839                    "</f>
        <v xml:space="preserve">4170048839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22.6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0.3</v>
      </c>
      <c r="BK1997">
        <v>1</v>
      </c>
      <c r="BL1997">
        <v>71.2</v>
      </c>
      <c r="BM1997">
        <v>10.68</v>
      </c>
      <c r="BN1997">
        <v>81.88</v>
      </c>
      <c r="BO1997">
        <v>81.88</v>
      </c>
      <c r="BQ1997" t="s">
        <v>641</v>
      </c>
      <c r="BR1997" t="s">
        <v>84</v>
      </c>
      <c r="BS1997" s="3">
        <v>45854</v>
      </c>
      <c r="BT1997" s="4">
        <v>0.5180555555555556</v>
      </c>
      <c r="BU1997" t="s">
        <v>975</v>
      </c>
      <c r="BV1997" t="s">
        <v>86</v>
      </c>
      <c r="BY1997">
        <v>1350</v>
      </c>
      <c r="BZ1997" t="s">
        <v>89</v>
      </c>
      <c r="CA1997" t="s">
        <v>310</v>
      </c>
      <c r="CC1997" t="s">
        <v>306</v>
      </c>
      <c r="CD1997">
        <v>5201</v>
      </c>
      <c r="CE1997" t="s">
        <v>1868</v>
      </c>
      <c r="CF1997" s="3">
        <v>45855</v>
      </c>
      <c r="CI1997">
        <v>1</v>
      </c>
      <c r="CJ1997">
        <v>1</v>
      </c>
      <c r="CK1997">
        <v>21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"080066573356"</f>
        <v>080066573356</v>
      </c>
      <c r="F1998" s="3">
        <v>45853</v>
      </c>
      <c r="G1998">
        <v>202604</v>
      </c>
      <c r="H1998" t="s">
        <v>75</v>
      </c>
      <c r="I1998" t="s">
        <v>76</v>
      </c>
      <c r="J1998" t="s">
        <v>77</v>
      </c>
      <c r="K1998" t="s">
        <v>78</v>
      </c>
      <c r="L1998" t="s">
        <v>168</v>
      </c>
      <c r="M1998" t="s">
        <v>169</v>
      </c>
      <c r="N1998" t="s">
        <v>206</v>
      </c>
      <c r="O1998" t="s">
        <v>82</v>
      </c>
      <c r="P1998" t="str">
        <f>"4170048814                    "</f>
        <v xml:space="preserve">4170048814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22.6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0.3</v>
      </c>
      <c r="BK1998">
        <v>1</v>
      </c>
      <c r="BL1998">
        <v>71.2</v>
      </c>
      <c r="BM1998">
        <v>10.68</v>
      </c>
      <c r="BN1998">
        <v>81.88</v>
      </c>
      <c r="BO1998">
        <v>81.88</v>
      </c>
      <c r="BQ1998" t="s">
        <v>207</v>
      </c>
      <c r="BR1998" t="s">
        <v>84</v>
      </c>
      <c r="BS1998" s="3">
        <v>45854</v>
      </c>
      <c r="BT1998" s="4">
        <v>0.41666666666666669</v>
      </c>
      <c r="BU1998" t="s">
        <v>2414</v>
      </c>
      <c r="BV1998" t="s">
        <v>98</v>
      </c>
      <c r="BY1998">
        <v>1350</v>
      </c>
      <c r="BZ1998" t="s">
        <v>89</v>
      </c>
      <c r="CA1998" t="s">
        <v>196</v>
      </c>
      <c r="CC1998" t="s">
        <v>169</v>
      </c>
      <c r="CD1998">
        <v>6001</v>
      </c>
      <c r="CE1998" t="s">
        <v>1868</v>
      </c>
      <c r="CF1998" s="3">
        <v>45854</v>
      </c>
      <c r="CI1998">
        <v>1</v>
      </c>
      <c r="CJ1998">
        <v>1</v>
      </c>
      <c r="CK1998">
        <v>21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"080066573361"</f>
        <v>080066573361</v>
      </c>
      <c r="F1999" s="3">
        <v>45853</v>
      </c>
      <c r="G1999">
        <v>202604</v>
      </c>
      <c r="H1999" t="s">
        <v>75</v>
      </c>
      <c r="I1999" t="s">
        <v>76</v>
      </c>
      <c r="J1999" t="s">
        <v>77</v>
      </c>
      <c r="K1999" t="s">
        <v>78</v>
      </c>
      <c r="L1999" t="s">
        <v>305</v>
      </c>
      <c r="M1999" t="s">
        <v>306</v>
      </c>
      <c r="N1999" t="s">
        <v>640</v>
      </c>
      <c r="O1999" t="s">
        <v>82</v>
      </c>
      <c r="P1999" t="str">
        <f>"4170048825                    "</f>
        <v xml:space="preserve">4170048825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33.89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</v>
      </c>
      <c r="BJ1999">
        <v>1.5</v>
      </c>
      <c r="BK1999">
        <v>3</v>
      </c>
      <c r="BL1999">
        <v>106.77</v>
      </c>
      <c r="BM1999">
        <v>16.02</v>
      </c>
      <c r="BN1999">
        <v>122.79</v>
      </c>
      <c r="BO1999">
        <v>122.79</v>
      </c>
      <c r="BQ1999" t="s">
        <v>641</v>
      </c>
      <c r="BR1999" t="s">
        <v>84</v>
      </c>
      <c r="BS1999" s="3">
        <v>45854</v>
      </c>
      <c r="BT1999" s="4">
        <v>0.5180555555555556</v>
      </c>
      <c r="BU1999" t="s">
        <v>975</v>
      </c>
      <c r="BV1999" t="s">
        <v>86</v>
      </c>
      <c r="BY1999">
        <v>7448</v>
      </c>
      <c r="BZ1999" t="s">
        <v>89</v>
      </c>
      <c r="CA1999" t="s">
        <v>310</v>
      </c>
      <c r="CC1999" t="s">
        <v>306</v>
      </c>
      <c r="CD1999">
        <v>5201</v>
      </c>
      <c r="CE1999" t="s">
        <v>91</v>
      </c>
      <c r="CF1999" s="3">
        <v>45855</v>
      </c>
      <c r="CI1999">
        <v>1</v>
      </c>
      <c r="CJ1999">
        <v>1</v>
      </c>
      <c r="CK1999">
        <v>21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"080066573406"</f>
        <v>080066573406</v>
      </c>
      <c r="F2000" s="3">
        <v>45853</v>
      </c>
      <c r="G2000">
        <v>202604</v>
      </c>
      <c r="H2000" t="s">
        <v>75</v>
      </c>
      <c r="I2000" t="s">
        <v>76</v>
      </c>
      <c r="J2000" t="s">
        <v>77</v>
      </c>
      <c r="K2000" t="s">
        <v>78</v>
      </c>
      <c r="L2000" t="s">
        <v>122</v>
      </c>
      <c r="M2000" t="s">
        <v>123</v>
      </c>
      <c r="N2000" t="s">
        <v>209</v>
      </c>
      <c r="O2000" t="s">
        <v>82</v>
      </c>
      <c r="P2000" t="str">
        <f>"4170048830                    "</f>
        <v xml:space="preserve">4170048830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39.53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3.2</v>
      </c>
      <c r="BK2000">
        <v>3.5</v>
      </c>
      <c r="BL2000">
        <v>124.55</v>
      </c>
      <c r="BM2000">
        <v>18.68</v>
      </c>
      <c r="BN2000">
        <v>143.22999999999999</v>
      </c>
      <c r="BO2000">
        <v>143.22999999999999</v>
      </c>
      <c r="BQ2000" t="s">
        <v>210</v>
      </c>
      <c r="BR2000" t="s">
        <v>84</v>
      </c>
      <c r="BS2000" s="3">
        <v>45854</v>
      </c>
      <c r="BT2000" s="4">
        <v>0.59791666666666665</v>
      </c>
      <c r="BU2000" t="s">
        <v>2515</v>
      </c>
      <c r="BV2000" t="s">
        <v>86</v>
      </c>
      <c r="BW2000" t="s">
        <v>219</v>
      </c>
      <c r="BX2000" t="s">
        <v>220</v>
      </c>
      <c r="BY2000">
        <v>16200</v>
      </c>
      <c r="BZ2000" t="s">
        <v>89</v>
      </c>
      <c r="CC2000" t="s">
        <v>123</v>
      </c>
      <c r="CD2000">
        <v>3600</v>
      </c>
      <c r="CE2000" t="s">
        <v>1868</v>
      </c>
      <c r="CF2000" s="3">
        <v>45855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"080066573430"</f>
        <v>080066573430</v>
      </c>
      <c r="F2001" s="3">
        <v>45853</v>
      </c>
      <c r="G2001">
        <v>202604</v>
      </c>
      <c r="H2001" t="s">
        <v>75</v>
      </c>
      <c r="I2001" t="s">
        <v>76</v>
      </c>
      <c r="J2001" t="s">
        <v>77</v>
      </c>
      <c r="K2001" t="s">
        <v>78</v>
      </c>
      <c r="L2001" t="s">
        <v>122</v>
      </c>
      <c r="M2001" t="s">
        <v>123</v>
      </c>
      <c r="N2001" t="s">
        <v>2097</v>
      </c>
      <c r="O2001" t="s">
        <v>82</v>
      </c>
      <c r="P2001" t="str">
        <f>"4170048742                    "</f>
        <v xml:space="preserve">4170048742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22.6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0.3</v>
      </c>
      <c r="BK2001">
        <v>1</v>
      </c>
      <c r="BL2001">
        <v>71.2</v>
      </c>
      <c r="BM2001">
        <v>10.68</v>
      </c>
      <c r="BN2001">
        <v>81.88</v>
      </c>
      <c r="BO2001">
        <v>81.88</v>
      </c>
      <c r="BQ2001" t="s">
        <v>2098</v>
      </c>
      <c r="BR2001" t="s">
        <v>84</v>
      </c>
      <c r="BS2001" s="3">
        <v>45854</v>
      </c>
      <c r="BT2001" s="4">
        <v>0.43541666666666667</v>
      </c>
      <c r="BU2001" t="s">
        <v>2099</v>
      </c>
      <c r="BV2001" t="s">
        <v>98</v>
      </c>
      <c r="BY2001">
        <v>1350</v>
      </c>
      <c r="BZ2001" t="s">
        <v>89</v>
      </c>
      <c r="CA2001" t="s">
        <v>187</v>
      </c>
      <c r="CC2001" t="s">
        <v>123</v>
      </c>
      <c r="CD2001">
        <v>3600</v>
      </c>
      <c r="CE2001" t="s">
        <v>1868</v>
      </c>
      <c r="CF2001" s="3">
        <v>45855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"080066573466"</f>
        <v>080066573466</v>
      </c>
      <c r="F2002" s="3">
        <v>45853</v>
      </c>
      <c r="G2002">
        <v>202604</v>
      </c>
      <c r="H2002" t="s">
        <v>75</v>
      </c>
      <c r="I2002" t="s">
        <v>76</v>
      </c>
      <c r="J2002" t="s">
        <v>77</v>
      </c>
      <c r="K2002" t="s">
        <v>78</v>
      </c>
      <c r="L2002" t="s">
        <v>135</v>
      </c>
      <c r="M2002" t="s">
        <v>136</v>
      </c>
      <c r="N2002" t="s">
        <v>2213</v>
      </c>
      <c r="O2002" t="s">
        <v>82</v>
      </c>
      <c r="P2002" t="str">
        <f>"4170048859                    "</f>
        <v xml:space="preserve">4170048859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22.6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0.3</v>
      </c>
      <c r="BK2002">
        <v>1</v>
      </c>
      <c r="BL2002">
        <v>71.2</v>
      </c>
      <c r="BM2002">
        <v>10.68</v>
      </c>
      <c r="BN2002">
        <v>81.88</v>
      </c>
      <c r="BO2002">
        <v>81.88</v>
      </c>
      <c r="BQ2002" t="s">
        <v>2214</v>
      </c>
      <c r="BR2002" t="s">
        <v>84</v>
      </c>
      <c r="BS2002" s="3">
        <v>45854</v>
      </c>
      <c r="BT2002" s="4">
        <v>0.41666666666666669</v>
      </c>
      <c r="BU2002" t="s">
        <v>2416</v>
      </c>
      <c r="BV2002" t="s">
        <v>98</v>
      </c>
      <c r="BY2002">
        <v>1350</v>
      </c>
      <c r="BZ2002" t="s">
        <v>89</v>
      </c>
      <c r="CA2002" t="s">
        <v>349</v>
      </c>
      <c r="CC2002" t="s">
        <v>136</v>
      </c>
      <c r="CD2002">
        <v>3200</v>
      </c>
      <c r="CE2002" t="s">
        <v>1868</v>
      </c>
      <c r="CF2002" s="3">
        <v>45855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"080066573480"</f>
        <v>080066573480</v>
      </c>
      <c r="F2003" s="3">
        <v>45853</v>
      </c>
      <c r="G2003">
        <v>202604</v>
      </c>
      <c r="H2003" t="s">
        <v>75</v>
      </c>
      <c r="I2003" t="s">
        <v>76</v>
      </c>
      <c r="J2003" t="s">
        <v>77</v>
      </c>
      <c r="K2003" t="s">
        <v>78</v>
      </c>
      <c r="L2003" t="s">
        <v>79</v>
      </c>
      <c r="M2003" t="s">
        <v>80</v>
      </c>
      <c r="N2003" t="s">
        <v>1980</v>
      </c>
      <c r="O2003" t="s">
        <v>82</v>
      </c>
      <c r="P2003" t="str">
        <f>"4170048852                    "</f>
        <v xml:space="preserve">4170048852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22.6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16.739999999999998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0.3</v>
      </c>
      <c r="BK2003">
        <v>1</v>
      </c>
      <c r="BL2003">
        <v>87.94</v>
      </c>
      <c r="BM2003">
        <v>13.19</v>
      </c>
      <c r="BN2003">
        <v>101.13</v>
      </c>
      <c r="BO2003">
        <v>101.13</v>
      </c>
      <c r="BQ2003" t="s">
        <v>1981</v>
      </c>
      <c r="BR2003" t="s">
        <v>84</v>
      </c>
      <c r="BS2003" s="3">
        <v>45854</v>
      </c>
      <c r="BT2003" s="4">
        <v>0.36944444444444446</v>
      </c>
      <c r="BU2003" t="s">
        <v>2222</v>
      </c>
      <c r="BV2003" t="s">
        <v>98</v>
      </c>
      <c r="BY2003">
        <v>1350</v>
      </c>
      <c r="BZ2003" t="s">
        <v>460</v>
      </c>
      <c r="CA2003" t="s">
        <v>2223</v>
      </c>
      <c r="CC2003" t="s">
        <v>80</v>
      </c>
      <c r="CD2003">
        <v>7781</v>
      </c>
      <c r="CE2003" t="s">
        <v>1868</v>
      </c>
      <c r="CF2003" s="3">
        <v>45855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"080066573547"</f>
        <v>080066573547</v>
      </c>
      <c r="F2004" s="3">
        <v>45853</v>
      </c>
      <c r="G2004">
        <v>202604</v>
      </c>
      <c r="H2004" t="s">
        <v>75</v>
      </c>
      <c r="I2004" t="s">
        <v>76</v>
      </c>
      <c r="J2004" t="s">
        <v>77</v>
      </c>
      <c r="K2004" t="s">
        <v>78</v>
      </c>
      <c r="L2004" t="s">
        <v>92</v>
      </c>
      <c r="M2004" t="s">
        <v>93</v>
      </c>
      <c r="N2004" t="s">
        <v>291</v>
      </c>
      <c r="O2004" t="s">
        <v>82</v>
      </c>
      <c r="P2004" t="str">
        <f>"4170048727                    "</f>
        <v xml:space="preserve">4170048727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67.760000000000005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6</v>
      </c>
      <c r="BJ2004">
        <v>3.4</v>
      </c>
      <c r="BK2004">
        <v>6</v>
      </c>
      <c r="BL2004">
        <v>213.48</v>
      </c>
      <c r="BM2004">
        <v>32.020000000000003</v>
      </c>
      <c r="BN2004">
        <v>245.5</v>
      </c>
      <c r="BO2004">
        <v>245.5</v>
      </c>
      <c r="BQ2004" t="s">
        <v>292</v>
      </c>
      <c r="BR2004" t="s">
        <v>84</v>
      </c>
      <c r="BS2004" s="3">
        <v>45854</v>
      </c>
      <c r="BT2004" s="4">
        <v>0.33263888888888887</v>
      </c>
      <c r="BU2004" t="s">
        <v>1571</v>
      </c>
      <c r="BV2004" t="s">
        <v>98</v>
      </c>
      <c r="BY2004">
        <v>16965</v>
      </c>
      <c r="BZ2004" t="s">
        <v>89</v>
      </c>
      <c r="CA2004" t="s">
        <v>294</v>
      </c>
      <c r="CC2004" t="s">
        <v>93</v>
      </c>
      <c r="CD2004">
        <v>4051</v>
      </c>
      <c r="CE2004" t="s">
        <v>117</v>
      </c>
      <c r="CF2004" s="3">
        <v>45854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"080066573586"</f>
        <v>080066573586</v>
      </c>
      <c r="F2005" s="3">
        <v>45853</v>
      </c>
      <c r="G2005">
        <v>202604</v>
      </c>
      <c r="H2005" t="s">
        <v>75</v>
      </c>
      <c r="I2005" t="s">
        <v>76</v>
      </c>
      <c r="J2005" t="s">
        <v>77</v>
      </c>
      <c r="K2005" t="s">
        <v>78</v>
      </c>
      <c r="L2005" t="s">
        <v>554</v>
      </c>
      <c r="M2005" t="s">
        <v>555</v>
      </c>
      <c r="N2005" t="s">
        <v>556</v>
      </c>
      <c r="O2005" t="s">
        <v>95</v>
      </c>
      <c r="P2005" t="str">
        <f>"4170048775                    "</f>
        <v xml:space="preserve">4170048775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43.7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6</v>
      </c>
      <c r="BJ2005">
        <v>3.1</v>
      </c>
      <c r="BK2005">
        <v>6</v>
      </c>
      <c r="BL2005">
        <v>143.55000000000001</v>
      </c>
      <c r="BM2005">
        <v>21.53</v>
      </c>
      <c r="BN2005">
        <v>165.08</v>
      </c>
      <c r="BO2005">
        <v>165.08</v>
      </c>
      <c r="BQ2005" t="s">
        <v>557</v>
      </c>
      <c r="BR2005" t="s">
        <v>84</v>
      </c>
      <c r="BS2005" s="3">
        <v>45854</v>
      </c>
      <c r="BT2005" s="4">
        <v>0.37152777777777779</v>
      </c>
      <c r="BU2005" t="s">
        <v>558</v>
      </c>
      <c r="BV2005" t="s">
        <v>98</v>
      </c>
      <c r="BY2005">
        <v>15680</v>
      </c>
      <c r="BZ2005" t="s">
        <v>99</v>
      </c>
      <c r="CA2005" t="s">
        <v>559</v>
      </c>
      <c r="CC2005" t="s">
        <v>555</v>
      </c>
      <c r="CD2005" s="5" t="s">
        <v>560</v>
      </c>
      <c r="CE2005" t="s">
        <v>91</v>
      </c>
      <c r="CF2005" s="3">
        <v>45854</v>
      </c>
      <c r="CI2005">
        <v>1</v>
      </c>
      <c r="CJ2005">
        <v>1</v>
      </c>
      <c r="CK2005">
        <v>41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"080066573601"</f>
        <v>080066573601</v>
      </c>
      <c r="F2006" s="3">
        <v>45853</v>
      </c>
      <c r="G2006">
        <v>202604</v>
      </c>
      <c r="H2006" t="s">
        <v>75</v>
      </c>
      <c r="I2006" t="s">
        <v>76</v>
      </c>
      <c r="J2006" t="s">
        <v>77</v>
      </c>
      <c r="K2006" t="s">
        <v>78</v>
      </c>
      <c r="L2006" t="s">
        <v>151</v>
      </c>
      <c r="M2006" t="s">
        <v>152</v>
      </c>
      <c r="N2006" t="s">
        <v>2516</v>
      </c>
      <c r="O2006" t="s">
        <v>82</v>
      </c>
      <c r="P2006" t="str">
        <f>"4170048836                    "</f>
        <v xml:space="preserve">4170048836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22.6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0.3</v>
      </c>
      <c r="BK2006">
        <v>1</v>
      </c>
      <c r="BL2006">
        <v>71.2</v>
      </c>
      <c r="BM2006">
        <v>10.68</v>
      </c>
      <c r="BN2006">
        <v>81.88</v>
      </c>
      <c r="BO2006">
        <v>81.88</v>
      </c>
      <c r="BQ2006" t="s">
        <v>2517</v>
      </c>
      <c r="BR2006" t="s">
        <v>84</v>
      </c>
      <c r="BS2006" s="3">
        <v>45854</v>
      </c>
      <c r="BT2006" s="4">
        <v>0.4152777777777778</v>
      </c>
      <c r="BU2006" t="s">
        <v>2518</v>
      </c>
      <c r="BV2006" t="s">
        <v>98</v>
      </c>
      <c r="BY2006">
        <v>1350</v>
      </c>
      <c r="BZ2006" t="s">
        <v>89</v>
      </c>
      <c r="CA2006" t="s">
        <v>2176</v>
      </c>
      <c r="CC2006" t="s">
        <v>152</v>
      </c>
      <c r="CD2006" s="5" t="s">
        <v>389</v>
      </c>
      <c r="CE2006" t="s">
        <v>158</v>
      </c>
      <c r="CF2006" s="3">
        <v>45854</v>
      </c>
      <c r="CI2006">
        <v>1</v>
      </c>
      <c r="CJ2006">
        <v>1</v>
      </c>
      <c r="CK2006">
        <v>21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"080066573617"</f>
        <v>080066573617</v>
      </c>
      <c r="F2007" s="3">
        <v>45853</v>
      </c>
      <c r="G2007">
        <v>202604</v>
      </c>
      <c r="H2007" t="s">
        <v>75</v>
      </c>
      <c r="I2007" t="s">
        <v>76</v>
      </c>
      <c r="J2007" t="s">
        <v>77</v>
      </c>
      <c r="K2007" t="s">
        <v>78</v>
      </c>
      <c r="L2007" t="s">
        <v>122</v>
      </c>
      <c r="M2007" t="s">
        <v>123</v>
      </c>
      <c r="N2007" t="s">
        <v>1142</v>
      </c>
      <c r="O2007" t="s">
        <v>82</v>
      </c>
      <c r="P2007" t="str">
        <f>"4170048724                    "</f>
        <v xml:space="preserve">4170048724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45.18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4</v>
      </c>
      <c r="BJ2007">
        <v>1.7</v>
      </c>
      <c r="BK2007">
        <v>4</v>
      </c>
      <c r="BL2007">
        <v>142.34</v>
      </c>
      <c r="BM2007">
        <v>21.35</v>
      </c>
      <c r="BN2007">
        <v>163.69</v>
      </c>
      <c r="BO2007">
        <v>163.69</v>
      </c>
      <c r="BQ2007" t="s">
        <v>1143</v>
      </c>
      <c r="BR2007" t="s">
        <v>84</v>
      </c>
      <c r="BS2007" s="3">
        <v>45854</v>
      </c>
      <c r="BT2007" s="4">
        <v>0.47847222222222224</v>
      </c>
      <c r="BU2007" t="s">
        <v>1614</v>
      </c>
      <c r="BV2007" t="s">
        <v>86</v>
      </c>
      <c r="BW2007" t="s">
        <v>219</v>
      </c>
      <c r="BX2007" t="s">
        <v>220</v>
      </c>
      <c r="BY2007">
        <v>8512</v>
      </c>
      <c r="BZ2007" t="s">
        <v>89</v>
      </c>
      <c r="CA2007" t="s">
        <v>166</v>
      </c>
      <c r="CC2007" t="s">
        <v>123</v>
      </c>
      <c r="CD2007">
        <v>3620</v>
      </c>
      <c r="CE2007" t="s">
        <v>145</v>
      </c>
      <c r="CF2007" s="3">
        <v>45855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"080066573642"</f>
        <v>080066573642</v>
      </c>
      <c r="F2008" s="3">
        <v>45853</v>
      </c>
      <c r="G2008">
        <v>202604</v>
      </c>
      <c r="H2008" t="s">
        <v>75</v>
      </c>
      <c r="I2008" t="s">
        <v>76</v>
      </c>
      <c r="J2008" t="s">
        <v>77</v>
      </c>
      <c r="K2008" t="s">
        <v>78</v>
      </c>
      <c r="L2008" t="s">
        <v>363</v>
      </c>
      <c r="M2008" t="s">
        <v>364</v>
      </c>
      <c r="N2008" t="s">
        <v>365</v>
      </c>
      <c r="O2008" t="s">
        <v>82</v>
      </c>
      <c r="P2008" t="str">
        <f>"4170048870                    "</f>
        <v xml:space="preserve">4170048870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43.78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0.3</v>
      </c>
      <c r="BK2008">
        <v>1</v>
      </c>
      <c r="BL2008">
        <v>137.94</v>
      </c>
      <c r="BM2008">
        <v>20.69</v>
      </c>
      <c r="BN2008">
        <v>158.63</v>
      </c>
      <c r="BO2008">
        <v>158.63</v>
      </c>
      <c r="BQ2008" t="s">
        <v>366</v>
      </c>
      <c r="BR2008" t="s">
        <v>84</v>
      </c>
      <c r="BS2008" s="3">
        <v>45854</v>
      </c>
      <c r="BT2008" s="4">
        <v>0.62847222222222221</v>
      </c>
      <c r="BU2008" t="s">
        <v>2519</v>
      </c>
      <c r="BV2008" t="s">
        <v>98</v>
      </c>
      <c r="BY2008">
        <v>1350</v>
      </c>
      <c r="BZ2008" t="s">
        <v>89</v>
      </c>
      <c r="CA2008" t="s">
        <v>522</v>
      </c>
      <c r="CC2008" t="s">
        <v>364</v>
      </c>
      <c r="CD2008">
        <v>7300</v>
      </c>
      <c r="CE2008" t="s">
        <v>158</v>
      </c>
      <c r="CF2008" s="3">
        <v>45855</v>
      </c>
      <c r="CI2008">
        <v>1</v>
      </c>
      <c r="CJ2008">
        <v>1</v>
      </c>
      <c r="CK2008">
        <v>23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"080066573648"</f>
        <v>080066573648</v>
      </c>
      <c r="F2009" s="3">
        <v>45853</v>
      </c>
      <c r="G2009">
        <v>202604</v>
      </c>
      <c r="H2009" t="s">
        <v>75</v>
      </c>
      <c r="I2009" t="s">
        <v>76</v>
      </c>
      <c r="J2009" t="s">
        <v>77</v>
      </c>
      <c r="K2009" t="s">
        <v>78</v>
      </c>
      <c r="L2009" t="s">
        <v>92</v>
      </c>
      <c r="M2009" t="s">
        <v>93</v>
      </c>
      <c r="N2009" t="s">
        <v>291</v>
      </c>
      <c r="O2009" t="s">
        <v>82</v>
      </c>
      <c r="P2009" t="str">
        <f>"4170048713                    "</f>
        <v xml:space="preserve">4170048713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22.6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71.2</v>
      </c>
      <c r="BM2009">
        <v>10.68</v>
      </c>
      <c r="BN2009">
        <v>81.88</v>
      </c>
      <c r="BO2009">
        <v>81.88</v>
      </c>
      <c r="BQ2009" t="s">
        <v>292</v>
      </c>
      <c r="BR2009" t="s">
        <v>84</v>
      </c>
      <c r="BS2009" s="3">
        <v>45854</v>
      </c>
      <c r="BT2009" s="4">
        <v>0.33263888888888887</v>
      </c>
      <c r="BU2009" t="s">
        <v>1571</v>
      </c>
      <c r="BV2009" t="s">
        <v>98</v>
      </c>
      <c r="BY2009">
        <v>1200</v>
      </c>
      <c r="BZ2009" t="s">
        <v>89</v>
      </c>
      <c r="CA2009" t="s">
        <v>294</v>
      </c>
      <c r="CC2009" t="s">
        <v>93</v>
      </c>
      <c r="CD2009">
        <v>4051</v>
      </c>
      <c r="CE2009" t="s">
        <v>121</v>
      </c>
      <c r="CF2009" s="3">
        <v>45854</v>
      </c>
      <c r="CI2009">
        <v>1</v>
      </c>
      <c r="CJ2009">
        <v>1</v>
      </c>
      <c r="CK2009">
        <v>21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"080066573661"</f>
        <v>080066573661</v>
      </c>
      <c r="F2010" s="3">
        <v>45853</v>
      </c>
      <c r="G2010">
        <v>202604</v>
      </c>
      <c r="H2010" t="s">
        <v>75</v>
      </c>
      <c r="I2010" t="s">
        <v>76</v>
      </c>
      <c r="J2010" t="s">
        <v>77</v>
      </c>
      <c r="K2010" t="s">
        <v>78</v>
      </c>
      <c r="L2010" t="s">
        <v>503</v>
      </c>
      <c r="M2010" t="s">
        <v>504</v>
      </c>
      <c r="N2010" t="s">
        <v>505</v>
      </c>
      <c r="O2010" t="s">
        <v>82</v>
      </c>
      <c r="P2010" t="str">
        <f>"4170048892                    "</f>
        <v xml:space="preserve">4170048892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43.78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137.94</v>
      </c>
      <c r="BM2010">
        <v>20.69</v>
      </c>
      <c r="BN2010">
        <v>158.63</v>
      </c>
      <c r="BO2010">
        <v>158.63</v>
      </c>
      <c r="BQ2010" t="s">
        <v>506</v>
      </c>
      <c r="BR2010" t="s">
        <v>84</v>
      </c>
      <c r="BS2010" s="3">
        <v>45854</v>
      </c>
      <c r="BT2010" s="4">
        <v>0.41041666666666665</v>
      </c>
      <c r="BU2010" t="s">
        <v>1235</v>
      </c>
      <c r="BV2010" t="s">
        <v>98</v>
      </c>
      <c r="BY2010">
        <v>1200</v>
      </c>
      <c r="BZ2010" t="s">
        <v>89</v>
      </c>
      <c r="CA2010" t="s">
        <v>508</v>
      </c>
      <c r="CC2010" t="s">
        <v>504</v>
      </c>
      <c r="CD2010">
        <v>7130</v>
      </c>
      <c r="CE2010" t="s">
        <v>121</v>
      </c>
      <c r="CF2010" s="3">
        <v>45855</v>
      </c>
      <c r="CI2010">
        <v>1</v>
      </c>
      <c r="CJ2010">
        <v>1</v>
      </c>
      <c r="CK2010">
        <v>23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"080066573677"</f>
        <v>080066573677</v>
      </c>
      <c r="F2011" s="3">
        <v>45853</v>
      </c>
      <c r="G2011">
        <v>202604</v>
      </c>
      <c r="H2011" t="s">
        <v>75</v>
      </c>
      <c r="I2011" t="s">
        <v>76</v>
      </c>
      <c r="J2011" t="s">
        <v>77</v>
      </c>
      <c r="K2011" t="s">
        <v>78</v>
      </c>
      <c r="L2011" t="s">
        <v>92</v>
      </c>
      <c r="M2011" t="s">
        <v>93</v>
      </c>
      <c r="N2011" t="s">
        <v>737</v>
      </c>
      <c r="O2011" t="s">
        <v>82</v>
      </c>
      <c r="P2011" t="str">
        <f>"4170048744                    "</f>
        <v xml:space="preserve">4170048744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22.6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0.3</v>
      </c>
      <c r="BK2011">
        <v>1</v>
      </c>
      <c r="BL2011">
        <v>71.2</v>
      </c>
      <c r="BM2011">
        <v>10.68</v>
      </c>
      <c r="BN2011">
        <v>81.88</v>
      </c>
      <c r="BO2011">
        <v>81.88</v>
      </c>
      <c r="BQ2011" t="s">
        <v>738</v>
      </c>
      <c r="BR2011" t="s">
        <v>84</v>
      </c>
      <c r="BS2011" s="3">
        <v>45854</v>
      </c>
      <c r="BT2011" s="4">
        <v>0.55138888888888893</v>
      </c>
      <c r="BU2011" t="s">
        <v>2520</v>
      </c>
      <c r="BV2011" t="s">
        <v>86</v>
      </c>
      <c r="BW2011" t="s">
        <v>219</v>
      </c>
      <c r="BX2011" t="s">
        <v>220</v>
      </c>
      <c r="BY2011">
        <v>1350</v>
      </c>
      <c r="BZ2011" t="s">
        <v>89</v>
      </c>
      <c r="CA2011" t="s">
        <v>166</v>
      </c>
      <c r="CC2011" t="s">
        <v>93</v>
      </c>
      <c r="CD2011">
        <v>4001</v>
      </c>
      <c r="CE2011" t="s">
        <v>158</v>
      </c>
      <c r="CF2011" s="3">
        <v>45855</v>
      </c>
      <c r="CI2011">
        <v>1</v>
      </c>
      <c r="CJ2011">
        <v>1</v>
      </c>
      <c r="CK2011">
        <v>21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"080066573684"</f>
        <v>080066573684</v>
      </c>
      <c r="F2012" s="3">
        <v>45853</v>
      </c>
      <c r="G2012">
        <v>202604</v>
      </c>
      <c r="H2012" t="s">
        <v>75</v>
      </c>
      <c r="I2012" t="s">
        <v>76</v>
      </c>
      <c r="J2012" t="s">
        <v>77</v>
      </c>
      <c r="K2012" t="s">
        <v>78</v>
      </c>
      <c r="L2012" t="s">
        <v>111</v>
      </c>
      <c r="M2012" t="s">
        <v>112</v>
      </c>
      <c r="N2012" t="s">
        <v>113</v>
      </c>
      <c r="O2012" t="s">
        <v>82</v>
      </c>
      <c r="P2012" t="str">
        <f>"4170048841                    "</f>
        <v xml:space="preserve">4170048841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43.78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137.94</v>
      </c>
      <c r="BM2012">
        <v>20.69</v>
      </c>
      <c r="BN2012">
        <v>158.63</v>
      </c>
      <c r="BO2012">
        <v>158.63</v>
      </c>
      <c r="BQ2012" t="s">
        <v>537</v>
      </c>
      <c r="BR2012" t="s">
        <v>84</v>
      </c>
      <c r="BS2012" s="3">
        <v>45854</v>
      </c>
      <c r="BT2012" s="4">
        <v>0.4375</v>
      </c>
      <c r="BU2012" t="s">
        <v>2521</v>
      </c>
      <c r="BV2012" t="s">
        <v>98</v>
      </c>
      <c r="BY2012">
        <v>1200</v>
      </c>
      <c r="BZ2012" t="s">
        <v>89</v>
      </c>
      <c r="CA2012" t="s">
        <v>116</v>
      </c>
      <c r="CC2012" t="s">
        <v>112</v>
      </c>
      <c r="CD2012">
        <v>1871</v>
      </c>
      <c r="CE2012" t="s">
        <v>121</v>
      </c>
      <c r="CF2012" s="3">
        <v>45855</v>
      </c>
      <c r="CI2012">
        <v>1</v>
      </c>
      <c r="CJ2012">
        <v>1</v>
      </c>
      <c r="CK2012">
        <v>23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"080066573700"</f>
        <v>080066573700</v>
      </c>
      <c r="F2013" s="3">
        <v>45853</v>
      </c>
      <c r="G2013">
        <v>202604</v>
      </c>
      <c r="H2013" t="s">
        <v>75</v>
      </c>
      <c r="I2013" t="s">
        <v>76</v>
      </c>
      <c r="J2013" t="s">
        <v>77</v>
      </c>
      <c r="K2013" t="s">
        <v>78</v>
      </c>
      <c r="L2013" t="s">
        <v>135</v>
      </c>
      <c r="M2013" t="s">
        <v>136</v>
      </c>
      <c r="N2013" t="s">
        <v>416</v>
      </c>
      <c r="O2013" t="s">
        <v>82</v>
      </c>
      <c r="P2013" t="str">
        <f>"4170048691                    "</f>
        <v xml:space="preserve">4170048691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22.6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0.3</v>
      </c>
      <c r="BK2013">
        <v>1</v>
      </c>
      <c r="BL2013">
        <v>71.2</v>
      </c>
      <c r="BM2013">
        <v>10.68</v>
      </c>
      <c r="BN2013">
        <v>81.88</v>
      </c>
      <c r="BO2013">
        <v>81.88</v>
      </c>
      <c r="BQ2013" t="s">
        <v>417</v>
      </c>
      <c r="BR2013" t="s">
        <v>84</v>
      </c>
      <c r="BS2013" s="3">
        <v>45854</v>
      </c>
      <c r="BT2013" s="4">
        <v>0.41666666666666669</v>
      </c>
      <c r="BU2013" t="s">
        <v>2522</v>
      </c>
      <c r="BV2013" t="s">
        <v>98</v>
      </c>
      <c r="BY2013">
        <v>1350</v>
      </c>
      <c r="BZ2013" t="s">
        <v>89</v>
      </c>
      <c r="CC2013" t="s">
        <v>136</v>
      </c>
      <c r="CD2013">
        <v>3201</v>
      </c>
      <c r="CE2013" t="s">
        <v>158</v>
      </c>
      <c r="CF2013" s="3">
        <v>45855</v>
      </c>
      <c r="CI2013">
        <v>1</v>
      </c>
      <c r="CJ2013">
        <v>1</v>
      </c>
      <c r="CK2013">
        <v>21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"080066573714"</f>
        <v>080066573714</v>
      </c>
      <c r="F2014" s="3">
        <v>45853</v>
      </c>
      <c r="G2014">
        <v>202604</v>
      </c>
      <c r="H2014" t="s">
        <v>75</v>
      </c>
      <c r="I2014" t="s">
        <v>76</v>
      </c>
      <c r="J2014" t="s">
        <v>77</v>
      </c>
      <c r="K2014" t="s">
        <v>78</v>
      </c>
      <c r="L2014" t="s">
        <v>92</v>
      </c>
      <c r="M2014" t="s">
        <v>93</v>
      </c>
      <c r="N2014" t="s">
        <v>339</v>
      </c>
      <c r="O2014" t="s">
        <v>82</v>
      </c>
      <c r="P2014" t="str">
        <f>"4170048723                    "</f>
        <v xml:space="preserve">4170048723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22.6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71.2</v>
      </c>
      <c r="BM2014">
        <v>10.68</v>
      </c>
      <c r="BN2014">
        <v>81.88</v>
      </c>
      <c r="BO2014">
        <v>81.88</v>
      </c>
      <c r="BQ2014" t="s">
        <v>340</v>
      </c>
      <c r="BR2014" t="s">
        <v>84</v>
      </c>
      <c r="BS2014" s="3">
        <v>45854</v>
      </c>
      <c r="BT2014" s="4">
        <v>0.42152777777777778</v>
      </c>
      <c r="BU2014" t="s">
        <v>2523</v>
      </c>
      <c r="BV2014" t="s">
        <v>98</v>
      </c>
      <c r="BY2014">
        <v>1200</v>
      </c>
      <c r="BZ2014" t="s">
        <v>89</v>
      </c>
      <c r="CA2014" t="s">
        <v>337</v>
      </c>
      <c r="CC2014" t="s">
        <v>93</v>
      </c>
      <c r="CD2014">
        <v>4052</v>
      </c>
      <c r="CE2014" t="s">
        <v>258</v>
      </c>
      <c r="CF2014" s="3">
        <v>45854</v>
      </c>
      <c r="CI2014">
        <v>1</v>
      </c>
      <c r="CJ2014">
        <v>1</v>
      </c>
      <c r="CK2014">
        <v>21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"080066573739"</f>
        <v>080066573739</v>
      </c>
      <c r="F2015" s="3">
        <v>45853</v>
      </c>
      <c r="G2015">
        <v>202604</v>
      </c>
      <c r="H2015" t="s">
        <v>75</v>
      </c>
      <c r="I2015" t="s">
        <v>76</v>
      </c>
      <c r="J2015" t="s">
        <v>77</v>
      </c>
      <c r="K2015" t="s">
        <v>78</v>
      </c>
      <c r="L2015" t="s">
        <v>135</v>
      </c>
      <c r="M2015" t="s">
        <v>136</v>
      </c>
      <c r="N2015" t="s">
        <v>346</v>
      </c>
      <c r="O2015" t="s">
        <v>82</v>
      </c>
      <c r="P2015" t="str">
        <f>"4170048772                    "</f>
        <v xml:space="preserve">4170048772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22.6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71.2</v>
      </c>
      <c r="BM2015">
        <v>10.68</v>
      </c>
      <c r="BN2015">
        <v>81.88</v>
      </c>
      <c r="BO2015">
        <v>81.88</v>
      </c>
      <c r="BQ2015" t="s">
        <v>347</v>
      </c>
      <c r="BR2015" t="s">
        <v>84</v>
      </c>
      <c r="BS2015" s="3">
        <v>45854</v>
      </c>
      <c r="BT2015" s="4">
        <v>0.41666666666666669</v>
      </c>
      <c r="BU2015" t="s">
        <v>2416</v>
      </c>
      <c r="BV2015" t="s">
        <v>98</v>
      </c>
      <c r="BY2015">
        <v>1200</v>
      </c>
      <c r="BZ2015" t="s">
        <v>89</v>
      </c>
      <c r="CA2015" t="s">
        <v>349</v>
      </c>
      <c r="CC2015" t="s">
        <v>136</v>
      </c>
      <c r="CD2015">
        <v>3201</v>
      </c>
      <c r="CE2015" t="s">
        <v>121</v>
      </c>
      <c r="CF2015" s="3">
        <v>45855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"080066573832"</f>
        <v>080066573832</v>
      </c>
      <c r="F2016" s="3">
        <v>45853</v>
      </c>
      <c r="G2016">
        <v>202604</v>
      </c>
      <c r="H2016" t="s">
        <v>75</v>
      </c>
      <c r="I2016" t="s">
        <v>76</v>
      </c>
      <c r="J2016" t="s">
        <v>77</v>
      </c>
      <c r="K2016" t="s">
        <v>78</v>
      </c>
      <c r="L2016" t="s">
        <v>1128</v>
      </c>
      <c r="M2016" t="s">
        <v>1129</v>
      </c>
      <c r="N2016" t="s">
        <v>2083</v>
      </c>
      <c r="O2016" t="s">
        <v>82</v>
      </c>
      <c r="P2016" t="str">
        <f>"4170048847                    "</f>
        <v xml:space="preserve">4170048847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0.3</v>
      </c>
      <c r="BK2016">
        <v>1</v>
      </c>
      <c r="BL2016">
        <v>71.2</v>
      </c>
      <c r="BM2016">
        <v>10.68</v>
      </c>
      <c r="BN2016">
        <v>81.88</v>
      </c>
      <c r="BO2016">
        <v>81.88</v>
      </c>
      <c r="BQ2016" t="s">
        <v>2084</v>
      </c>
      <c r="BR2016" t="s">
        <v>84</v>
      </c>
      <c r="BS2016" s="3">
        <v>45854</v>
      </c>
      <c r="BT2016" s="4">
        <v>0.37013888888888891</v>
      </c>
      <c r="BU2016" t="s">
        <v>2524</v>
      </c>
      <c r="BV2016" t="s">
        <v>98</v>
      </c>
      <c r="BY2016">
        <v>1350</v>
      </c>
      <c r="BZ2016" t="s">
        <v>89</v>
      </c>
      <c r="CA2016" t="s">
        <v>1133</v>
      </c>
      <c r="CC2016" t="s">
        <v>1129</v>
      </c>
      <c r="CD2016">
        <v>7600</v>
      </c>
      <c r="CE2016" t="s">
        <v>158</v>
      </c>
      <c r="CF2016" s="3">
        <v>45855</v>
      </c>
      <c r="CI2016">
        <v>1</v>
      </c>
      <c r="CJ2016">
        <v>1</v>
      </c>
      <c r="CK2016">
        <v>21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"080066573848"</f>
        <v>080066573848</v>
      </c>
      <c r="F2017" s="3">
        <v>45853</v>
      </c>
      <c r="G2017">
        <v>202604</v>
      </c>
      <c r="H2017" t="s">
        <v>75</v>
      </c>
      <c r="I2017" t="s">
        <v>76</v>
      </c>
      <c r="J2017" t="s">
        <v>77</v>
      </c>
      <c r="K2017" t="s">
        <v>78</v>
      </c>
      <c r="L2017" t="s">
        <v>79</v>
      </c>
      <c r="M2017" t="s">
        <v>80</v>
      </c>
      <c r="N2017" t="s">
        <v>286</v>
      </c>
      <c r="O2017" t="s">
        <v>82</v>
      </c>
      <c r="P2017" t="str">
        <f>"4170048890                    "</f>
        <v xml:space="preserve">4170048890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22.6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0.3</v>
      </c>
      <c r="BK2017">
        <v>1</v>
      </c>
      <c r="BL2017">
        <v>71.2</v>
      </c>
      <c r="BM2017">
        <v>10.68</v>
      </c>
      <c r="BN2017">
        <v>81.88</v>
      </c>
      <c r="BO2017">
        <v>81.88</v>
      </c>
      <c r="BQ2017" t="s">
        <v>287</v>
      </c>
      <c r="BR2017" t="s">
        <v>84</v>
      </c>
      <c r="BS2017" s="3">
        <v>45854</v>
      </c>
      <c r="BT2017" s="4">
        <v>0.34305555555555556</v>
      </c>
      <c r="BU2017" t="s">
        <v>2322</v>
      </c>
      <c r="BV2017" t="s">
        <v>98</v>
      </c>
      <c r="BY2017">
        <v>1350</v>
      </c>
      <c r="BZ2017" t="s">
        <v>89</v>
      </c>
      <c r="CA2017" t="s">
        <v>289</v>
      </c>
      <c r="CC2017" t="s">
        <v>80</v>
      </c>
      <c r="CD2017">
        <v>7530</v>
      </c>
      <c r="CE2017" t="s">
        <v>158</v>
      </c>
      <c r="CF2017" s="3">
        <v>45855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"080066573870"</f>
        <v>080066573870</v>
      </c>
      <c r="F2018" s="3">
        <v>45853</v>
      </c>
      <c r="G2018">
        <v>202604</v>
      </c>
      <c r="H2018" t="s">
        <v>75</v>
      </c>
      <c r="I2018" t="s">
        <v>76</v>
      </c>
      <c r="J2018" t="s">
        <v>77</v>
      </c>
      <c r="K2018" t="s">
        <v>78</v>
      </c>
      <c r="L2018" t="s">
        <v>79</v>
      </c>
      <c r="M2018" t="s">
        <v>80</v>
      </c>
      <c r="N2018" t="s">
        <v>931</v>
      </c>
      <c r="O2018" t="s">
        <v>82</v>
      </c>
      <c r="P2018" t="str">
        <f>"4170048807                    "</f>
        <v xml:space="preserve">4170048807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22.6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0.3</v>
      </c>
      <c r="BK2018">
        <v>1</v>
      </c>
      <c r="BL2018">
        <v>71.2</v>
      </c>
      <c r="BM2018">
        <v>10.68</v>
      </c>
      <c r="BN2018">
        <v>81.88</v>
      </c>
      <c r="BO2018">
        <v>81.88</v>
      </c>
      <c r="BQ2018" t="s">
        <v>932</v>
      </c>
      <c r="BR2018" t="s">
        <v>84</v>
      </c>
      <c r="BS2018" s="3">
        <v>45854</v>
      </c>
      <c r="BT2018" s="4">
        <v>0.4201388888888889</v>
      </c>
      <c r="BU2018" t="s">
        <v>2500</v>
      </c>
      <c r="BV2018" t="s">
        <v>98</v>
      </c>
      <c r="BY2018">
        <v>1350</v>
      </c>
      <c r="BZ2018" t="s">
        <v>89</v>
      </c>
      <c r="CA2018" t="s">
        <v>934</v>
      </c>
      <c r="CC2018" t="s">
        <v>80</v>
      </c>
      <c r="CD2018">
        <v>7535</v>
      </c>
      <c r="CE2018" t="s">
        <v>158</v>
      </c>
      <c r="CF2018" s="3">
        <v>45855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"080066573895"</f>
        <v>080066573895</v>
      </c>
      <c r="F2019" s="3">
        <v>45853</v>
      </c>
      <c r="G2019">
        <v>202604</v>
      </c>
      <c r="H2019" t="s">
        <v>75</v>
      </c>
      <c r="I2019" t="s">
        <v>76</v>
      </c>
      <c r="J2019" t="s">
        <v>77</v>
      </c>
      <c r="K2019" t="s">
        <v>78</v>
      </c>
      <c r="L2019" t="s">
        <v>79</v>
      </c>
      <c r="M2019" t="s">
        <v>80</v>
      </c>
      <c r="N2019" t="s">
        <v>2400</v>
      </c>
      <c r="O2019" t="s">
        <v>82</v>
      </c>
      <c r="P2019" t="str">
        <f>"4170048711                    "</f>
        <v xml:space="preserve">4170048711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22.6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0.3</v>
      </c>
      <c r="BK2019">
        <v>1</v>
      </c>
      <c r="BL2019">
        <v>71.2</v>
      </c>
      <c r="BM2019">
        <v>10.68</v>
      </c>
      <c r="BN2019">
        <v>81.88</v>
      </c>
      <c r="BO2019">
        <v>81.88</v>
      </c>
      <c r="BQ2019" t="s">
        <v>2401</v>
      </c>
      <c r="BR2019" t="s">
        <v>84</v>
      </c>
      <c r="BS2019" s="3">
        <v>45854</v>
      </c>
      <c r="BT2019" s="4">
        <v>0.4152777777777778</v>
      </c>
      <c r="BU2019" t="s">
        <v>2402</v>
      </c>
      <c r="BV2019" t="s">
        <v>98</v>
      </c>
      <c r="BY2019">
        <v>1350</v>
      </c>
      <c r="BZ2019" t="s">
        <v>89</v>
      </c>
      <c r="CA2019" t="s">
        <v>162</v>
      </c>
      <c r="CC2019" t="s">
        <v>80</v>
      </c>
      <c r="CD2019">
        <v>8001</v>
      </c>
      <c r="CE2019" t="s">
        <v>158</v>
      </c>
      <c r="CF2019" s="3">
        <v>45855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"080066573917"</f>
        <v>080066573917</v>
      </c>
      <c r="F2020" s="3">
        <v>45853</v>
      </c>
      <c r="G2020">
        <v>202604</v>
      </c>
      <c r="H2020" t="s">
        <v>75</v>
      </c>
      <c r="I2020" t="s">
        <v>76</v>
      </c>
      <c r="J2020" t="s">
        <v>77</v>
      </c>
      <c r="K2020" t="s">
        <v>78</v>
      </c>
      <c r="L2020" t="s">
        <v>329</v>
      </c>
      <c r="M2020" t="s">
        <v>330</v>
      </c>
      <c r="N2020" t="s">
        <v>331</v>
      </c>
      <c r="O2020" t="s">
        <v>82</v>
      </c>
      <c r="P2020" t="str">
        <f>"4170048849                    "</f>
        <v xml:space="preserve">4170048849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43.78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0.3</v>
      </c>
      <c r="BK2020">
        <v>1</v>
      </c>
      <c r="BL2020">
        <v>137.94</v>
      </c>
      <c r="BM2020">
        <v>20.69</v>
      </c>
      <c r="BN2020">
        <v>158.63</v>
      </c>
      <c r="BO2020">
        <v>158.63</v>
      </c>
      <c r="BQ2020" t="s">
        <v>332</v>
      </c>
      <c r="BR2020" t="s">
        <v>84</v>
      </c>
      <c r="BS2020" s="3">
        <v>45854</v>
      </c>
      <c r="BT2020" s="4">
        <v>0.53541666666666665</v>
      </c>
      <c r="BU2020" t="s">
        <v>527</v>
      </c>
      <c r="BV2020" t="s">
        <v>98</v>
      </c>
      <c r="BY2020">
        <v>1350</v>
      </c>
      <c r="BZ2020" t="s">
        <v>89</v>
      </c>
      <c r="CA2020" t="s">
        <v>1153</v>
      </c>
      <c r="CC2020" t="s">
        <v>330</v>
      </c>
      <c r="CD2020">
        <v>6300</v>
      </c>
      <c r="CE2020" t="s">
        <v>158</v>
      </c>
      <c r="CF2020" s="3">
        <v>45854</v>
      </c>
      <c r="CI2020">
        <v>2</v>
      </c>
      <c r="CJ2020">
        <v>1</v>
      </c>
      <c r="CK2020">
        <v>23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"080066573936"</f>
        <v>080066573936</v>
      </c>
      <c r="F2021" s="3">
        <v>45853</v>
      </c>
      <c r="G2021">
        <v>202604</v>
      </c>
      <c r="H2021" t="s">
        <v>75</v>
      </c>
      <c r="I2021" t="s">
        <v>76</v>
      </c>
      <c r="J2021" t="s">
        <v>77</v>
      </c>
      <c r="K2021" t="s">
        <v>78</v>
      </c>
      <c r="L2021" t="s">
        <v>168</v>
      </c>
      <c r="M2021" t="s">
        <v>169</v>
      </c>
      <c r="N2021" t="s">
        <v>2525</v>
      </c>
      <c r="O2021" t="s">
        <v>82</v>
      </c>
      <c r="P2021" t="str">
        <f>"4170048851                    "</f>
        <v xml:space="preserve">4170048851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22.6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0.3</v>
      </c>
      <c r="BK2021">
        <v>1</v>
      </c>
      <c r="BL2021">
        <v>71.2</v>
      </c>
      <c r="BM2021">
        <v>10.68</v>
      </c>
      <c r="BN2021">
        <v>81.88</v>
      </c>
      <c r="BO2021">
        <v>81.88</v>
      </c>
      <c r="BQ2021" t="s">
        <v>2526</v>
      </c>
      <c r="BR2021" t="s">
        <v>84</v>
      </c>
      <c r="BS2021" s="3">
        <v>45854</v>
      </c>
      <c r="BT2021" s="4">
        <v>0.40277777777777779</v>
      </c>
      <c r="BU2021" t="s">
        <v>2527</v>
      </c>
      <c r="BV2021" t="s">
        <v>98</v>
      </c>
      <c r="BY2021">
        <v>1350</v>
      </c>
      <c r="BZ2021" t="s">
        <v>89</v>
      </c>
      <c r="CA2021" t="s">
        <v>2528</v>
      </c>
      <c r="CC2021" t="s">
        <v>169</v>
      </c>
      <c r="CD2021">
        <v>6001</v>
      </c>
      <c r="CE2021" t="s">
        <v>158</v>
      </c>
      <c r="CF2021" s="3">
        <v>45854</v>
      </c>
      <c r="CI2021">
        <v>1</v>
      </c>
      <c r="CJ2021">
        <v>1</v>
      </c>
      <c r="CK2021">
        <v>21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"080066573980"</f>
        <v>080066573980</v>
      </c>
      <c r="F2022" s="3">
        <v>45853</v>
      </c>
      <c r="G2022">
        <v>202604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1579</v>
      </c>
      <c r="O2022" t="s">
        <v>82</v>
      </c>
      <c r="P2022" t="str">
        <f>"4170048822                    "</f>
        <v xml:space="preserve">4170048822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17.649999999999999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0.3</v>
      </c>
      <c r="BK2022">
        <v>1</v>
      </c>
      <c r="BL2022">
        <v>55.61</v>
      </c>
      <c r="BM2022">
        <v>8.34</v>
      </c>
      <c r="BN2022">
        <v>63.95</v>
      </c>
      <c r="BO2022">
        <v>63.95</v>
      </c>
      <c r="BQ2022" t="s">
        <v>1580</v>
      </c>
      <c r="BR2022" t="s">
        <v>84</v>
      </c>
      <c r="BS2022" s="3">
        <v>45854</v>
      </c>
      <c r="BT2022" s="4">
        <v>0.29375000000000001</v>
      </c>
      <c r="BU2022" t="s">
        <v>2529</v>
      </c>
      <c r="BV2022" t="s">
        <v>98</v>
      </c>
      <c r="BY2022">
        <v>1350</v>
      </c>
      <c r="BZ2022" t="s">
        <v>89</v>
      </c>
      <c r="CA2022" t="s">
        <v>522</v>
      </c>
      <c r="CC2022" t="s">
        <v>76</v>
      </c>
      <c r="CD2022">
        <v>1600</v>
      </c>
      <c r="CE2022" t="s">
        <v>1868</v>
      </c>
      <c r="CF2022" s="3">
        <v>45854</v>
      </c>
      <c r="CI2022">
        <v>1</v>
      </c>
      <c r="CJ2022">
        <v>1</v>
      </c>
      <c r="CK2022">
        <v>22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"080066573985"</f>
        <v>080066573985</v>
      </c>
      <c r="F2023" s="3">
        <v>45853</v>
      </c>
      <c r="G2023">
        <v>202604</v>
      </c>
      <c r="H2023" t="s">
        <v>75</v>
      </c>
      <c r="I2023" t="s">
        <v>76</v>
      </c>
      <c r="J2023" t="s">
        <v>77</v>
      </c>
      <c r="K2023" t="s">
        <v>78</v>
      </c>
      <c r="L2023" t="s">
        <v>168</v>
      </c>
      <c r="M2023" t="s">
        <v>169</v>
      </c>
      <c r="N2023" t="s">
        <v>206</v>
      </c>
      <c r="O2023" t="s">
        <v>82</v>
      </c>
      <c r="P2023" t="str">
        <f>"4170048681                    "</f>
        <v xml:space="preserve">4170048681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22.6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2</v>
      </c>
      <c r="BJ2023">
        <v>1.1000000000000001</v>
      </c>
      <c r="BK2023">
        <v>2</v>
      </c>
      <c r="BL2023">
        <v>71.2</v>
      </c>
      <c r="BM2023">
        <v>10.68</v>
      </c>
      <c r="BN2023">
        <v>81.88</v>
      </c>
      <c r="BO2023">
        <v>81.88</v>
      </c>
      <c r="BQ2023" t="s">
        <v>207</v>
      </c>
      <c r="BR2023" t="s">
        <v>84</v>
      </c>
      <c r="BS2023" s="3">
        <v>45854</v>
      </c>
      <c r="BT2023" s="4">
        <v>0.41666666666666669</v>
      </c>
      <c r="BU2023" t="s">
        <v>2414</v>
      </c>
      <c r="BV2023" t="s">
        <v>98</v>
      </c>
      <c r="BY2023">
        <v>5320</v>
      </c>
      <c r="BZ2023" t="s">
        <v>89</v>
      </c>
      <c r="CA2023" t="s">
        <v>196</v>
      </c>
      <c r="CC2023" t="s">
        <v>169</v>
      </c>
      <c r="CD2023">
        <v>6001</v>
      </c>
      <c r="CE2023" t="s">
        <v>117</v>
      </c>
      <c r="CF2023" s="3">
        <v>45854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"080066573998"</f>
        <v>080066573998</v>
      </c>
      <c r="F2024" s="3">
        <v>45853</v>
      </c>
      <c r="G2024">
        <v>202604</v>
      </c>
      <c r="H2024" t="s">
        <v>75</v>
      </c>
      <c r="I2024" t="s">
        <v>76</v>
      </c>
      <c r="J2024" t="s">
        <v>77</v>
      </c>
      <c r="K2024" t="s">
        <v>78</v>
      </c>
      <c r="L2024" t="s">
        <v>79</v>
      </c>
      <c r="M2024" t="s">
        <v>80</v>
      </c>
      <c r="N2024" t="s">
        <v>141</v>
      </c>
      <c r="O2024" t="s">
        <v>82</v>
      </c>
      <c r="P2024" t="str">
        <f>"4170048710                    "</f>
        <v xml:space="preserve">4170048710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22.6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0.3</v>
      </c>
      <c r="BK2024">
        <v>1</v>
      </c>
      <c r="BL2024">
        <v>71.2</v>
      </c>
      <c r="BM2024">
        <v>10.68</v>
      </c>
      <c r="BN2024">
        <v>81.88</v>
      </c>
      <c r="BO2024">
        <v>81.88</v>
      </c>
      <c r="BQ2024" t="s">
        <v>142</v>
      </c>
      <c r="BR2024" t="s">
        <v>84</v>
      </c>
      <c r="BS2024" s="3">
        <v>45854</v>
      </c>
      <c r="BT2024" s="4">
        <v>0.41111111111111109</v>
      </c>
      <c r="BU2024" t="s">
        <v>143</v>
      </c>
      <c r="BV2024" t="s">
        <v>98</v>
      </c>
      <c r="BY2024">
        <v>1350</v>
      </c>
      <c r="BZ2024" t="s">
        <v>89</v>
      </c>
      <c r="CA2024" t="s">
        <v>144</v>
      </c>
      <c r="CC2024" t="s">
        <v>80</v>
      </c>
      <c r="CD2024">
        <v>7441</v>
      </c>
      <c r="CE2024" t="s">
        <v>1868</v>
      </c>
      <c r="CF2024" s="3">
        <v>45855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"080066574020"</f>
        <v>080066574020</v>
      </c>
      <c r="F2025" s="3">
        <v>45853</v>
      </c>
      <c r="G2025">
        <v>202604</v>
      </c>
      <c r="H2025" t="s">
        <v>75</v>
      </c>
      <c r="I2025" t="s">
        <v>76</v>
      </c>
      <c r="J2025" t="s">
        <v>77</v>
      </c>
      <c r="K2025" t="s">
        <v>78</v>
      </c>
      <c r="L2025" t="s">
        <v>75</v>
      </c>
      <c r="M2025" t="s">
        <v>76</v>
      </c>
      <c r="N2025" t="s">
        <v>118</v>
      </c>
      <c r="O2025" t="s">
        <v>82</v>
      </c>
      <c r="P2025" t="str">
        <f>"4170048795                    "</f>
        <v xml:space="preserve">4170048795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17.649999999999999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1.1000000000000001</v>
      </c>
      <c r="BK2025">
        <v>2</v>
      </c>
      <c r="BL2025">
        <v>55.61</v>
      </c>
      <c r="BM2025">
        <v>8.34</v>
      </c>
      <c r="BN2025">
        <v>63.95</v>
      </c>
      <c r="BO2025">
        <v>63.95</v>
      </c>
      <c r="BQ2025" t="s">
        <v>119</v>
      </c>
      <c r="BR2025" t="s">
        <v>84</v>
      </c>
      <c r="BS2025" s="3">
        <v>45854</v>
      </c>
      <c r="BT2025" s="4">
        <v>0.30972222222222223</v>
      </c>
      <c r="BU2025" t="s">
        <v>768</v>
      </c>
      <c r="BV2025" t="s">
        <v>98</v>
      </c>
      <c r="BY2025">
        <v>5320</v>
      </c>
      <c r="BZ2025" t="s">
        <v>89</v>
      </c>
      <c r="CA2025" t="s">
        <v>1537</v>
      </c>
      <c r="CC2025" t="s">
        <v>76</v>
      </c>
      <c r="CD2025">
        <v>1600</v>
      </c>
      <c r="CE2025" t="s">
        <v>117</v>
      </c>
      <c r="CF2025" s="3">
        <v>45854</v>
      </c>
      <c r="CI2025">
        <v>1</v>
      </c>
      <c r="CJ2025">
        <v>1</v>
      </c>
      <c r="CK2025">
        <v>22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"080066574028"</f>
        <v>080066574028</v>
      </c>
      <c r="F2026" s="3">
        <v>45853</v>
      </c>
      <c r="G2026">
        <v>202604</v>
      </c>
      <c r="H2026" t="s">
        <v>75</v>
      </c>
      <c r="I2026" t="s">
        <v>76</v>
      </c>
      <c r="J2026" t="s">
        <v>77</v>
      </c>
      <c r="K2026" t="s">
        <v>78</v>
      </c>
      <c r="L2026" t="s">
        <v>92</v>
      </c>
      <c r="M2026" t="s">
        <v>93</v>
      </c>
      <c r="N2026" t="s">
        <v>479</v>
      </c>
      <c r="O2026" t="s">
        <v>82</v>
      </c>
      <c r="P2026" t="str">
        <f>"4170048891                    "</f>
        <v xml:space="preserve">4170048891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22.6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0.3</v>
      </c>
      <c r="BK2026">
        <v>1</v>
      </c>
      <c r="BL2026">
        <v>71.2</v>
      </c>
      <c r="BM2026">
        <v>10.68</v>
      </c>
      <c r="BN2026">
        <v>81.88</v>
      </c>
      <c r="BO2026">
        <v>81.88</v>
      </c>
      <c r="BQ2026" t="s">
        <v>480</v>
      </c>
      <c r="BR2026" t="s">
        <v>84</v>
      </c>
      <c r="BS2026" s="3">
        <v>45854</v>
      </c>
      <c r="BT2026" s="4">
        <v>0.37013888888888891</v>
      </c>
      <c r="BU2026" t="s">
        <v>2530</v>
      </c>
      <c r="BV2026" t="s">
        <v>98</v>
      </c>
      <c r="BY2026">
        <v>1350</v>
      </c>
      <c r="BZ2026" t="s">
        <v>89</v>
      </c>
      <c r="CA2026" t="s">
        <v>337</v>
      </c>
      <c r="CC2026" t="s">
        <v>93</v>
      </c>
      <c r="CD2026">
        <v>4052</v>
      </c>
      <c r="CE2026" t="s">
        <v>1868</v>
      </c>
      <c r="CF2026" s="3">
        <v>45854</v>
      </c>
      <c r="CI2026">
        <v>1</v>
      </c>
      <c r="CJ2026">
        <v>1</v>
      </c>
      <c r="CK2026">
        <v>21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"080066574036"</f>
        <v>080066574036</v>
      </c>
      <c r="F2027" s="3">
        <v>45853</v>
      </c>
      <c r="G2027">
        <v>202604</v>
      </c>
      <c r="H2027" t="s">
        <v>75</v>
      </c>
      <c r="I2027" t="s">
        <v>76</v>
      </c>
      <c r="J2027" t="s">
        <v>77</v>
      </c>
      <c r="K2027" t="s">
        <v>78</v>
      </c>
      <c r="L2027" t="s">
        <v>79</v>
      </c>
      <c r="M2027" t="s">
        <v>80</v>
      </c>
      <c r="N2027" t="s">
        <v>2170</v>
      </c>
      <c r="O2027" t="s">
        <v>82</v>
      </c>
      <c r="P2027" t="str">
        <f>"4170048846                    "</f>
        <v xml:space="preserve">4170048846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22.6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0.3</v>
      </c>
      <c r="BK2027">
        <v>1</v>
      </c>
      <c r="BL2027">
        <v>71.2</v>
      </c>
      <c r="BM2027">
        <v>10.68</v>
      </c>
      <c r="BN2027">
        <v>81.88</v>
      </c>
      <c r="BO2027">
        <v>81.88</v>
      </c>
      <c r="BQ2027" t="s">
        <v>2171</v>
      </c>
      <c r="BR2027" t="s">
        <v>84</v>
      </c>
      <c r="BS2027" s="3">
        <v>45854</v>
      </c>
      <c r="BT2027" s="4">
        <v>0.40972222222222221</v>
      </c>
      <c r="BU2027" t="s">
        <v>1998</v>
      </c>
      <c r="BV2027" t="s">
        <v>98</v>
      </c>
      <c r="BY2027">
        <v>1350</v>
      </c>
      <c r="BZ2027" t="s">
        <v>89</v>
      </c>
      <c r="CC2027" t="s">
        <v>80</v>
      </c>
      <c r="CD2027">
        <v>7405</v>
      </c>
      <c r="CE2027" t="s">
        <v>1868</v>
      </c>
      <c r="CF2027" s="3">
        <v>45855</v>
      </c>
      <c r="CI2027">
        <v>1</v>
      </c>
      <c r="CJ2027">
        <v>1</v>
      </c>
      <c r="CK2027">
        <v>21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"080066574038"</f>
        <v>080066574038</v>
      </c>
      <c r="F2028" s="3">
        <v>45853</v>
      </c>
      <c r="G2028">
        <v>202604</v>
      </c>
      <c r="H2028" t="s">
        <v>75</v>
      </c>
      <c r="I2028" t="s">
        <v>76</v>
      </c>
      <c r="J2028" t="s">
        <v>77</v>
      </c>
      <c r="K2028" t="s">
        <v>78</v>
      </c>
      <c r="L2028" t="s">
        <v>79</v>
      </c>
      <c r="M2028" t="s">
        <v>80</v>
      </c>
      <c r="N2028" t="s">
        <v>141</v>
      </c>
      <c r="O2028" t="s">
        <v>82</v>
      </c>
      <c r="P2028" t="str">
        <f>"4170048759                    "</f>
        <v xml:space="preserve">4170048759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22.6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1.1000000000000001</v>
      </c>
      <c r="BK2028">
        <v>1.5</v>
      </c>
      <c r="BL2028">
        <v>71.2</v>
      </c>
      <c r="BM2028">
        <v>10.68</v>
      </c>
      <c r="BN2028">
        <v>81.88</v>
      </c>
      <c r="BO2028">
        <v>81.88</v>
      </c>
      <c r="BQ2028" t="s">
        <v>142</v>
      </c>
      <c r="BR2028" t="s">
        <v>84</v>
      </c>
      <c r="BS2028" s="3">
        <v>45854</v>
      </c>
      <c r="BT2028" s="4">
        <v>0.41111111111111109</v>
      </c>
      <c r="BU2028" t="s">
        <v>143</v>
      </c>
      <c r="BV2028" t="s">
        <v>98</v>
      </c>
      <c r="BY2028">
        <v>5320</v>
      </c>
      <c r="BZ2028" t="s">
        <v>89</v>
      </c>
      <c r="CA2028" t="s">
        <v>144</v>
      </c>
      <c r="CC2028" t="s">
        <v>80</v>
      </c>
      <c r="CD2028">
        <v>7441</v>
      </c>
      <c r="CE2028" t="s">
        <v>117</v>
      </c>
      <c r="CF2028" s="3">
        <v>45855</v>
      </c>
      <c r="CI2028">
        <v>1</v>
      </c>
      <c r="CJ2028">
        <v>1</v>
      </c>
      <c r="CK2028">
        <v>21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"080066574053"</f>
        <v>080066574053</v>
      </c>
      <c r="F2029" s="3">
        <v>45853</v>
      </c>
      <c r="G2029">
        <v>202604</v>
      </c>
      <c r="H2029" t="s">
        <v>75</v>
      </c>
      <c r="I2029" t="s">
        <v>76</v>
      </c>
      <c r="J2029" t="s">
        <v>77</v>
      </c>
      <c r="K2029" t="s">
        <v>78</v>
      </c>
      <c r="L2029" t="s">
        <v>197</v>
      </c>
      <c r="M2029" t="s">
        <v>198</v>
      </c>
      <c r="N2029" t="s">
        <v>2531</v>
      </c>
      <c r="O2029" t="s">
        <v>82</v>
      </c>
      <c r="P2029" t="str">
        <f>"4170048688                    "</f>
        <v xml:space="preserve">4170048688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17.649999999999999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1.8</v>
      </c>
      <c r="BK2029">
        <v>2</v>
      </c>
      <c r="BL2029">
        <v>55.61</v>
      </c>
      <c r="BM2029">
        <v>8.34</v>
      </c>
      <c r="BN2029">
        <v>63.95</v>
      </c>
      <c r="BO2029">
        <v>63.95</v>
      </c>
      <c r="BQ2029" t="s">
        <v>2532</v>
      </c>
      <c r="BR2029" t="s">
        <v>84</v>
      </c>
      <c r="BS2029" s="3">
        <v>45854</v>
      </c>
      <c r="BT2029" s="4">
        <v>0.38611111111111113</v>
      </c>
      <c r="BU2029" t="s">
        <v>2533</v>
      </c>
      <c r="BV2029" t="s">
        <v>98</v>
      </c>
      <c r="BY2029">
        <v>9016</v>
      </c>
      <c r="BZ2029" t="s">
        <v>89</v>
      </c>
      <c r="CA2029" t="s">
        <v>1799</v>
      </c>
      <c r="CC2029" t="s">
        <v>198</v>
      </c>
      <c r="CD2029">
        <v>1429</v>
      </c>
      <c r="CE2029" t="s">
        <v>91</v>
      </c>
      <c r="CF2029" s="3">
        <v>45855</v>
      </c>
      <c r="CI2029">
        <v>1</v>
      </c>
      <c r="CJ2029">
        <v>1</v>
      </c>
      <c r="CK2029">
        <v>22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"080066574099"</f>
        <v>080066574099</v>
      </c>
      <c r="F2030" s="3">
        <v>45853</v>
      </c>
      <c r="G2030">
        <v>202604</v>
      </c>
      <c r="H2030" t="s">
        <v>75</v>
      </c>
      <c r="I2030" t="s">
        <v>76</v>
      </c>
      <c r="J2030" t="s">
        <v>77</v>
      </c>
      <c r="K2030" t="s">
        <v>78</v>
      </c>
      <c r="L2030" t="s">
        <v>554</v>
      </c>
      <c r="M2030" t="s">
        <v>555</v>
      </c>
      <c r="N2030" t="s">
        <v>556</v>
      </c>
      <c r="O2030" t="s">
        <v>82</v>
      </c>
      <c r="P2030" t="str">
        <f>"4170048854                    "</f>
        <v xml:space="preserve">4170048854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22.6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71.2</v>
      </c>
      <c r="BM2030">
        <v>10.68</v>
      </c>
      <c r="BN2030">
        <v>81.88</v>
      </c>
      <c r="BO2030">
        <v>81.88</v>
      </c>
      <c r="BQ2030" t="s">
        <v>557</v>
      </c>
      <c r="BR2030" t="s">
        <v>84</v>
      </c>
      <c r="BS2030" s="3">
        <v>45854</v>
      </c>
      <c r="BT2030" s="4">
        <v>0.36249999999999999</v>
      </c>
      <c r="BU2030" t="s">
        <v>558</v>
      </c>
      <c r="BV2030" t="s">
        <v>98</v>
      </c>
      <c r="BY2030">
        <v>1200</v>
      </c>
      <c r="BZ2030" t="s">
        <v>89</v>
      </c>
      <c r="CA2030" t="s">
        <v>559</v>
      </c>
      <c r="CC2030" t="s">
        <v>555</v>
      </c>
      <c r="CD2030" s="5" t="s">
        <v>560</v>
      </c>
      <c r="CE2030" t="s">
        <v>239</v>
      </c>
      <c r="CF2030" s="3">
        <v>45854</v>
      </c>
      <c r="CI2030">
        <v>1</v>
      </c>
      <c r="CJ2030">
        <v>1</v>
      </c>
      <c r="CK2030">
        <v>21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"080066574122"</f>
        <v>080066574122</v>
      </c>
      <c r="F2031" s="3">
        <v>45853</v>
      </c>
      <c r="G2031">
        <v>202604</v>
      </c>
      <c r="H2031" t="s">
        <v>75</v>
      </c>
      <c r="I2031" t="s">
        <v>76</v>
      </c>
      <c r="J2031" t="s">
        <v>77</v>
      </c>
      <c r="K2031" t="s">
        <v>78</v>
      </c>
      <c r="L2031" t="s">
        <v>854</v>
      </c>
      <c r="M2031" t="s">
        <v>855</v>
      </c>
      <c r="N2031" t="s">
        <v>856</v>
      </c>
      <c r="O2031" t="s">
        <v>82</v>
      </c>
      <c r="P2031" t="str">
        <f>"4170048753                    "</f>
        <v xml:space="preserve">4170048753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43.78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16.739999999999998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154.68</v>
      </c>
      <c r="BM2031">
        <v>23.2</v>
      </c>
      <c r="BN2031">
        <v>177.88</v>
      </c>
      <c r="BO2031">
        <v>177.88</v>
      </c>
      <c r="BQ2031" t="s">
        <v>857</v>
      </c>
      <c r="BR2031" t="s">
        <v>84</v>
      </c>
      <c r="BS2031" s="3">
        <v>45854</v>
      </c>
      <c r="BT2031" s="4">
        <v>0.50347222222222221</v>
      </c>
      <c r="BU2031" t="s">
        <v>1880</v>
      </c>
      <c r="BV2031" t="s">
        <v>98</v>
      </c>
      <c r="BY2031">
        <v>1200</v>
      </c>
      <c r="BZ2031" t="s">
        <v>460</v>
      </c>
      <c r="CC2031" t="s">
        <v>855</v>
      </c>
      <c r="CD2031" s="5" t="s">
        <v>860</v>
      </c>
      <c r="CE2031" t="s">
        <v>239</v>
      </c>
      <c r="CF2031" s="3">
        <v>45855</v>
      </c>
      <c r="CI2031">
        <v>1</v>
      </c>
      <c r="CJ2031">
        <v>1</v>
      </c>
      <c r="CK2031">
        <v>23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"080066574155"</f>
        <v>080066574155</v>
      </c>
      <c r="F2032" s="3">
        <v>45853</v>
      </c>
      <c r="G2032">
        <v>202604</v>
      </c>
      <c r="H2032" t="s">
        <v>75</v>
      </c>
      <c r="I2032" t="s">
        <v>76</v>
      </c>
      <c r="J2032" t="s">
        <v>77</v>
      </c>
      <c r="K2032" t="s">
        <v>78</v>
      </c>
      <c r="L2032" t="s">
        <v>146</v>
      </c>
      <c r="M2032" t="s">
        <v>146</v>
      </c>
      <c r="N2032" t="s">
        <v>986</v>
      </c>
      <c r="O2032" t="s">
        <v>82</v>
      </c>
      <c r="P2032" t="str">
        <f>"4170048872                    "</f>
        <v xml:space="preserve">4170048872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43.78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137.94</v>
      </c>
      <c r="BM2032">
        <v>20.69</v>
      </c>
      <c r="BN2032">
        <v>158.63</v>
      </c>
      <c r="BO2032">
        <v>158.63</v>
      </c>
      <c r="BQ2032" t="s">
        <v>987</v>
      </c>
      <c r="BR2032" t="s">
        <v>84</v>
      </c>
      <c r="BS2032" s="3">
        <v>45854</v>
      </c>
      <c r="BT2032" s="4">
        <v>0.53680555555555554</v>
      </c>
      <c r="BU2032" t="s">
        <v>635</v>
      </c>
      <c r="BV2032" t="s">
        <v>98</v>
      </c>
      <c r="BY2032">
        <v>1200</v>
      </c>
      <c r="BZ2032" t="s">
        <v>89</v>
      </c>
      <c r="CA2032" t="s">
        <v>150</v>
      </c>
      <c r="CC2032" t="s">
        <v>146</v>
      </c>
      <c r="CD2032">
        <v>7646</v>
      </c>
      <c r="CE2032" t="s">
        <v>239</v>
      </c>
      <c r="CF2032" s="3">
        <v>45855</v>
      </c>
      <c r="CI2032">
        <v>1</v>
      </c>
      <c r="CJ2032">
        <v>1</v>
      </c>
      <c r="CK2032">
        <v>23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"080066574177"</f>
        <v>080066574177</v>
      </c>
      <c r="F2033" s="3">
        <v>45853</v>
      </c>
      <c r="G2033">
        <v>202604</v>
      </c>
      <c r="H2033" t="s">
        <v>75</v>
      </c>
      <c r="I2033" t="s">
        <v>76</v>
      </c>
      <c r="J2033" t="s">
        <v>77</v>
      </c>
      <c r="K2033" t="s">
        <v>78</v>
      </c>
      <c r="L2033" t="s">
        <v>79</v>
      </c>
      <c r="M2033" t="s">
        <v>80</v>
      </c>
      <c r="N2033" t="s">
        <v>141</v>
      </c>
      <c r="O2033" t="s">
        <v>82</v>
      </c>
      <c r="P2033" t="str">
        <f>"4170048755                    "</f>
        <v xml:space="preserve">4170048755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22.6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71.2</v>
      </c>
      <c r="BM2033">
        <v>10.68</v>
      </c>
      <c r="BN2033">
        <v>81.88</v>
      </c>
      <c r="BO2033">
        <v>81.88</v>
      </c>
      <c r="BQ2033" t="s">
        <v>142</v>
      </c>
      <c r="BR2033" t="s">
        <v>84</v>
      </c>
      <c r="BS2033" s="3">
        <v>45854</v>
      </c>
      <c r="BT2033" s="4">
        <v>0.41111111111111109</v>
      </c>
      <c r="BU2033" t="s">
        <v>143</v>
      </c>
      <c r="BV2033" t="s">
        <v>98</v>
      </c>
      <c r="BY2033">
        <v>1200</v>
      </c>
      <c r="BZ2033" t="s">
        <v>89</v>
      </c>
      <c r="CA2033" t="s">
        <v>144</v>
      </c>
      <c r="CC2033" t="s">
        <v>80</v>
      </c>
      <c r="CD2033">
        <v>7441</v>
      </c>
      <c r="CE2033" t="s">
        <v>239</v>
      </c>
      <c r="CF2033" s="3">
        <v>45855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"080066574209"</f>
        <v>080066574209</v>
      </c>
      <c r="F2034" s="3">
        <v>45853</v>
      </c>
      <c r="G2034">
        <v>202604</v>
      </c>
      <c r="H2034" t="s">
        <v>75</v>
      </c>
      <c r="I2034" t="s">
        <v>76</v>
      </c>
      <c r="J2034" t="s">
        <v>77</v>
      </c>
      <c r="K2034" t="s">
        <v>78</v>
      </c>
      <c r="L2034" t="s">
        <v>168</v>
      </c>
      <c r="M2034" t="s">
        <v>169</v>
      </c>
      <c r="N2034" t="s">
        <v>170</v>
      </c>
      <c r="O2034" t="s">
        <v>82</v>
      </c>
      <c r="P2034" t="str">
        <f>"4170048747                    "</f>
        <v xml:space="preserve">4170048747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22.6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71.2</v>
      </c>
      <c r="BM2034">
        <v>10.68</v>
      </c>
      <c r="BN2034">
        <v>81.88</v>
      </c>
      <c r="BO2034">
        <v>81.88</v>
      </c>
      <c r="BQ2034" t="s">
        <v>171</v>
      </c>
      <c r="BR2034" t="s">
        <v>84</v>
      </c>
      <c r="BS2034" s="3">
        <v>45854</v>
      </c>
      <c r="BT2034" s="4">
        <v>0.39097222222222222</v>
      </c>
      <c r="BU2034" t="s">
        <v>2191</v>
      </c>
      <c r="BV2034" t="s">
        <v>98</v>
      </c>
      <c r="BY2034">
        <v>1200</v>
      </c>
      <c r="BZ2034" t="s">
        <v>89</v>
      </c>
      <c r="CA2034" t="s">
        <v>173</v>
      </c>
      <c r="CC2034" t="s">
        <v>169</v>
      </c>
      <c r="CD2034">
        <v>6001</v>
      </c>
      <c r="CE2034" t="s">
        <v>239</v>
      </c>
      <c r="CF2034" s="3">
        <v>45854</v>
      </c>
      <c r="CI2034">
        <v>1</v>
      </c>
      <c r="CJ2034">
        <v>1</v>
      </c>
      <c r="CK2034">
        <v>21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"080066574238"</f>
        <v>080066574238</v>
      </c>
      <c r="F2035" s="3">
        <v>45853</v>
      </c>
      <c r="G2035">
        <v>202604</v>
      </c>
      <c r="H2035" t="s">
        <v>75</v>
      </c>
      <c r="I2035" t="s">
        <v>76</v>
      </c>
      <c r="J2035" t="s">
        <v>77</v>
      </c>
      <c r="K2035" t="s">
        <v>78</v>
      </c>
      <c r="L2035" t="s">
        <v>151</v>
      </c>
      <c r="M2035" t="s">
        <v>152</v>
      </c>
      <c r="N2035" t="s">
        <v>153</v>
      </c>
      <c r="O2035" t="s">
        <v>82</v>
      </c>
      <c r="P2035" t="str">
        <f>"4170048789                    "</f>
        <v xml:space="preserve">4170048789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22.6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71.2</v>
      </c>
      <c r="BM2035">
        <v>10.68</v>
      </c>
      <c r="BN2035">
        <v>81.88</v>
      </c>
      <c r="BO2035">
        <v>81.88</v>
      </c>
      <c r="BQ2035" t="s">
        <v>154</v>
      </c>
      <c r="BR2035" t="s">
        <v>84</v>
      </c>
      <c r="BS2035" s="3">
        <v>45854</v>
      </c>
      <c r="BT2035" s="4">
        <v>0.34861111111111109</v>
      </c>
      <c r="BU2035" t="s">
        <v>155</v>
      </c>
      <c r="BV2035" t="s">
        <v>98</v>
      </c>
      <c r="BY2035">
        <v>1200</v>
      </c>
      <c r="BZ2035" t="s">
        <v>89</v>
      </c>
      <c r="CA2035" t="s">
        <v>156</v>
      </c>
      <c r="CC2035" t="s">
        <v>152</v>
      </c>
      <c r="CD2035" s="5" t="s">
        <v>157</v>
      </c>
      <c r="CE2035" t="s">
        <v>239</v>
      </c>
      <c r="CF2035" s="3">
        <v>45854</v>
      </c>
      <c r="CI2035">
        <v>1</v>
      </c>
      <c r="CJ2035">
        <v>1</v>
      </c>
      <c r="CK2035">
        <v>21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"080066574260"</f>
        <v>080066574260</v>
      </c>
      <c r="F2036" s="3">
        <v>45853</v>
      </c>
      <c r="G2036">
        <v>202604</v>
      </c>
      <c r="H2036" t="s">
        <v>75</v>
      </c>
      <c r="I2036" t="s">
        <v>76</v>
      </c>
      <c r="J2036" t="s">
        <v>77</v>
      </c>
      <c r="K2036" t="s">
        <v>78</v>
      </c>
      <c r="L2036" t="s">
        <v>168</v>
      </c>
      <c r="M2036" t="s">
        <v>169</v>
      </c>
      <c r="N2036" t="s">
        <v>206</v>
      </c>
      <c r="O2036" t="s">
        <v>82</v>
      </c>
      <c r="P2036" t="str">
        <f>"4170048677                    "</f>
        <v xml:space="preserve">4170048677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22.6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71.2</v>
      </c>
      <c r="BM2036">
        <v>10.68</v>
      </c>
      <c r="BN2036">
        <v>81.88</v>
      </c>
      <c r="BO2036">
        <v>81.88</v>
      </c>
      <c r="BQ2036" t="s">
        <v>207</v>
      </c>
      <c r="BR2036" t="s">
        <v>84</v>
      </c>
      <c r="BS2036" s="3">
        <v>45854</v>
      </c>
      <c r="BT2036" s="4">
        <v>0.41666666666666669</v>
      </c>
      <c r="BU2036" t="s">
        <v>2414</v>
      </c>
      <c r="BV2036" t="s">
        <v>98</v>
      </c>
      <c r="BY2036">
        <v>1200</v>
      </c>
      <c r="BZ2036" t="s">
        <v>89</v>
      </c>
      <c r="CA2036" t="s">
        <v>196</v>
      </c>
      <c r="CC2036" t="s">
        <v>169</v>
      </c>
      <c r="CD2036">
        <v>6001</v>
      </c>
      <c r="CE2036" t="s">
        <v>239</v>
      </c>
      <c r="CF2036" s="3">
        <v>45854</v>
      </c>
      <c r="CI2036">
        <v>1</v>
      </c>
      <c r="CJ2036">
        <v>1</v>
      </c>
      <c r="CK2036">
        <v>21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"080066574289"</f>
        <v>080066574289</v>
      </c>
      <c r="F2037" s="3">
        <v>45853</v>
      </c>
      <c r="G2037">
        <v>202604</v>
      </c>
      <c r="H2037" t="s">
        <v>75</v>
      </c>
      <c r="I2037" t="s">
        <v>76</v>
      </c>
      <c r="J2037" t="s">
        <v>77</v>
      </c>
      <c r="K2037" t="s">
        <v>78</v>
      </c>
      <c r="L2037" t="s">
        <v>197</v>
      </c>
      <c r="M2037" t="s">
        <v>198</v>
      </c>
      <c r="N2037" t="s">
        <v>1209</v>
      </c>
      <c r="O2037" t="s">
        <v>82</v>
      </c>
      <c r="P2037" t="str">
        <f>"4170048704                    "</f>
        <v xml:space="preserve">4170048704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17.649999999999999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55.61</v>
      </c>
      <c r="BM2037">
        <v>8.34</v>
      </c>
      <c r="BN2037">
        <v>63.95</v>
      </c>
      <c r="BO2037">
        <v>63.95</v>
      </c>
      <c r="BQ2037" t="s">
        <v>1210</v>
      </c>
      <c r="BR2037" t="s">
        <v>84</v>
      </c>
      <c r="BS2037" s="3">
        <v>45854</v>
      </c>
      <c r="BT2037" s="4">
        <v>0.33055555555555555</v>
      </c>
      <c r="BU2037" t="s">
        <v>2264</v>
      </c>
      <c r="BV2037" t="s">
        <v>98</v>
      </c>
      <c r="BY2037">
        <v>1200</v>
      </c>
      <c r="BZ2037" t="s">
        <v>89</v>
      </c>
      <c r="CA2037" t="s">
        <v>1799</v>
      </c>
      <c r="CC2037" t="s">
        <v>198</v>
      </c>
      <c r="CD2037">
        <v>1406</v>
      </c>
      <c r="CE2037" t="s">
        <v>239</v>
      </c>
      <c r="CF2037" s="3">
        <v>45855</v>
      </c>
      <c r="CI2037">
        <v>1</v>
      </c>
      <c r="CJ2037">
        <v>1</v>
      </c>
      <c r="CK2037">
        <v>22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"080066574312"</f>
        <v>080066574312</v>
      </c>
      <c r="F2038" s="3">
        <v>45853</v>
      </c>
      <c r="G2038">
        <v>202604</v>
      </c>
      <c r="H2038" t="s">
        <v>75</v>
      </c>
      <c r="I2038" t="s">
        <v>76</v>
      </c>
      <c r="J2038" t="s">
        <v>77</v>
      </c>
      <c r="K2038" t="s">
        <v>78</v>
      </c>
      <c r="L2038" t="s">
        <v>174</v>
      </c>
      <c r="M2038" t="s">
        <v>175</v>
      </c>
      <c r="N2038" t="s">
        <v>2534</v>
      </c>
      <c r="O2038" t="s">
        <v>82</v>
      </c>
      <c r="P2038" t="str">
        <f>"4170048823                    "</f>
        <v xml:space="preserve">4170048823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71.2</v>
      </c>
      <c r="BM2038">
        <v>10.68</v>
      </c>
      <c r="BN2038">
        <v>81.88</v>
      </c>
      <c r="BO2038">
        <v>81.88</v>
      </c>
      <c r="BQ2038" t="s">
        <v>2535</v>
      </c>
      <c r="BR2038" t="s">
        <v>84</v>
      </c>
      <c r="BS2038" s="3">
        <v>45854</v>
      </c>
      <c r="BT2038" s="4">
        <v>0.46875</v>
      </c>
      <c r="BU2038" t="s">
        <v>2536</v>
      </c>
      <c r="BV2038" t="s">
        <v>86</v>
      </c>
      <c r="BW2038" t="s">
        <v>194</v>
      </c>
      <c r="BX2038" t="s">
        <v>1382</v>
      </c>
      <c r="BY2038">
        <v>1200</v>
      </c>
      <c r="BZ2038" t="s">
        <v>89</v>
      </c>
      <c r="CA2038" t="s">
        <v>173</v>
      </c>
      <c r="CC2038" t="s">
        <v>175</v>
      </c>
      <c r="CD2038">
        <v>6220</v>
      </c>
      <c r="CE2038" t="s">
        <v>239</v>
      </c>
      <c r="CF2038" s="3">
        <v>45854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"080066574335"</f>
        <v>080066574335</v>
      </c>
      <c r="F2039" s="3">
        <v>45853</v>
      </c>
      <c r="G2039">
        <v>202604</v>
      </c>
      <c r="H2039" t="s">
        <v>75</v>
      </c>
      <c r="I2039" t="s">
        <v>76</v>
      </c>
      <c r="J2039" t="s">
        <v>77</v>
      </c>
      <c r="K2039" t="s">
        <v>78</v>
      </c>
      <c r="L2039" t="s">
        <v>554</v>
      </c>
      <c r="M2039" t="s">
        <v>555</v>
      </c>
      <c r="N2039" t="s">
        <v>556</v>
      </c>
      <c r="O2039" t="s">
        <v>82</v>
      </c>
      <c r="P2039" t="str">
        <f>"4170048910                    "</f>
        <v xml:space="preserve">4170048910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22.6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71.2</v>
      </c>
      <c r="BM2039">
        <v>10.68</v>
      </c>
      <c r="BN2039">
        <v>81.88</v>
      </c>
      <c r="BO2039">
        <v>81.88</v>
      </c>
      <c r="BQ2039" t="s">
        <v>557</v>
      </c>
      <c r="BR2039" t="s">
        <v>84</v>
      </c>
      <c r="BS2039" s="3">
        <v>45854</v>
      </c>
      <c r="BT2039" s="4">
        <v>0.36180555555555555</v>
      </c>
      <c r="BU2039" t="s">
        <v>558</v>
      </c>
      <c r="BV2039" t="s">
        <v>98</v>
      </c>
      <c r="BY2039">
        <v>1200</v>
      </c>
      <c r="BZ2039" t="s">
        <v>89</v>
      </c>
      <c r="CA2039" t="s">
        <v>559</v>
      </c>
      <c r="CC2039" t="s">
        <v>555</v>
      </c>
      <c r="CD2039" s="5" t="s">
        <v>560</v>
      </c>
      <c r="CE2039" t="s">
        <v>239</v>
      </c>
      <c r="CF2039" s="3">
        <v>45854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"R080066450227"</f>
        <v>R080066450227</v>
      </c>
      <c r="F2040" s="3">
        <v>45853</v>
      </c>
      <c r="G2040">
        <v>202604</v>
      </c>
      <c r="H2040" t="s">
        <v>240</v>
      </c>
      <c r="I2040" t="s">
        <v>241</v>
      </c>
      <c r="J2040" t="s">
        <v>272</v>
      </c>
      <c r="K2040" t="s">
        <v>78</v>
      </c>
      <c r="L2040" t="s">
        <v>75</v>
      </c>
      <c r="M2040" t="s">
        <v>76</v>
      </c>
      <c r="N2040" t="s">
        <v>77</v>
      </c>
      <c r="O2040" t="s">
        <v>95</v>
      </c>
      <c r="P2040" t="str">
        <f>"4170047620                    "</f>
        <v xml:space="preserve">4170047620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0</v>
      </c>
      <c r="BM2040">
        <v>0</v>
      </c>
      <c r="BN2040">
        <v>0</v>
      </c>
      <c r="BO2040">
        <v>0</v>
      </c>
      <c r="BQ2040" t="s">
        <v>84</v>
      </c>
      <c r="BR2040" t="s">
        <v>273</v>
      </c>
      <c r="BS2040" s="3">
        <v>45855</v>
      </c>
      <c r="BT2040" s="4">
        <v>0.38680555555555557</v>
      </c>
      <c r="BU2040" t="s">
        <v>232</v>
      </c>
      <c r="BV2040" t="s">
        <v>86</v>
      </c>
      <c r="BY2040">
        <v>1200</v>
      </c>
      <c r="BZ2040" t="s">
        <v>2537</v>
      </c>
      <c r="CA2040" t="s">
        <v>304</v>
      </c>
      <c r="CC2040" t="s">
        <v>76</v>
      </c>
      <c r="CD2040">
        <v>1601</v>
      </c>
      <c r="CE2040" t="s">
        <v>239</v>
      </c>
      <c r="CF2040" s="3">
        <v>45855</v>
      </c>
      <c r="CI2040">
        <v>0</v>
      </c>
      <c r="CJ2040">
        <v>0</v>
      </c>
      <c r="CK2040">
        <v>-1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"080066574360"</f>
        <v>080066574360</v>
      </c>
      <c r="F2041" s="3">
        <v>45853</v>
      </c>
      <c r="G2041">
        <v>202604</v>
      </c>
      <c r="H2041" t="s">
        <v>75</v>
      </c>
      <c r="I2041" t="s">
        <v>76</v>
      </c>
      <c r="J2041" t="s">
        <v>77</v>
      </c>
      <c r="K2041" t="s">
        <v>78</v>
      </c>
      <c r="L2041" t="s">
        <v>503</v>
      </c>
      <c r="M2041" t="s">
        <v>504</v>
      </c>
      <c r="N2041" t="s">
        <v>505</v>
      </c>
      <c r="O2041" t="s">
        <v>82</v>
      </c>
      <c r="P2041" t="str">
        <f>"4170048869                    "</f>
        <v xml:space="preserve">4170048869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43.78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137.94</v>
      </c>
      <c r="BM2041">
        <v>20.69</v>
      </c>
      <c r="BN2041">
        <v>158.63</v>
      </c>
      <c r="BO2041">
        <v>158.63</v>
      </c>
      <c r="BQ2041" t="s">
        <v>506</v>
      </c>
      <c r="BR2041" t="s">
        <v>84</v>
      </c>
      <c r="BS2041" s="3">
        <v>45854</v>
      </c>
      <c r="BT2041" s="4">
        <v>0.41041666666666665</v>
      </c>
      <c r="BU2041" t="s">
        <v>1235</v>
      </c>
      <c r="BV2041" t="s">
        <v>98</v>
      </c>
      <c r="BY2041">
        <v>1200</v>
      </c>
      <c r="BZ2041" t="s">
        <v>89</v>
      </c>
      <c r="CA2041" t="s">
        <v>508</v>
      </c>
      <c r="CC2041" t="s">
        <v>504</v>
      </c>
      <c r="CD2041">
        <v>7130</v>
      </c>
      <c r="CE2041" t="s">
        <v>239</v>
      </c>
      <c r="CF2041" s="3">
        <v>45855</v>
      </c>
      <c r="CI2041">
        <v>1</v>
      </c>
      <c r="CJ2041">
        <v>1</v>
      </c>
      <c r="CK2041">
        <v>23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"080066574387"</f>
        <v>080066574387</v>
      </c>
      <c r="F2042" s="3">
        <v>45853</v>
      </c>
      <c r="G2042">
        <v>202604</v>
      </c>
      <c r="H2042" t="s">
        <v>75</v>
      </c>
      <c r="I2042" t="s">
        <v>76</v>
      </c>
      <c r="J2042" t="s">
        <v>77</v>
      </c>
      <c r="K2042" t="s">
        <v>78</v>
      </c>
      <c r="L2042" t="s">
        <v>79</v>
      </c>
      <c r="M2042" t="s">
        <v>80</v>
      </c>
      <c r="N2042" t="s">
        <v>576</v>
      </c>
      <c r="O2042" t="s">
        <v>82</v>
      </c>
      <c r="P2042" t="str">
        <f>"4170048774                    "</f>
        <v xml:space="preserve">4170048774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22.6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71.2</v>
      </c>
      <c r="BM2042">
        <v>10.68</v>
      </c>
      <c r="BN2042">
        <v>81.88</v>
      </c>
      <c r="BO2042">
        <v>81.88</v>
      </c>
      <c r="BQ2042" t="s">
        <v>577</v>
      </c>
      <c r="BR2042" t="s">
        <v>84</v>
      </c>
      <c r="BS2042" s="3">
        <v>45854</v>
      </c>
      <c r="BT2042" s="4">
        <v>0.43055555555555558</v>
      </c>
      <c r="BU2042" t="s">
        <v>1092</v>
      </c>
      <c r="BV2042" t="s">
        <v>98</v>
      </c>
      <c r="BY2042">
        <v>1200</v>
      </c>
      <c r="BZ2042" t="s">
        <v>89</v>
      </c>
      <c r="CA2042" t="s">
        <v>579</v>
      </c>
      <c r="CC2042" t="s">
        <v>80</v>
      </c>
      <c r="CD2042">
        <v>7480</v>
      </c>
      <c r="CE2042" t="s">
        <v>214</v>
      </c>
      <c r="CF2042" s="3">
        <v>45855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"080066574804"</f>
        <v>080066574804</v>
      </c>
      <c r="F2043" s="3">
        <v>45853</v>
      </c>
      <c r="G2043">
        <v>202604</v>
      </c>
      <c r="H2043" t="s">
        <v>75</v>
      </c>
      <c r="I2043" t="s">
        <v>76</v>
      </c>
      <c r="J2043" t="s">
        <v>77</v>
      </c>
      <c r="K2043" t="s">
        <v>78</v>
      </c>
      <c r="L2043" t="s">
        <v>168</v>
      </c>
      <c r="M2043" t="s">
        <v>169</v>
      </c>
      <c r="N2043" t="s">
        <v>1252</v>
      </c>
      <c r="O2043" t="s">
        <v>82</v>
      </c>
      <c r="P2043" t="str">
        <f>"009943879276                  "</f>
        <v xml:space="preserve">009943879276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101.63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4</v>
      </c>
      <c r="BJ2043">
        <v>8.9</v>
      </c>
      <c r="BK2043">
        <v>9</v>
      </c>
      <c r="BL2043">
        <v>320.19</v>
      </c>
      <c r="BM2043">
        <v>48.03</v>
      </c>
      <c r="BN2043">
        <v>368.22</v>
      </c>
      <c r="BO2043">
        <v>368.22</v>
      </c>
      <c r="BQ2043" t="s">
        <v>1545</v>
      </c>
      <c r="BR2043" t="s">
        <v>84</v>
      </c>
      <c r="BS2043" s="3">
        <v>45854</v>
      </c>
      <c r="BT2043" s="4">
        <v>0.34722222222222221</v>
      </c>
      <c r="BU2043" t="s">
        <v>2538</v>
      </c>
      <c r="BV2043" t="s">
        <v>98</v>
      </c>
      <c r="BY2043">
        <v>44640</v>
      </c>
      <c r="BZ2043" t="s">
        <v>89</v>
      </c>
      <c r="CA2043" t="s">
        <v>423</v>
      </c>
      <c r="CC2043" t="s">
        <v>169</v>
      </c>
      <c r="CD2043">
        <v>6045</v>
      </c>
      <c r="CE2043" t="s">
        <v>117</v>
      </c>
      <c r="CF2043" s="3">
        <v>45867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"080066575012"</f>
        <v>080066575012</v>
      </c>
      <c r="F2044" s="3">
        <v>45853</v>
      </c>
      <c r="G2044">
        <v>202604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1919</v>
      </c>
      <c r="O2044" t="s">
        <v>82</v>
      </c>
      <c r="P2044" t="str">
        <f>"4170048840                    "</f>
        <v xml:space="preserve">4170048840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45.18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4</v>
      </c>
      <c r="BJ2044">
        <v>2</v>
      </c>
      <c r="BK2044">
        <v>4</v>
      </c>
      <c r="BL2044">
        <v>142.34</v>
      </c>
      <c r="BM2044">
        <v>21.35</v>
      </c>
      <c r="BN2044">
        <v>163.69</v>
      </c>
      <c r="BO2044">
        <v>163.69</v>
      </c>
      <c r="BQ2044" t="s">
        <v>1920</v>
      </c>
      <c r="BR2044" t="s">
        <v>84</v>
      </c>
      <c r="BS2044" s="3">
        <v>45854</v>
      </c>
      <c r="BT2044" s="4">
        <v>0.4375</v>
      </c>
      <c r="BU2044" t="s">
        <v>2539</v>
      </c>
      <c r="BV2044" t="s">
        <v>98</v>
      </c>
      <c r="BY2044">
        <v>10108</v>
      </c>
      <c r="BZ2044" t="s">
        <v>89</v>
      </c>
      <c r="CA2044" t="s">
        <v>579</v>
      </c>
      <c r="CC2044" t="s">
        <v>80</v>
      </c>
      <c r="CD2044">
        <v>7460</v>
      </c>
      <c r="CE2044" t="s">
        <v>91</v>
      </c>
      <c r="CF2044" s="3">
        <v>45855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"080066575080"</f>
        <v>080066575080</v>
      </c>
      <c r="F2045" s="3">
        <v>45853</v>
      </c>
      <c r="G2045">
        <v>202604</v>
      </c>
      <c r="H2045" t="s">
        <v>75</v>
      </c>
      <c r="I2045" t="s">
        <v>76</v>
      </c>
      <c r="J2045" t="s">
        <v>77</v>
      </c>
      <c r="K2045" t="s">
        <v>78</v>
      </c>
      <c r="L2045" t="s">
        <v>854</v>
      </c>
      <c r="M2045" t="s">
        <v>855</v>
      </c>
      <c r="N2045" t="s">
        <v>2540</v>
      </c>
      <c r="O2045" t="s">
        <v>82</v>
      </c>
      <c r="P2045" t="str">
        <f>"4170048878                    "</f>
        <v xml:space="preserve">4170048878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43.78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16.739999999999998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</v>
      </c>
      <c r="BJ2045">
        <v>1.9</v>
      </c>
      <c r="BK2045">
        <v>2</v>
      </c>
      <c r="BL2045">
        <v>154.68</v>
      </c>
      <c r="BM2045">
        <v>23.2</v>
      </c>
      <c r="BN2045">
        <v>177.88</v>
      </c>
      <c r="BO2045">
        <v>177.88</v>
      </c>
      <c r="BQ2045" t="s">
        <v>2541</v>
      </c>
      <c r="BR2045" t="s">
        <v>84</v>
      </c>
      <c r="BS2045" s="3">
        <v>45854</v>
      </c>
      <c r="BT2045" s="4">
        <v>0.6645833333333333</v>
      </c>
      <c r="BU2045" t="s">
        <v>2542</v>
      </c>
      <c r="BV2045" t="s">
        <v>98</v>
      </c>
      <c r="BY2045">
        <v>9600</v>
      </c>
      <c r="BZ2045" t="s">
        <v>460</v>
      </c>
      <c r="CA2045" t="s">
        <v>513</v>
      </c>
      <c r="CC2045" t="s">
        <v>855</v>
      </c>
      <c r="CD2045" s="5" t="s">
        <v>1989</v>
      </c>
      <c r="CE2045" t="s">
        <v>145</v>
      </c>
      <c r="CF2045" s="3">
        <v>45854</v>
      </c>
      <c r="CI2045">
        <v>1</v>
      </c>
      <c r="CJ2045">
        <v>1</v>
      </c>
      <c r="CK2045">
        <v>23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"080066575143"</f>
        <v>080066575143</v>
      </c>
      <c r="F2046" s="3">
        <v>45853</v>
      </c>
      <c r="G2046">
        <v>202604</v>
      </c>
      <c r="H2046" t="s">
        <v>75</v>
      </c>
      <c r="I2046" t="s">
        <v>76</v>
      </c>
      <c r="J2046" t="s">
        <v>77</v>
      </c>
      <c r="K2046" t="s">
        <v>78</v>
      </c>
      <c r="L2046" t="s">
        <v>79</v>
      </c>
      <c r="M2046" t="s">
        <v>80</v>
      </c>
      <c r="N2046" t="s">
        <v>141</v>
      </c>
      <c r="O2046" t="s">
        <v>95</v>
      </c>
      <c r="P2046" t="str">
        <f>"4170048917                    "</f>
        <v xml:space="preserve">4170048917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49.11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7</v>
      </c>
      <c r="BJ2046">
        <v>17.7</v>
      </c>
      <c r="BK2046">
        <v>18</v>
      </c>
      <c r="BL2046">
        <v>160.6</v>
      </c>
      <c r="BM2046">
        <v>24.09</v>
      </c>
      <c r="BN2046">
        <v>184.69</v>
      </c>
      <c r="BO2046">
        <v>184.69</v>
      </c>
      <c r="BQ2046" t="s">
        <v>142</v>
      </c>
      <c r="BR2046" t="s">
        <v>84</v>
      </c>
      <c r="BS2046" s="3">
        <v>45855</v>
      </c>
      <c r="BT2046" s="4">
        <v>0.72013888888888888</v>
      </c>
      <c r="BU2046" t="s">
        <v>2543</v>
      </c>
      <c r="BV2046" t="s">
        <v>98</v>
      </c>
      <c r="BY2046">
        <v>88320</v>
      </c>
      <c r="BZ2046" t="s">
        <v>99</v>
      </c>
      <c r="CA2046" t="s">
        <v>2544</v>
      </c>
      <c r="CC2046" t="s">
        <v>80</v>
      </c>
      <c r="CD2046">
        <v>7441</v>
      </c>
      <c r="CE2046" t="s">
        <v>117</v>
      </c>
      <c r="CF2046" s="3">
        <v>45856</v>
      </c>
      <c r="CI2046">
        <v>3</v>
      </c>
      <c r="CJ2046">
        <v>2</v>
      </c>
      <c r="CK2046">
        <v>41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"080066575221"</f>
        <v>080066575221</v>
      </c>
      <c r="F2047" s="3">
        <v>45853</v>
      </c>
      <c r="G2047">
        <v>202604</v>
      </c>
      <c r="H2047" t="s">
        <v>75</v>
      </c>
      <c r="I2047" t="s">
        <v>76</v>
      </c>
      <c r="J2047" t="s">
        <v>77</v>
      </c>
      <c r="K2047" t="s">
        <v>78</v>
      </c>
      <c r="L2047" t="s">
        <v>102</v>
      </c>
      <c r="M2047" t="s">
        <v>103</v>
      </c>
      <c r="N2047" t="s">
        <v>2545</v>
      </c>
      <c r="O2047" t="s">
        <v>311</v>
      </c>
      <c r="P2047" t="str">
        <f>"4170048696                    "</f>
        <v xml:space="preserve">4170048696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146.22999999999999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8</v>
      </c>
      <c r="BJ2047">
        <v>3.4</v>
      </c>
      <c r="BK2047">
        <v>8</v>
      </c>
      <c r="BL2047">
        <v>460.7</v>
      </c>
      <c r="BM2047">
        <v>69.11</v>
      </c>
      <c r="BN2047">
        <v>529.80999999999995</v>
      </c>
      <c r="BO2047">
        <v>529.80999999999995</v>
      </c>
      <c r="BQ2047" t="s">
        <v>2546</v>
      </c>
      <c r="BR2047" t="s">
        <v>84</v>
      </c>
      <c r="BS2047" s="3">
        <v>45854</v>
      </c>
      <c r="BT2047" s="4">
        <v>0.35486111111111113</v>
      </c>
      <c r="BU2047" t="s">
        <v>2547</v>
      </c>
      <c r="BV2047" t="s">
        <v>98</v>
      </c>
      <c r="BY2047">
        <v>16965</v>
      </c>
      <c r="BZ2047" t="s">
        <v>99</v>
      </c>
      <c r="CA2047" t="s">
        <v>2548</v>
      </c>
      <c r="CC2047" t="s">
        <v>103</v>
      </c>
      <c r="CD2047">
        <v>1739</v>
      </c>
      <c r="CE2047" t="s">
        <v>117</v>
      </c>
      <c r="CF2047" s="3">
        <v>45855</v>
      </c>
      <c r="CI2047">
        <v>1</v>
      </c>
      <c r="CJ2047">
        <v>1</v>
      </c>
      <c r="CK2047">
        <v>34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"080066575261"</f>
        <v>080066575261</v>
      </c>
      <c r="F2048" s="3">
        <v>45853</v>
      </c>
      <c r="G2048">
        <v>202604</v>
      </c>
      <c r="H2048" t="s">
        <v>75</v>
      </c>
      <c r="I2048" t="s">
        <v>76</v>
      </c>
      <c r="J2048" t="s">
        <v>77</v>
      </c>
      <c r="K2048" t="s">
        <v>78</v>
      </c>
      <c r="L2048" t="s">
        <v>452</v>
      </c>
      <c r="M2048" t="s">
        <v>453</v>
      </c>
      <c r="N2048" t="s">
        <v>1321</v>
      </c>
      <c r="O2048" t="s">
        <v>82</v>
      </c>
      <c r="P2048" t="str">
        <f>"4170048785                    "</f>
        <v xml:space="preserve">4170048785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17.649999999999999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3</v>
      </c>
      <c r="BJ2048">
        <v>3.4</v>
      </c>
      <c r="BK2048">
        <v>4</v>
      </c>
      <c r="BL2048">
        <v>55.61</v>
      </c>
      <c r="BM2048">
        <v>8.34</v>
      </c>
      <c r="BN2048">
        <v>63.95</v>
      </c>
      <c r="BO2048">
        <v>63.95</v>
      </c>
      <c r="BQ2048" t="s">
        <v>1322</v>
      </c>
      <c r="BR2048" t="s">
        <v>84</v>
      </c>
      <c r="BS2048" s="3">
        <v>45854</v>
      </c>
      <c r="BT2048" s="4">
        <v>0.33055555555555555</v>
      </c>
      <c r="BU2048" t="s">
        <v>2549</v>
      </c>
      <c r="BV2048" t="s">
        <v>98</v>
      </c>
      <c r="BY2048">
        <v>16965</v>
      </c>
      <c r="BZ2048" t="s">
        <v>89</v>
      </c>
      <c r="CA2048" t="s">
        <v>1541</v>
      </c>
      <c r="CC2048" t="s">
        <v>453</v>
      </c>
      <c r="CD2048">
        <v>1559</v>
      </c>
      <c r="CE2048" t="s">
        <v>117</v>
      </c>
      <c r="CF2048" s="3">
        <v>45855</v>
      </c>
      <c r="CI2048">
        <v>1</v>
      </c>
      <c r="CJ2048">
        <v>1</v>
      </c>
      <c r="CK2048">
        <v>22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"080066575285"</f>
        <v>080066575285</v>
      </c>
      <c r="F2049" s="3">
        <v>45853</v>
      </c>
      <c r="G2049">
        <v>202604</v>
      </c>
      <c r="H2049" t="s">
        <v>75</v>
      </c>
      <c r="I2049" t="s">
        <v>76</v>
      </c>
      <c r="J2049" t="s">
        <v>77</v>
      </c>
      <c r="K2049" t="s">
        <v>78</v>
      </c>
      <c r="L2049" t="s">
        <v>75</v>
      </c>
      <c r="M2049" t="s">
        <v>76</v>
      </c>
      <c r="N2049" t="s">
        <v>614</v>
      </c>
      <c r="O2049" t="s">
        <v>82</v>
      </c>
      <c r="P2049" t="str">
        <f>"4170048693                    "</f>
        <v xml:space="preserve">4170048693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17.649999999999999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4</v>
      </c>
      <c r="BJ2049">
        <v>4.3</v>
      </c>
      <c r="BK2049">
        <v>5</v>
      </c>
      <c r="BL2049">
        <v>55.61</v>
      </c>
      <c r="BM2049">
        <v>8.34</v>
      </c>
      <c r="BN2049">
        <v>63.95</v>
      </c>
      <c r="BO2049">
        <v>63.95</v>
      </c>
      <c r="BQ2049" t="s">
        <v>615</v>
      </c>
      <c r="BR2049" t="s">
        <v>84</v>
      </c>
      <c r="BS2049" s="3">
        <v>45854</v>
      </c>
      <c r="BT2049" s="4">
        <v>0.50902777777777775</v>
      </c>
      <c r="BU2049" t="s">
        <v>616</v>
      </c>
      <c r="BV2049" t="s">
        <v>86</v>
      </c>
      <c r="BW2049" t="s">
        <v>395</v>
      </c>
      <c r="BX2049" t="s">
        <v>396</v>
      </c>
      <c r="BY2049">
        <v>21560</v>
      </c>
      <c r="BZ2049" t="s">
        <v>89</v>
      </c>
      <c r="CA2049" t="s">
        <v>617</v>
      </c>
      <c r="CC2049" t="s">
        <v>76</v>
      </c>
      <c r="CD2049">
        <v>1609</v>
      </c>
      <c r="CE2049" t="s">
        <v>91</v>
      </c>
      <c r="CF2049" s="3">
        <v>45854</v>
      </c>
      <c r="CI2049">
        <v>1</v>
      </c>
      <c r="CJ2049">
        <v>1</v>
      </c>
      <c r="CK2049">
        <v>22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"R080066477909"</f>
        <v>R080066477909</v>
      </c>
      <c r="F2050" s="3">
        <v>45853</v>
      </c>
      <c r="G2050">
        <v>202604</v>
      </c>
      <c r="H2050" t="s">
        <v>75</v>
      </c>
      <c r="I2050" t="s">
        <v>76</v>
      </c>
      <c r="J2050" t="s">
        <v>77</v>
      </c>
      <c r="K2050" t="s">
        <v>78</v>
      </c>
      <c r="L2050" t="s">
        <v>2035</v>
      </c>
      <c r="M2050" t="s">
        <v>2036</v>
      </c>
      <c r="N2050" t="s">
        <v>848</v>
      </c>
      <c r="O2050" t="s">
        <v>95</v>
      </c>
      <c r="P2050" t="str">
        <f>"4170047933                    "</f>
        <v xml:space="preserve">4170047933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43.7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143.55000000000001</v>
      </c>
      <c r="BM2050">
        <v>21.53</v>
      </c>
      <c r="BN2050">
        <v>165.08</v>
      </c>
      <c r="BO2050">
        <v>165.08</v>
      </c>
      <c r="BQ2050" t="s">
        <v>2550</v>
      </c>
      <c r="BR2050" t="s">
        <v>84</v>
      </c>
      <c r="BS2050" s="3">
        <v>45855</v>
      </c>
      <c r="BT2050" s="4">
        <v>0.53749999999999998</v>
      </c>
      <c r="BU2050" t="s">
        <v>2551</v>
      </c>
      <c r="BV2050" t="s">
        <v>98</v>
      </c>
      <c r="BY2050">
        <v>1200</v>
      </c>
      <c r="BZ2050" t="s">
        <v>99</v>
      </c>
      <c r="CA2050" t="s">
        <v>1169</v>
      </c>
      <c r="CC2050" t="s">
        <v>2036</v>
      </c>
      <c r="CD2050">
        <v>3720</v>
      </c>
      <c r="CE2050" t="s">
        <v>239</v>
      </c>
      <c r="CF2050" s="3">
        <v>45856</v>
      </c>
      <c r="CI2050">
        <v>1</v>
      </c>
      <c r="CJ2050">
        <v>2</v>
      </c>
      <c r="CK2050">
        <v>41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"080066576391"</f>
        <v>080066576391</v>
      </c>
      <c r="F2051" s="3">
        <v>45853</v>
      </c>
      <c r="G2051">
        <v>202604</v>
      </c>
      <c r="H2051" t="s">
        <v>75</v>
      </c>
      <c r="I2051" t="s">
        <v>76</v>
      </c>
      <c r="J2051" t="s">
        <v>77</v>
      </c>
      <c r="K2051" t="s">
        <v>78</v>
      </c>
      <c r="L2051" t="s">
        <v>295</v>
      </c>
      <c r="M2051" t="s">
        <v>296</v>
      </c>
      <c r="N2051" t="s">
        <v>1090</v>
      </c>
      <c r="O2051" t="s">
        <v>82</v>
      </c>
      <c r="P2051" t="str">
        <f>"4170048813                    "</f>
        <v xml:space="preserve">4170048813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17.649999999999999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0.3</v>
      </c>
      <c r="BK2051">
        <v>1</v>
      </c>
      <c r="BL2051">
        <v>55.61</v>
      </c>
      <c r="BM2051">
        <v>8.34</v>
      </c>
      <c r="BN2051">
        <v>63.95</v>
      </c>
      <c r="BO2051">
        <v>63.95</v>
      </c>
      <c r="BQ2051" t="s">
        <v>1091</v>
      </c>
      <c r="BR2051" t="s">
        <v>84</v>
      </c>
      <c r="BS2051" s="3">
        <v>45854</v>
      </c>
      <c r="BT2051" s="4">
        <v>0.37152777777777779</v>
      </c>
      <c r="BU2051" t="s">
        <v>1612</v>
      </c>
      <c r="BV2051" t="s">
        <v>98</v>
      </c>
      <c r="BY2051">
        <v>1350</v>
      </c>
      <c r="BZ2051" t="s">
        <v>89</v>
      </c>
      <c r="CA2051" t="s">
        <v>1613</v>
      </c>
      <c r="CC2051" t="s">
        <v>296</v>
      </c>
      <c r="CD2051">
        <v>1459</v>
      </c>
      <c r="CE2051" t="s">
        <v>2552</v>
      </c>
      <c r="CF2051" s="3">
        <v>45855</v>
      </c>
      <c r="CI2051">
        <v>1</v>
      </c>
      <c r="CJ2051">
        <v>1</v>
      </c>
      <c r="CK2051">
        <v>22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"080066576379"</f>
        <v>080066576379</v>
      </c>
      <c r="F2052" s="3">
        <v>45853</v>
      </c>
      <c r="G2052">
        <v>202604</v>
      </c>
      <c r="H2052" t="s">
        <v>75</v>
      </c>
      <c r="I2052" t="s">
        <v>76</v>
      </c>
      <c r="J2052" t="s">
        <v>77</v>
      </c>
      <c r="K2052" t="s">
        <v>78</v>
      </c>
      <c r="L2052" t="s">
        <v>221</v>
      </c>
      <c r="M2052" t="s">
        <v>222</v>
      </c>
      <c r="N2052" t="s">
        <v>223</v>
      </c>
      <c r="O2052" t="s">
        <v>82</v>
      </c>
      <c r="P2052" t="str">
        <f>"4170048804                    "</f>
        <v xml:space="preserve">4170048804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83.33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4</v>
      </c>
      <c r="BJ2052">
        <v>3.7</v>
      </c>
      <c r="BK2052">
        <v>4</v>
      </c>
      <c r="BL2052">
        <v>262.52999999999997</v>
      </c>
      <c r="BM2052">
        <v>39.380000000000003</v>
      </c>
      <c r="BN2052">
        <v>301.91000000000003</v>
      </c>
      <c r="BO2052">
        <v>301.91000000000003</v>
      </c>
      <c r="BQ2052" t="s">
        <v>224</v>
      </c>
      <c r="BR2052" t="s">
        <v>84</v>
      </c>
      <c r="BS2052" s="3">
        <v>45854</v>
      </c>
      <c r="BT2052" s="4">
        <v>0.3263888888888889</v>
      </c>
      <c r="BU2052" t="s">
        <v>1494</v>
      </c>
      <c r="BV2052" t="s">
        <v>98</v>
      </c>
      <c r="BY2052">
        <v>18468</v>
      </c>
      <c r="BZ2052" t="s">
        <v>89</v>
      </c>
      <c r="CC2052" t="s">
        <v>222</v>
      </c>
      <c r="CD2052">
        <v>2740</v>
      </c>
      <c r="CE2052" t="s">
        <v>91</v>
      </c>
      <c r="CF2052" s="3">
        <v>45855</v>
      </c>
      <c r="CI2052">
        <v>1</v>
      </c>
      <c r="CJ2052">
        <v>1</v>
      </c>
      <c r="CK2052">
        <v>23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"080066576415"</f>
        <v>080066576415</v>
      </c>
      <c r="F2053" s="3">
        <v>45853</v>
      </c>
      <c r="G2053">
        <v>202604</v>
      </c>
      <c r="H2053" t="s">
        <v>75</v>
      </c>
      <c r="I2053" t="s">
        <v>76</v>
      </c>
      <c r="J2053" t="s">
        <v>77</v>
      </c>
      <c r="K2053" t="s">
        <v>78</v>
      </c>
      <c r="L2053" t="s">
        <v>79</v>
      </c>
      <c r="M2053" t="s">
        <v>80</v>
      </c>
      <c r="N2053" t="s">
        <v>1476</v>
      </c>
      <c r="O2053" t="s">
        <v>82</v>
      </c>
      <c r="P2053" t="str">
        <f>"4170048758                    "</f>
        <v xml:space="preserve">4170048758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22.6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0.3</v>
      </c>
      <c r="BK2053">
        <v>1</v>
      </c>
      <c r="BL2053">
        <v>71.2</v>
      </c>
      <c r="BM2053">
        <v>10.68</v>
      </c>
      <c r="BN2053">
        <v>81.88</v>
      </c>
      <c r="BO2053">
        <v>81.88</v>
      </c>
      <c r="BQ2053" t="s">
        <v>1477</v>
      </c>
      <c r="BR2053" t="s">
        <v>84</v>
      </c>
      <c r="BS2053" s="3">
        <v>45854</v>
      </c>
      <c r="BT2053" s="4">
        <v>0.35069444444444442</v>
      </c>
      <c r="BU2053" t="s">
        <v>2553</v>
      </c>
      <c r="BV2053" t="s">
        <v>98</v>
      </c>
      <c r="BY2053">
        <v>1350</v>
      </c>
      <c r="BZ2053" t="s">
        <v>89</v>
      </c>
      <c r="CA2053" t="s">
        <v>1596</v>
      </c>
      <c r="CC2053" t="s">
        <v>80</v>
      </c>
      <c r="CD2053">
        <v>7493</v>
      </c>
      <c r="CE2053">
        <v>1</v>
      </c>
      <c r="CF2053" s="3">
        <v>45855</v>
      </c>
      <c r="CI2053">
        <v>1</v>
      </c>
      <c r="CJ2053">
        <v>1</v>
      </c>
      <c r="CK2053">
        <v>21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"080066576438"</f>
        <v>080066576438</v>
      </c>
      <c r="F2054" s="3">
        <v>45853</v>
      </c>
      <c r="G2054">
        <v>202604</v>
      </c>
      <c r="H2054" t="s">
        <v>75</v>
      </c>
      <c r="I2054" t="s">
        <v>76</v>
      </c>
      <c r="J2054" t="s">
        <v>77</v>
      </c>
      <c r="K2054" t="s">
        <v>78</v>
      </c>
      <c r="L2054" t="s">
        <v>79</v>
      </c>
      <c r="M2054" t="s">
        <v>80</v>
      </c>
      <c r="N2054" t="s">
        <v>1561</v>
      </c>
      <c r="O2054" t="s">
        <v>82</v>
      </c>
      <c r="P2054" t="str">
        <f>"4170048712                    "</f>
        <v xml:space="preserve">4170048712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22.6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0.3</v>
      </c>
      <c r="BK2054">
        <v>1</v>
      </c>
      <c r="BL2054">
        <v>71.2</v>
      </c>
      <c r="BM2054">
        <v>10.68</v>
      </c>
      <c r="BN2054">
        <v>81.88</v>
      </c>
      <c r="BO2054">
        <v>81.88</v>
      </c>
      <c r="BQ2054" t="s">
        <v>1562</v>
      </c>
      <c r="BR2054" t="s">
        <v>84</v>
      </c>
      <c r="BS2054" s="3">
        <v>45854</v>
      </c>
      <c r="BT2054" s="4">
        <v>0.52500000000000002</v>
      </c>
      <c r="BU2054" t="s">
        <v>2554</v>
      </c>
      <c r="BV2054" t="s">
        <v>98</v>
      </c>
      <c r="BY2054">
        <v>1350</v>
      </c>
      <c r="BZ2054" t="s">
        <v>89</v>
      </c>
      <c r="CA2054" t="s">
        <v>2289</v>
      </c>
      <c r="CC2054" t="s">
        <v>80</v>
      </c>
      <c r="CD2054">
        <v>7975</v>
      </c>
      <c r="CE2054" t="s">
        <v>1868</v>
      </c>
      <c r="CF2054" s="3">
        <v>45855</v>
      </c>
      <c r="CI2054">
        <v>1</v>
      </c>
      <c r="CJ2054">
        <v>1</v>
      </c>
      <c r="CK2054">
        <v>21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"080066576448"</f>
        <v>080066576448</v>
      </c>
      <c r="F2055" s="3">
        <v>45853</v>
      </c>
      <c r="G2055">
        <v>202604</v>
      </c>
      <c r="H2055" t="s">
        <v>75</v>
      </c>
      <c r="I2055" t="s">
        <v>76</v>
      </c>
      <c r="J2055" t="s">
        <v>77</v>
      </c>
      <c r="K2055" t="s">
        <v>78</v>
      </c>
      <c r="L2055" t="s">
        <v>122</v>
      </c>
      <c r="M2055" t="s">
        <v>123</v>
      </c>
      <c r="N2055" t="s">
        <v>267</v>
      </c>
      <c r="O2055" t="s">
        <v>82</v>
      </c>
      <c r="P2055" t="str">
        <f>"4170048715                    "</f>
        <v xml:space="preserve">4170048715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22.6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0.3</v>
      </c>
      <c r="BK2055">
        <v>1</v>
      </c>
      <c r="BL2055">
        <v>71.2</v>
      </c>
      <c r="BM2055">
        <v>10.68</v>
      </c>
      <c r="BN2055">
        <v>81.88</v>
      </c>
      <c r="BO2055">
        <v>81.88</v>
      </c>
      <c r="BQ2055" t="s">
        <v>268</v>
      </c>
      <c r="BR2055" t="s">
        <v>84</v>
      </c>
      <c r="BS2055" s="3">
        <v>45854</v>
      </c>
      <c r="BT2055" s="4">
        <v>0.60069444444444442</v>
      </c>
      <c r="BU2055" t="s">
        <v>2555</v>
      </c>
      <c r="BV2055" t="s">
        <v>86</v>
      </c>
      <c r="BW2055" t="s">
        <v>219</v>
      </c>
      <c r="BX2055" t="s">
        <v>220</v>
      </c>
      <c r="BY2055">
        <v>1350</v>
      </c>
      <c r="BZ2055" t="s">
        <v>89</v>
      </c>
      <c r="CA2055" t="s">
        <v>166</v>
      </c>
      <c r="CC2055" t="s">
        <v>123</v>
      </c>
      <c r="CD2055">
        <v>3610</v>
      </c>
      <c r="CE2055" t="s">
        <v>1868</v>
      </c>
      <c r="CF2055" s="3">
        <v>45855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"080066576488"</f>
        <v>080066576488</v>
      </c>
      <c r="F2056" s="3">
        <v>45853</v>
      </c>
      <c r="G2056">
        <v>202604</v>
      </c>
      <c r="H2056" t="s">
        <v>75</v>
      </c>
      <c r="I2056" t="s">
        <v>76</v>
      </c>
      <c r="J2056" t="s">
        <v>77</v>
      </c>
      <c r="K2056" t="s">
        <v>78</v>
      </c>
      <c r="L2056" t="s">
        <v>79</v>
      </c>
      <c r="M2056" t="s">
        <v>80</v>
      </c>
      <c r="N2056" t="s">
        <v>931</v>
      </c>
      <c r="O2056" t="s">
        <v>82</v>
      </c>
      <c r="P2056" t="str">
        <f>"4170048931                    "</f>
        <v xml:space="preserve">4170048931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95.99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8.1</v>
      </c>
      <c r="BK2056">
        <v>8.5</v>
      </c>
      <c r="BL2056">
        <v>302.41000000000003</v>
      </c>
      <c r="BM2056">
        <v>45.36</v>
      </c>
      <c r="BN2056">
        <v>347.77</v>
      </c>
      <c r="BO2056">
        <v>347.77</v>
      </c>
      <c r="BQ2056" t="s">
        <v>932</v>
      </c>
      <c r="BR2056" t="s">
        <v>84</v>
      </c>
      <c r="BS2056" s="3">
        <v>45854</v>
      </c>
      <c r="BT2056" s="4">
        <v>0.42222222222222222</v>
      </c>
      <c r="BU2056" t="s">
        <v>2500</v>
      </c>
      <c r="BV2056" t="s">
        <v>98</v>
      </c>
      <c r="BY2056">
        <v>40500</v>
      </c>
      <c r="BZ2056" t="s">
        <v>89</v>
      </c>
      <c r="CA2056" t="s">
        <v>934</v>
      </c>
      <c r="CC2056" t="s">
        <v>80</v>
      </c>
      <c r="CD2056">
        <v>7535</v>
      </c>
      <c r="CE2056" t="s">
        <v>1868</v>
      </c>
      <c r="CF2056" s="3">
        <v>45855</v>
      </c>
      <c r="CI2056">
        <v>1</v>
      </c>
      <c r="CJ2056">
        <v>1</v>
      </c>
      <c r="CK2056">
        <v>21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"080066576521"</f>
        <v>080066576521</v>
      </c>
      <c r="F2057" s="3">
        <v>45853</v>
      </c>
      <c r="G2057">
        <v>202604</v>
      </c>
      <c r="H2057" t="s">
        <v>75</v>
      </c>
      <c r="I2057" t="s">
        <v>76</v>
      </c>
      <c r="J2057" t="s">
        <v>77</v>
      </c>
      <c r="K2057" t="s">
        <v>78</v>
      </c>
      <c r="L2057" t="s">
        <v>146</v>
      </c>
      <c r="M2057" t="s">
        <v>146</v>
      </c>
      <c r="N2057" t="s">
        <v>986</v>
      </c>
      <c r="O2057" t="s">
        <v>82</v>
      </c>
      <c r="P2057" t="str">
        <f>"4170048728                    "</f>
        <v xml:space="preserve">4170048728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192.07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5</v>
      </c>
      <c r="BJ2057">
        <v>9.5</v>
      </c>
      <c r="BK2057">
        <v>9.5</v>
      </c>
      <c r="BL2057">
        <v>605.13</v>
      </c>
      <c r="BM2057">
        <v>90.77</v>
      </c>
      <c r="BN2057">
        <v>695.9</v>
      </c>
      <c r="BO2057">
        <v>695.9</v>
      </c>
      <c r="BQ2057" t="s">
        <v>987</v>
      </c>
      <c r="BR2057" t="s">
        <v>84</v>
      </c>
      <c r="BS2057" s="3">
        <v>45854</v>
      </c>
      <c r="BT2057" s="4">
        <v>0.53680555555555554</v>
      </c>
      <c r="BU2057" t="s">
        <v>635</v>
      </c>
      <c r="BV2057" t="s">
        <v>98</v>
      </c>
      <c r="BY2057">
        <v>47500</v>
      </c>
      <c r="BZ2057" t="s">
        <v>89</v>
      </c>
      <c r="CA2057" t="s">
        <v>150</v>
      </c>
      <c r="CC2057" t="s">
        <v>146</v>
      </c>
      <c r="CD2057">
        <v>7646</v>
      </c>
      <c r="CE2057" t="s">
        <v>91</v>
      </c>
      <c r="CF2057" s="3">
        <v>45855</v>
      </c>
      <c r="CI2057">
        <v>1</v>
      </c>
      <c r="CJ2057">
        <v>1</v>
      </c>
      <c r="CK2057">
        <v>23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"080066576554"</f>
        <v>080066576554</v>
      </c>
      <c r="F2058" s="3">
        <v>45853</v>
      </c>
      <c r="G2058">
        <v>202604</v>
      </c>
      <c r="H2058" t="s">
        <v>75</v>
      </c>
      <c r="I2058" t="s">
        <v>76</v>
      </c>
      <c r="J2058" t="s">
        <v>77</v>
      </c>
      <c r="K2058" t="s">
        <v>78</v>
      </c>
      <c r="L2058" t="s">
        <v>122</v>
      </c>
      <c r="M2058" t="s">
        <v>123</v>
      </c>
      <c r="N2058" t="s">
        <v>972</v>
      </c>
      <c r="O2058" t="s">
        <v>82</v>
      </c>
      <c r="P2058" t="str">
        <f>"4170048751                    "</f>
        <v xml:space="preserve">4170048751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2</v>
      </c>
      <c r="BK2058">
        <v>2</v>
      </c>
      <c r="BL2058">
        <v>71.2</v>
      </c>
      <c r="BM2058">
        <v>10.68</v>
      </c>
      <c r="BN2058">
        <v>81.88</v>
      </c>
      <c r="BO2058">
        <v>81.88</v>
      </c>
      <c r="BQ2058" t="s">
        <v>973</v>
      </c>
      <c r="BR2058" t="s">
        <v>84</v>
      </c>
      <c r="BS2058" s="3">
        <v>45854</v>
      </c>
      <c r="BT2058" s="4">
        <v>0.46875</v>
      </c>
      <c r="BU2058" t="s">
        <v>2497</v>
      </c>
      <c r="BV2058" t="s">
        <v>98</v>
      </c>
      <c r="BY2058">
        <v>10108</v>
      </c>
      <c r="BZ2058" t="s">
        <v>89</v>
      </c>
      <c r="CA2058" t="s">
        <v>166</v>
      </c>
      <c r="CC2058" t="s">
        <v>123</v>
      </c>
      <c r="CD2058">
        <v>3610</v>
      </c>
      <c r="CE2058" t="s">
        <v>117</v>
      </c>
      <c r="CF2058" s="3">
        <v>45855</v>
      </c>
      <c r="CI2058">
        <v>1</v>
      </c>
      <c r="CJ2058">
        <v>1</v>
      </c>
      <c r="CK2058">
        <v>21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"080066576605"</f>
        <v>080066576605</v>
      </c>
      <c r="F2059" s="3">
        <v>45853</v>
      </c>
      <c r="G2059">
        <v>202604</v>
      </c>
      <c r="H2059" t="s">
        <v>75</v>
      </c>
      <c r="I2059" t="s">
        <v>76</v>
      </c>
      <c r="J2059" t="s">
        <v>77</v>
      </c>
      <c r="K2059" t="s">
        <v>78</v>
      </c>
      <c r="L2059" t="s">
        <v>350</v>
      </c>
      <c r="M2059" t="s">
        <v>351</v>
      </c>
      <c r="N2059" t="s">
        <v>352</v>
      </c>
      <c r="O2059" t="s">
        <v>82</v>
      </c>
      <c r="P2059" t="str">
        <f>"4170048918                    "</f>
        <v xml:space="preserve">4170048918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56.47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5</v>
      </c>
      <c r="BJ2059">
        <v>4.8</v>
      </c>
      <c r="BK2059">
        <v>5</v>
      </c>
      <c r="BL2059">
        <v>177.91</v>
      </c>
      <c r="BM2059">
        <v>26.69</v>
      </c>
      <c r="BN2059">
        <v>204.6</v>
      </c>
      <c r="BO2059">
        <v>204.6</v>
      </c>
      <c r="BQ2059" t="s">
        <v>353</v>
      </c>
      <c r="BR2059" t="s">
        <v>84</v>
      </c>
      <c r="BS2059" s="3">
        <v>45855</v>
      </c>
      <c r="BT2059" s="4">
        <v>0.43125000000000002</v>
      </c>
      <c r="BU2059" t="s">
        <v>951</v>
      </c>
      <c r="BV2059" t="s">
        <v>86</v>
      </c>
      <c r="BW2059" t="s">
        <v>1120</v>
      </c>
      <c r="BX2059" t="s">
        <v>220</v>
      </c>
      <c r="BY2059">
        <v>23751</v>
      </c>
      <c r="BZ2059" t="s">
        <v>89</v>
      </c>
      <c r="CC2059" t="s">
        <v>351</v>
      </c>
      <c r="CD2059">
        <v>4133</v>
      </c>
      <c r="CE2059" t="s">
        <v>117</v>
      </c>
      <c r="CF2059" s="3">
        <v>45855</v>
      </c>
      <c r="CI2059">
        <v>1</v>
      </c>
      <c r="CJ2059">
        <v>2</v>
      </c>
      <c r="CK2059">
        <v>21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"080066576629"</f>
        <v>080066576629</v>
      </c>
      <c r="F2060" s="3">
        <v>45853</v>
      </c>
      <c r="G2060">
        <v>202604</v>
      </c>
      <c r="H2060" t="s">
        <v>75</v>
      </c>
      <c r="I2060" t="s">
        <v>76</v>
      </c>
      <c r="J2060" t="s">
        <v>77</v>
      </c>
      <c r="K2060" t="s">
        <v>78</v>
      </c>
      <c r="L2060" t="s">
        <v>295</v>
      </c>
      <c r="M2060" t="s">
        <v>296</v>
      </c>
      <c r="N2060" t="s">
        <v>1262</v>
      </c>
      <c r="O2060" t="s">
        <v>82</v>
      </c>
      <c r="P2060" t="str">
        <f>"4170048937                    "</f>
        <v xml:space="preserve">4170048937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17.649999999999999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0.3</v>
      </c>
      <c r="BK2060">
        <v>1</v>
      </c>
      <c r="BL2060">
        <v>55.61</v>
      </c>
      <c r="BM2060">
        <v>8.34</v>
      </c>
      <c r="BN2060">
        <v>63.95</v>
      </c>
      <c r="BO2060">
        <v>63.95</v>
      </c>
      <c r="BQ2060" t="s">
        <v>1263</v>
      </c>
      <c r="BR2060" t="s">
        <v>84</v>
      </c>
      <c r="BS2060" s="3">
        <v>45854</v>
      </c>
      <c r="BT2060" s="4">
        <v>0.40138888888888891</v>
      </c>
      <c r="BU2060" t="s">
        <v>2556</v>
      </c>
      <c r="BV2060" t="s">
        <v>98</v>
      </c>
      <c r="BY2060">
        <v>1350</v>
      </c>
      <c r="BZ2060" t="s">
        <v>89</v>
      </c>
      <c r="CA2060" t="s">
        <v>1613</v>
      </c>
      <c r="CC2060" t="s">
        <v>296</v>
      </c>
      <c r="CD2060">
        <v>1459</v>
      </c>
      <c r="CE2060" t="s">
        <v>1868</v>
      </c>
      <c r="CF2060" s="3">
        <v>45855</v>
      </c>
      <c r="CI2060">
        <v>1</v>
      </c>
      <c r="CJ2060">
        <v>1</v>
      </c>
      <c r="CK2060">
        <v>22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"080066576656"</f>
        <v>080066576656</v>
      </c>
      <c r="F2061" s="3">
        <v>45853</v>
      </c>
      <c r="G2061">
        <v>202604</v>
      </c>
      <c r="H2061" t="s">
        <v>75</v>
      </c>
      <c r="I2061" t="s">
        <v>76</v>
      </c>
      <c r="J2061" t="s">
        <v>77</v>
      </c>
      <c r="K2061" t="s">
        <v>78</v>
      </c>
      <c r="L2061" t="s">
        <v>221</v>
      </c>
      <c r="M2061" t="s">
        <v>222</v>
      </c>
      <c r="N2061" t="s">
        <v>223</v>
      </c>
      <c r="O2061" t="s">
        <v>82</v>
      </c>
      <c r="P2061" t="str">
        <f>"4170048848                    "</f>
        <v xml:space="preserve">4170048848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43.78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0.3</v>
      </c>
      <c r="BK2061">
        <v>1</v>
      </c>
      <c r="BL2061">
        <v>137.94</v>
      </c>
      <c r="BM2061">
        <v>20.69</v>
      </c>
      <c r="BN2061">
        <v>158.63</v>
      </c>
      <c r="BO2061">
        <v>158.63</v>
      </c>
      <c r="BQ2061" t="s">
        <v>224</v>
      </c>
      <c r="BR2061" t="s">
        <v>84</v>
      </c>
      <c r="BS2061" s="3">
        <v>45854</v>
      </c>
      <c r="BT2061" s="4">
        <v>0.3263888888888889</v>
      </c>
      <c r="BU2061" t="s">
        <v>1494</v>
      </c>
      <c r="BV2061" t="s">
        <v>98</v>
      </c>
      <c r="BY2061">
        <v>1350</v>
      </c>
      <c r="BZ2061" t="s">
        <v>89</v>
      </c>
      <c r="CC2061" t="s">
        <v>222</v>
      </c>
      <c r="CD2061">
        <v>2740</v>
      </c>
      <c r="CE2061" t="s">
        <v>1868</v>
      </c>
      <c r="CF2061" s="3">
        <v>45855</v>
      </c>
      <c r="CI2061">
        <v>1</v>
      </c>
      <c r="CJ2061">
        <v>1</v>
      </c>
      <c r="CK2061">
        <v>23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"080066576699"</f>
        <v>080066576699</v>
      </c>
      <c r="F2062" s="3">
        <v>45853</v>
      </c>
      <c r="G2062">
        <v>202604</v>
      </c>
      <c r="H2062" t="s">
        <v>75</v>
      </c>
      <c r="I2062" t="s">
        <v>76</v>
      </c>
      <c r="J2062" t="s">
        <v>77</v>
      </c>
      <c r="K2062" t="s">
        <v>78</v>
      </c>
      <c r="L2062" t="s">
        <v>75</v>
      </c>
      <c r="M2062" t="s">
        <v>76</v>
      </c>
      <c r="N2062" t="s">
        <v>701</v>
      </c>
      <c r="O2062" t="s">
        <v>82</v>
      </c>
      <c r="P2062" t="str">
        <f>"4170048857                    "</f>
        <v xml:space="preserve">4170048857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17.649999999999999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0.3</v>
      </c>
      <c r="BK2062">
        <v>1</v>
      </c>
      <c r="BL2062">
        <v>55.61</v>
      </c>
      <c r="BM2062">
        <v>8.34</v>
      </c>
      <c r="BN2062">
        <v>63.95</v>
      </c>
      <c r="BO2062">
        <v>63.95</v>
      </c>
      <c r="BQ2062" t="s">
        <v>702</v>
      </c>
      <c r="BR2062" t="s">
        <v>84</v>
      </c>
      <c r="BS2062" s="3">
        <v>45854</v>
      </c>
      <c r="BT2062" s="4">
        <v>0.35</v>
      </c>
      <c r="BU2062" t="s">
        <v>703</v>
      </c>
      <c r="BV2062" t="s">
        <v>98</v>
      </c>
      <c r="BY2062">
        <v>1350</v>
      </c>
      <c r="BZ2062" t="s">
        <v>89</v>
      </c>
      <c r="CA2062" t="s">
        <v>617</v>
      </c>
      <c r="CC2062" t="s">
        <v>76</v>
      </c>
      <c r="CD2062">
        <v>1645</v>
      </c>
      <c r="CE2062" t="s">
        <v>158</v>
      </c>
      <c r="CF2062" s="3">
        <v>45854</v>
      </c>
      <c r="CI2062">
        <v>1</v>
      </c>
      <c r="CJ2062">
        <v>1</v>
      </c>
      <c r="CK2062">
        <v>22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"080066576737"</f>
        <v>080066576737</v>
      </c>
      <c r="F2063" s="3">
        <v>45853</v>
      </c>
      <c r="G2063">
        <v>202604</v>
      </c>
      <c r="H2063" t="s">
        <v>75</v>
      </c>
      <c r="I2063" t="s">
        <v>76</v>
      </c>
      <c r="J2063" t="s">
        <v>77</v>
      </c>
      <c r="K2063" t="s">
        <v>78</v>
      </c>
      <c r="L2063" t="s">
        <v>240</v>
      </c>
      <c r="M2063" t="s">
        <v>241</v>
      </c>
      <c r="N2063" t="s">
        <v>1341</v>
      </c>
      <c r="O2063" t="s">
        <v>82</v>
      </c>
      <c r="P2063" t="str">
        <f>"4170048811                    "</f>
        <v xml:space="preserve">4170048811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17.649999999999999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0.3</v>
      </c>
      <c r="BK2063">
        <v>1</v>
      </c>
      <c r="BL2063">
        <v>55.61</v>
      </c>
      <c r="BM2063">
        <v>8.34</v>
      </c>
      <c r="BN2063">
        <v>63.95</v>
      </c>
      <c r="BO2063">
        <v>63.95</v>
      </c>
      <c r="BQ2063" t="s">
        <v>1342</v>
      </c>
      <c r="BR2063" t="s">
        <v>84</v>
      </c>
      <c r="BS2063" s="3">
        <v>45854</v>
      </c>
      <c r="BT2063" s="4">
        <v>0.42708333333333331</v>
      </c>
      <c r="BU2063" t="s">
        <v>1343</v>
      </c>
      <c r="BV2063" t="s">
        <v>98</v>
      </c>
      <c r="BY2063">
        <v>1350</v>
      </c>
      <c r="BZ2063" t="s">
        <v>89</v>
      </c>
      <c r="CA2063" t="s">
        <v>1344</v>
      </c>
      <c r="CC2063" t="s">
        <v>241</v>
      </c>
      <c r="CD2063">
        <v>2169</v>
      </c>
      <c r="CE2063" t="s">
        <v>158</v>
      </c>
      <c r="CF2063" s="3">
        <v>45855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"080066576786"</f>
        <v>080066576786</v>
      </c>
      <c r="F2064" s="3">
        <v>45853</v>
      </c>
      <c r="G2064">
        <v>202604</v>
      </c>
      <c r="H2064" t="s">
        <v>75</v>
      </c>
      <c r="I2064" t="s">
        <v>76</v>
      </c>
      <c r="J2064" t="s">
        <v>77</v>
      </c>
      <c r="K2064" t="s">
        <v>78</v>
      </c>
      <c r="L2064" t="s">
        <v>151</v>
      </c>
      <c r="M2064" t="s">
        <v>152</v>
      </c>
      <c r="N2064" t="s">
        <v>2557</v>
      </c>
      <c r="O2064" t="s">
        <v>82</v>
      </c>
      <c r="P2064" t="str">
        <f>"4170048787                    "</f>
        <v xml:space="preserve">4170048787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22.6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0.3</v>
      </c>
      <c r="BK2064">
        <v>1</v>
      </c>
      <c r="BL2064">
        <v>71.2</v>
      </c>
      <c r="BM2064">
        <v>10.68</v>
      </c>
      <c r="BN2064">
        <v>81.88</v>
      </c>
      <c r="BO2064">
        <v>81.88</v>
      </c>
      <c r="BQ2064" t="s">
        <v>2558</v>
      </c>
      <c r="BR2064" t="s">
        <v>84</v>
      </c>
      <c r="BS2064" s="3">
        <v>45854</v>
      </c>
      <c r="BT2064" s="4">
        <v>0.39930555555555558</v>
      </c>
      <c r="BU2064" t="s">
        <v>1274</v>
      </c>
      <c r="BV2064" t="s">
        <v>98</v>
      </c>
      <c r="BY2064">
        <v>1350</v>
      </c>
      <c r="BZ2064" t="s">
        <v>89</v>
      </c>
      <c r="CA2064" t="s">
        <v>716</v>
      </c>
      <c r="CC2064" t="s">
        <v>152</v>
      </c>
      <c r="CD2064" s="5" t="s">
        <v>717</v>
      </c>
      <c r="CE2064" t="s">
        <v>158</v>
      </c>
      <c r="CF2064" s="3">
        <v>45854</v>
      </c>
      <c r="CI2064">
        <v>1</v>
      </c>
      <c r="CJ2064">
        <v>1</v>
      </c>
      <c r="CK2064">
        <v>21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"080066576815"</f>
        <v>080066576815</v>
      </c>
      <c r="F2065" s="3">
        <v>45853</v>
      </c>
      <c r="G2065">
        <v>202604</v>
      </c>
      <c r="H2065" t="s">
        <v>75</v>
      </c>
      <c r="I2065" t="s">
        <v>76</v>
      </c>
      <c r="J2065" t="s">
        <v>77</v>
      </c>
      <c r="K2065" t="s">
        <v>78</v>
      </c>
      <c r="L2065" t="s">
        <v>135</v>
      </c>
      <c r="M2065" t="s">
        <v>136</v>
      </c>
      <c r="N2065" t="s">
        <v>416</v>
      </c>
      <c r="O2065" t="s">
        <v>82</v>
      </c>
      <c r="P2065" t="str">
        <f>"4170048901                    "</f>
        <v xml:space="preserve">4170048901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22.6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0.3</v>
      </c>
      <c r="BK2065">
        <v>1</v>
      </c>
      <c r="BL2065">
        <v>71.2</v>
      </c>
      <c r="BM2065">
        <v>10.68</v>
      </c>
      <c r="BN2065">
        <v>81.88</v>
      </c>
      <c r="BO2065">
        <v>81.88</v>
      </c>
      <c r="BQ2065" t="s">
        <v>417</v>
      </c>
      <c r="BR2065" t="s">
        <v>84</v>
      </c>
      <c r="BS2065" s="3">
        <v>45854</v>
      </c>
      <c r="BT2065" s="4">
        <v>0.41666666666666669</v>
      </c>
      <c r="BU2065" t="s">
        <v>2522</v>
      </c>
      <c r="BV2065" t="s">
        <v>98</v>
      </c>
      <c r="BY2065">
        <v>1350</v>
      </c>
      <c r="BZ2065" t="s">
        <v>89</v>
      </c>
      <c r="CC2065" t="s">
        <v>136</v>
      </c>
      <c r="CD2065">
        <v>3201</v>
      </c>
      <c r="CE2065" t="s">
        <v>158</v>
      </c>
      <c r="CF2065" s="3">
        <v>45855</v>
      </c>
      <c r="CI2065">
        <v>1</v>
      </c>
      <c r="CJ2065">
        <v>1</v>
      </c>
      <c r="CK2065">
        <v>21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"080066576840"</f>
        <v>080066576840</v>
      </c>
      <c r="F2066" s="3">
        <v>45853</v>
      </c>
      <c r="G2066">
        <v>202604</v>
      </c>
      <c r="H2066" t="s">
        <v>75</v>
      </c>
      <c r="I2066" t="s">
        <v>76</v>
      </c>
      <c r="J2066" t="s">
        <v>77</v>
      </c>
      <c r="K2066" t="s">
        <v>78</v>
      </c>
      <c r="L2066" t="s">
        <v>79</v>
      </c>
      <c r="M2066" t="s">
        <v>80</v>
      </c>
      <c r="N2066" t="s">
        <v>141</v>
      </c>
      <c r="O2066" t="s">
        <v>82</v>
      </c>
      <c r="P2066" t="str">
        <f>"4170048932                    "</f>
        <v xml:space="preserve">4170048932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22.6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0.3</v>
      </c>
      <c r="BK2066">
        <v>1</v>
      </c>
      <c r="BL2066">
        <v>71.2</v>
      </c>
      <c r="BM2066">
        <v>10.68</v>
      </c>
      <c r="BN2066">
        <v>81.88</v>
      </c>
      <c r="BO2066">
        <v>81.88</v>
      </c>
      <c r="BQ2066" t="s">
        <v>142</v>
      </c>
      <c r="BR2066" t="s">
        <v>84</v>
      </c>
      <c r="BS2066" s="3">
        <v>45854</v>
      </c>
      <c r="BT2066" s="4">
        <v>0.41111111111111109</v>
      </c>
      <c r="BU2066" t="s">
        <v>143</v>
      </c>
      <c r="BV2066" t="s">
        <v>98</v>
      </c>
      <c r="BY2066">
        <v>1350</v>
      </c>
      <c r="BZ2066" t="s">
        <v>89</v>
      </c>
      <c r="CA2066" t="s">
        <v>144</v>
      </c>
      <c r="CC2066" t="s">
        <v>80</v>
      </c>
      <c r="CD2066">
        <v>7441</v>
      </c>
      <c r="CE2066" t="s">
        <v>1868</v>
      </c>
      <c r="CF2066" s="3">
        <v>45855</v>
      </c>
      <c r="CI2066">
        <v>1</v>
      </c>
      <c r="CJ2066">
        <v>1</v>
      </c>
      <c r="CK2066">
        <v>21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"080066576859"</f>
        <v>080066576859</v>
      </c>
      <c r="F2067" s="3">
        <v>45853</v>
      </c>
      <c r="G2067">
        <v>202604</v>
      </c>
      <c r="H2067" t="s">
        <v>75</v>
      </c>
      <c r="I2067" t="s">
        <v>76</v>
      </c>
      <c r="J2067" t="s">
        <v>77</v>
      </c>
      <c r="K2067" t="s">
        <v>78</v>
      </c>
      <c r="L2067" t="s">
        <v>122</v>
      </c>
      <c r="M2067" t="s">
        <v>123</v>
      </c>
      <c r="N2067" t="s">
        <v>2559</v>
      </c>
      <c r="O2067" t="s">
        <v>82</v>
      </c>
      <c r="P2067" t="str">
        <f>"4170048734                    "</f>
        <v xml:space="preserve">4170048734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22.6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0.3</v>
      </c>
      <c r="BK2067">
        <v>1</v>
      </c>
      <c r="BL2067">
        <v>71.2</v>
      </c>
      <c r="BM2067">
        <v>10.68</v>
      </c>
      <c r="BN2067">
        <v>81.88</v>
      </c>
      <c r="BO2067">
        <v>81.88</v>
      </c>
      <c r="BQ2067" t="s">
        <v>2560</v>
      </c>
      <c r="BR2067" t="s">
        <v>84</v>
      </c>
      <c r="BS2067" s="3">
        <v>45854</v>
      </c>
      <c r="BT2067" s="4">
        <v>0.48749999999999999</v>
      </c>
      <c r="BU2067" t="s">
        <v>2561</v>
      </c>
      <c r="BV2067" t="s">
        <v>86</v>
      </c>
      <c r="BW2067" t="s">
        <v>219</v>
      </c>
      <c r="BX2067" t="s">
        <v>220</v>
      </c>
      <c r="BY2067">
        <v>1350</v>
      </c>
      <c r="BZ2067" t="s">
        <v>89</v>
      </c>
      <c r="CA2067" t="s">
        <v>166</v>
      </c>
      <c r="CC2067" t="s">
        <v>123</v>
      </c>
      <c r="CD2067">
        <v>3620</v>
      </c>
      <c r="CE2067" t="s">
        <v>1868</v>
      </c>
      <c r="CF2067" s="3">
        <v>45855</v>
      </c>
      <c r="CI2067">
        <v>1</v>
      </c>
      <c r="CJ2067">
        <v>1</v>
      </c>
      <c r="CK2067">
        <v>21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"080066576884"</f>
        <v>080066576884</v>
      </c>
      <c r="F2068" s="3">
        <v>45853</v>
      </c>
      <c r="G2068">
        <v>202604</v>
      </c>
      <c r="H2068" t="s">
        <v>75</v>
      </c>
      <c r="I2068" t="s">
        <v>76</v>
      </c>
      <c r="J2068" t="s">
        <v>77</v>
      </c>
      <c r="K2068" t="s">
        <v>78</v>
      </c>
      <c r="L2068" t="s">
        <v>221</v>
      </c>
      <c r="M2068" t="s">
        <v>222</v>
      </c>
      <c r="N2068" t="s">
        <v>223</v>
      </c>
      <c r="O2068" t="s">
        <v>82</v>
      </c>
      <c r="P2068" t="str">
        <f>"4170048797                    "</f>
        <v xml:space="preserve">4170048797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43.78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0.3</v>
      </c>
      <c r="BK2068">
        <v>1</v>
      </c>
      <c r="BL2068">
        <v>137.94</v>
      </c>
      <c r="BM2068">
        <v>20.69</v>
      </c>
      <c r="BN2068">
        <v>158.63</v>
      </c>
      <c r="BO2068">
        <v>158.63</v>
      </c>
      <c r="BQ2068" t="s">
        <v>224</v>
      </c>
      <c r="BR2068" t="s">
        <v>84</v>
      </c>
      <c r="BS2068" s="3">
        <v>45854</v>
      </c>
      <c r="BT2068" s="4">
        <v>0.3263888888888889</v>
      </c>
      <c r="BU2068" t="s">
        <v>1494</v>
      </c>
      <c r="BV2068" t="s">
        <v>98</v>
      </c>
      <c r="BY2068">
        <v>1350</v>
      </c>
      <c r="BZ2068" t="s">
        <v>89</v>
      </c>
      <c r="CC2068" t="s">
        <v>222</v>
      </c>
      <c r="CD2068">
        <v>2740</v>
      </c>
      <c r="CE2068" t="s">
        <v>1868</v>
      </c>
      <c r="CF2068" s="3">
        <v>45855</v>
      </c>
      <c r="CI2068">
        <v>1</v>
      </c>
      <c r="CJ2068">
        <v>1</v>
      </c>
      <c r="CK2068">
        <v>23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"080066576919"</f>
        <v>080066576919</v>
      </c>
      <c r="F2069" s="3">
        <v>45853</v>
      </c>
      <c r="G2069">
        <v>202604</v>
      </c>
      <c r="H2069" t="s">
        <v>75</v>
      </c>
      <c r="I2069" t="s">
        <v>76</v>
      </c>
      <c r="J2069" t="s">
        <v>77</v>
      </c>
      <c r="K2069" t="s">
        <v>78</v>
      </c>
      <c r="L2069" t="s">
        <v>75</v>
      </c>
      <c r="M2069" t="s">
        <v>76</v>
      </c>
      <c r="N2069" t="s">
        <v>2205</v>
      </c>
      <c r="O2069" t="s">
        <v>82</v>
      </c>
      <c r="P2069" t="str">
        <f>"4170048729                    "</f>
        <v xml:space="preserve">4170048729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17.649999999999999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0.3</v>
      </c>
      <c r="BK2069">
        <v>1</v>
      </c>
      <c r="BL2069">
        <v>55.61</v>
      </c>
      <c r="BM2069">
        <v>8.34</v>
      </c>
      <c r="BN2069">
        <v>63.95</v>
      </c>
      <c r="BO2069">
        <v>63.95</v>
      </c>
      <c r="BQ2069" t="s">
        <v>2206</v>
      </c>
      <c r="BR2069" t="s">
        <v>84</v>
      </c>
      <c r="BS2069" s="3">
        <v>45854</v>
      </c>
      <c r="BT2069" s="4">
        <v>0.3263888888888889</v>
      </c>
      <c r="BU2069" t="s">
        <v>2207</v>
      </c>
      <c r="BV2069" t="s">
        <v>98</v>
      </c>
      <c r="BY2069">
        <v>1350</v>
      </c>
      <c r="BZ2069" t="s">
        <v>89</v>
      </c>
      <c r="CA2069" t="s">
        <v>304</v>
      </c>
      <c r="CC2069" t="s">
        <v>76</v>
      </c>
      <c r="CD2069">
        <v>1601</v>
      </c>
      <c r="CE2069" t="s">
        <v>1868</v>
      </c>
      <c r="CF2069" s="3">
        <v>45855</v>
      </c>
      <c r="CI2069">
        <v>1</v>
      </c>
      <c r="CJ2069">
        <v>1</v>
      </c>
      <c r="CK2069">
        <v>22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"080066576930"</f>
        <v>080066576930</v>
      </c>
      <c r="F2070" s="3">
        <v>45853</v>
      </c>
      <c r="G2070">
        <v>202604</v>
      </c>
      <c r="H2070" t="s">
        <v>75</v>
      </c>
      <c r="I2070" t="s">
        <v>76</v>
      </c>
      <c r="J2070" t="s">
        <v>77</v>
      </c>
      <c r="K2070" t="s">
        <v>78</v>
      </c>
      <c r="L2070" t="s">
        <v>221</v>
      </c>
      <c r="M2070" t="s">
        <v>222</v>
      </c>
      <c r="N2070" t="s">
        <v>223</v>
      </c>
      <c r="O2070" t="s">
        <v>82</v>
      </c>
      <c r="P2070" t="str">
        <f>"4170048923                    "</f>
        <v xml:space="preserve">4170048923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43.78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0.3</v>
      </c>
      <c r="BK2070">
        <v>1</v>
      </c>
      <c r="BL2070">
        <v>137.94</v>
      </c>
      <c r="BM2070">
        <v>20.69</v>
      </c>
      <c r="BN2070">
        <v>158.63</v>
      </c>
      <c r="BO2070">
        <v>158.63</v>
      </c>
      <c r="BQ2070" t="s">
        <v>224</v>
      </c>
      <c r="BR2070" t="s">
        <v>84</v>
      </c>
      <c r="BS2070" s="3">
        <v>45854</v>
      </c>
      <c r="BT2070" s="4">
        <v>0.3263888888888889</v>
      </c>
      <c r="BU2070" t="s">
        <v>1494</v>
      </c>
      <c r="BV2070" t="s">
        <v>98</v>
      </c>
      <c r="BY2070">
        <v>1350</v>
      </c>
      <c r="BZ2070" t="s">
        <v>89</v>
      </c>
      <c r="CC2070" t="s">
        <v>222</v>
      </c>
      <c r="CD2070">
        <v>2740</v>
      </c>
      <c r="CE2070" t="s">
        <v>1868</v>
      </c>
      <c r="CF2070" s="3">
        <v>45855</v>
      </c>
      <c r="CI2070">
        <v>1</v>
      </c>
      <c r="CJ2070">
        <v>1</v>
      </c>
      <c r="CK2070">
        <v>23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"080066576941"</f>
        <v>080066576941</v>
      </c>
      <c r="F2071" s="3">
        <v>45853</v>
      </c>
      <c r="G2071">
        <v>202604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118</v>
      </c>
      <c r="O2071" t="s">
        <v>82</v>
      </c>
      <c r="P2071" t="str">
        <f>"4170048706                    "</f>
        <v xml:space="preserve">4170048706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17.649999999999999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0.3</v>
      </c>
      <c r="BK2071">
        <v>1</v>
      </c>
      <c r="BL2071">
        <v>55.61</v>
      </c>
      <c r="BM2071">
        <v>8.34</v>
      </c>
      <c r="BN2071">
        <v>63.95</v>
      </c>
      <c r="BO2071">
        <v>63.95</v>
      </c>
      <c r="BQ2071" t="s">
        <v>119</v>
      </c>
      <c r="BR2071" t="s">
        <v>84</v>
      </c>
      <c r="BS2071" s="3">
        <v>45854</v>
      </c>
      <c r="BT2071" s="4">
        <v>0.31111111111111112</v>
      </c>
      <c r="BU2071" t="s">
        <v>768</v>
      </c>
      <c r="BV2071" t="s">
        <v>98</v>
      </c>
      <c r="BY2071">
        <v>1350</v>
      </c>
      <c r="BZ2071" t="s">
        <v>89</v>
      </c>
      <c r="CA2071" t="s">
        <v>1537</v>
      </c>
      <c r="CC2071" t="s">
        <v>76</v>
      </c>
      <c r="CD2071">
        <v>1600</v>
      </c>
      <c r="CE2071" t="s">
        <v>1868</v>
      </c>
      <c r="CF2071" s="3">
        <v>45854</v>
      </c>
      <c r="CI2071">
        <v>1</v>
      </c>
      <c r="CJ2071">
        <v>1</v>
      </c>
      <c r="CK2071">
        <v>22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"080066576959"</f>
        <v>080066576959</v>
      </c>
      <c r="F2072" s="3">
        <v>45853</v>
      </c>
      <c r="G2072">
        <v>202604</v>
      </c>
      <c r="H2072" t="s">
        <v>75</v>
      </c>
      <c r="I2072" t="s">
        <v>76</v>
      </c>
      <c r="J2072" t="s">
        <v>77</v>
      </c>
      <c r="K2072" t="s">
        <v>78</v>
      </c>
      <c r="L2072" t="s">
        <v>79</v>
      </c>
      <c r="M2072" t="s">
        <v>80</v>
      </c>
      <c r="N2072" t="s">
        <v>698</v>
      </c>
      <c r="O2072" t="s">
        <v>82</v>
      </c>
      <c r="P2072" t="str">
        <f>"4170048783                    "</f>
        <v xml:space="preserve">4170048783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22.6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0.3</v>
      </c>
      <c r="BK2072">
        <v>1</v>
      </c>
      <c r="BL2072">
        <v>71.2</v>
      </c>
      <c r="BM2072">
        <v>10.68</v>
      </c>
      <c r="BN2072">
        <v>81.88</v>
      </c>
      <c r="BO2072">
        <v>81.88</v>
      </c>
      <c r="BQ2072" t="s">
        <v>699</v>
      </c>
      <c r="BR2072" t="s">
        <v>84</v>
      </c>
      <c r="BS2072" s="3">
        <v>45854</v>
      </c>
      <c r="BT2072" s="4">
        <v>0.40763888888888888</v>
      </c>
      <c r="BU2072" t="s">
        <v>700</v>
      </c>
      <c r="BV2072" t="s">
        <v>98</v>
      </c>
      <c r="BY2072">
        <v>1350</v>
      </c>
      <c r="BZ2072" t="s">
        <v>89</v>
      </c>
      <c r="CA2072" t="s">
        <v>289</v>
      </c>
      <c r="CC2072" t="s">
        <v>80</v>
      </c>
      <c r="CD2072">
        <v>7561</v>
      </c>
      <c r="CE2072" t="s">
        <v>1868</v>
      </c>
      <c r="CF2072" s="3">
        <v>45855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"080066576985"</f>
        <v>080066576985</v>
      </c>
      <c r="F2073" s="3">
        <v>45853</v>
      </c>
      <c r="G2073">
        <v>202604</v>
      </c>
      <c r="H2073" t="s">
        <v>75</v>
      </c>
      <c r="I2073" t="s">
        <v>76</v>
      </c>
      <c r="J2073" t="s">
        <v>77</v>
      </c>
      <c r="K2073" t="s">
        <v>78</v>
      </c>
      <c r="L2073" t="s">
        <v>808</v>
      </c>
      <c r="M2073" t="s">
        <v>808</v>
      </c>
      <c r="N2073" t="s">
        <v>809</v>
      </c>
      <c r="O2073" t="s">
        <v>311</v>
      </c>
      <c r="P2073" t="str">
        <f>"4170048792                    "</f>
        <v xml:space="preserve">4170048792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31.78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0.3</v>
      </c>
      <c r="BK2073">
        <v>1</v>
      </c>
      <c r="BL2073">
        <v>100.13</v>
      </c>
      <c r="BM2073">
        <v>15.02</v>
      </c>
      <c r="BN2073">
        <v>115.15</v>
      </c>
      <c r="BO2073">
        <v>115.15</v>
      </c>
      <c r="BQ2073" t="s">
        <v>810</v>
      </c>
      <c r="BR2073" t="s">
        <v>84</v>
      </c>
      <c r="BS2073" s="3">
        <v>45854</v>
      </c>
      <c r="BT2073" s="4">
        <v>0.52083333333333337</v>
      </c>
      <c r="BU2073" t="s">
        <v>2562</v>
      </c>
      <c r="BV2073" t="s">
        <v>98</v>
      </c>
      <c r="BY2073">
        <v>1350</v>
      </c>
      <c r="BZ2073" t="s">
        <v>99</v>
      </c>
      <c r="CA2073" t="s">
        <v>251</v>
      </c>
      <c r="CC2073" t="s">
        <v>808</v>
      </c>
      <c r="CD2073">
        <v>1491</v>
      </c>
      <c r="CE2073" t="s">
        <v>1868</v>
      </c>
      <c r="CF2073" s="3">
        <v>45855</v>
      </c>
      <c r="CI2073">
        <v>1</v>
      </c>
      <c r="CJ2073">
        <v>1</v>
      </c>
      <c r="CK2073">
        <v>34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"080066577003"</f>
        <v>080066577003</v>
      </c>
      <c r="F2074" s="3">
        <v>45853</v>
      </c>
      <c r="G2074">
        <v>202604</v>
      </c>
      <c r="H2074" t="s">
        <v>75</v>
      </c>
      <c r="I2074" t="s">
        <v>76</v>
      </c>
      <c r="J2074" t="s">
        <v>77</v>
      </c>
      <c r="K2074" t="s">
        <v>78</v>
      </c>
      <c r="L2074" t="s">
        <v>252</v>
      </c>
      <c r="M2074" t="s">
        <v>253</v>
      </c>
      <c r="N2074" t="s">
        <v>254</v>
      </c>
      <c r="O2074" t="s">
        <v>82</v>
      </c>
      <c r="P2074" t="str">
        <f>"4170048786                    "</f>
        <v xml:space="preserve">4170048786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43.78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0.3</v>
      </c>
      <c r="BK2074">
        <v>1</v>
      </c>
      <c r="BL2074">
        <v>137.94</v>
      </c>
      <c r="BM2074">
        <v>20.69</v>
      </c>
      <c r="BN2074">
        <v>158.63</v>
      </c>
      <c r="BO2074">
        <v>158.63</v>
      </c>
      <c r="BQ2074" t="s">
        <v>255</v>
      </c>
      <c r="BR2074" t="s">
        <v>84</v>
      </c>
      <c r="BS2074" s="3">
        <v>45854</v>
      </c>
      <c r="BT2074" s="4">
        <v>0.38333333333333336</v>
      </c>
      <c r="BU2074" t="s">
        <v>256</v>
      </c>
      <c r="BV2074" t="s">
        <v>98</v>
      </c>
      <c r="BY2074">
        <v>1350</v>
      </c>
      <c r="BZ2074" t="s">
        <v>89</v>
      </c>
      <c r="CC2074" t="s">
        <v>253</v>
      </c>
      <c r="CD2074">
        <v>1947</v>
      </c>
      <c r="CE2074" t="s">
        <v>1868</v>
      </c>
      <c r="CF2074" s="3">
        <v>45854</v>
      </c>
      <c r="CI2074">
        <v>1</v>
      </c>
      <c r="CJ2074">
        <v>1</v>
      </c>
      <c r="CK2074">
        <v>23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"080066577015"</f>
        <v>080066577015</v>
      </c>
      <c r="F2075" s="3">
        <v>45853</v>
      </c>
      <c r="G2075">
        <v>202604</v>
      </c>
      <c r="H2075" t="s">
        <v>75</v>
      </c>
      <c r="I2075" t="s">
        <v>76</v>
      </c>
      <c r="J2075" t="s">
        <v>77</v>
      </c>
      <c r="K2075" t="s">
        <v>78</v>
      </c>
      <c r="L2075" t="s">
        <v>146</v>
      </c>
      <c r="M2075" t="s">
        <v>146</v>
      </c>
      <c r="N2075" t="s">
        <v>986</v>
      </c>
      <c r="O2075" t="s">
        <v>82</v>
      </c>
      <c r="P2075" t="str">
        <f>"4170048784                    "</f>
        <v xml:space="preserve">4170048784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43.78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137.94</v>
      </c>
      <c r="BM2075">
        <v>20.69</v>
      </c>
      <c r="BN2075">
        <v>158.63</v>
      </c>
      <c r="BO2075">
        <v>158.63</v>
      </c>
      <c r="BQ2075" t="s">
        <v>987</v>
      </c>
      <c r="BR2075" t="s">
        <v>84</v>
      </c>
      <c r="BS2075" s="3">
        <v>45854</v>
      </c>
      <c r="BT2075" s="4">
        <v>0.53680555555555554</v>
      </c>
      <c r="BU2075" t="s">
        <v>635</v>
      </c>
      <c r="BV2075" t="s">
        <v>98</v>
      </c>
      <c r="BY2075">
        <v>1200</v>
      </c>
      <c r="BZ2075" t="s">
        <v>89</v>
      </c>
      <c r="CA2075" t="s">
        <v>150</v>
      </c>
      <c r="CC2075" t="s">
        <v>146</v>
      </c>
      <c r="CD2075">
        <v>7646</v>
      </c>
      <c r="CE2075" t="s">
        <v>239</v>
      </c>
      <c r="CF2075" s="3">
        <v>45855</v>
      </c>
      <c r="CI2075">
        <v>1</v>
      </c>
      <c r="CJ2075">
        <v>1</v>
      </c>
      <c r="CK2075">
        <v>23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"080066577045"</f>
        <v>080066577045</v>
      </c>
      <c r="F2076" s="3">
        <v>45853</v>
      </c>
      <c r="G2076">
        <v>202604</v>
      </c>
      <c r="H2076" t="s">
        <v>75</v>
      </c>
      <c r="I2076" t="s">
        <v>76</v>
      </c>
      <c r="J2076" t="s">
        <v>77</v>
      </c>
      <c r="K2076" t="s">
        <v>78</v>
      </c>
      <c r="L2076" t="s">
        <v>503</v>
      </c>
      <c r="M2076" t="s">
        <v>504</v>
      </c>
      <c r="N2076" t="s">
        <v>505</v>
      </c>
      <c r="O2076" t="s">
        <v>82</v>
      </c>
      <c r="P2076" t="str">
        <f>"4170048773                    "</f>
        <v xml:space="preserve">4170048773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43.78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137.94</v>
      </c>
      <c r="BM2076">
        <v>20.69</v>
      </c>
      <c r="BN2076">
        <v>158.63</v>
      </c>
      <c r="BO2076">
        <v>158.63</v>
      </c>
      <c r="BQ2076" t="s">
        <v>506</v>
      </c>
      <c r="BR2076" t="s">
        <v>84</v>
      </c>
      <c r="BS2076" s="3">
        <v>45854</v>
      </c>
      <c r="BT2076" s="4">
        <v>0.41041666666666665</v>
      </c>
      <c r="BU2076" t="s">
        <v>1235</v>
      </c>
      <c r="BV2076" t="s">
        <v>98</v>
      </c>
      <c r="BY2076">
        <v>1200</v>
      </c>
      <c r="BZ2076" t="s">
        <v>89</v>
      </c>
      <c r="CA2076" t="s">
        <v>508</v>
      </c>
      <c r="CC2076" t="s">
        <v>504</v>
      </c>
      <c r="CD2076">
        <v>7130</v>
      </c>
      <c r="CE2076" t="s">
        <v>239</v>
      </c>
      <c r="CF2076" s="3">
        <v>45855</v>
      </c>
      <c r="CI2076">
        <v>1</v>
      </c>
      <c r="CJ2076">
        <v>1</v>
      </c>
      <c r="CK2076">
        <v>23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"080066577065"</f>
        <v>080066577065</v>
      </c>
      <c r="F2077" s="3">
        <v>45853</v>
      </c>
      <c r="G2077">
        <v>202604</v>
      </c>
      <c r="H2077" t="s">
        <v>75</v>
      </c>
      <c r="I2077" t="s">
        <v>76</v>
      </c>
      <c r="J2077" t="s">
        <v>77</v>
      </c>
      <c r="K2077" t="s">
        <v>78</v>
      </c>
      <c r="L2077" t="s">
        <v>151</v>
      </c>
      <c r="M2077" t="s">
        <v>152</v>
      </c>
      <c r="N2077" t="s">
        <v>510</v>
      </c>
      <c r="O2077" t="s">
        <v>82</v>
      </c>
      <c r="P2077" t="str">
        <f>"4170048750                    "</f>
        <v xml:space="preserve">4170048750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22.6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71.2</v>
      </c>
      <c r="BM2077">
        <v>10.68</v>
      </c>
      <c r="BN2077">
        <v>81.88</v>
      </c>
      <c r="BO2077">
        <v>81.88</v>
      </c>
      <c r="BQ2077" t="s">
        <v>511</v>
      </c>
      <c r="BR2077" t="s">
        <v>84</v>
      </c>
      <c r="BS2077" s="3">
        <v>45854</v>
      </c>
      <c r="BT2077" s="4">
        <v>0.41597222222222224</v>
      </c>
      <c r="BU2077" t="s">
        <v>2518</v>
      </c>
      <c r="BV2077" t="s">
        <v>98</v>
      </c>
      <c r="BY2077">
        <v>1200</v>
      </c>
      <c r="BZ2077" t="s">
        <v>89</v>
      </c>
      <c r="CA2077" t="s">
        <v>2176</v>
      </c>
      <c r="CC2077" t="s">
        <v>152</v>
      </c>
      <c r="CD2077" s="5" t="s">
        <v>389</v>
      </c>
      <c r="CE2077" t="s">
        <v>239</v>
      </c>
      <c r="CF2077" s="3">
        <v>45854</v>
      </c>
      <c r="CI2077">
        <v>1</v>
      </c>
      <c r="CJ2077">
        <v>1</v>
      </c>
      <c r="CK2077">
        <v>21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"080066577084"</f>
        <v>080066577084</v>
      </c>
      <c r="F2078" s="3">
        <v>45853</v>
      </c>
      <c r="G2078">
        <v>202604</v>
      </c>
      <c r="H2078" t="s">
        <v>75</v>
      </c>
      <c r="I2078" t="s">
        <v>76</v>
      </c>
      <c r="J2078" t="s">
        <v>77</v>
      </c>
      <c r="K2078" t="s">
        <v>78</v>
      </c>
      <c r="L2078" t="s">
        <v>79</v>
      </c>
      <c r="M2078" t="s">
        <v>80</v>
      </c>
      <c r="N2078" t="s">
        <v>141</v>
      </c>
      <c r="O2078" t="s">
        <v>82</v>
      </c>
      <c r="P2078" t="str">
        <f>"4170048701                    "</f>
        <v xml:space="preserve">4170048701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71.2</v>
      </c>
      <c r="BM2078">
        <v>10.68</v>
      </c>
      <c r="BN2078">
        <v>81.88</v>
      </c>
      <c r="BO2078">
        <v>81.88</v>
      </c>
      <c r="BQ2078" t="s">
        <v>142</v>
      </c>
      <c r="BR2078" t="s">
        <v>84</v>
      </c>
      <c r="BS2078" s="3">
        <v>45854</v>
      </c>
      <c r="BT2078" s="4">
        <v>0.41111111111111109</v>
      </c>
      <c r="BU2078" t="s">
        <v>143</v>
      </c>
      <c r="BV2078" t="s">
        <v>98</v>
      </c>
      <c r="BY2078">
        <v>1200</v>
      </c>
      <c r="BZ2078" t="s">
        <v>89</v>
      </c>
      <c r="CA2078" t="s">
        <v>144</v>
      </c>
      <c r="CC2078" t="s">
        <v>80</v>
      </c>
      <c r="CD2078">
        <v>7441</v>
      </c>
      <c r="CE2078" t="s">
        <v>239</v>
      </c>
      <c r="CF2078" s="3">
        <v>45855</v>
      </c>
      <c r="CI2078">
        <v>1</v>
      </c>
      <c r="CJ2078">
        <v>1</v>
      </c>
      <c r="CK2078">
        <v>21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"080066577103"</f>
        <v>080066577103</v>
      </c>
      <c r="F2079" s="3">
        <v>45853</v>
      </c>
      <c r="G2079">
        <v>202604</v>
      </c>
      <c r="H2079" t="s">
        <v>75</v>
      </c>
      <c r="I2079" t="s">
        <v>76</v>
      </c>
      <c r="J2079" t="s">
        <v>77</v>
      </c>
      <c r="K2079" t="s">
        <v>78</v>
      </c>
      <c r="L2079" t="s">
        <v>79</v>
      </c>
      <c r="M2079" t="s">
        <v>80</v>
      </c>
      <c r="N2079" t="s">
        <v>141</v>
      </c>
      <c r="O2079" t="s">
        <v>82</v>
      </c>
      <c r="P2079" t="str">
        <f>"4170048733                    "</f>
        <v xml:space="preserve">4170048733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22.6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71.2</v>
      </c>
      <c r="BM2079">
        <v>10.68</v>
      </c>
      <c r="BN2079">
        <v>81.88</v>
      </c>
      <c r="BO2079">
        <v>81.88</v>
      </c>
      <c r="BQ2079" t="s">
        <v>142</v>
      </c>
      <c r="BR2079" t="s">
        <v>84</v>
      </c>
      <c r="BS2079" s="3">
        <v>45854</v>
      </c>
      <c r="BT2079" s="4">
        <v>0.41111111111111109</v>
      </c>
      <c r="BU2079" t="s">
        <v>143</v>
      </c>
      <c r="BV2079" t="s">
        <v>98</v>
      </c>
      <c r="BY2079">
        <v>1200</v>
      </c>
      <c r="BZ2079" t="s">
        <v>89</v>
      </c>
      <c r="CA2079" t="s">
        <v>144</v>
      </c>
      <c r="CC2079" t="s">
        <v>80</v>
      </c>
      <c r="CD2079">
        <v>7441</v>
      </c>
      <c r="CE2079" t="s">
        <v>239</v>
      </c>
      <c r="CF2079" s="3">
        <v>45855</v>
      </c>
      <c r="CI2079">
        <v>1</v>
      </c>
      <c r="CJ2079">
        <v>1</v>
      </c>
      <c r="CK2079">
        <v>21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"080066577124"</f>
        <v>080066577124</v>
      </c>
      <c r="F2080" s="3">
        <v>45853</v>
      </c>
      <c r="G2080">
        <v>202604</v>
      </c>
      <c r="H2080" t="s">
        <v>75</v>
      </c>
      <c r="I2080" t="s">
        <v>76</v>
      </c>
      <c r="J2080" t="s">
        <v>77</v>
      </c>
      <c r="K2080" t="s">
        <v>78</v>
      </c>
      <c r="L2080" t="s">
        <v>168</v>
      </c>
      <c r="M2080" t="s">
        <v>169</v>
      </c>
      <c r="N2080" t="s">
        <v>438</v>
      </c>
      <c r="O2080" t="s">
        <v>82</v>
      </c>
      <c r="P2080" t="str">
        <f>"4170048969                    "</f>
        <v xml:space="preserve">4170048969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22.6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71.2</v>
      </c>
      <c r="BM2080">
        <v>10.68</v>
      </c>
      <c r="BN2080">
        <v>81.88</v>
      </c>
      <c r="BO2080">
        <v>81.88</v>
      </c>
      <c r="BQ2080" t="s">
        <v>439</v>
      </c>
      <c r="BR2080" t="s">
        <v>84</v>
      </c>
      <c r="BS2080" s="3">
        <v>45854</v>
      </c>
      <c r="BT2080" s="4">
        <v>0.4236111111111111</v>
      </c>
      <c r="BU2080" t="s">
        <v>440</v>
      </c>
      <c r="BV2080" t="s">
        <v>98</v>
      </c>
      <c r="BY2080">
        <v>1200</v>
      </c>
      <c r="BZ2080" t="s">
        <v>89</v>
      </c>
      <c r="CA2080" t="s">
        <v>423</v>
      </c>
      <c r="CC2080" t="s">
        <v>169</v>
      </c>
      <c r="CD2080">
        <v>6001</v>
      </c>
      <c r="CE2080" t="s">
        <v>239</v>
      </c>
      <c r="CF2080" s="3">
        <v>45854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"080066577167"</f>
        <v>080066577167</v>
      </c>
      <c r="F2081" s="3">
        <v>45853</v>
      </c>
      <c r="G2081">
        <v>202604</v>
      </c>
      <c r="H2081" t="s">
        <v>75</v>
      </c>
      <c r="I2081" t="s">
        <v>76</v>
      </c>
      <c r="J2081" t="s">
        <v>77</v>
      </c>
      <c r="K2081" t="s">
        <v>78</v>
      </c>
      <c r="L2081" t="s">
        <v>92</v>
      </c>
      <c r="M2081" t="s">
        <v>93</v>
      </c>
      <c r="N2081" t="s">
        <v>291</v>
      </c>
      <c r="O2081" t="s">
        <v>82</v>
      </c>
      <c r="P2081" t="str">
        <f>"4170048920                    "</f>
        <v xml:space="preserve">4170048920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22.6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71.2</v>
      </c>
      <c r="BM2081">
        <v>10.68</v>
      </c>
      <c r="BN2081">
        <v>81.88</v>
      </c>
      <c r="BO2081">
        <v>81.88</v>
      </c>
      <c r="BQ2081" t="s">
        <v>292</v>
      </c>
      <c r="BR2081" t="s">
        <v>84</v>
      </c>
      <c r="BS2081" s="3">
        <v>45854</v>
      </c>
      <c r="BT2081" s="4">
        <v>0.33263888888888887</v>
      </c>
      <c r="BU2081" t="s">
        <v>1571</v>
      </c>
      <c r="BV2081" t="s">
        <v>98</v>
      </c>
      <c r="BY2081">
        <v>1200</v>
      </c>
      <c r="BZ2081" t="s">
        <v>89</v>
      </c>
      <c r="CA2081" t="s">
        <v>294</v>
      </c>
      <c r="CC2081" t="s">
        <v>93</v>
      </c>
      <c r="CD2081">
        <v>4051</v>
      </c>
      <c r="CE2081" t="s">
        <v>239</v>
      </c>
      <c r="CF2081" s="3">
        <v>45854</v>
      </c>
      <c r="CI2081">
        <v>1</v>
      </c>
      <c r="CJ2081">
        <v>1</v>
      </c>
      <c r="CK2081">
        <v>21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"080066577203"</f>
        <v>080066577203</v>
      </c>
      <c r="F2082" s="3">
        <v>45853</v>
      </c>
      <c r="G2082">
        <v>202604</v>
      </c>
      <c r="H2082" t="s">
        <v>75</v>
      </c>
      <c r="I2082" t="s">
        <v>76</v>
      </c>
      <c r="J2082" t="s">
        <v>77</v>
      </c>
      <c r="K2082" t="s">
        <v>78</v>
      </c>
      <c r="L2082" t="s">
        <v>79</v>
      </c>
      <c r="M2082" t="s">
        <v>80</v>
      </c>
      <c r="N2082" t="s">
        <v>81</v>
      </c>
      <c r="O2082" t="s">
        <v>82</v>
      </c>
      <c r="P2082" t="str">
        <f>"4170048943                    "</f>
        <v xml:space="preserve">4170048943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22.6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71.2</v>
      </c>
      <c r="BM2082">
        <v>10.68</v>
      </c>
      <c r="BN2082">
        <v>81.88</v>
      </c>
      <c r="BO2082">
        <v>81.88</v>
      </c>
      <c r="BQ2082" t="s">
        <v>83</v>
      </c>
      <c r="BR2082" t="s">
        <v>84</v>
      </c>
      <c r="BS2082" s="3">
        <v>45854</v>
      </c>
      <c r="BT2082" s="4">
        <v>0.65277777777777779</v>
      </c>
      <c r="BU2082" t="s">
        <v>2505</v>
      </c>
      <c r="BV2082" t="s">
        <v>86</v>
      </c>
      <c r="BW2082" t="s">
        <v>395</v>
      </c>
      <c r="BX2082" t="s">
        <v>2389</v>
      </c>
      <c r="BY2082">
        <v>1200</v>
      </c>
      <c r="BZ2082" t="s">
        <v>89</v>
      </c>
      <c r="CA2082" t="s">
        <v>90</v>
      </c>
      <c r="CC2082" t="s">
        <v>80</v>
      </c>
      <c r="CD2082">
        <v>7550</v>
      </c>
      <c r="CE2082" t="s">
        <v>239</v>
      </c>
      <c r="CF2082" s="3">
        <v>45855</v>
      </c>
      <c r="CI2082">
        <v>1</v>
      </c>
      <c r="CJ2082">
        <v>1</v>
      </c>
      <c r="CK2082">
        <v>21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"080066577235"</f>
        <v>080066577235</v>
      </c>
      <c r="F2083" s="3">
        <v>45853</v>
      </c>
      <c r="G2083">
        <v>202604</v>
      </c>
      <c r="H2083" t="s">
        <v>75</v>
      </c>
      <c r="I2083" t="s">
        <v>76</v>
      </c>
      <c r="J2083" t="s">
        <v>77</v>
      </c>
      <c r="K2083" t="s">
        <v>78</v>
      </c>
      <c r="L2083" t="s">
        <v>363</v>
      </c>
      <c r="M2083" t="s">
        <v>364</v>
      </c>
      <c r="N2083" t="s">
        <v>365</v>
      </c>
      <c r="O2083" t="s">
        <v>82</v>
      </c>
      <c r="P2083" t="str">
        <f>"4170048873                    "</f>
        <v xml:space="preserve">4170048873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43.78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137.94</v>
      </c>
      <c r="BM2083">
        <v>20.69</v>
      </c>
      <c r="BN2083">
        <v>158.63</v>
      </c>
      <c r="BO2083">
        <v>158.63</v>
      </c>
      <c r="BQ2083" t="s">
        <v>1118</v>
      </c>
      <c r="BR2083" t="s">
        <v>84</v>
      </c>
      <c r="BS2083" s="3">
        <v>45854</v>
      </c>
      <c r="BT2083" s="4">
        <v>0.57638888888888884</v>
      </c>
      <c r="BU2083" t="s">
        <v>1028</v>
      </c>
      <c r="BV2083" t="s">
        <v>98</v>
      </c>
      <c r="BY2083">
        <v>1200</v>
      </c>
      <c r="BZ2083" t="s">
        <v>89</v>
      </c>
      <c r="CA2083" t="s">
        <v>2563</v>
      </c>
      <c r="CC2083" t="s">
        <v>364</v>
      </c>
      <c r="CD2083">
        <v>7300</v>
      </c>
      <c r="CE2083" t="s">
        <v>214</v>
      </c>
      <c r="CF2083" s="3">
        <v>45855</v>
      </c>
      <c r="CI2083">
        <v>1</v>
      </c>
      <c r="CJ2083">
        <v>1</v>
      </c>
      <c r="CK2083">
        <v>23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"080066577267"</f>
        <v>080066577267</v>
      </c>
      <c r="F2084" s="3">
        <v>45853</v>
      </c>
      <c r="G2084">
        <v>202604</v>
      </c>
      <c r="H2084" t="s">
        <v>75</v>
      </c>
      <c r="I2084" t="s">
        <v>76</v>
      </c>
      <c r="J2084" t="s">
        <v>77</v>
      </c>
      <c r="K2084" t="s">
        <v>78</v>
      </c>
      <c r="L2084" t="s">
        <v>75</v>
      </c>
      <c r="M2084" t="s">
        <v>76</v>
      </c>
      <c r="N2084" t="s">
        <v>2564</v>
      </c>
      <c r="O2084" t="s">
        <v>82</v>
      </c>
      <c r="P2084" t="str">
        <f>"4170048780                    "</f>
        <v xml:space="preserve">4170048780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17.649999999999999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0.3</v>
      </c>
      <c r="BK2084">
        <v>1</v>
      </c>
      <c r="BL2084">
        <v>55.61</v>
      </c>
      <c r="BM2084">
        <v>8.34</v>
      </c>
      <c r="BN2084">
        <v>63.95</v>
      </c>
      <c r="BO2084">
        <v>63.95</v>
      </c>
      <c r="BQ2084" t="s">
        <v>2565</v>
      </c>
      <c r="BR2084" t="s">
        <v>84</v>
      </c>
      <c r="BS2084" s="3">
        <v>45854</v>
      </c>
      <c r="BT2084" s="4">
        <v>0.39583333333333331</v>
      </c>
      <c r="BU2084" t="s">
        <v>2566</v>
      </c>
      <c r="BV2084" t="s">
        <v>98</v>
      </c>
      <c r="BY2084">
        <v>1350</v>
      </c>
      <c r="BZ2084" t="s">
        <v>89</v>
      </c>
      <c r="CA2084" t="s">
        <v>2473</v>
      </c>
      <c r="CC2084" t="s">
        <v>76</v>
      </c>
      <c r="CD2084">
        <v>1685</v>
      </c>
      <c r="CE2084" t="s">
        <v>1868</v>
      </c>
      <c r="CF2084" s="3">
        <v>45855</v>
      </c>
      <c r="CI2084">
        <v>1</v>
      </c>
      <c r="CJ2084">
        <v>1</v>
      </c>
      <c r="CK2084">
        <v>22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"080066577268"</f>
        <v>080066577268</v>
      </c>
      <c r="F2085" s="3">
        <v>45853</v>
      </c>
      <c r="G2085">
        <v>202604</v>
      </c>
      <c r="H2085" t="s">
        <v>75</v>
      </c>
      <c r="I2085" t="s">
        <v>76</v>
      </c>
      <c r="J2085" t="s">
        <v>77</v>
      </c>
      <c r="K2085" t="s">
        <v>78</v>
      </c>
      <c r="L2085" t="s">
        <v>79</v>
      </c>
      <c r="M2085" t="s">
        <v>80</v>
      </c>
      <c r="N2085" t="s">
        <v>576</v>
      </c>
      <c r="O2085" t="s">
        <v>82</v>
      </c>
      <c r="P2085" t="str">
        <f>"4170048697                    "</f>
        <v xml:space="preserve">4170048697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22.6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71.2</v>
      </c>
      <c r="BM2085">
        <v>10.68</v>
      </c>
      <c r="BN2085">
        <v>81.88</v>
      </c>
      <c r="BO2085">
        <v>81.88</v>
      </c>
      <c r="BQ2085" t="s">
        <v>577</v>
      </c>
      <c r="BR2085" t="s">
        <v>84</v>
      </c>
      <c r="BS2085" s="3">
        <v>45854</v>
      </c>
      <c r="BT2085" s="4">
        <v>0.43055555555555558</v>
      </c>
      <c r="BU2085" t="s">
        <v>1092</v>
      </c>
      <c r="BV2085" t="s">
        <v>98</v>
      </c>
      <c r="BY2085">
        <v>1200</v>
      </c>
      <c r="BZ2085" t="s">
        <v>89</v>
      </c>
      <c r="CA2085" t="s">
        <v>579</v>
      </c>
      <c r="CC2085" t="s">
        <v>80</v>
      </c>
      <c r="CD2085">
        <v>7480</v>
      </c>
      <c r="CE2085" t="s">
        <v>2567</v>
      </c>
      <c r="CF2085" s="3">
        <v>45855</v>
      </c>
      <c r="CI2085">
        <v>1</v>
      </c>
      <c r="CJ2085">
        <v>1</v>
      </c>
      <c r="CK2085">
        <v>21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"080066577318"</f>
        <v>080066577318</v>
      </c>
      <c r="F2086" s="3">
        <v>45853</v>
      </c>
      <c r="G2086">
        <v>202604</v>
      </c>
      <c r="H2086" t="s">
        <v>75</v>
      </c>
      <c r="I2086" t="s">
        <v>76</v>
      </c>
      <c r="J2086" t="s">
        <v>77</v>
      </c>
      <c r="K2086" t="s">
        <v>78</v>
      </c>
      <c r="L2086" t="s">
        <v>554</v>
      </c>
      <c r="M2086" t="s">
        <v>555</v>
      </c>
      <c r="N2086" t="s">
        <v>556</v>
      </c>
      <c r="O2086" t="s">
        <v>82</v>
      </c>
      <c r="P2086" t="str">
        <f>"4170048904                    "</f>
        <v xml:space="preserve">4170048904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22.6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0.3</v>
      </c>
      <c r="BK2086">
        <v>1</v>
      </c>
      <c r="BL2086">
        <v>71.2</v>
      </c>
      <c r="BM2086">
        <v>10.68</v>
      </c>
      <c r="BN2086">
        <v>81.88</v>
      </c>
      <c r="BO2086">
        <v>81.88</v>
      </c>
      <c r="BQ2086" t="s">
        <v>557</v>
      </c>
      <c r="BR2086" t="s">
        <v>84</v>
      </c>
      <c r="BS2086" s="3">
        <v>45854</v>
      </c>
      <c r="BT2086" s="4">
        <v>0.3611111111111111</v>
      </c>
      <c r="BU2086" t="s">
        <v>558</v>
      </c>
      <c r="BV2086" t="s">
        <v>98</v>
      </c>
      <c r="BY2086">
        <v>1350</v>
      </c>
      <c r="BZ2086" t="s">
        <v>89</v>
      </c>
      <c r="CA2086" t="s">
        <v>559</v>
      </c>
      <c r="CC2086" t="s">
        <v>555</v>
      </c>
      <c r="CD2086" s="5" t="s">
        <v>560</v>
      </c>
      <c r="CE2086" t="s">
        <v>1868</v>
      </c>
      <c r="CF2086" s="3">
        <v>45854</v>
      </c>
      <c r="CI2086">
        <v>1</v>
      </c>
      <c r="CJ2086">
        <v>1</v>
      </c>
      <c r="CK2086">
        <v>21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"080066577321"</f>
        <v>080066577321</v>
      </c>
      <c r="F2087" s="3">
        <v>45853</v>
      </c>
      <c r="G2087">
        <v>202604</v>
      </c>
      <c r="H2087" t="s">
        <v>75</v>
      </c>
      <c r="I2087" t="s">
        <v>76</v>
      </c>
      <c r="J2087" t="s">
        <v>77</v>
      </c>
      <c r="K2087" t="s">
        <v>78</v>
      </c>
      <c r="L2087" t="s">
        <v>92</v>
      </c>
      <c r="M2087" t="s">
        <v>93</v>
      </c>
      <c r="N2087" t="s">
        <v>291</v>
      </c>
      <c r="O2087" t="s">
        <v>82</v>
      </c>
      <c r="P2087" t="str">
        <f>"4170048731                    "</f>
        <v xml:space="preserve">4170048731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22.6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71.2</v>
      </c>
      <c r="BM2087">
        <v>10.68</v>
      </c>
      <c r="BN2087">
        <v>81.88</v>
      </c>
      <c r="BO2087">
        <v>81.88</v>
      </c>
      <c r="BQ2087" t="s">
        <v>292</v>
      </c>
      <c r="BR2087" t="s">
        <v>84</v>
      </c>
      <c r="BS2087" s="3">
        <v>45854</v>
      </c>
      <c r="BT2087" s="4">
        <v>0.33263888888888887</v>
      </c>
      <c r="BU2087" t="s">
        <v>1571</v>
      </c>
      <c r="BV2087" t="s">
        <v>98</v>
      </c>
      <c r="BY2087">
        <v>1200</v>
      </c>
      <c r="BZ2087" t="s">
        <v>89</v>
      </c>
      <c r="CA2087" t="s">
        <v>294</v>
      </c>
      <c r="CC2087" t="s">
        <v>93</v>
      </c>
      <c r="CD2087">
        <v>4051</v>
      </c>
      <c r="CE2087" t="s">
        <v>239</v>
      </c>
      <c r="CF2087" s="3">
        <v>45854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"080066577362"</f>
        <v>080066577362</v>
      </c>
      <c r="F2088" s="3">
        <v>45853</v>
      </c>
      <c r="G2088">
        <v>202604</v>
      </c>
      <c r="H2088" t="s">
        <v>75</v>
      </c>
      <c r="I2088" t="s">
        <v>76</v>
      </c>
      <c r="J2088" t="s">
        <v>77</v>
      </c>
      <c r="K2088" t="s">
        <v>78</v>
      </c>
      <c r="L2088" t="s">
        <v>598</v>
      </c>
      <c r="M2088" t="s">
        <v>599</v>
      </c>
      <c r="N2088" t="s">
        <v>2568</v>
      </c>
      <c r="O2088" t="s">
        <v>82</v>
      </c>
      <c r="P2088" t="str">
        <f>"4170048894                    "</f>
        <v xml:space="preserve">4170048894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43.78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0.3</v>
      </c>
      <c r="BK2088">
        <v>1</v>
      </c>
      <c r="BL2088">
        <v>137.94</v>
      </c>
      <c r="BM2088">
        <v>20.69</v>
      </c>
      <c r="BN2088">
        <v>158.63</v>
      </c>
      <c r="BO2088">
        <v>158.63</v>
      </c>
      <c r="BQ2088" t="s">
        <v>2569</v>
      </c>
      <c r="BR2088" t="s">
        <v>84</v>
      </c>
      <c r="BS2088" s="3">
        <v>45854</v>
      </c>
      <c r="BT2088" s="4">
        <v>0.44374999999999998</v>
      </c>
      <c r="BU2088" t="s">
        <v>2570</v>
      </c>
      <c r="BV2088" t="s">
        <v>86</v>
      </c>
      <c r="BW2088" t="s">
        <v>1395</v>
      </c>
      <c r="BX2088" t="s">
        <v>220</v>
      </c>
      <c r="BY2088">
        <v>1350</v>
      </c>
      <c r="BZ2088" t="s">
        <v>89</v>
      </c>
      <c r="CA2088" t="s">
        <v>1286</v>
      </c>
      <c r="CC2088" t="s">
        <v>599</v>
      </c>
      <c r="CD2088">
        <v>4339</v>
      </c>
      <c r="CE2088" t="s">
        <v>1868</v>
      </c>
      <c r="CF2088" s="3">
        <v>45855</v>
      </c>
      <c r="CI2088">
        <v>1</v>
      </c>
      <c r="CJ2088">
        <v>1</v>
      </c>
      <c r="CK2088">
        <v>23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"080066577380"</f>
        <v>080066577380</v>
      </c>
      <c r="F2089" s="3">
        <v>45853</v>
      </c>
      <c r="G2089">
        <v>202604</v>
      </c>
      <c r="H2089" t="s">
        <v>75</v>
      </c>
      <c r="I2089" t="s">
        <v>76</v>
      </c>
      <c r="J2089" t="s">
        <v>77</v>
      </c>
      <c r="K2089" t="s">
        <v>78</v>
      </c>
      <c r="L2089" t="s">
        <v>75</v>
      </c>
      <c r="M2089" t="s">
        <v>76</v>
      </c>
      <c r="N2089" t="s">
        <v>2343</v>
      </c>
      <c r="O2089" t="s">
        <v>82</v>
      </c>
      <c r="P2089" t="str">
        <f>"4170048716                    "</f>
        <v xml:space="preserve">4170048716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17.649999999999999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1.8</v>
      </c>
      <c r="BK2089">
        <v>2</v>
      </c>
      <c r="BL2089">
        <v>55.61</v>
      </c>
      <c r="BM2089">
        <v>8.34</v>
      </c>
      <c r="BN2089">
        <v>63.95</v>
      </c>
      <c r="BO2089">
        <v>63.95</v>
      </c>
      <c r="BQ2089" t="s">
        <v>2344</v>
      </c>
      <c r="BR2089" t="s">
        <v>84</v>
      </c>
      <c r="BS2089" s="3">
        <v>45854</v>
      </c>
      <c r="BT2089" s="4">
        <v>0.40902777777777777</v>
      </c>
      <c r="BU2089" t="s">
        <v>2514</v>
      </c>
      <c r="BV2089" t="s">
        <v>98</v>
      </c>
      <c r="BY2089">
        <v>8816</v>
      </c>
      <c r="BZ2089" t="s">
        <v>89</v>
      </c>
      <c r="CA2089" t="s">
        <v>1799</v>
      </c>
      <c r="CC2089" t="s">
        <v>76</v>
      </c>
      <c r="CD2089">
        <v>1614</v>
      </c>
      <c r="CE2089" t="s">
        <v>117</v>
      </c>
      <c r="CF2089" s="3">
        <v>45855</v>
      </c>
      <c r="CI2089">
        <v>1</v>
      </c>
      <c r="CJ2089">
        <v>1</v>
      </c>
      <c r="CK2089">
        <v>22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"080066577407"</f>
        <v>080066577407</v>
      </c>
      <c r="F2090" s="3">
        <v>45853</v>
      </c>
      <c r="G2090">
        <v>202604</v>
      </c>
      <c r="H2090" t="s">
        <v>75</v>
      </c>
      <c r="I2090" t="s">
        <v>76</v>
      </c>
      <c r="J2090" t="s">
        <v>77</v>
      </c>
      <c r="K2090" t="s">
        <v>78</v>
      </c>
      <c r="L2090" t="s">
        <v>75</v>
      </c>
      <c r="M2090" t="s">
        <v>76</v>
      </c>
      <c r="N2090" t="s">
        <v>1855</v>
      </c>
      <c r="O2090" t="s">
        <v>82</v>
      </c>
      <c r="P2090" t="str">
        <f>"4170048889                    "</f>
        <v xml:space="preserve">4170048889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17.649999999999999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0.3</v>
      </c>
      <c r="BK2090">
        <v>1</v>
      </c>
      <c r="BL2090">
        <v>55.61</v>
      </c>
      <c r="BM2090">
        <v>8.34</v>
      </c>
      <c r="BN2090">
        <v>63.95</v>
      </c>
      <c r="BO2090">
        <v>63.95</v>
      </c>
      <c r="BQ2090" t="s">
        <v>1856</v>
      </c>
      <c r="BR2090" t="s">
        <v>84</v>
      </c>
      <c r="BS2090" s="3">
        <v>45854</v>
      </c>
      <c r="BT2090" s="4">
        <v>0.41805555555555557</v>
      </c>
      <c r="BU2090" t="s">
        <v>2571</v>
      </c>
      <c r="BV2090" t="s">
        <v>98</v>
      </c>
      <c r="BY2090">
        <v>1350</v>
      </c>
      <c r="BZ2090" t="s">
        <v>89</v>
      </c>
      <c r="CA2090" t="s">
        <v>304</v>
      </c>
      <c r="CC2090" t="s">
        <v>76</v>
      </c>
      <c r="CD2090">
        <v>1600</v>
      </c>
      <c r="CE2090" t="s">
        <v>1868</v>
      </c>
      <c r="CF2090" s="3">
        <v>45854</v>
      </c>
      <c r="CI2090">
        <v>1</v>
      </c>
      <c r="CJ2090">
        <v>1</v>
      </c>
      <c r="CK2090">
        <v>22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"080066577431"</f>
        <v>080066577431</v>
      </c>
      <c r="F2091" s="3">
        <v>45853</v>
      </c>
      <c r="G2091">
        <v>202604</v>
      </c>
      <c r="H2091" t="s">
        <v>75</v>
      </c>
      <c r="I2091" t="s">
        <v>76</v>
      </c>
      <c r="J2091" t="s">
        <v>77</v>
      </c>
      <c r="K2091" t="s">
        <v>78</v>
      </c>
      <c r="L2091" t="s">
        <v>151</v>
      </c>
      <c r="M2091" t="s">
        <v>152</v>
      </c>
      <c r="N2091" t="s">
        <v>500</v>
      </c>
      <c r="O2091" t="s">
        <v>82</v>
      </c>
      <c r="P2091" t="str">
        <f>"4170048757                    "</f>
        <v xml:space="preserve">4170048757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33.89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3</v>
      </c>
      <c r="BJ2091">
        <v>2.2999999999999998</v>
      </c>
      <c r="BK2091">
        <v>3</v>
      </c>
      <c r="BL2091">
        <v>106.77</v>
      </c>
      <c r="BM2091">
        <v>16.02</v>
      </c>
      <c r="BN2091">
        <v>122.79</v>
      </c>
      <c r="BO2091">
        <v>122.79</v>
      </c>
      <c r="BQ2091" t="s">
        <v>501</v>
      </c>
      <c r="BR2091" t="s">
        <v>84</v>
      </c>
      <c r="BS2091" s="3">
        <v>45854</v>
      </c>
      <c r="BT2091" s="4">
        <v>0.40625</v>
      </c>
      <c r="BU2091" t="s">
        <v>1722</v>
      </c>
      <c r="BV2091" t="s">
        <v>98</v>
      </c>
      <c r="BY2091">
        <v>11704</v>
      </c>
      <c r="BZ2091" t="s">
        <v>89</v>
      </c>
      <c r="CA2091" t="s">
        <v>388</v>
      </c>
      <c r="CC2091" t="s">
        <v>152</v>
      </c>
      <c r="CD2091" s="5" t="s">
        <v>157</v>
      </c>
      <c r="CE2091" t="s">
        <v>117</v>
      </c>
      <c r="CF2091" s="3">
        <v>45854</v>
      </c>
      <c r="CI2091">
        <v>1</v>
      </c>
      <c r="CJ2091">
        <v>1</v>
      </c>
      <c r="CK2091">
        <v>21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"080066577449"</f>
        <v>080066577449</v>
      </c>
      <c r="F2092" s="3">
        <v>45853</v>
      </c>
      <c r="G2092">
        <v>202604</v>
      </c>
      <c r="H2092" t="s">
        <v>75</v>
      </c>
      <c r="I2092" t="s">
        <v>76</v>
      </c>
      <c r="J2092" t="s">
        <v>77</v>
      </c>
      <c r="K2092" t="s">
        <v>78</v>
      </c>
      <c r="L2092" t="s">
        <v>151</v>
      </c>
      <c r="M2092" t="s">
        <v>152</v>
      </c>
      <c r="N2092" t="s">
        <v>2572</v>
      </c>
      <c r="O2092" t="s">
        <v>82</v>
      </c>
      <c r="P2092" t="str">
        <f>"4170048763                    "</f>
        <v xml:space="preserve">4170048763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22.6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0.3</v>
      </c>
      <c r="BK2092">
        <v>1</v>
      </c>
      <c r="BL2092">
        <v>71.2</v>
      </c>
      <c r="BM2092">
        <v>10.68</v>
      </c>
      <c r="BN2092">
        <v>81.88</v>
      </c>
      <c r="BO2092">
        <v>81.88</v>
      </c>
      <c r="BQ2092" t="s">
        <v>2573</v>
      </c>
      <c r="BR2092" t="s">
        <v>84</v>
      </c>
      <c r="BS2092" s="3">
        <v>45854</v>
      </c>
      <c r="BT2092" s="4">
        <v>0.39861111111111114</v>
      </c>
      <c r="BU2092" t="s">
        <v>2574</v>
      </c>
      <c r="BV2092" t="s">
        <v>98</v>
      </c>
      <c r="BY2092">
        <v>1350</v>
      </c>
      <c r="BZ2092" t="s">
        <v>89</v>
      </c>
      <c r="CA2092" t="s">
        <v>275</v>
      </c>
      <c r="CC2092" t="s">
        <v>152</v>
      </c>
      <c r="CD2092" s="5" t="s">
        <v>911</v>
      </c>
      <c r="CE2092" t="s">
        <v>1868</v>
      </c>
      <c r="CF2092" s="3">
        <v>45854</v>
      </c>
      <c r="CI2092">
        <v>1</v>
      </c>
      <c r="CJ2092">
        <v>1</v>
      </c>
      <c r="CK2092">
        <v>21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"080066577466"</f>
        <v>080066577466</v>
      </c>
      <c r="F2093" s="3">
        <v>45853</v>
      </c>
      <c r="G2093">
        <v>202604</v>
      </c>
      <c r="H2093" t="s">
        <v>75</v>
      </c>
      <c r="I2093" t="s">
        <v>76</v>
      </c>
      <c r="J2093" t="s">
        <v>77</v>
      </c>
      <c r="K2093" t="s">
        <v>78</v>
      </c>
      <c r="L2093" t="s">
        <v>75</v>
      </c>
      <c r="M2093" t="s">
        <v>76</v>
      </c>
      <c r="N2093" t="s">
        <v>2343</v>
      </c>
      <c r="O2093" t="s">
        <v>82</v>
      </c>
      <c r="P2093" t="str">
        <f>"4170048717                    "</f>
        <v xml:space="preserve">4170048717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17.649999999999999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4</v>
      </c>
      <c r="BJ2093">
        <v>2.9</v>
      </c>
      <c r="BK2093">
        <v>4</v>
      </c>
      <c r="BL2093">
        <v>55.61</v>
      </c>
      <c r="BM2093">
        <v>8.34</v>
      </c>
      <c r="BN2093">
        <v>63.95</v>
      </c>
      <c r="BO2093">
        <v>63.95</v>
      </c>
      <c r="BQ2093" t="s">
        <v>2344</v>
      </c>
      <c r="BR2093" t="s">
        <v>84</v>
      </c>
      <c r="BS2093" s="3">
        <v>45854</v>
      </c>
      <c r="BT2093" s="4">
        <v>0.40902777777777777</v>
      </c>
      <c r="BU2093" t="s">
        <v>2514</v>
      </c>
      <c r="BV2093" t="s">
        <v>98</v>
      </c>
      <c r="BY2093">
        <v>14400</v>
      </c>
      <c r="BZ2093" t="s">
        <v>89</v>
      </c>
      <c r="CA2093" t="s">
        <v>1799</v>
      </c>
      <c r="CC2093" t="s">
        <v>76</v>
      </c>
      <c r="CD2093">
        <v>1614</v>
      </c>
      <c r="CE2093" t="s">
        <v>117</v>
      </c>
      <c r="CF2093" s="3">
        <v>45855</v>
      </c>
      <c r="CI2093">
        <v>1</v>
      </c>
      <c r="CJ2093">
        <v>1</v>
      </c>
      <c r="CK2093">
        <v>22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"080066577470"</f>
        <v>080066577470</v>
      </c>
      <c r="F2094" s="3">
        <v>45853</v>
      </c>
      <c r="G2094">
        <v>202604</v>
      </c>
      <c r="H2094" t="s">
        <v>75</v>
      </c>
      <c r="I2094" t="s">
        <v>76</v>
      </c>
      <c r="J2094" t="s">
        <v>77</v>
      </c>
      <c r="K2094" t="s">
        <v>78</v>
      </c>
      <c r="L2094" t="s">
        <v>240</v>
      </c>
      <c r="M2094" t="s">
        <v>241</v>
      </c>
      <c r="N2094" t="s">
        <v>2575</v>
      </c>
      <c r="O2094" t="s">
        <v>82</v>
      </c>
      <c r="P2094" t="str">
        <f>"4170048838                    "</f>
        <v xml:space="preserve">4170048838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17.649999999999999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0.3</v>
      </c>
      <c r="BK2094">
        <v>1</v>
      </c>
      <c r="BL2094">
        <v>55.61</v>
      </c>
      <c r="BM2094">
        <v>8.34</v>
      </c>
      <c r="BN2094">
        <v>63.95</v>
      </c>
      <c r="BO2094">
        <v>63.95</v>
      </c>
      <c r="BQ2094" t="s">
        <v>2576</v>
      </c>
      <c r="BR2094" t="s">
        <v>84</v>
      </c>
      <c r="BS2094" s="3">
        <v>45854</v>
      </c>
      <c r="BT2094" s="4">
        <v>0.39583333333333331</v>
      </c>
      <c r="BU2094" t="s">
        <v>2577</v>
      </c>
      <c r="BV2094" t="s">
        <v>98</v>
      </c>
      <c r="BY2094">
        <v>1350</v>
      </c>
      <c r="BZ2094" t="s">
        <v>89</v>
      </c>
      <c r="CA2094" t="s">
        <v>245</v>
      </c>
      <c r="CC2094" t="s">
        <v>241</v>
      </c>
      <c r="CD2094">
        <v>2190</v>
      </c>
      <c r="CE2094" t="s">
        <v>1868</v>
      </c>
      <c r="CF2094" s="3">
        <v>45855</v>
      </c>
      <c r="CI2094">
        <v>1</v>
      </c>
      <c r="CJ2094">
        <v>1</v>
      </c>
      <c r="CK2094">
        <v>22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"080066577499"</f>
        <v>080066577499</v>
      </c>
      <c r="F2095" s="3">
        <v>45853</v>
      </c>
      <c r="G2095">
        <v>202604</v>
      </c>
      <c r="H2095" t="s">
        <v>75</v>
      </c>
      <c r="I2095" t="s">
        <v>76</v>
      </c>
      <c r="J2095" t="s">
        <v>77</v>
      </c>
      <c r="K2095" t="s">
        <v>78</v>
      </c>
      <c r="L2095" t="s">
        <v>252</v>
      </c>
      <c r="M2095" t="s">
        <v>253</v>
      </c>
      <c r="N2095" t="s">
        <v>254</v>
      </c>
      <c r="O2095" t="s">
        <v>82</v>
      </c>
      <c r="P2095" t="str">
        <f>"4170048881                    "</f>
        <v xml:space="preserve">4170048881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43.78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0.3</v>
      </c>
      <c r="BK2095">
        <v>1</v>
      </c>
      <c r="BL2095">
        <v>137.94</v>
      </c>
      <c r="BM2095">
        <v>20.69</v>
      </c>
      <c r="BN2095">
        <v>158.63</v>
      </c>
      <c r="BO2095">
        <v>158.63</v>
      </c>
      <c r="BQ2095" t="s">
        <v>255</v>
      </c>
      <c r="BR2095" t="s">
        <v>84</v>
      </c>
      <c r="BS2095" s="3">
        <v>45854</v>
      </c>
      <c r="BT2095" s="4">
        <v>0.40416666666666667</v>
      </c>
      <c r="BU2095" t="s">
        <v>2512</v>
      </c>
      <c r="BV2095" t="s">
        <v>98</v>
      </c>
      <c r="BY2095">
        <v>1350</v>
      </c>
      <c r="BZ2095" t="s">
        <v>89</v>
      </c>
      <c r="CA2095" t="s">
        <v>2513</v>
      </c>
      <c r="CC2095" t="s">
        <v>253</v>
      </c>
      <c r="CD2095">
        <v>1947</v>
      </c>
      <c r="CE2095" t="s">
        <v>1868</v>
      </c>
      <c r="CF2095" s="3">
        <v>45854</v>
      </c>
      <c r="CI2095">
        <v>1</v>
      </c>
      <c r="CJ2095">
        <v>1</v>
      </c>
      <c r="CK2095">
        <v>23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"080066577500"</f>
        <v>080066577500</v>
      </c>
      <c r="F2096" s="3">
        <v>45853</v>
      </c>
      <c r="G2096">
        <v>202604</v>
      </c>
      <c r="H2096" t="s">
        <v>75</v>
      </c>
      <c r="I2096" t="s">
        <v>76</v>
      </c>
      <c r="J2096" t="s">
        <v>77</v>
      </c>
      <c r="K2096" t="s">
        <v>78</v>
      </c>
      <c r="L2096" t="s">
        <v>277</v>
      </c>
      <c r="M2096" t="s">
        <v>278</v>
      </c>
      <c r="N2096" t="s">
        <v>279</v>
      </c>
      <c r="O2096" t="s">
        <v>82</v>
      </c>
      <c r="P2096" t="str">
        <f>"4170048686                    "</f>
        <v xml:space="preserve">4170048686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112.92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10</v>
      </c>
      <c r="BJ2096">
        <v>8.9</v>
      </c>
      <c r="BK2096">
        <v>10</v>
      </c>
      <c r="BL2096">
        <v>355.76</v>
      </c>
      <c r="BM2096">
        <v>53.36</v>
      </c>
      <c r="BN2096">
        <v>409.12</v>
      </c>
      <c r="BO2096">
        <v>409.12</v>
      </c>
      <c r="BQ2096" t="s">
        <v>280</v>
      </c>
      <c r="BR2096" t="s">
        <v>84</v>
      </c>
      <c r="BS2096" s="3">
        <v>45854</v>
      </c>
      <c r="BT2096" s="4">
        <v>0.40486111111111112</v>
      </c>
      <c r="BU2096" t="s">
        <v>172</v>
      </c>
      <c r="BV2096" t="s">
        <v>98</v>
      </c>
      <c r="BY2096">
        <v>44640</v>
      </c>
      <c r="BZ2096" t="s">
        <v>89</v>
      </c>
      <c r="CA2096" t="s">
        <v>282</v>
      </c>
      <c r="CC2096" t="s">
        <v>278</v>
      </c>
      <c r="CD2096">
        <v>6230</v>
      </c>
      <c r="CE2096" t="s">
        <v>117</v>
      </c>
      <c r="CF2096" s="3">
        <v>45855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"080066577526"</f>
        <v>080066577526</v>
      </c>
      <c r="F2097" s="3">
        <v>45853</v>
      </c>
      <c r="G2097">
        <v>202604</v>
      </c>
      <c r="H2097" t="s">
        <v>75</v>
      </c>
      <c r="I2097" t="s">
        <v>76</v>
      </c>
      <c r="J2097" t="s">
        <v>77</v>
      </c>
      <c r="K2097" t="s">
        <v>78</v>
      </c>
      <c r="L2097" t="s">
        <v>92</v>
      </c>
      <c r="M2097" t="s">
        <v>93</v>
      </c>
      <c r="N2097" t="s">
        <v>291</v>
      </c>
      <c r="O2097" t="s">
        <v>82</v>
      </c>
      <c r="P2097" t="str">
        <f>"4170048764                    "</f>
        <v xml:space="preserve">4170048764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22.6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1.1000000000000001</v>
      </c>
      <c r="BK2097">
        <v>1.5</v>
      </c>
      <c r="BL2097">
        <v>71.2</v>
      </c>
      <c r="BM2097">
        <v>10.68</v>
      </c>
      <c r="BN2097">
        <v>81.88</v>
      </c>
      <c r="BO2097">
        <v>81.88</v>
      </c>
      <c r="BQ2097" t="s">
        <v>292</v>
      </c>
      <c r="BR2097" t="s">
        <v>84</v>
      </c>
      <c r="BS2097" s="3">
        <v>45854</v>
      </c>
      <c r="BT2097" s="4">
        <v>0.33263888888888887</v>
      </c>
      <c r="BU2097" t="s">
        <v>1571</v>
      </c>
      <c r="BV2097" t="s">
        <v>98</v>
      </c>
      <c r="BY2097">
        <v>5320</v>
      </c>
      <c r="BZ2097" t="s">
        <v>89</v>
      </c>
      <c r="CA2097" t="s">
        <v>294</v>
      </c>
      <c r="CC2097" t="s">
        <v>93</v>
      </c>
      <c r="CD2097">
        <v>4051</v>
      </c>
      <c r="CE2097" t="s">
        <v>117</v>
      </c>
      <c r="CF2097" s="3">
        <v>45854</v>
      </c>
      <c r="CI2097">
        <v>1</v>
      </c>
      <c r="CJ2097">
        <v>1</v>
      </c>
      <c r="CK2097">
        <v>21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"080066577557"</f>
        <v>080066577557</v>
      </c>
      <c r="F2098" s="3">
        <v>45853</v>
      </c>
      <c r="G2098">
        <v>202604</v>
      </c>
      <c r="H2098" t="s">
        <v>75</v>
      </c>
      <c r="I2098" t="s">
        <v>76</v>
      </c>
      <c r="J2098" t="s">
        <v>77</v>
      </c>
      <c r="K2098" t="s">
        <v>78</v>
      </c>
      <c r="L2098" t="s">
        <v>151</v>
      </c>
      <c r="M2098" t="s">
        <v>152</v>
      </c>
      <c r="N2098" t="s">
        <v>510</v>
      </c>
      <c r="O2098" t="s">
        <v>82</v>
      </c>
      <c r="P2098" t="str">
        <f>"4170048679                    "</f>
        <v xml:space="preserve">4170048679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22.6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1.1000000000000001</v>
      </c>
      <c r="BK2098">
        <v>1.5</v>
      </c>
      <c r="BL2098">
        <v>71.2</v>
      </c>
      <c r="BM2098">
        <v>10.68</v>
      </c>
      <c r="BN2098">
        <v>81.88</v>
      </c>
      <c r="BO2098">
        <v>81.88</v>
      </c>
      <c r="BQ2098" t="s">
        <v>511</v>
      </c>
      <c r="BR2098" t="s">
        <v>84</v>
      </c>
      <c r="BS2098" s="3">
        <v>45854</v>
      </c>
      <c r="BT2098" s="4">
        <v>0.4152777777777778</v>
      </c>
      <c r="BU2098" t="s">
        <v>2518</v>
      </c>
      <c r="BV2098" t="s">
        <v>98</v>
      </c>
      <c r="BY2098">
        <v>5320</v>
      </c>
      <c r="BZ2098" t="s">
        <v>89</v>
      </c>
      <c r="CA2098" t="s">
        <v>2176</v>
      </c>
      <c r="CC2098" t="s">
        <v>152</v>
      </c>
      <c r="CD2098" s="5" t="s">
        <v>389</v>
      </c>
      <c r="CE2098" t="s">
        <v>117</v>
      </c>
      <c r="CF2098" s="3">
        <v>45854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"080066577620"</f>
        <v>080066577620</v>
      </c>
      <c r="F2099" s="3">
        <v>45853</v>
      </c>
      <c r="G2099">
        <v>202604</v>
      </c>
      <c r="H2099" t="s">
        <v>75</v>
      </c>
      <c r="I2099" t="s">
        <v>76</v>
      </c>
      <c r="J2099" t="s">
        <v>77</v>
      </c>
      <c r="K2099" t="s">
        <v>78</v>
      </c>
      <c r="L2099" t="s">
        <v>758</v>
      </c>
      <c r="M2099" t="s">
        <v>759</v>
      </c>
      <c r="N2099" t="s">
        <v>760</v>
      </c>
      <c r="O2099" t="s">
        <v>82</v>
      </c>
      <c r="P2099" t="str">
        <f>"4170048867                    "</f>
        <v xml:space="preserve">4170048867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281.05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14</v>
      </c>
      <c r="BJ2099">
        <v>8.9</v>
      </c>
      <c r="BK2099">
        <v>14</v>
      </c>
      <c r="BL2099">
        <v>885.45</v>
      </c>
      <c r="BM2099">
        <v>132.82</v>
      </c>
      <c r="BN2099">
        <v>1018.27</v>
      </c>
      <c r="BO2099">
        <v>1018.27</v>
      </c>
      <c r="BQ2099" t="s">
        <v>761</v>
      </c>
      <c r="BR2099" t="s">
        <v>84</v>
      </c>
      <c r="BS2099" s="3">
        <v>45854</v>
      </c>
      <c r="BT2099" s="4">
        <v>0.51041666666666663</v>
      </c>
      <c r="BU2099" t="s">
        <v>1819</v>
      </c>
      <c r="BV2099" t="s">
        <v>98</v>
      </c>
      <c r="BY2099">
        <v>44640</v>
      </c>
      <c r="BZ2099" t="s">
        <v>89</v>
      </c>
      <c r="CA2099" t="s">
        <v>763</v>
      </c>
      <c r="CC2099" t="s">
        <v>759</v>
      </c>
      <c r="CD2099">
        <v>2531</v>
      </c>
      <c r="CE2099" t="s">
        <v>117</v>
      </c>
      <c r="CF2099" s="3">
        <v>45855</v>
      </c>
      <c r="CI2099">
        <v>1</v>
      </c>
      <c r="CJ2099">
        <v>1</v>
      </c>
      <c r="CK2099">
        <v>23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"080066577659"</f>
        <v>080066577659</v>
      </c>
      <c r="F2100" s="3">
        <v>45853</v>
      </c>
      <c r="G2100">
        <v>202604</v>
      </c>
      <c r="H2100" t="s">
        <v>75</v>
      </c>
      <c r="I2100" t="s">
        <v>76</v>
      </c>
      <c r="J2100" t="s">
        <v>77</v>
      </c>
      <c r="K2100" t="s">
        <v>78</v>
      </c>
      <c r="L2100" t="s">
        <v>168</v>
      </c>
      <c r="M2100" t="s">
        <v>169</v>
      </c>
      <c r="N2100" t="s">
        <v>206</v>
      </c>
      <c r="O2100" t="s">
        <v>82</v>
      </c>
      <c r="P2100" t="str">
        <f>"4170048678                    "</f>
        <v xml:space="preserve">4170048678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135.5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2</v>
      </c>
      <c r="BI2100">
        <v>12</v>
      </c>
      <c r="BJ2100">
        <v>10</v>
      </c>
      <c r="BK2100">
        <v>12</v>
      </c>
      <c r="BL2100">
        <v>426.9</v>
      </c>
      <c r="BM2100">
        <v>64.040000000000006</v>
      </c>
      <c r="BN2100">
        <v>490.94</v>
      </c>
      <c r="BO2100">
        <v>490.94</v>
      </c>
      <c r="BQ2100" t="s">
        <v>207</v>
      </c>
      <c r="BR2100" t="s">
        <v>84</v>
      </c>
      <c r="BS2100" s="3">
        <v>45854</v>
      </c>
      <c r="BT2100" s="4">
        <v>0.41666666666666669</v>
      </c>
      <c r="BU2100" t="s">
        <v>2414</v>
      </c>
      <c r="BV2100" t="s">
        <v>98</v>
      </c>
      <c r="BY2100">
        <v>49780</v>
      </c>
      <c r="BZ2100" t="s">
        <v>89</v>
      </c>
      <c r="CA2100" t="s">
        <v>196</v>
      </c>
      <c r="CC2100" t="s">
        <v>169</v>
      </c>
      <c r="CD2100">
        <v>6001</v>
      </c>
      <c r="CE2100" t="s">
        <v>117</v>
      </c>
      <c r="CF2100" s="3">
        <v>45854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"080066577699"</f>
        <v>080066577699</v>
      </c>
      <c r="F2101" s="3">
        <v>45853</v>
      </c>
      <c r="G2101">
        <v>202604</v>
      </c>
      <c r="H2101" t="s">
        <v>75</v>
      </c>
      <c r="I2101" t="s">
        <v>76</v>
      </c>
      <c r="J2101" t="s">
        <v>77</v>
      </c>
      <c r="K2101" t="s">
        <v>78</v>
      </c>
      <c r="L2101" t="s">
        <v>758</v>
      </c>
      <c r="M2101" t="s">
        <v>759</v>
      </c>
      <c r="N2101" t="s">
        <v>760</v>
      </c>
      <c r="O2101" t="s">
        <v>95</v>
      </c>
      <c r="P2101" t="str">
        <f>"4170048938                    "</f>
        <v xml:space="preserve">4170048938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71.08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11</v>
      </c>
      <c r="BJ2101">
        <v>17.7</v>
      </c>
      <c r="BK2101">
        <v>18</v>
      </c>
      <c r="BL2101">
        <v>229.81</v>
      </c>
      <c r="BM2101">
        <v>34.47</v>
      </c>
      <c r="BN2101">
        <v>264.27999999999997</v>
      </c>
      <c r="BO2101">
        <v>264.27999999999997</v>
      </c>
      <c r="BQ2101" t="s">
        <v>761</v>
      </c>
      <c r="BR2101" t="s">
        <v>84</v>
      </c>
      <c r="BS2101" s="3">
        <v>45854</v>
      </c>
      <c r="BT2101" s="4">
        <v>0.51111111111111107</v>
      </c>
      <c r="BU2101" t="s">
        <v>2578</v>
      </c>
      <c r="BV2101" t="s">
        <v>98</v>
      </c>
      <c r="BY2101">
        <v>88320</v>
      </c>
      <c r="BZ2101" t="s">
        <v>99</v>
      </c>
      <c r="CA2101" t="s">
        <v>763</v>
      </c>
      <c r="CC2101" t="s">
        <v>759</v>
      </c>
      <c r="CD2101">
        <v>2531</v>
      </c>
      <c r="CE2101" t="s">
        <v>117</v>
      </c>
      <c r="CF2101" s="3">
        <v>45855</v>
      </c>
      <c r="CI2101">
        <v>1</v>
      </c>
      <c r="CJ2101">
        <v>1</v>
      </c>
      <c r="CK2101">
        <v>43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"080066578228"</f>
        <v>080066578228</v>
      </c>
      <c r="F2102" s="3">
        <v>45853</v>
      </c>
      <c r="G2102">
        <v>202604</v>
      </c>
      <c r="H2102" t="s">
        <v>75</v>
      </c>
      <c r="I2102" t="s">
        <v>76</v>
      </c>
      <c r="J2102" t="s">
        <v>77</v>
      </c>
      <c r="K2102" t="s">
        <v>78</v>
      </c>
      <c r="L2102" t="s">
        <v>295</v>
      </c>
      <c r="M2102" t="s">
        <v>296</v>
      </c>
      <c r="N2102" t="s">
        <v>433</v>
      </c>
      <c r="O2102" t="s">
        <v>82</v>
      </c>
      <c r="P2102" t="str">
        <f>"4170048953                    "</f>
        <v xml:space="preserve">4170048953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17.649999999999999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1.7</v>
      </c>
      <c r="BK2102">
        <v>3</v>
      </c>
      <c r="BL2102">
        <v>55.61</v>
      </c>
      <c r="BM2102">
        <v>8.34</v>
      </c>
      <c r="BN2102">
        <v>63.95</v>
      </c>
      <c r="BO2102">
        <v>63.95</v>
      </c>
      <c r="BQ2102" t="s">
        <v>434</v>
      </c>
      <c r="BR2102" t="s">
        <v>84</v>
      </c>
      <c r="BS2102" s="3">
        <v>45854</v>
      </c>
      <c r="BT2102" s="4">
        <v>0.37708333333333333</v>
      </c>
      <c r="BU2102" t="s">
        <v>2579</v>
      </c>
      <c r="BV2102" t="s">
        <v>98</v>
      </c>
      <c r="BY2102">
        <v>8512</v>
      </c>
      <c r="BZ2102" t="s">
        <v>89</v>
      </c>
      <c r="CA2102" t="s">
        <v>300</v>
      </c>
      <c r="CC2102" t="s">
        <v>296</v>
      </c>
      <c r="CD2102">
        <v>1459</v>
      </c>
      <c r="CE2102" t="s">
        <v>117</v>
      </c>
      <c r="CF2102" s="3">
        <v>45854</v>
      </c>
      <c r="CI2102">
        <v>1</v>
      </c>
      <c r="CJ2102">
        <v>1</v>
      </c>
      <c r="CK2102">
        <v>22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"080066578261"</f>
        <v>080066578261</v>
      </c>
      <c r="F2103" s="3">
        <v>45853</v>
      </c>
      <c r="G2103">
        <v>202604</v>
      </c>
      <c r="H2103" t="s">
        <v>75</v>
      </c>
      <c r="I2103" t="s">
        <v>76</v>
      </c>
      <c r="J2103" t="s">
        <v>77</v>
      </c>
      <c r="K2103" t="s">
        <v>78</v>
      </c>
      <c r="L2103" t="s">
        <v>240</v>
      </c>
      <c r="M2103" t="s">
        <v>241</v>
      </c>
      <c r="N2103" t="s">
        <v>2141</v>
      </c>
      <c r="O2103" t="s">
        <v>82</v>
      </c>
      <c r="P2103" t="str">
        <f>"4170048692                    "</f>
        <v xml:space="preserve">4170048692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17.649999999999999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1.7</v>
      </c>
      <c r="BK2103">
        <v>2</v>
      </c>
      <c r="BL2103">
        <v>55.61</v>
      </c>
      <c r="BM2103">
        <v>8.34</v>
      </c>
      <c r="BN2103">
        <v>63.95</v>
      </c>
      <c r="BO2103">
        <v>63.95</v>
      </c>
      <c r="BQ2103" t="s">
        <v>2142</v>
      </c>
      <c r="BR2103" t="s">
        <v>84</v>
      </c>
      <c r="BS2103" s="3">
        <v>45854</v>
      </c>
      <c r="BT2103" s="4">
        <v>0.43194444444444446</v>
      </c>
      <c r="BU2103" t="s">
        <v>2143</v>
      </c>
      <c r="BV2103" t="s">
        <v>98</v>
      </c>
      <c r="BY2103">
        <v>8512</v>
      </c>
      <c r="BZ2103" t="s">
        <v>89</v>
      </c>
      <c r="CA2103" t="s">
        <v>245</v>
      </c>
      <c r="CC2103" t="s">
        <v>241</v>
      </c>
      <c r="CD2103">
        <v>2190</v>
      </c>
      <c r="CE2103" t="s">
        <v>117</v>
      </c>
      <c r="CF2103" s="3">
        <v>45855</v>
      </c>
      <c r="CI2103">
        <v>1</v>
      </c>
      <c r="CJ2103">
        <v>1</v>
      </c>
      <c r="CK2103">
        <v>22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"080066578356"</f>
        <v>080066578356</v>
      </c>
      <c r="F2104" s="3">
        <v>45853</v>
      </c>
      <c r="G2104">
        <v>202604</v>
      </c>
      <c r="H2104" t="s">
        <v>75</v>
      </c>
      <c r="I2104" t="s">
        <v>76</v>
      </c>
      <c r="J2104" t="s">
        <v>77</v>
      </c>
      <c r="K2104" t="s">
        <v>78</v>
      </c>
      <c r="L2104" t="s">
        <v>79</v>
      </c>
      <c r="M2104" t="s">
        <v>80</v>
      </c>
      <c r="N2104" t="s">
        <v>141</v>
      </c>
      <c r="O2104" t="s">
        <v>82</v>
      </c>
      <c r="P2104" t="str">
        <f>"4170048707                    "</f>
        <v xml:space="preserve">4170048707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22.6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1.1000000000000001</v>
      </c>
      <c r="BK2104">
        <v>1.5</v>
      </c>
      <c r="BL2104">
        <v>71.2</v>
      </c>
      <c r="BM2104">
        <v>10.68</v>
      </c>
      <c r="BN2104">
        <v>81.88</v>
      </c>
      <c r="BO2104">
        <v>81.88</v>
      </c>
      <c r="BQ2104" t="s">
        <v>142</v>
      </c>
      <c r="BR2104" t="s">
        <v>84</v>
      </c>
      <c r="BS2104" s="3">
        <v>45854</v>
      </c>
      <c r="BT2104" s="4">
        <v>0.41111111111111109</v>
      </c>
      <c r="BU2104" t="s">
        <v>143</v>
      </c>
      <c r="BV2104" t="s">
        <v>98</v>
      </c>
      <c r="BY2104">
        <v>5320</v>
      </c>
      <c r="BZ2104" t="s">
        <v>89</v>
      </c>
      <c r="CA2104" t="s">
        <v>144</v>
      </c>
      <c r="CC2104" t="s">
        <v>80</v>
      </c>
      <c r="CD2104">
        <v>7441</v>
      </c>
      <c r="CE2104" t="s">
        <v>117</v>
      </c>
      <c r="CF2104" s="3">
        <v>45855</v>
      </c>
      <c r="CI2104">
        <v>1</v>
      </c>
      <c r="CJ2104">
        <v>1</v>
      </c>
      <c r="CK2104">
        <v>21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"080066578380"</f>
        <v>080066578380</v>
      </c>
      <c r="F2105" s="3">
        <v>45853</v>
      </c>
      <c r="G2105">
        <v>202604</v>
      </c>
      <c r="H2105" t="s">
        <v>75</v>
      </c>
      <c r="I2105" t="s">
        <v>76</v>
      </c>
      <c r="J2105" t="s">
        <v>77</v>
      </c>
      <c r="K2105" t="s">
        <v>78</v>
      </c>
      <c r="L2105" t="s">
        <v>1291</v>
      </c>
      <c r="M2105" t="s">
        <v>1292</v>
      </c>
      <c r="N2105" t="s">
        <v>1293</v>
      </c>
      <c r="O2105" t="s">
        <v>82</v>
      </c>
      <c r="P2105" t="str">
        <f>"4170048909                    "</f>
        <v xml:space="preserve">4170048909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43.78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0.3</v>
      </c>
      <c r="BK2105">
        <v>1</v>
      </c>
      <c r="BL2105">
        <v>137.94</v>
      </c>
      <c r="BM2105">
        <v>20.69</v>
      </c>
      <c r="BN2105">
        <v>158.63</v>
      </c>
      <c r="BO2105">
        <v>158.63</v>
      </c>
      <c r="BQ2105" t="s">
        <v>1294</v>
      </c>
      <c r="BR2105" t="s">
        <v>84</v>
      </c>
      <c r="BS2105" s="3">
        <v>45854</v>
      </c>
      <c r="BT2105" s="4">
        <v>0.45069444444444445</v>
      </c>
      <c r="BU2105" t="s">
        <v>1295</v>
      </c>
      <c r="BV2105" t="s">
        <v>98</v>
      </c>
      <c r="BY2105">
        <v>1350</v>
      </c>
      <c r="BZ2105" t="s">
        <v>89</v>
      </c>
      <c r="CA2105" t="s">
        <v>1296</v>
      </c>
      <c r="CC2105" t="s">
        <v>1292</v>
      </c>
      <c r="CD2105">
        <v>3370</v>
      </c>
      <c r="CE2105" t="s">
        <v>1868</v>
      </c>
      <c r="CF2105" s="3">
        <v>45855</v>
      </c>
      <c r="CI2105">
        <v>2</v>
      </c>
      <c r="CJ2105">
        <v>1</v>
      </c>
      <c r="CK2105">
        <v>23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"080066578402"</f>
        <v>080066578402</v>
      </c>
      <c r="F2106" s="3">
        <v>45853</v>
      </c>
      <c r="G2106">
        <v>202604</v>
      </c>
      <c r="H2106" t="s">
        <v>75</v>
      </c>
      <c r="I2106" t="s">
        <v>76</v>
      </c>
      <c r="J2106" t="s">
        <v>77</v>
      </c>
      <c r="K2106" t="s">
        <v>78</v>
      </c>
      <c r="L2106" t="s">
        <v>240</v>
      </c>
      <c r="M2106" t="s">
        <v>241</v>
      </c>
      <c r="N2106" t="s">
        <v>2580</v>
      </c>
      <c r="O2106" t="s">
        <v>82</v>
      </c>
      <c r="P2106" t="str">
        <f>"4170048934                    "</f>
        <v xml:space="preserve">4170048934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17.649999999999999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1.1000000000000001</v>
      </c>
      <c r="BK2106">
        <v>2</v>
      </c>
      <c r="BL2106">
        <v>55.61</v>
      </c>
      <c r="BM2106">
        <v>8.34</v>
      </c>
      <c r="BN2106">
        <v>63.95</v>
      </c>
      <c r="BO2106">
        <v>63.95</v>
      </c>
      <c r="BQ2106" t="s">
        <v>2581</v>
      </c>
      <c r="BR2106" t="s">
        <v>84</v>
      </c>
      <c r="BS2106" s="3">
        <v>45854</v>
      </c>
      <c r="BT2106" s="4">
        <v>0.34027777777777779</v>
      </c>
      <c r="BU2106" t="s">
        <v>2582</v>
      </c>
      <c r="BV2106" t="s">
        <v>98</v>
      </c>
      <c r="BY2106">
        <v>5320</v>
      </c>
      <c r="BZ2106" t="s">
        <v>89</v>
      </c>
      <c r="CA2106" t="s">
        <v>613</v>
      </c>
      <c r="CC2106" t="s">
        <v>241</v>
      </c>
      <c r="CD2106">
        <v>2094</v>
      </c>
      <c r="CE2106" t="s">
        <v>117</v>
      </c>
      <c r="CF2106" s="3">
        <v>45854</v>
      </c>
      <c r="CI2106">
        <v>1</v>
      </c>
      <c r="CJ2106">
        <v>1</v>
      </c>
      <c r="CK2106">
        <v>22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"080066578448"</f>
        <v>080066578448</v>
      </c>
      <c r="F2107" s="3">
        <v>45853</v>
      </c>
      <c r="G2107">
        <v>202604</v>
      </c>
      <c r="H2107" t="s">
        <v>75</v>
      </c>
      <c r="I2107" t="s">
        <v>76</v>
      </c>
      <c r="J2107" t="s">
        <v>77</v>
      </c>
      <c r="K2107" t="s">
        <v>78</v>
      </c>
      <c r="L2107" t="s">
        <v>92</v>
      </c>
      <c r="M2107" t="s">
        <v>93</v>
      </c>
      <c r="N2107" t="s">
        <v>2583</v>
      </c>
      <c r="O2107" t="s">
        <v>82</v>
      </c>
      <c r="P2107" t="str">
        <f>"4170048915                    "</f>
        <v xml:space="preserve">4170048915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22.6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0.3</v>
      </c>
      <c r="BK2107">
        <v>1</v>
      </c>
      <c r="BL2107">
        <v>71.2</v>
      </c>
      <c r="BM2107">
        <v>10.68</v>
      </c>
      <c r="BN2107">
        <v>81.88</v>
      </c>
      <c r="BO2107">
        <v>81.88</v>
      </c>
      <c r="BQ2107" t="s">
        <v>2584</v>
      </c>
      <c r="BR2107" t="s">
        <v>84</v>
      </c>
      <c r="BS2107" s="3">
        <v>45854</v>
      </c>
      <c r="BT2107" s="4">
        <v>0.42986111111111114</v>
      </c>
      <c r="BU2107" t="s">
        <v>2585</v>
      </c>
      <c r="BV2107" t="s">
        <v>98</v>
      </c>
      <c r="BY2107">
        <v>1350</v>
      </c>
      <c r="BZ2107" t="s">
        <v>89</v>
      </c>
      <c r="CA2107" t="s">
        <v>2430</v>
      </c>
      <c r="CC2107" t="s">
        <v>93</v>
      </c>
      <c r="CD2107">
        <v>4051</v>
      </c>
      <c r="CE2107" t="s">
        <v>1868</v>
      </c>
      <c r="CF2107" s="3">
        <v>45854</v>
      </c>
      <c r="CI2107">
        <v>1</v>
      </c>
      <c r="CJ2107">
        <v>1</v>
      </c>
      <c r="CK2107">
        <v>21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"080066578472"</f>
        <v>080066578472</v>
      </c>
      <c r="F2108" s="3">
        <v>45853</v>
      </c>
      <c r="G2108">
        <v>202604</v>
      </c>
      <c r="H2108" t="s">
        <v>75</v>
      </c>
      <c r="I2108" t="s">
        <v>76</v>
      </c>
      <c r="J2108" t="s">
        <v>77</v>
      </c>
      <c r="K2108" t="s">
        <v>78</v>
      </c>
      <c r="L2108" t="s">
        <v>240</v>
      </c>
      <c r="M2108" t="s">
        <v>241</v>
      </c>
      <c r="N2108" t="s">
        <v>2575</v>
      </c>
      <c r="O2108" t="s">
        <v>82</v>
      </c>
      <c r="P2108" t="str">
        <f>"4170048832                    "</f>
        <v xml:space="preserve">4170048832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17.649999999999999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0.3</v>
      </c>
      <c r="BK2108">
        <v>1</v>
      </c>
      <c r="BL2108">
        <v>55.61</v>
      </c>
      <c r="BM2108">
        <v>8.34</v>
      </c>
      <c r="BN2108">
        <v>63.95</v>
      </c>
      <c r="BO2108">
        <v>63.95</v>
      </c>
      <c r="BQ2108" t="s">
        <v>2576</v>
      </c>
      <c r="BR2108" t="s">
        <v>84</v>
      </c>
      <c r="BS2108" s="3">
        <v>45854</v>
      </c>
      <c r="BT2108" s="4">
        <v>0.39583333333333331</v>
      </c>
      <c r="BU2108" t="s">
        <v>2577</v>
      </c>
      <c r="BV2108" t="s">
        <v>98</v>
      </c>
      <c r="BY2108">
        <v>1350</v>
      </c>
      <c r="BZ2108" t="s">
        <v>89</v>
      </c>
      <c r="CA2108" t="s">
        <v>245</v>
      </c>
      <c r="CC2108" t="s">
        <v>241</v>
      </c>
      <c r="CD2108">
        <v>2190</v>
      </c>
      <c r="CE2108" t="s">
        <v>1868</v>
      </c>
      <c r="CF2108" s="3">
        <v>45855</v>
      </c>
      <c r="CI2108">
        <v>1</v>
      </c>
      <c r="CJ2108">
        <v>1</v>
      </c>
      <c r="CK2108">
        <v>22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"080066578492"</f>
        <v>080066578492</v>
      </c>
      <c r="F2109" s="3">
        <v>45853</v>
      </c>
      <c r="G2109">
        <v>202604</v>
      </c>
      <c r="H2109" t="s">
        <v>75</v>
      </c>
      <c r="I2109" t="s">
        <v>76</v>
      </c>
      <c r="J2109" t="s">
        <v>77</v>
      </c>
      <c r="K2109" t="s">
        <v>78</v>
      </c>
      <c r="L2109" t="s">
        <v>92</v>
      </c>
      <c r="M2109" t="s">
        <v>93</v>
      </c>
      <c r="N2109" t="s">
        <v>291</v>
      </c>
      <c r="O2109" t="s">
        <v>82</v>
      </c>
      <c r="P2109" t="str">
        <f>"4170048912                    "</f>
        <v xml:space="preserve">4170048912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22.6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0.3</v>
      </c>
      <c r="BK2109">
        <v>1</v>
      </c>
      <c r="BL2109">
        <v>71.2</v>
      </c>
      <c r="BM2109">
        <v>10.68</v>
      </c>
      <c r="BN2109">
        <v>81.88</v>
      </c>
      <c r="BO2109">
        <v>81.88</v>
      </c>
      <c r="BQ2109" t="s">
        <v>292</v>
      </c>
      <c r="BR2109" t="s">
        <v>84</v>
      </c>
      <c r="BS2109" s="3">
        <v>45854</v>
      </c>
      <c r="BT2109" s="4">
        <v>0.33263888888888887</v>
      </c>
      <c r="BU2109" t="s">
        <v>1571</v>
      </c>
      <c r="BV2109" t="s">
        <v>98</v>
      </c>
      <c r="BY2109">
        <v>1350</v>
      </c>
      <c r="BZ2109" t="s">
        <v>89</v>
      </c>
      <c r="CA2109" t="s">
        <v>294</v>
      </c>
      <c r="CC2109" t="s">
        <v>93</v>
      </c>
      <c r="CD2109">
        <v>4051</v>
      </c>
      <c r="CE2109" t="s">
        <v>1868</v>
      </c>
      <c r="CF2109" s="3">
        <v>45854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"080066578508"</f>
        <v>080066578508</v>
      </c>
      <c r="F2110" s="3">
        <v>45853</v>
      </c>
      <c r="G2110">
        <v>202604</v>
      </c>
      <c r="H2110" t="s">
        <v>75</v>
      </c>
      <c r="I2110" t="s">
        <v>76</v>
      </c>
      <c r="J2110" t="s">
        <v>77</v>
      </c>
      <c r="K2110" t="s">
        <v>78</v>
      </c>
      <c r="L2110" t="s">
        <v>151</v>
      </c>
      <c r="M2110" t="s">
        <v>152</v>
      </c>
      <c r="N2110" t="s">
        <v>2586</v>
      </c>
      <c r="O2110" t="s">
        <v>82</v>
      </c>
      <c r="P2110" t="str">
        <f>"4170048914                    "</f>
        <v xml:space="preserve">4170048914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22.6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71.2</v>
      </c>
      <c r="BM2110">
        <v>10.68</v>
      </c>
      <c r="BN2110">
        <v>81.88</v>
      </c>
      <c r="BO2110">
        <v>81.88</v>
      </c>
      <c r="BQ2110" t="s">
        <v>2587</v>
      </c>
      <c r="BR2110" t="s">
        <v>84</v>
      </c>
      <c r="BS2110" s="3">
        <v>45856</v>
      </c>
      <c r="BT2110" s="4">
        <v>0.58680555555555558</v>
      </c>
      <c r="BU2110" t="s">
        <v>2588</v>
      </c>
      <c r="BV2110" t="s">
        <v>86</v>
      </c>
      <c r="BW2110" t="s">
        <v>395</v>
      </c>
      <c r="BX2110" t="s">
        <v>2589</v>
      </c>
      <c r="BY2110">
        <v>1200</v>
      </c>
      <c r="CC2110" t="s">
        <v>152</v>
      </c>
      <c r="CD2110" s="5" t="s">
        <v>1141</v>
      </c>
      <c r="CE2110" t="s">
        <v>258</v>
      </c>
      <c r="CF2110" s="3">
        <v>45856</v>
      </c>
      <c r="CI2110">
        <v>1</v>
      </c>
      <c r="CJ2110">
        <v>3</v>
      </c>
      <c r="CK2110">
        <v>21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"080066578533"</f>
        <v>080066578533</v>
      </c>
      <c r="F2111" s="3">
        <v>45853</v>
      </c>
      <c r="G2111">
        <v>202604</v>
      </c>
      <c r="H2111" t="s">
        <v>75</v>
      </c>
      <c r="I2111" t="s">
        <v>76</v>
      </c>
      <c r="J2111" t="s">
        <v>77</v>
      </c>
      <c r="K2111" t="s">
        <v>78</v>
      </c>
      <c r="L2111" t="s">
        <v>363</v>
      </c>
      <c r="M2111" t="s">
        <v>364</v>
      </c>
      <c r="N2111" t="s">
        <v>365</v>
      </c>
      <c r="O2111" t="s">
        <v>82</v>
      </c>
      <c r="P2111" t="str">
        <f>"4170048926                    "</f>
        <v xml:space="preserve">4170048926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43.78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0.3</v>
      </c>
      <c r="BK2111">
        <v>1</v>
      </c>
      <c r="BL2111">
        <v>137.94</v>
      </c>
      <c r="BM2111">
        <v>20.69</v>
      </c>
      <c r="BN2111">
        <v>158.63</v>
      </c>
      <c r="BO2111">
        <v>158.63</v>
      </c>
      <c r="BQ2111" t="s">
        <v>366</v>
      </c>
      <c r="BR2111" t="s">
        <v>84</v>
      </c>
      <c r="BS2111" s="3">
        <v>45854</v>
      </c>
      <c r="BT2111" s="4">
        <v>0.62847222222222221</v>
      </c>
      <c r="BU2111" t="s">
        <v>2519</v>
      </c>
      <c r="BV2111" t="s">
        <v>98</v>
      </c>
      <c r="BY2111">
        <v>1350</v>
      </c>
      <c r="BZ2111" t="s">
        <v>89</v>
      </c>
      <c r="CA2111" t="s">
        <v>522</v>
      </c>
      <c r="CC2111" t="s">
        <v>364</v>
      </c>
      <c r="CD2111">
        <v>7300</v>
      </c>
      <c r="CE2111" t="s">
        <v>1868</v>
      </c>
      <c r="CF2111" s="3">
        <v>45855</v>
      </c>
      <c r="CI2111">
        <v>1</v>
      </c>
      <c r="CJ2111">
        <v>1</v>
      </c>
      <c r="CK2111">
        <v>23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"080066578553"</f>
        <v>080066578553</v>
      </c>
      <c r="F2112" s="3">
        <v>45853</v>
      </c>
      <c r="G2112">
        <v>202604</v>
      </c>
      <c r="H2112" t="s">
        <v>75</v>
      </c>
      <c r="I2112" t="s">
        <v>76</v>
      </c>
      <c r="J2112" t="s">
        <v>77</v>
      </c>
      <c r="K2112" t="s">
        <v>78</v>
      </c>
      <c r="L2112" t="s">
        <v>277</v>
      </c>
      <c r="M2112" t="s">
        <v>278</v>
      </c>
      <c r="N2112" t="s">
        <v>1473</v>
      </c>
      <c r="O2112" t="s">
        <v>82</v>
      </c>
      <c r="P2112" t="str">
        <f>"4170048736                    "</f>
        <v xml:space="preserve">4170048736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67.760000000000005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6</v>
      </c>
      <c r="BJ2112">
        <v>2.6</v>
      </c>
      <c r="BK2112">
        <v>6</v>
      </c>
      <c r="BL2112">
        <v>213.48</v>
      </c>
      <c r="BM2112">
        <v>32.020000000000003</v>
      </c>
      <c r="BN2112">
        <v>245.5</v>
      </c>
      <c r="BO2112">
        <v>245.5</v>
      </c>
      <c r="BQ2112" t="s">
        <v>1474</v>
      </c>
      <c r="BR2112" t="s">
        <v>84</v>
      </c>
      <c r="BS2112" s="3">
        <v>45854</v>
      </c>
      <c r="BT2112" s="4">
        <v>0.41319444444444442</v>
      </c>
      <c r="BU2112" t="s">
        <v>1475</v>
      </c>
      <c r="BV2112" t="s">
        <v>98</v>
      </c>
      <c r="BY2112">
        <v>12768</v>
      </c>
      <c r="BZ2112" t="s">
        <v>89</v>
      </c>
      <c r="CA2112" t="s">
        <v>282</v>
      </c>
      <c r="CC2112" t="s">
        <v>278</v>
      </c>
      <c r="CD2112">
        <v>6229</v>
      </c>
      <c r="CE2112" t="s">
        <v>117</v>
      </c>
      <c r="CF2112" s="3">
        <v>45854</v>
      </c>
      <c r="CI2112">
        <v>1</v>
      </c>
      <c r="CJ2112">
        <v>1</v>
      </c>
      <c r="CK2112">
        <v>21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"080066578566"</f>
        <v>080066578566</v>
      </c>
      <c r="F2113" s="3">
        <v>45853</v>
      </c>
      <c r="G2113">
        <v>202604</v>
      </c>
      <c r="H2113" t="s">
        <v>75</v>
      </c>
      <c r="I2113" t="s">
        <v>76</v>
      </c>
      <c r="J2113" t="s">
        <v>77</v>
      </c>
      <c r="K2113" t="s">
        <v>78</v>
      </c>
      <c r="L2113" t="s">
        <v>554</v>
      </c>
      <c r="M2113" t="s">
        <v>555</v>
      </c>
      <c r="N2113" t="s">
        <v>556</v>
      </c>
      <c r="O2113" t="s">
        <v>82</v>
      </c>
      <c r="P2113" t="str">
        <f>"4170048905                    "</f>
        <v xml:space="preserve">4170048905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22.6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0.3</v>
      </c>
      <c r="BK2113">
        <v>1</v>
      </c>
      <c r="BL2113">
        <v>71.2</v>
      </c>
      <c r="BM2113">
        <v>10.68</v>
      </c>
      <c r="BN2113">
        <v>81.88</v>
      </c>
      <c r="BO2113">
        <v>81.88</v>
      </c>
      <c r="BQ2113" t="s">
        <v>557</v>
      </c>
      <c r="BR2113" t="s">
        <v>84</v>
      </c>
      <c r="BS2113" s="3">
        <v>45854</v>
      </c>
      <c r="BT2113" s="4">
        <v>0.3611111111111111</v>
      </c>
      <c r="BU2113" t="s">
        <v>558</v>
      </c>
      <c r="BV2113" t="s">
        <v>98</v>
      </c>
      <c r="BY2113">
        <v>1350</v>
      </c>
      <c r="BZ2113" t="s">
        <v>89</v>
      </c>
      <c r="CA2113" t="s">
        <v>559</v>
      </c>
      <c r="CC2113" t="s">
        <v>555</v>
      </c>
      <c r="CD2113" s="5" t="s">
        <v>560</v>
      </c>
      <c r="CE2113" t="s">
        <v>1868</v>
      </c>
      <c r="CF2113" s="3">
        <v>45854</v>
      </c>
      <c r="CI2113">
        <v>1</v>
      </c>
      <c r="CJ2113">
        <v>1</v>
      </c>
      <c r="CK2113">
        <v>21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"080066578613"</f>
        <v>080066578613</v>
      </c>
      <c r="F2114" s="3">
        <v>45853</v>
      </c>
      <c r="G2114">
        <v>202604</v>
      </c>
      <c r="H2114" t="s">
        <v>75</v>
      </c>
      <c r="I2114" t="s">
        <v>76</v>
      </c>
      <c r="J2114" t="s">
        <v>77</v>
      </c>
      <c r="K2114" t="s">
        <v>78</v>
      </c>
      <c r="L2114" t="s">
        <v>277</v>
      </c>
      <c r="M2114" t="s">
        <v>278</v>
      </c>
      <c r="N2114" t="s">
        <v>279</v>
      </c>
      <c r="O2114" t="s">
        <v>82</v>
      </c>
      <c r="P2114" t="str">
        <f>"4170048919                    "</f>
        <v xml:space="preserve">4170048919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22.6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0.3</v>
      </c>
      <c r="BK2114">
        <v>1</v>
      </c>
      <c r="BL2114">
        <v>71.2</v>
      </c>
      <c r="BM2114">
        <v>10.68</v>
      </c>
      <c r="BN2114">
        <v>81.88</v>
      </c>
      <c r="BO2114">
        <v>81.88</v>
      </c>
      <c r="BQ2114" t="s">
        <v>280</v>
      </c>
      <c r="BR2114" t="s">
        <v>84</v>
      </c>
      <c r="BS2114" s="3">
        <v>45854</v>
      </c>
      <c r="BT2114" s="4">
        <v>0.40277777777777779</v>
      </c>
      <c r="BU2114" t="s">
        <v>172</v>
      </c>
      <c r="BV2114" t="s">
        <v>98</v>
      </c>
      <c r="BY2114">
        <v>1350</v>
      </c>
      <c r="BZ2114" t="s">
        <v>89</v>
      </c>
      <c r="CA2114" t="s">
        <v>282</v>
      </c>
      <c r="CC2114" t="s">
        <v>278</v>
      </c>
      <c r="CD2114">
        <v>6230</v>
      </c>
      <c r="CE2114" t="s">
        <v>1868</v>
      </c>
      <c r="CF2114" s="3">
        <v>45854</v>
      </c>
      <c r="CI2114">
        <v>1</v>
      </c>
      <c r="CJ2114">
        <v>1</v>
      </c>
      <c r="CK2114">
        <v>21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"080066578611"</f>
        <v>080066578611</v>
      </c>
      <c r="F2115" s="3">
        <v>45853</v>
      </c>
      <c r="G2115">
        <v>202604</v>
      </c>
      <c r="H2115" t="s">
        <v>75</v>
      </c>
      <c r="I2115" t="s">
        <v>76</v>
      </c>
      <c r="J2115" t="s">
        <v>77</v>
      </c>
      <c r="K2115" t="s">
        <v>78</v>
      </c>
      <c r="L2115" t="s">
        <v>1447</v>
      </c>
      <c r="M2115" t="s">
        <v>1448</v>
      </c>
      <c r="N2115" t="s">
        <v>1449</v>
      </c>
      <c r="O2115" t="s">
        <v>95</v>
      </c>
      <c r="P2115" t="str">
        <f>"4170048913                    "</f>
        <v xml:space="preserve">4170048913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61.64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2</v>
      </c>
      <c r="BI2115">
        <v>7</v>
      </c>
      <c r="BJ2115">
        <v>4.2</v>
      </c>
      <c r="BK2115">
        <v>7</v>
      </c>
      <c r="BL2115">
        <v>200.06</v>
      </c>
      <c r="BM2115">
        <v>30.01</v>
      </c>
      <c r="BN2115">
        <v>230.07</v>
      </c>
      <c r="BO2115">
        <v>230.07</v>
      </c>
      <c r="BQ2115" t="s">
        <v>1450</v>
      </c>
      <c r="BR2115" t="s">
        <v>84</v>
      </c>
      <c r="BS2115" s="3">
        <v>45854</v>
      </c>
      <c r="BT2115" s="4">
        <v>0.66597222222222219</v>
      </c>
      <c r="BU2115" t="s">
        <v>2590</v>
      </c>
      <c r="BV2115" t="s">
        <v>98</v>
      </c>
      <c r="BY2115">
        <v>20786</v>
      </c>
      <c r="BZ2115" t="s">
        <v>99</v>
      </c>
      <c r="CA2115" t="s">
        <v>1452</v>
      </c>
      <c r="CC2115" t="s">
        <v>1448</v>
      </c>
      <c r="CD2115">
        <v>2380</v>
      </c>
      <c r="CE2115" t="s">
        <v>117</v>
      </c>
      <c r="CF2115" s="3">
        <v>45855</v>
      </c>
      <c r="CI2115">
        <v>1</v>
      </c>
      <c r="CJ2115">
        <v>1</v>
      </c>
      <c r="CK2115">
        <v>43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"080066578631"</f>
        <v>080066578631</v>
      </c>
      <c r="F2116" s="3">
        <v>45853</v>
      </c>
      <c r="G2116">
        <v>202604</v>
      </c>
      <c r="H2116" t="s">
        <v>75</v>
      </c>
      <c r="I2116" t="s">
        <v>76</v>
      </c>
      <c r="J2116" t="s">
        <v>77</v>
      </c>
      <c r="K2116" t="s">
        <v>78</v>
      </c>
      <c r="L2116" t="s">
        <v>79</v>
      </c>
      <c r="M2116" t="s">
        <v>80</v>
      </c>
      <c r="N2116" t="s">
        <v>1561</v>
      </c>
      <c r="O2116" t="s">
        <v>82</v>
      </c>
      <c r="P2116" t="str">
        <f>"4170048922                    "</f>
        <v xml:space="preserve">4170048922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0.3</v>
      </c>
      <c r="BK2116">
        <v>1</v>
      </c>
      <c r="BL2116">
        <v>71.2</v>
      </c>
      <c r="BM2116">
        <v>10.68</v>
      </c>
      <c r="BN2116">
        <v>81.88</v>
      </c>
      <c r="BO2116">
        <v>81.88</v>
      </c>
      <c r="BQ2116" t="s">
        <v>1562</v>
      </c>
      <c r="BR2116" t="s">
        <v>84</v>
      </c>
      <c r="BS2116" s="3">
        <v>45854</v>
      </c>
      <c r="BT2116" s="4">
        <v>0.52569444444444446</v>
      </c>
      <c r="BU2116" t="s">
        <v>2554</v>
      </c>
      <c r="BV2116" t="s">
        <v>98</v>
      </c>
      <c r="BY2116">
        <v>1350</v>
      </c>
      <c r="BZ2116" t="s">
        <v>89</v>
      </c>
      <c r="CA2116" t="s">
        <v>2289</v>
      </c>
      <c r="CC2116" t="s">
        <v>80</v>
      </c>
      <c r="CD2116">
        <v>7975</v>
      </c>
      <c r="CE2116" t="s">
        <v>1868</v>
      </c>
      <c r="CF2116" s="3">
        <v>45855</v>
      </c>
      <c r="CI2116">
        <v>1</v>
      </c>
      <c r="CJ2116">
        <v>1</v>
      </c>
      <c r="CK2116">
        <v>21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"080066578643"</f>
        <v>080066578643</v>
      </c>
      <c r="F2117" s="3">
        <v>45853</v>
      </c>
      <c r="G2117">
        <v>202604</v>
      </c>
      <c r="H2117" t="s">
        <v>75</v>
      </c>
      <c r="I2117" t="s">
        <v>76</v>
      </c>
      <c r="J2117" t="s">
        <v>77</v>
      </c>
      <c r="K2117" t="s">
        <v>78</v>
      </c>
      <c r="L2117" t="s">
        <v>277</v>
      </c>
      <c r="M2117" t="s">
        <v>278</v>
      </c>
      <c r="N2117" t="s">
        <v>1473</v>
      </c>
      <c r="O2117" t="s">
        <v>82</v>
      </c>
      <c r="P2117" t="str">
        <f>"4170048721                    "</f>
        <v xml:space="preserve">4170048721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79.05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7</v>
      </c>
      <c r="BJ2117">
        <v>2.2000000000000002</v>
      </c>
      <c r="BK2117">
        <v>7</v>
      </c>
      <c r="BL2117">
        <v>249.05</v>
      </c>
      <c r="BM2117">
        <v>37.36</v>
      </c>
      <c r="BN2117">
        <v>286.41000000000003</v>
      </c>
      <c r="BO2117">
        <v>286.41000000000003</v>
      </c>
      <c r="BQ2117" t="s">
        <v>1474</v>
      </c>
      <c r="BR2117" t="s">
        <v>84</v>
      </c>
      <c r="BS2117" s="3">
        <v>45854</v>
      </c>
      <c r="BT2117" s="4">
        <v>0.41319444444444442</v>
      </c>
      <c r="BU2117" t="s">
        <v>1475</v>
      </c>
      <c r="BV2117" t="s">
        <v>98</v>
      </c>
      <c r="BY2117">
        <v>11172</v>
      </c>
      <c r="BZ2117" t="s">
        <v>89</v>
      </c>
      <c r="CA2117" t="s">
        <v>282</v>
      </c>
      <c r="CC2117" t="s">
        <v>278</v>
      </c>
      <c r="CD2117">
        <v>6229</v>
      </c>
      <c r="CE2117" t="s">
        <v>117</v>
      </c>
      <c r="CF2117" s="3">
        <v>45854</v>
      </c>
      <c r="CI2117">
        <v>1</v>
      </c>
      <c r="CJ2117">
        <v>1</v>
      </c>
      <c r="CK2117">
        <v>21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"080066578678"</f>
        <v>080066578678</v>
      </c>
      <c r="F2118" s="3">
        <v>45853</v>
      </c>
      <c r="G2118">
        <v>202604</v>
      </c>
      <c r="H2118" t="s">
        <v>75</v>
      </c>
      <c r="I2118" t="s">
        <v>76</v>
      </c>
      <c r="J2118" t="s">
        <v>77</v>
      </c>
      <c r="K2118" t="s">
        <v>78</v>
      </c>
      <c r="L2118" t="s">
        <v>135</v>
      </c>
      <c r="M2118" t="s">
        <v>136</v>
      </c>
      <c r="N2118" t="s">
        <v>416</v>
      </c>
      <c r="O2118" t="s">
        <v>82</v>
      </c>
      <c r="P2118" t="str">
        <f>"4170048684                    "</f>
        <v xml:space="preserve">4170048684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158.08000000000001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14</v>
      </c>
      <c r="BJ2118">
        <v>8.9</v>
      </c>
      <c r="BK2118">
        <v>14</v>
      </c>
      <c r="BL2118">
        <v>498.04</v>
      </c>
      <c r="BM2118">
        <v>74.709999999999994</v>
      </c>
      <c r="BN2118">
        <v>572.75</v>
      </c>
      <c r="BO2118">
        <v>572.75</v>
      </c>
      <c r="BQ2118" t="s">
        <v>417</v>
      </c>
      <c r="BR2118" t="s">
        <v>84</v>
      </c>
      <c r="BS2118" s="3">
        <v>45854</v>
      </c>
      <c r="BT2118" s="4">
        <v>0.41666666666666669</v>
      </c>
      <c r="BU2118" t="s">
        <v>2522</v>
      </c>
      <c r="BV2118" t="s">
        <v>98</v>
      </c>
      <c r="BY2118">
        <v>44640</v>
      </c>
      <c r="BZ2118" t="s">
        <v>89</v>
      </c>
      <c r="CC2118" t="s">
        <v>136</v>
      </c>
      <c r="CD2118">
        <v>3201</v>
      </c>
      <c r="CE2118" t="s">
        <v>117</v>
      </c>
      <c r="CF2118" s="3">
        <v>45855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"080066578725"</f>
        <v>080066578725</v>
      </c>
      <c r="F2119" s="3">
        <v>45853</v>
      </c>
      <c r="G2119">
        <v>202604</v>
      </c>
      <c r="H2119" t="s">
        <v>75</v>
      </c>
      <c r="I2119" t="s">
        <v>76</v>
      </c>
      <c r="J2119" t="s">
        <v>77</v>
      </c>
      <c r="K2119" t="s">
        <v>78</v>
      </c>
      <c r="L2119" t="s">
        <v>168</v>
      </c>
      <c r="M2119" t="s">
        <v>169</v>
      </c>
      <c r="N2119" t="s">
        <v>206</v>
      </c>
      <c r="O2119" t="s">
        <v>82</v>
      </c>
      <c r="P2119" t="str">
        <f>"4170048946                    "</f>
        <v xml:space="preserve">4170048946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67.760000000000005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6</v>
      </c>
      <c r="BJ2119">
        <v>3.4</v>
      </c>
      <c r="BK2119">
        <v>6</v>
      </c>
      <c r="BL2119">
        <v>213.48</v>
      </c>
      <c r="BM2119">
        <v>32.020000000000003</v>
      </c>
      <c r="BN2119">
        <v>245.5</v>
      </c>
      <c r="BO2119">
        <v>245.5</v>
      </c>
      <c r="BQ2119" t="s">
        <v>207</v>
      </c>
      <c r="BR2119" t="s">
        <v>84</v>
      </c>
      <c r="BS2119" s="3">
        <v>45854</v>
      </c>
      <c r="BT2119" s="4">
        <v>0.41666666666666669</v>
      </c>
      <c r="BU2119" t="s">
        <v>2414</v>
      </c>
      <c r="BV2119" t="s">
        <v>98</v>
      </c>
      <c r="BY2119">
        <v>16965</v>
      </c>
      <c r="BZ2119" t="s">
        <v>89</v>
      </c>
      <c r="CA2119" t="s">
        <v>196</v>
      </c>
      <c r="CC2119" t="s">
        <v>169</v>
      </c>
      <c r="CD2119">
        <v>6001</v>
      </c>
      <c r="CE2119" t="s">
        <v>117</v>
      </c>
      <c r="CF2119" s="3">
        <v>45854</v>
      </c>
      <c r="CI2119">
        <v>1</v>
      </c>
      <c r="CJ2119">
        <v>1</v>
      </c>
      <c r="CK2119">
        <v>21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"080066578793"</f>
        <v>080066578793</v>
      </c>
      <c r="F2120" s="3">
        <v>45853</v>
      </c>
      <c r="G2120">
        <v>202604</v>
      </c>
      <c r="H2120" t="s">
        <v>75</v>
      </c>
      <c r="I2120" t="s">
        <v>76</v>
      </c>
      <c r="J2120" t="s">
        <v>77</v>
      </c>
      <c r="K2120" t="s">
        <v>78</v>
      </c>
      <c r="L2120" t="s">
        <v>75</v>
      </c>
      <c r="M2120" t="s">
        <v>76</v>
      </c>
      <c r="N2120" t="s">
        <v>118</v>
      </c>
      <c r="O2120" t="s">
        <v>95</v>
      </c>
      <c r="P2120" t="str">
        <f>"4170048748                    "</f>
        <v xml:space="preserve">4170048748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37.67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19</v>
      </c>
      <c r="BJ2120">
        <v>7.4</v>
      </c>
      <c r="BK2120">
        <v>19</v>
      </c>
      <c r="BL2120">
        <v>124.54</v>
      </c>
      <c r="BM2120">
        <v>18.68</v>
      </c>
      <c r="BN2120">
        <v>143.22</v>
      </c>
      <c r="BO2120">
        <v>143.22</v>
      </c>
      <c r="BQ2120" t="s">
        <v>119</v>
      </c>
      <c r="BR2120" t="s">
        <v>84</v>
      </c>
      <c r="BS2120" s="3">
        <v>45854</v>
      </c>
      <c r="BT2120" s="4">
        <v>0.30902777777777779</v>
      </c>
      <c r="BU2120" t="s">
        <v>768</v>
      </c>
      <c r="BV2120" t="s">
        <v>98</v>
      </c>
      <c r="BY2120">
        <v>36822</v>
      </c>
      <c r="BZ2120" t="s">
        <v>99</v>
      </c>
      <c r="CA2120" t="s">
        <v>1537</v>
      </c>
      <c r="CC2120" t="s">
        <v>76</v>
      </c>
      <c r="CD2120">
        <v>1600</v>
      </c>
      <c r="CE2120" t="s">
        <v>117</v>
      </c>
      <c r="CF2120" s="3">
        <v>45854</v>
      </c>
      <c r="CI2120">
        <v>1</v>
      </c>
      <c r="CJ2120">
        <v>1</v>
      </c>
      <c r="CK2120">
        <v>42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"080066578889"</f>
        <v>080066578889</v>
      </c>
      <c r="F2121" s="3">
        <v>45853</v>
      </c>
      <c r="G2121">
        <v>202604</v>
      </c>
      <c r="H2121" t="s">
        <v>75</v>
      </c>
      <c r="I2121" t="s">
        <v>76</v>
      </c>
      <c r="J2121" t="s">
        <v>77</v>
      </c>
      <c r="K2121" t="s">
        <v>78</v>
      </c>
      <c r="L2121" t="s">
        <v>1291</v>
      </c>
      <c r="M2121" t="s">
        <v>1292</v>
      </c>
      <c r="N2121" t="s">
        <v>2591</v>
      </c>
      <c r="O2121" t="s">
        <v>82</v>
      </c>
      <c r="P2121" t="str">
        <f>"4170048928                    "</f>
        <v xml:space="preserve">4170048928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43.78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0.3</v>
      </c>
      <c r="BK2121">
        <v>1</v>
      </c>
      <c r="BL2121">
        <v>137.94</v>
      </c>
      <c r="BM2121">
        <v>20.69</v>
      </c>
      <c r="BN2121">
        <v>158.63</v>
      </c>
      <c r="BO2121">
        <v>158.63</v>
      </c>
      <c r="BQ2121" t="s">
        <v>2592</v>
      </c>
      <c r="BR2121" t="s">
        <v>84</v>
      </c>
      <c r="BS2121" s="3">
        <v>45854</v>
      </c>
      <c r="BT2121" s="4">
        <v>0.45</v>
      </c>
      <c r="BU2121" t="s">
        <v>2593</v>
      </c>
      <c r="BV2121" t="s">
        <v>98</v>
      </c>
      <c r="BY2121">
        <v>1350</v>
      </c>
      <c r="BZ2121" t="s">
        <v>89</v>
      </c>
      <c r="CC2121" t="s">
        <v>1292</v>
      </c>
      <c r="CD2121">
        <v>3370</v>
      </c>
      <c r="CE2121" t="s">
        <v>1868</v>
      </c>
      <c r="CF2121" s="3">
        <v>45855</v>
      </c>
      <c r="CI2121">
        <v>2</v>
      </c>
      <c r="CJ2121">
        <v>1</v>
      </c>
      <c r="CK2121">
        <v>23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"080066578900"</f>
        <v>080066578900</v>
      </c>
      <c r="F2122" s="3">
        <v>45853</v>
      </c>
      <c r="G2122">
        <v>202604</v>
      </c>
      <c r="H2122" t="s">
        <v>75</v>
      </c>
      <c r="I2122" t="s">
        <v>76</v>
      </c>
      <c r="J2122" t="s">
        <v>77</v>
      </c>
      <c r="K2122" t="s">
        <v>78</v>
      </c>
      <c r="L2122" t="s">
        <v>1677</v>
      </c>
      <c r="M2122" t="s">
        <v>1678</v>
      </c>
      <c r="N2122" t="s">
        <v>2594</v>
      </c>
      <c r="O2122" t="s">
        <v>95</v>
      </c>
      <c r="P2122" t="str">
        <f>"4170048941                    "</f>
        <v xml:space="preserve">4170048941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61.64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5</v>
      </c>
      <c r="BJ2122">
        <v>2.4</v>
      </c>
      <c r="BK2122">
        <v>5</v>
      </c>
      <c r="BL2122">
        <v>200.06</v>
      </c>
      <c r="BM2122">
        <v>30.01</v>
      </c>
      <c r="BN2122">
        <v>230.07</v>
      </c>
      <c r="BO2122">
        <v>230.07</v>
      </c>
      <c r="BQ2122" t="s">
        <v>2595</v>
      </c>
      <c r="BR2122" t="s">
        <v>84</v>
      </c>
      <c r="BS2122" s="3">
        <v>45854</v>
      </c>
      <c r="BT2122" s="4">
        <v>0.43263888888888891</v>
      </c>
      <c r="BU2122" t="s">
        <v>2596</v>
      </c>
      <c r="BV2122" t="s">
        <v>98</v>
      </c>
      <c r="BY2122">
        <v>12236</v>
      </c>
      <c r="BZ2122" t="s">
        <v>99</v>
      </c>
      <c r="CC2122" t="s">
        <v>1678</v>
      </c>
      <c r="CD2122">
        <v>1035</v>
      </c>
      <c r="CE2122" t="s">
        <v>117</v>
      </c>
      <c r="CF2122" s="3">
        <v>45854</v>
      </c>
      <c r="CI2122">
        <v>1</v>
      </c>
      <c r="CJ2122">
        <v>1</v>
      </c>
      <c r="CK2122">
        <v>43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"080066578952"</f>
        <v>080066578952</v>
      </c>
      <c r="F2123" s="3">
        <v>45853</v>
      </c>
      <c r="G2123">
        <v>202604</v>
      </c>
      <c r="H2123" t="s">
        <v>75</v>
      </c>
      <c r="I2123" t="s">
        <v>76</v>
      </c>
      <c r="J2123" t="s">
        <v>77</v>
      </c>
      <c r="K2123" t="s">
        <v>78</v>
      </c>
      <c r="L2123" t="s">
        <v>92</v>
      </c>
      <c r="M2123" t="s">
        <v>93</v>
      </c>
      <c r="N2123" t="s">
        <v>291</v>
      </c>
      <c r="O2123" t="s">
        <v>82</v>
      </c>
      <c r="P2123" t="str">
        <f>"4170048732                    "</f>
        <v xml:space="preserve">4170048732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95.99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8.1</v>
      </c>
      <c r="BK2123">
        <v>8.5</v>
      </c>
      <c r="BL2123">
        <v>302.41000000000003</v>
      </c>
      <c r="BM2123">
        <v>45.36</v>
      </c>
      <c r="BN2123">
        <v>347.77</v>
      </c>
      <c r="BO2123">
        <v>347.77</v>
      </c>
      <c r="BQ2123" t="s">
        <v>292</v>
      </c>
      <c r="BR2123" t="s">
        <v>84</v>
      </c>
      <c r="BS2123" s="3">
        <v>45854</v>
      </c>
      <c r="BT2123" s="4">
        <v>0.33263888888888887</v>
      </c>
      <c r="BU2123" t="s">
        <v>1571</v>
      </c>
      <c r="BV2123" t="s">
        <v>98</v>
      </c>
      <c r="BY2123">
        <v>40500</v>
      </c>
      <c r="BZ2123" t="s">
        <v>89</v>
      </c>
      <c r="CA2123" t="s">
        <v>294</v>
      </c>
      <c r="CC2123" t="s">
        <v>93</v>
      </c>
      <c r="CD2123">
        <v>4051</v>
      </c>
      <c r="CE2123" t="s">
        <v>1868</v>
      </c>
      <c r="CF2123" s="3">
        <v>45854</v>
      </c>
      <c r="CI2123">
        <v>1</v>
      </c>
      <c r="CJ2123">
        <v>1</v>
      </c>
      <c r="CK2123">
        <v>21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"080066579028"</f>
        <v>080066579028</v>
      </c>
      <c r="F2124" s="3">
        <v>45853</v>
      </c>
      <c r="G2124">
        <v>202604</v>
      </c>
      <c r="H2124" t="s">
        <v>75</v>
      </c>
      <c r="I2124" t="s">
        <v>76</v>
      </c>
      <c r="J2124" t="s">
        <v>77</v>
      </c>
      <c r="K2124" t="s">
        <v>78</v>
      </c>
      <c r="L2124" t="s">
        <v>79</v>
      </c>
      <c r="M2124" t="s">
        <v>80</v>
      </c>
      <c r="N2124" t="s">
        <v>141</v>
      </c>
      <c r="O2124" t="s">
        <v>82</v>
      </c>
      <c r="P2124" t="str">
        <f>"4170048924                    "</f>
        <v xml:space="preserve">4170048924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95.99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8.1</v>
      </c>
      <c r="BK2124">
        <v>8.5</v>
      </c>
      <c r="BL2124">
        <v>302.41000000000003</v>
      </c>
      <c r="BM2124">
        <v>45.36</v>
      </c>
      <c r="BN2124">
        <v>347.77</v>
      </c>
      <c r="BO2124">
        <v>347.77</v>
      </c>
      <c r="BQ2124" t="s">
        <v>142</v>
      </c>
      <c r="BR2124" t="s">
        <v>84</v>
      </c>
      <c r="BS2124" s="3">
        <v>45854</v>
      </c>
      <c r="BT2124" s="4">
        <v>0.41111111111111109</v>
      </c>
      <c r="BU2124" t="s">
        <v>143</v>
      </c>
      <c r="BV2124" t="s">
        <v>98</v>
      </c>
      <c r="BY2124">
        <v>40500</v>
      </c>
      <c r="BZ2124" t="s">
        <v>89</v>
      </c>
      <c r="CA2124" t="s">
        <v>144</v>
      </c>
      <c r="CC2124" t="s">
        <v>80</v>
      </c>
      <c r="CD2124">
        <v>7441</v>
      </c>
      <c r="CE2124" t="s">
        <v>1868</v>
      </c>
      <c r="CF2124" s="3">
        <v>45855</v>
      </c>
      <c r="CI2124">
        <v>1</v>
      </c>
      <c r="CJ2124">
        <v>1</v>
      </c>
      <c r="CK2124">
        <v>21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"080066579486"</f>
        <v>080066579486</v>
      </c>
      <c r="F2125" s="3">
        <v>45853</v>
      </c>
      <c r="G2125">
        <v>202604</v>
      </c>
      <c r="H2125" t="s">
        <v>75</v>
      </c>
      <c r="I2125" t="s">
        <v>76</v>
      </c>
      <c r="J2125" t="s">
        <v>77</v>
      </c>
      <c r="K2125" t="s">
        <v>78</v>
      </c>
      <c r="L2125" t="s">
        <v>452</v>
      </c>
      <c r="M2125" t="s">
        <v>453</v>
      </c>
      <c r="N2125" t="s">
        <v>968</v>
      </c>
      <c r="O2125" t="s">
        <v>82</v>
      </c>
      <c r="P2125" t="str">
        <f>"4170048743                    "</f>
        <v xml:space="preserve">4170048743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17.649999999999999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0.3</v>
      </c>
      <c r="BK2125">
        <v>1</v>
      </c>
      <c r="BL2125">
        <v>55.61</v>
      </c>
      <c r="BM2125">
        <v>8.34</v>
      </c>
      <c r="BN2125">
        <v>63.95</v>
      </c>
      <c r="BO2125">
        <v>63.95</v>
      </c>
      <c r="BQ2125" t="s">
        <v>1098</v>
      </c>
      <c r="BR2125" t="s">
        <v>84</v>
      </c>
      <c r="BS2125" s="3">
        <v>45854</v>
      </c>
      <c r="BT2125" s="4">
        <v>0.41666666666666669</v>
      </c>
      <c r="BU2125" t="s">
        <v>2198</v>
      </c>
      <c r="BV2125" t="s">
        <v>98</v>
      </c>
      <c r="BY2125">
        <v>1350</v>
      </c>
      <c r="BZ2125" t="s">
        <v>89</v>
      </c>
      <c r="CA2125" t="s">
        <v>1541</v>
      </c>
      <c r="CC2125" t="s">
        <v>453</v>
      </c>
      <c r="CD2125">
        <v>1559</v>
      </c>
      <c r="CE2125" t="s">
        <v>1868</v>
      </c>
      <c r="CF2125" s="3">
        <v>45855</v>
      </c>
      <c r="CI2125">
        <v>1</v>
      </c>
      <c r="CJ2125">
        <v>1</v>
      </c>
      <c r="CK2125">
        <v>22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"080066579503"</f>
        <v>080066579503</v>
      </c>
      <c r="F2126" s="3">
        <v>45853</v>
      </c>
      <c r="G2126">
        <v>202604</v>
      </c>
      <c r="H2126" t="s">
        <v>75</v>
      </c>
      <c r="I2126" t="s">
        <v>76</v>
      </c>
      <c r="J2126" t="s">
        <v>77</v>
      </c>
      <c r="K2126" t="s">
        <v>78</v>
      </c>
      <c r="L2126" t="s">
        <v>79</v>
      </c>
      <c r="M2126" t="s">
        <v>80</v>
      </c>
      <c r="N2126" t="s">
        <v>1775</v>
      </c>
      <c r="O2126" t="s">
        <v>82</v>
      </c>
      <c r="P2126" t="str">
        <f>"4170048766                    "</f>
        <v xml:space="preserve">4170048766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39.53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3.4</v>
      </c>
      <c r="BK2126">
        <v>3.5</v>
      </c>
      <c r="BL2126">
        <v>124.55</v>
      </c>
      <c r="BM2126">
        <v>18.68</v>
      </c>
      <c r="BN2126">
        <v>143.22999999999999</v>
      </c>
      <c r="BO2126">
        <v>143.22999999999999</v>
      </c>
      <c r="BQ2126" t="s">
        <v>1776</v>
      </c>
      <c r="BR2126" t="s">
        <v>84</v>
      </c>
      <c r="BS2126" s="3">
        <v>45854</v>
      </c>
      <c r="BT2126" s="4">
        <v>0.42222222222222222</v>
      </c>
      <c r="BU2126" t="s">
        <v>2500</v>
      </c>
      <c r="BV2126" t="s">
        <v>98</v>
      </c>
      <c r="BY2126">
        <v>16965</v>
      </c>
      <c r="BZ2126" t="s">
        <v>89</v>
      </c>
      <c r="CA2126" t="s">
        <v>934</v>
      </c>
      <c r="CC2126" t="s">
        <v>80</v>
      </c>
      <c r="CD2126">
        <v>7530</v>
      </c>
      <c r="CE2126" t="s">
        <v>117</v>
      </c>
      <c r="CF2126" s="3">
        <v>45855</v>
      </c>
      <c r="CI2126">
        <v>1</v>
      </c>
      <c r="CJ2126">
        <v>1</v>
      </c>
      <c r="CK2126">
        <v>21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"080066579519"</f>
        <v>080066579519</v>
      </c>
      <c r="F2127" s="3">
        <v>45853</v>
      </c>
      <c r="G2127">
        <v>202604</v>
      </c>
      <c r="H2127" t="s">
        <v>75</v>
      </c>
      <c r="I2127" t="s">
        <v>76</v>
      </c>
      <c r="J2127" t="s">
        <v>77</v>
      </c>
      <c r="K2127" t="s">
        <v>78</v>
      </c>
      <c r="L2127" t="s">
        <v>151</v>
      </c>
      <c r="M2127" t="s">
        <v>152</v>
      </c>
      <c r="N2127" t="s">
        <v>515</v>
      </c>
      <c r="O2127" t="s">
        <v>82</v>
      </c>
      <c r="P2127" t="str">
        <f>"4170048963                    "</f>
        <v xml:space="preserve">4170048963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22.6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0.3</v>
      </c>
      <c r="BK2127">
        <v>1</v>
      </c>
      <c r="BL2127">
        <v>71.2</v>
      </c>
      <c r="BM2127">
        <v>10.68</v>
      </c>
      <c r="BN2127">
        <v>81.88</v>
      </c>
      <c r="BO2127">
        <v>81.88</v>
      </c>
      <c r="BQ2127" t="s">
        <v>516</v>
      </c>
      <c r="BR2127" t="s">
        <v>84</v>
      </c>
      <c r="BS2127" s="3">
        <v>45854</v>
      </c>
      <c r="BT2127" s="4">
        <v>0.43541666666666667</v>
      </c>
      <c r="BU2127" t="s">
        <v>517</v>
      </c>
      <c r="BV2127" t="s">
        <v>98</v>
      </c>
      <c r="BY2127">
        <v>1350</v>
      </c>
      <c r="BZ2127" t="s">
        <v>89</v>
      </c>
      <c r="CA2127" t="s">
        <v>518</v>
      </c>
      <c r="CC2127" t="s">
        <v>152</v>
      </c>
      <c r="CD2127" s="5" t="s">
        <v>157</v>
      </c>
      <c r="CE2127" t="s">
        <v>1868</v>
      </c>
      <c r="CF2127" s="3">
        <v>45854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"080066579535"</f>
        <v>080066579535</v>
      </c>
      <c r="F2128" s="3">
        <v>45853</v>
      </c>
      <c r="G2128">
        <v>202604</v>
      </c>
      <c r="H2128" t="s">
        <v>75</v>
      </c>
      <c r="I2128" t="s">
        <v>76</v>
      </c>
      <c r="J2128" t="s">
        <v>77</v>
      </c>
      <c r="K2128" t="s">
        <v>78</v>
      </c>
      <c r="L2128" t="s">
        <v>441</v>
      </c>
      <c r="M2128" t="s">
        <v>442</v>
      </c>
      <c r="N2128" t="s">
        <v>443</v>
      </c>
      <c r="O2128" t="s">
        <v>82</v>
      </c>
      <c r="P2128" t="str">
        <f>"4170048737                    "</f>
        <v xml:space="preserve">4170048737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43.78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1.8</v>
      </c>
      <c r="BK2128">
        <v>2</v>
      </c>
      <c r="BL2128">
        <v>137.94</v>
      </c>
      <c r="BM2128">
        <v>20.69</v>
      </c>
      <c r="BN2128">
        <v>158.63</v>
      </c>
      <c r="BO2128">
        <v>158.63</v>
      </c>
      <c r="BQ2128" t="s">
        <v>444</v>
      </c>
      <c r="BR2128" t="s">
        <v>84</v>
      </c>
      <c r="BS2128" s="3">
        <v>45854</v>
      </c>
      <c r="BT2128" s="4">
        <v>0.49930555555555556</v>
      </c>
      <c r="BU2128" t="s">
        <v>2597</v>
      </c>
      <c r="BV2128" t="s">
        <v>98</v>
      </c>
      <c r="BY2128">
        <v>9044</v>
      </c>
      <c r="BZ2128" t="s">
        <v>89</v>
      </c>
      <c r="CA2128" t="s">
        <v>2598</v>
      </c>
      <c r="CC2128" t="s">
        <v>442</v>
      </c>
      <c r="CD2128">
        <v>7185</v>
      </c>
      <c r="CE2128" t="s">
        <v>117</v>
      </c>
      <c r="CF2128" s="3">
        <v>45855</v>
      </c>
      <c r="CI2128">
        <v>2</v>
      </c>
      <c r="CJ2128">
        <v>1</v>
      </c>
      <c r="CK2128">
        <v>23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"080066579550"</f>
        <v>080066579550</v>
      </c>
      <c r="F2129" s="3">
        <v>45853</v>
      </c>
      <c r="G2129">
        <v>202604</v>
      </c>
      <c r="H2129" t="s">
        <v>75</v>
      </c>
      <c r="I2129" t="s">
        <v>76</v>
      </c>
      <c r="J2129" t="s">
        <v>77</v>
      </c>
      <c r="K2129" t="s">
        <v>78</v>
      </c>
      <c r="L2129" t="s">
        <v>135</v>
      </c>
      <c r="M2129" t="s">
        <v>136</v>
      </c>
      <c r="N2129" t="s">
        <v>416</v>
      </c>
      <c r="O2129" t="s">
        <v>82</v>
      </c>
      <c r="P2129" t="str">
        <f>"4170048900                    "</f>
        <v xml:space="preserve">4170048900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22.6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0.3</v>
      </c>
      <c r="BK2129">
        <v>1</v>
      </c>
      <c r="BL2129">
        <v>71.2</v>
      </c>
      <c r="BM2129">
        <v>10.68</v>
      </c>
      <c r="BN2129">
        <v>81.88</v>
      </c>
      <c r="BO2129">
        <v>81.88</v>
      </c>
      <c r="BQ2129" t="s">
        <v>417</v>
      </c>
      <c r="BR2129" t="s">
        <v>84</v>
      </c>
      <c r="BS2129" s="3">
        <v>45854</v>
      </c>
      <c r="BT2129" s="4">
        <v>0.41666666666666669</v>
      </c>
      <c r="BU2129" t="s">
        <v>2522</v>
      </c>
      <c r="BV2129" t="s">
        <v>98</v>
      </c>
      <c r="BY2129">
        <v>1350</v>
      </c>
      <c r="BZ2129" t="s">
        <v>89</v>
      </c>
      <c r="CC2129" t="s">
        <v>136</v>
      </c>
      <c r="CD2129">
        <v>3201</v>
      </c>
      <c r="CE2129" t="s">
        <v>1868</v>
      </c>
      <c r="CF2129" s="3">
        <v>45855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"080066579573"</f>
        <v>080066579573</v>
      </c>
      <c r="F2130" s="3">
        <v>45853</v>
      </c>
      <c r="G2130">
        <v>202604</v>
      </c>
      <c r="H2130" t="s">
        <v>75</v>
      </c>
      <c r="I2130" t="s">
        <v>76</v>
      </c>
      <c r="J2130" t="s">
        <v>77</v>
      </c>
      <c r="K2130" t="s">
        <v>78</v>
      </c>
      <c r="L2130" t="s">
        <v>1677</v>
      </c>
      <c r="M2130" t="s">
        <v>1678</v>
      </c>
      <c r="N2130" t="s">
        <v>2594</v>
      </c>
      <c r="O2130" t="s">
        <v>95</v>
      </c>
      <c r="P2130" t="str">
        <f>"4170048964                    "</f>
        <v xml:space="preserve">4170048964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61.64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5</v>
      </c>
      <c r="BJ2130">
        <v>2.6</v>
      </c>
      <c r="BK2130">
        <v>5</v>
      </c>
      <c r="BL2130">
        <v>200.06</v>
      </c>
      <c r="BM2130">
        <v>30.01</v>
      </c>
      <c r="BN2130">
        <v>230.07</v>
      </c>
      <c r="BO2130">
        <v>230.07</v>
      </c>
      <c r="BQ2130" t="s">
        <v>2595</v>
      </c>
      <c r="BR2130" t="s">
        <v>84</v>
      </c>
      <c r="BS2130" s="3">
        <v>45854</v>
      </c>
      <c r="BT2130" s="4">
        <v>0.43263888888888891</v>
      </c>
      <c r="BU2130" t="s">
        <v>2599</v>
      </c>
      <c r="BV2130" t="s">
        <v>98</v>
      </c>
      <c r="BY2130">
        <v>12768</v>
      </c>
      <c r="BZ2130" t="s">
        <v>99</v>
      </c>
      <c r="CC2130" t="s">
        <v>1678</v>
      </c>
      <c r="CD2130">
        <v>1035</v>
      </c>
      <c r="CE2130" t="s">
        <v>2600</v>
      </c>
      <c r="CF2130" s="3">
        <v>45854</v>
      </c>
      <c r="CI2130">
        <v>1</v>
      </c>
      <c r="CJ2130">
        <v>1</v>
      </c>
      <c r="CK2130">
        <v>43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"080066579621"</f>
        <v>080066579621</v>
      </c>
      <c r="F2131" s="3">
        <v>45853</v>
      </c>
      <c r="G2131">
        <v>202604</v>
      </c>
      <c r="H2131" t="s">
        <v>75</v>
      </c>
      <c r="I2131" t="s">
        <v>76</v>
      </c>
      <c r="J2131" t="s">
        <v>77</v>
      </c>
      <c r="K2131" t="s">
        <v>78</v>
      </c>
      <c r="L2131" t="s">
        <v>92</v>
      </c>
      <c r="M2131" t="s">
        <v>93</v>
      </c>
      <c r="N2131" t="s">
        <v>94</v>
      </c>
      <c r="O2131" t="s">
        <v>82</v>
      </c>
      <c r="P2131" t="str">
        <f>"4170048831                    "</f>
        <v xml:space="preserve">4170048831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22.6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0.3</v>
      </c>
      <c r="BK2131">
        <v>1</v>
      </c>
      <c r="BL2131">
        <v>71.2</v>
      </c>
      <c r="BM2131">
        <v>10.68</v>
      </c>
      <c r="BN2131">
        <v>81.88</v>
      </c>
      <c r="BO2131">
        <v>81.88</v>
      </c>
      <c r="BQ2131" t="s">
        <v>96</v>
      </c>
      <c r="BR2131" t="s">
        <v>84</v>
      </c>
      <c r="BS2131" s="3">
        <v>45854</v>
      </c>
      <c r="BT2131" s="4">
        <v>0.60069444444444442</v>
      </c>
      <c r="BU2131" t="s">
        <v>2492</v>
      </c>
      <c r="BV2131" t="s">
        <v>86</v>
      </c>
      <c r="BW2131" t="s">
        <v>219</v>
      </c>
      <c r="BX2131" t="s">
        <v>220</v>
      </c>
      <c r="BY2131">
        <v>1350</v>
      </c>
      <c r="BZ2131" t="s">
        <v>89</v>
      </c>
      <c r="CA2131" t="s">
        <v>100</v>
      </c>
      <c r="CC2131" t="s">
        <v>93</v>
      </c>
      <c r="CD2131">
        <v>4052</v>
      </c>
      <c r="CE2131" t="s">
        <v>1868</v>
      </c>
      <c r="CF2131" s="3">
        <v>45854</v>
      </c>
      <c r="CI2131">
        <v>1</v>
      </c>
      <c r="CJ2131">
        <v>1</v>
      </c>
      <c r="CK2131">
        <v>21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"080066579649"</f>
        <v>080066579649</v>
      </c>
      <c r="F2132" s="3">
        <v>45853</v>
      </c>
      <c r="G2132">
        <v>202604</v>
      </c>
      <c r="H2132" t="s">
        <v>75</v>
      </c>
      <c r="I2132" t="s">
        <v>76</v>
      </c>
      <c r="J2132" t="s">
        <v>77</v>
      </c>
      <c r="K2132" t="s">
        <v>78</v>
      </c>
      <c r="L2132" t="s">
        <v>102</v>
      </c>
      <c r="M2132" t="s">
        <v>103</v>
      </c>
      <c r="N2132" t="s">
        <v>104</v>
      </c>
      <c r="O2132" t="s">
        <v>82</v>
      </c>
      <c r="P2132" t="str">
        <f>"4170048960                    "</f>
        <v xml:space="preserve">4170048960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31.78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100.13</v>
      </c>
      <c r="BM2132">
        <v>15.02</v>
      </c>
      <c r="BN2132">
        <v>115.15</v>
      </c>
      <c r="BO2132">
        <v>115.15</v>
      </c>
      <c r="BQ2132" t="s">
        <v>833</v>
      </c>
      <c r="BR2132" t="s">
        <v>84</v>
      </c>
      <c r="BS2132" s="3">
        <v>45854</v>
      </c>
      <c r="BT2132" s="4">
        <v>0.34097222222222223</v>
      </c>
      <c r="BU2132" t="s">
        <v>2601</v>
      </c>
      <c r="BV2132" t="s">
        <v>98</v>
      </c>
      <c r="BY2132">
        <v>1200</v>
      </c>
      <c r="BZ2132" t="s">
        <v>89</v>
      </c>
      <c r="CA2132" t="s">
        <v>2602</v>
      </c>
      <c r="CC2132" t="s">
        <v>103</v>
      </c>
      <c r="CD2132">
        <v>1748</v>
      </c>
      <c r="CE2132" t="s">
        <v>239</v>
      </c>
      <c r="CF2132" s="3">
        <v>45854</v>
      </c>
      <c r="CI2132">
        <v>1</v>
      </c>
      <c r="CJ2132">
        <v>1</v>
      </c>
      <c r="CK2132">
        <v>24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"080066579689"</f>
        <v>080066579689</v>
      </c>
      <c r="F2133" s="3">
        <v>45853</v>
      </c>
      <c r="G2133">
        <v>202604</v>
      </c>
      <c r="H2133" t="s">
        <v>75</v>
      </c>
      <c r="I2133" t="s">
        <v>76</v>
      </c>
      <c r="J2133" t="s">
        <v>77</v>
      </c>
      <c r="K2133" t="s">
        <v>78</v>
      </c>
      <c r="L2133" t="s">
        <v>168</v>
      </c>
      <c r="M2133" t="s">
        <v>169</v>
      </c>
      <c r="N2133" t="s">
        <v>412</v>
      </c>
      <c r="O2133" t="s">
        <v>82</v>
      </c>
      <c r="P2133" t="str">
        <f>"4170048921                    "</f>
        <v xml:space="preserve">4170048921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45.18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4</v>
      </c>
      <c r="BJ2133">
        <v>1.9</v>
      </c>
      <c r="BK2133">
        <v>4</v>
      </c>
      <c r="BL2133">
        <v>142.34</v>
      </c>
      <c r="BM2133">
        <v>21.35</v>
      </c>
      <c r="BN2133">
        <v>163.69</v>
      </c>
      <c r="BO2133">
        <v>163.69</v>
      </c>
      <c r="BQ2133" t="s">
        <v>413</v>
      </c>
      <c r="BR2133" t="s">
        <v>84</v>
      </c>
      <c r="BS2133" s="3">
        <v>45854</v>
      </c>
      <c r="BT2133" s="4">
        <v>0.41944444444444445</v>
      </c>
      <c r="BU2133" t="s">
        <v>470</v>
      </c>
      <c r="BV2133" t="s">
        <v>98</v>
      </c>
      <c r="BY2133">
        <v>9600</v>
      </c>
      <c r="BZ2133" t="s">
        <v>89</v>
      </c>
      <c r="CA2133" t="s">
        <v>415</v>
      </c>
      <c r="CC2133" t="s">
        <v>169</v>
      </c>
      <c r="CD2133">
        <v>6001</v>
      </c>
      <c r="CE2133" t="s">
        <v>117</v>
      </c>
      <c r="CF2133" s="3">
        <v>45854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"080066579754"</f>
        <v>080066579754</v>
      </c>
      <c r="F2134" s="3">
        <v>45853</v>
      </c>
      <c r="G2134">
        <v>202604</v>
      </c>
      <c r="H2134" t="s">
        <v>75</v>
      </c>
      <c r="I2134" t="s">
        <v>76</v>
      </c>
      <c r="J2134" t="s">
        <v>77</v>
      </c>
      <c r="K2134" t="s">
        <v>78</v>
      </c>
      <c r="L2134" t="s">
        <v>151</v>
      </c>
      <c r="M2134" t="s">
        <v>152</v>
      </c>
      <c r="N2134" t="s">
        <v>2100</v>
      </c>
      <c r="O2134" t="s">
        <v>82</v>
      </c>
      <c r="P2134" t="str">
        <f>"4170048911                    "</f>
        <v xml:space="preserve">4170048911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22.6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0.3</v>
      </c>
      <c r="BK2134">
        <v>1</v>
      </c>
      <c r="BL2134">
        <v>71.2</v>
      </c>
      <c r="BM2134">
        <v>10.68</v>
      </c>
      <c r="BN2134">
        <v>81.88</v>
      </c>
      <c r="BO2134">
        <v>81.88</v>
      </c>
      <c r="BQ2134" t="s">
        <v>2101</v>
      </c>
      <c r="BR2134" t="s">
        <v>84</v>
      </c>
      <c r="BS2134" s="3">
        <v>45854</v>
      </c>
      <c r="BT2134" s="4">
        <v>0.4201388888888889</v>
      </c>
      <c r="BU2134" t="s">
        <v>2102</v>
      </c>
      <c r="BV2134" t="s">
        <v>98</v>
      </c>
      <c r="BY2134">
        <v>1350</v>
      </c>
      <c r="BZ2134" t="s">
        <v>89</v>
      </c>
      <c r="CA2134" t="s">
        <v>716</v>
      </c>
      <c r="CC2134" t="s">
        <v>152</v>
      </c>
      <c r="CD2134" s="5" t="s">
        <v>717</v>
      </c>
      <c r="CE2134" t="s">
        <v>1868</v>
      </c>
      <c r="CF2134" s="3">
        <v>45854</v>
      </c>
      <c r="CI2134">
        <v>1</v>
      </c>
      <c r="CJ2134">
        <v>1</v>
      </c>
      <c r="CK2134">
        <v>21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"080066579753"</f>
        <v>080066579753</v>
      </c>
      <c r="F2135" s="3">
        <v>45853</v>
      </c>
      <c r="G2135">
        <v>202604</v>
      </c>
      <c r="H2135" t="s">
        <v>75</v>
      </c>
      <c r="I2135" t="s">
        <v>76</v>
      </c>
      <c r="J2135" t="s">
        <v>77</v>
      </c>
      <c r="K2135" t="s">
        <v>78</v>
      </c>
      <c r="L2135" t="s">
        <v>151</v>
      </c>
      <c r="M2135" t="s">
        <v>152</v>
      </c>
      <c r="N2135" t="s">
        <v>1983</v>
      </c>
      <c r="O2135" t="s">
        <v>95</v>
      </c>
      <c r="P2135" t="str">
        <f>"4170048942                    "</f>
        <v xml:space="preserve">4170048942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43.7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5</v>
      </c>
      <c r="BJ2135">
        <v>1.3</v>
      </c>
      <c r="BK2135">
        <v>5</v>
      </c>
      <c r="BL2135">
        <v>143.55000000000001</v>
      </c>
      <c r="BM2135">
        <v>21.53</v>
      </c>
      <c r="BN2135">
        <v>165.08</v>
      </c>
      <c r="BO2135">
        <v>165.08</v>
      </c>
      <c r="BQ2135" t="s">
        <v>1984</v>
      </c>
      <c r="BR2135" t="s">
        <v>84</v>
      </c>
      <c r="BS2135" s="3">
        <v>45854</v>
      </c>
      <c r="BT2135" s="4">
        <v>0.39652777777777776</v>
      </c>
      <c r="BU2135" t="s">
        <v>2603</v>
      </c>
      <c r="BV2135" t="s">
        <v>98</v>
      </c>
      <c r="BY2135">
        <v>6270</v>
      </c>
      <c r="BZ2135" t="s">
        <v>99</v>
      </c>
      <c r="CA2135" t="s">
        <v>2176</v>
      </c>
      <c r="CC2135" t="s">
        <v>152</v>
      </c>
      <c r="CD2135" s="5" t="s">
        <v>389</v>
      </c>
      <c r="CE2135" t="s">
        <v>266</v>
      </c>
      <c r="CF2135" s="3">
        <v>45854</v>
      </c>
      <c r="CI2135">
        <v>1</v>
      </c>
      <c r="CJ2135">
        <v>1</v>
      </c>
      <c r="CK2135">
        <v>41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"080066579810"</f>
        <v>080066579810</v>
      </c>
      <c r="F2136" s="3">
        <v>45853</v>
      </c>
      <c r="G2136">
        <v>202604</v>
      </c>
      <c r="H2136" t="s">
        <v>75</v>
      </c>
      <c r="I2136" t="s">
        <v>76</v>
      </c>
      <c r="J2136" t="s">
        <v>77</v>
      </c>
      <c r="K2136" t="s">
        <v>78</v>
      </c>
      <c r="L2136" t="s">
        <v>168</v>
      </c>
      <c r="M2136" t="s">
        <v>169</v>
      </c>
      <c r="N2136" t="s">
        <v>487</v>
      </c>
      <c r="O2136" t="s">
        <v>82</v>
      </c>
      <c r="P2136" t="str">
        <f>"4170048720                    "</f>
        <v xml:space="preserve">4170048720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22.6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0.3</v>
      </c>
      <c r="BK2136">
        <v>1</v>
      </c>
      <c r="BL2136">
        <v>71.2</v>
      </c>
      <c r="BM2136">
        <v>10.68</v>
      </c>
      <c r="BN2136">
        <v>81.88</v>
      </c>
      <c r="BO2136">
        <v>81.88</v>
      </c>
      <c r="BQ2136" t="s">
        <v>488</v>
      </c>
      <c r="BR2136" t="s">
        <v>84</v>
      </c>
      <c r="BS2136" s="3">
        <v>45854</v>
      </c>
      <c r="BT2136" s="4">
        <v>0.43263888888888891</v>
      </c>
      <c r="BU2136" t="s">
        <v>2604</v>
      </c>
      <c r="BV2136" t="s">
        <v>98</v>
      </c>
      <c r="BY2136">
        <v>1350</v>
      </c>
      <c r="BZ2136" t="s">
        <v>89</v>
      </c>
      <c r="CA2136" t="s">
        <v>415</v>
      </c>
      <c r="CC2136" t="s">
        <v>169</v>
      </c>
      <c r="CD2136">
        <v>6012</v>
      </c>
      <c r="CE2136" t="s">
        <v>1868</v>
      </c>
      <c r="CF2136" s="3">
        <v>45854</v>
      </c>
      <c r="CI2136">
        <v>1</v>
      </c>
      <c r="CJ2136">
        <v>1</v>
      </c>
      <c r="CK2136">
        <v>21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"080066579831"</f>
        <v>080066579831</v>
      </c>
      <c r="F2137" s="3">
        <v>45853</v>
      </c>
      <c r="G2137">
        <v>202604</v>
      </c>
      <c r="H2137" t="s">
        <v>75</v>
      </c>
      <c r="I2137" t="s">
        <v>76</v>
      </c>
      <c r="J2137" t="s">
        <v>77</v>
      </c>
      <c r="K2137" t="s">
        <v>78</v>
      </c>
      <c r="L2137" t="s">
        <v>398</v>
      </c>
      <c r="M2137" t="s">
        <v>399</v>
      </c>
      <c r="N2137" t="s">
        <v>2605</v>
      </c>
      <c r="O2137" t="s">
        <v>311</v>
      </c>
      <c r="P2137" t="str">
        <f>"4170048745                    "</f>
        <v xml:space="preserve">4170048745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29.54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14</v>
      </c>
      <c r="BJ2137">
        <v>9.1</v>
      </c>
      <c r="BK2137">
        <v>14</v>
      </c>
      <c r="BL2137">
        <v>93.07</v>
      </c>
      <c r="BM2137">
        <v>13.96</v>
      </c>
      <c r="BN2137">
        <v>107.03</v>
      </c>
      <c r="BO2137">
        <v>107.03</v>
      </c>
      <c r="BQ2137" t="s">
        <v>2606</v>
      </c>
      <c r="BR2137" t="s">
        <v>84</v>
      </c>
      <c r="BS2137" s="3">
        <v>45854</v>
      </c>
      <c r="BT2137" s="4">
        <v>0.44722222222222224</v>
      </c>
      <c r="BU2137" t="s">
        <v>2607</v>
      </c>
      <c r="BV2137" t="s">
        <v>98</v>
      </c>
      <c r="BY2137">
        <v>45375</v>
      </c>
      <c r="BZ2137" t="s">
        <v>99</v>
      </c>
      <c r="CA2137" t="s">
        <v>2608</v>
      </c>
      <c r="CC2137" t="s">
        <v>399</v>
      </c>
      <c r="CD2137">
        <v>1510</v>
      </c>
      <c r="CE2137" t="s">
        <v>1377</v>
      </c>
      <c r="CF2137" s="3">
        <v>45855</v>
      </c>
      <c r="CI2137">
        <v>1</v>
      </c>
      <c r="CJ2137">
        <v>1</v>
      </c>
      <c r="CK2137">
        <v>32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"080066579891"</f>
        <v>080066579891</v>
      </c>
      <c r="F2138" s="3">
        <v>45853</v>
      </c>
      <c r="G2138">
        <v>202604</v>
      </c>
      <c r="H2138" t="s">
        <v>75</v>
      </c>
      <c r="I2138" t="s">
        <v>76</v>
      </c>
      <c r="J2138" t="s">
        <v>77</v>
      </c>
      <c r="K2138" t="s">
        <v>78</v>
      </c>
      <c r="L2138" t="s">
        <v>295</v>
      </c>
      <c r="M2138" t="s">
        <v>296</v>
      </c>
      <c r="N2138" t="s">
        <v>1262</v>
      </c>
      <c r="O2138" t="s">
        <v>82</v>
      </c>
      <c r="P2138" t="str">
        <f>"4170048782                    "</f>
        <v xml:space="preserve">4170048782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17.649999999999999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0.3</v>
      </c>
      <c r="BK2138">
        <v>1</v>
      </c>
      <c r="BL2138">
        <v>55.61</v>
      </c>
      <c r="BM2138">
        <v>8.34</v>
      </c>
      <c r="BN2138">
        <v>63.95</v>
      </c>
      <c r="BO2138">
        <v>63.95</v>
      </c>
      <c r="BQ2138" t="s">
        <v>1263</v>
      </c>
      <c r="BR2138" t="s">
        <v>84</v>
      </c>
      <c r="BS2138" s="3">
        <v>45854</v>
      </c>
      <c r="BT2138" s="4">
        <v>0.39583333333333331</v>
      </c>
      <c r="BU2138" t="s">
        <v>2556</v>
      </c>
      <c r="BV2138" t="s">
        <v>98</v>
      </c>
      <c r="BY2138">
        <v>1350</v>
      </c>
      <c r="BZ2138" t="s">
        <v>89</v>
      </c>
      <c r="CA2138" t="s">
        <v>1613</v>
      </c>
      <c r="CC2138" t="s">
        <v>296</v>
      </c>
      <c r="CD2138">
        <v>1459</v>
      </c>
      <c r="CE2138" t="s">
        <v>1868</v>
      </c>
      <c r="CF2138" s="3">
        <v>45855</v>
      </c>
      <c r="CI2138">
        <v>1</v>
      </c>
      <c r="CJ2138">
        <v>1</v>
      </c>
      <c r="CK2138">
        <v>22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"080066579904"</f>
        <v>080066579904</v>
      </c>
      <c r="F2139" s="3">
        <v>45853</v>
      </c>
      <c r="G2139">
        <v>202604</v>
      </c>
      <c r="H2139" t="s">
        <v>75</v>
      </c>
      <c r="I2139" t="s">
        <v>76</v>
      </c>
      <c r="J2139" t="s">
        <v>77</v>
      </c>
      <c r="K2139" t="s">
        <v>78</v>
      </c>
      <c r="L2139" t="s">
        <v>168</v>
      </c>
      <c r="M2139" t="s">
        <v>169</v>
      </c>
      <c r="N2139" t="s">
        <v>202</v>
      </c>
      <c r="O2139" t="s">
        <v>82</v>
      </c>
      <c r="P2139" t="str">
        <f>"4170048719                    "</f>
        <v xml:space="preserve">4170048719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22.6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</v>
      </c>
      <c r="BJ2139">
        <v>1.1000000000000001</v>
      </c>
      <c r="BK2139">
        <v>2</v>
      </c>
      <c r="BL2139">
        <v>71.2</v>
      </c>
      <c r="BM2139">
        <v>10.68</v>
      </c>
      <c r="BN2139">
        <v>81.88</v>
      </c>
      <c r="BO2139">
        <v>81.88</v>
      </c>
      <c r="BQ2139" t="s">
        <v>203</v>
      </c>
      <c r="BR2139" t="s">
        <v>84</v>
      </c>
      <c r="BS2139" s="3">
        <v>45854</v>
      </c>
      <c r="BT2139" s="4">
        <v>0.37708333333333333</v>
      </c>
      <c r="BU2139" t="s">
        <v>1713</v>
      </c>
      <c r="BV2139" t="s">
        <v>98</v>
      </c>
      <c r="BY2139">
        <v>5320</v>
      </c>
      <c r="BZ2139" t="s">
        <v>89</v>
      </c>
      <c r="CA2139" t="s">
        <v>205</v>
      </c>
      <c r="CC2139" t="s">
        <v>169</v>
      </c>
      <c r="CD2139">
        <v>6001</v>
      </c>
      <c r="CE2139" t="s">
        <v>117</v>
      </c>
      <c r="CF2139" s="3">
        <v>45854</v>
      </c>
      <c r="CI2139">
        <v>1</v>
      </c>
      <c r="CJ2139">
        <v>1</v>
      </c>
      <c r="CK2139">
        <v>21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"080066579952"</f>
        <v>080066579952</v>
      </c>
      <c r="F2140" s="3">
        <v>45853</v>
      </c>
      <c r="G2140">
        <v>202604</v>
      </c>
      <c r="H2140" t="s">
        <v>75</v>
      </c>
      <c r="I2140" t="s">
        <v>76</v>
      </c>
      <c r="J2140" t="s">
        <v>77</v>
      </c>
      <c r="K2140" t="s">
        <v>78</v>
      </c>
      <c r="L2140" t="s">
        <v>79</v>
      </c>
      <c r="M2140" t="s">
        <v>80</v>
      </c>
      <c r="N2140" t="s">
        <v>689</v>
      </c>
      <c r="O2140" t="s">
        <v>82</v>
      </c>
      <c r="P2140" t="str">
        <f>"4170048752                    "</f>
        <v xml:space="preserve">4170048752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22.6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0.3</v>
      </c>
      <c r="BK2140">
        <v>1</v>
      </c>
      <c r="BL2140">
        <v>71.2</v>
      </c>
      <c r="BM2140">
        <v>10.68</v>
      </c>
      <c r="BN2140">
        <v>81.88</v>
      </c>
      <c r="BO2140">
        <v>81.88</v>
      </c>
      <c r="BQ2140" t="s">
        <v>690</v>
      </c>
      <c r="BR2140" t="s">
        <v>84</v>
      </c>
      <c r="BS2140" s="3">
        <v>45854</v>
      </c>
      <c r="BT2140" s="4">
        <v>0.45833333333333331</v>
      </c>
      <c r="BU2140" t="s">
        <v>2609</v>
      </c>
      <c r="BV2140" t="s">
        <v>86</v>
      </c>
      <c r="BW2140" t="s">
        <v>87</v>
      </c>
      <c r="BX2140" t="s">
        <v>2610</v>
      </c>
      <c r="BY2140">
        <v>1350</v>
      </c>
      <c r="BZ2140" t="s">
        <v>89</v>
      </c>
      <c r="CC2140" t="s">
        <v>80</v>
      </c>
      <c r="CD2140">
        <v>7800</v>
      </c>
      <c r="CE2140" t="s">
        <v>1868</v>
      </c>
      <c r="CF2140" s="3">
        <v>45855</v>
      </c>
      <c r="CI2140">
        <v>1</v>
      </c>
      <c r="CJ2140">
        <v>1</v>
      </c>
      <c r="CK2140">
        <v>21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"080066579954"</f>
        <v>080066579954</v>
      </c>
      <c r="F2141" s="3">
        <v>45853</v>
      </c>
      <c r="G2141">
        <v>202604</v>
      </c>
      <c r="H2141" t="s">
        <v>75</v>
      </c>
      <c r="I2141" t="s">
        <v>76</v>
      </c>
      <c r="J2141" t="s">
        <v>77</v>
      </c>
      <c r="K2141" t="s">
        <v>78</v>
      </c>
      <c r="L2141" t="s">
        <v>151</v>
      </c>
      <c r="M2141" t="s">
        <v>152</v>
      </c>
      <c r="N2141" t="s">
        <v>2124</v>
      </c>
      <c r="O2141" t="s">
        <v>82</v>
      </c>
      <c r="P2141" t="str">
        <f>"4170048948                    "</f>
        <v xml:space="preserve">4170048948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22.6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0.9</v>
      </c>
      <c r="BK2141">
        <v>2</v>
      </c>
      <c r="BL2141">
        <v>71.2</v>
      </c>
      <c r="BM2141">
        <v>10.68</v>
      </c>
      <c r="BN2141">
        <v>81.88</v>
      </c>
      <c r="BO2141">
        <v>81.88</v>
      </c>
      <c r="BQ2141" t="s">
        <v>2125</v>
      </c>
      <c r="BR2141" t="s">
        <v>84</v>
      </c>
      <c r="BS2141" s="3">
        <v>45854</v>
      </c>
      <c r="BT2141" s="4">
        <v>0.4284722222222222</v>
      </c>
      <c r="BU2141" t="s">
        <v>2611</v>
      </c>
      <c r="BV2141" t="s">
        <v>98</v>
      </c>
      <c r="BY2141">
        <v>4275</v>
      </c>
      <c r="BZ2141" t="s">
        <v>89</v>
      </c>
      <c r="CA2141" t="s">
        <v>2612</v>
      </c>
      <c r="CC2141" t="s">
        <v>152</v>
      </c>
      <c r="CD2141" s="5" t="s">
        <v>157</v>
      </c>
      <c r="CE2141" t="s">
        <v>117</v>
      </c>
      <c r="CF2141" s="3">
        <v>45854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"080066580002"</f>
        <v>080066580002</v>
      </c>
      <c r="F2142" s="3">
        <v>45853</v>
      </c>
      <c r="G2142">
        <v>202604</v>
      </c>
      <c r="H2142" t="s">
        <v>75</v>
      </c>
      <c r="I2142" t="s">
        <v>76</v>
      </c>
      <c r="J2142" t="s">
        <v>77</v>
      </c>
      <c r="K2142" t="s">
        <v>78</v>
      </c>
      <c r="L2142" t="s">
        <v>79</v>
      </c>
      <c r="M2142" t="s">
        <v>80</v>
      </c>
      <c r="N2142" t="s">
        <v>141</v>
      </c>
      <c r="O2142" t="s">
        <v>82</v>
      </c>
      <c r="P2142" t="str">
        <f>"4170048694                    "</f>
        <v xml:space="preserve">4170048694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45.18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</v>
      </c>
      <c r="BJ2142">
        <v>2.2999999999999998</v>
      </c>
      <c r="BK2142">
        <v>4</v>
      </c>
      <c r="BL2142">
        <v>142.34</v>
      </c>
      <c r="BM2142">
        <v>21.35</v>
      </c>
      <c r="BN2142">
        <v>163.69</v>
      </c>
      <c r="BO2142">
        <v>163.69</v>
      </c>
      <c r="BQ2142" t="s">
        <v>142</v>
      </c>
      <c r="BR2142" t="s">
        <v>84</v>
      </c>
      <c r="BS2142" s="3">
        <v>45854</v>
      </c>
      <c r="BT2142" s="4">
        <v>0.41111111111111109</v>
      </c>
      <c r="BU2142" t="s">
        <v>143</v>
      </c>
      <c r="BV2142" t="s">
        <v>98</v>
      </c>
      <c r="BY2142">
        <v>11700</v>
      </c>
      <c r="BZ2142" t="s">
        <v>89</v>
      </c>
      <c r="CA2142" t="s">
        <v>144</v>
      </c>
      <c r="CC2142" t="s">
        <v>80</v>
      </c>
      <c r="CD2142">
        <v>7441</v>
      </c>
      <c r="CE2142" t="s">
        <v>117</v>
      </c>
      <c r="CF2142" s="3">
        <v>45855</v>
      </c>
      <c r="CI2142">
        <v>1</v>
      </c>
      <c r="CJ2142">
        <v>1</v>
      </c>
      <c r="CK2142">
        <v>21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"080066580015"</f>
        <v>080066580015</v>
      </c>
      <c r="F2143" s="3">
        <v>45853</v>
      </c>
      <c r="G2143">
        <v>202604</v>
      </c>
      <c r="H2143" t="s">
        <v>75</v>
      </c>
      <c r="I2143" t="s">
        <v>76</v>
      </c>
      <c r="J2143" t="s">
        <v>77</v>
      </c>
      <c r="K2143" t="s">
        <v>78</v>
      </c>
      <c r="L2143" t="s">
        <v>146</v>
      </c>
      <c r="M2143" t="s">
        <v>146</v>
      </c>
      <c r="N2143" t="s">
        <v>147</v>
      </c>
      <c r="O2143" t="s">
        <v>82</v>
      </c>
      <c r="P2143" t="str">
        <f>"4170048762                    "</f>
        <v xml:space="preserve">4170048762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43.78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0.3</v>
      </c>
      <c r="BK2143">
        <v>1</v>
      </c>
      <c r="BL2143">
        <v>137.94</v>
      </c>
      <c r="BM2143">
        <v>20.69</v>
      </c>
      <c r="BN2143">
        <v>158.63</v>
      </c>
      <c r="BO2143">
        <v>158.63</v>
      </c>
      <c r="BQ2143" t="s">
        <v>148</v>
      </c>
      <c r="BR2143" t="s">
        <v>84</v>
      </c>
      <c r="BS2143" s="3">
        <v>45854</v>
      </c>
      <c r="BT2143" s="4">
        <v>0.53819444444444442</v>
      </c>
      <c r="BU2143" t="s">
        <v>149</v>
      </c>
      <c r="BV2143" t="s">
        <v>98</v>
      </c>
      <c r="BY2143">
        <v>1350</v>
      </c>
      <c r="BZ2143" t="s">
        <v>89</v>
      </c>
      <c r="CA2143" t="s">
        <v>150</v>
      </c>
      <c r="CC2143" t="s">
        <v>146</v>
      </c>
      <c r="CD2143">
        <v>7646</v>
      </c>
      <c r="CE2143" t="s">
        <v>1868</v>
      </c>
      <c r="CF2143" s="3">
        <v>45855</v>
      </c>
      <c r="CI2143">
        <v>1</v>
      </c>
      <c r="CJ2143">
        <v>1</v>
      </c>
      <c r="CK2143">
        <v>23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"080066580084"</f>
        <v>080066580084</v>
      </c>
      <c r="F2144" s="3">
        <v>45853</v>
      </c>
      <c r="G2144">
        <v>202604</v>
      </c>
      <c r="H2144" t="s">
        <v>75</v>
      </c>
      <c r="I2144" t="s">
        <v>76</v>
      </c>
      <c r="J2144" t="s">
        <v>77</v>
      </c>
      <c r="K2144" t="s">
        <v>78</v>
      </c>
      <c r="L2144" t="s">
        <v>92</v>
      </c>
      <c r="M2144" t="s">
        <v>93</v>
      </c>
      <c r="N2144" t="s">
        <v>291</v>
      </c>
      <c r="O2144" t="s">
        <v>82</v>
      </c>
      <c r="P2144" t="str">
        <f>"4170048746                    "</f>
        <v xml:space="preserve">4170048746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0.3</v>
      </c>
      <c r="BK2144">
        <v>1</v>
      </c>
      <c r="BL2144">
        <v>71.2</v>
      </c>
      <c r="BM2144">
        <v>10.68</v>
      </c>
      <c r="BN2144">
        <v>81.88</v>
      </c>
      <c r="BO2144">
        <v>81.88</v>
      </c>
      <c r="BQ2144" t="s">
        <v>292</v>
      </c>
      <c r="BR2144" t="s">
        <v>84</v>
      </c>
      <c r="BS2144" s="3">
        <v>45854</v>
      </c>
      <c r="BT2144" s="4">
        <v>0.33263888888888887</v>
      </c>
      <c r="BU2144" t="s">
        <v>1571</v>
      </c>
      <c r="BV2144" t="s">
        <v>98</v>
      </c>
      <c r="BY2144">
        <v>1350</v>
      </c>
      <c r="BZ2144" t="s">
        <v>89</v>
      </c>
      <c r="CA2144" t="s">
        <v>294</v>
      </c>
      <c r="CC2144" t="s">
        <v>93</v>
      </c>
      <c r="CD2144">
        <v>4051</v>
      </c>
      <c r="CE2144" t="s">
        <v>1868</v>
      </c>
      <c r="CF2144" s="3">
        <v>45854</v>
      </c>
      <c r="CI2144">
        <v>1</v>
      </c>
      <c r="CJ2144">
        <v>1</v>
      </c>
      <c r="CK2144">
        <v>21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"080066580155"</f>
        <v>080066580155</v>
      </c>
      <c r="F2145" s="3">
        <v>45853</v>
      </c>
      <c r="G2145">
        <v>202604</v>
      </c>
      <c r="H2145" t="s">
        <v>75</v>
      </c>
      <c r="I2145" t="s">
        <v>76</v>
      </c>
      <c r="J2145" t="s">
        <v>77</v>
      </c>
      <c r="K2145" t="s">
        <v>78</v>
      </c>
      <c r="L2145" t="s">
        <v>758</v>
      </c>
      <c r="M2145" t="s">
        <v>759</v>
      </c>
      <c r="N2145" t="s">
        <v>760</v>
      </c>
      <c r="O2145" t="s">
        <v>82</v>
      </c>
      <c r="P2145" t="str">
        <f>"4170048949                    "</f>
        <v xml:space="preserve">4170048949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43.78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0.3</v>
      </c>
      <c r="BK2145">
        <v>1</v>
      </c>
      <c r="BL2145">
        <v>137.94</v>
      </c>
      <c r="BM2145">
        <v>20.69</v>
      </c>
      <c r="BN2145">
        <v>158.63</v>
      </c>
      <c r="BO2145">
        <v>158.63</v>
      </c>
      <c r="BQ2145" t="s">
        <v>761</v>
      </c>
      <c r="BR2145" t="s">
        <v>84</v>
      </c>
      <c r="BS2145" s="3">
        <v>45854</v>
      </c>
      <c r="BT2145" s="4">
        <v>0.5131944444444444</v>
      </c>
      <c r="BU2145" t="s">
        <v>2578</v>
      </c>
      <c r="BV2145" t="s">
        <v>98</v>
      </c>
      <c r="BY2145">
        <v>1350</v>
      </c>
      <c r="BZ2145" t="s">
        <v>89</v>
      </c>
      <c r="CA2145" t="s">
        <v>763</v>
      </c>
      <c r="CC2145" t="s">
        <v>759</v>
      </c>
      <c r="CD2145">
        <v>2531</v>
      </c>
      <c r="CE2145" t="s">
        <v>1868</v>
      </c>
      <c r="CF2145" s="3">
        <v>45855</v>
      </c>
      <c r="CI2145">
        <v>1</v>
      </c>
      <c r="CJ2145">
        <v>1</v>
      </c>
      <c r="CK2145">
        <v>23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"080066580215"</f>
        <v>080066580215</v>
      </c>
      <c r="F2146" s="3">
        <v>45853</v>
      </c>
      <c r="G2146">
        <v>202604</v>
      </c>
      <c r="H2146" t="s">
        <v>75</v>
      </c>
      <c r="I2146" t="s">
        <v>76</v>
      </c>
      <c r="J2146" t="s">
        <v>77</v>
      </c>
      <c r="K2146" t="s">
        <v>78</v>
      </c>
      <c r="L2146" t="s">
        <v>79</v>
      </c>
      <c r="M2146" t="s">
        <v>80</v>
      </c>
      <c r="N2146" t="s">
        <v>492</v>
      </c>
      <c r="O2146" t="s">
        <v>82</v>
      </c>
      <c r="P2146" t="str">
        <f>"4170048760                    "</f>
        <v xml:space="preserve">4170048760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22.6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0.3</v>
      </c>
      <c r="BK2146">
        <v>1</v>
      </c>
      <c r="BL2146">
        <v>71.2</v>
      </c>
      <c r="BM2146">
        <v>10.68</v>
      </c>
      <c r="BN2146">
        <v>81.88</v>
      </c>
      <c r="BO2146">
        <v>81.88</v>
      </c>
      <c r="BQ2146" t="s">
        <v>493</v>
      </c>
      <c r="BR2146" t="s">
        <v>84</v>
      </c>
      <c r="BS2146" s="3">
        <v>45854</v>
      </c>
      <c r="BT2146" s="4">
        <v>0.42499999999999999</v>
      </c>
      <c r="BU2146" t="s">
        <v>494</v>
      </c>
      <c r="BV2146" t="s">
        <v>98</v>
      </c>
      <c r="BY2146">
        <v>1350</v>
      </c>
      <c r="BZ2146" t="s">
        <v>89</v>
      </c>
      <c r="CA2146" t="s">
        <v>495</v>
      </c>
      <c r="CC2146" t="s">
        <v>80</v>
      </c>
      <c r="CD2146">
        <v>7800</v>
      </c>
      <c r="CE2146" t="s">
        <v>1868</v>
      </c>
      <c r="CF2146" s="3">
        <v>45855</v>
      </c>
      <c r="CI2146">
        <v>1</v>
      </c>
      <c r="CJ2146">
        <v>1</v>
      </c>
      <c r="CK2146">
        <v>21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"080066580256"</f>
        <v>080066580256</v>
      </c>
      <c r="F2147" s="3">
        <v>45853</v>
      </c>
      <c r="G2147">
        <v>202604</v>
      </c>
      <c r="H2147" t="s">
        <v>75</v>
      </c>
      <c r="I2147" t="s">
        <v>76</v>
      </c>
      <c r="J2147" t="s">
        <v>77</v>
      </c>
      <c r="K2147" t="s">
        <v>78</v>
      </c>
      <c r="L2147" t="s">
        <v>197</v>
      </c>
      <c r="M2147" t="s">
        <v>198</v>
      </c>
      <c r="N2147" t="s">
        <v>1192</v>
      </c>
      <c r="O2147" t="s">
        <v>82</v>
      </c>
      <c r="P2147" t="str">
        <f>"4170048698                    "</f>
        <v xml:space="preserve">4170048698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17.649999999999999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0.3</v>
      </c>
      <c r="BK2147">
        <v>1</v>
      </c>
      <c r="BL2147">
        <v>55.61</v>
      </c>
      <c r="BM2147">
        <v>8.34</v>
      </c>
      <c r="BN2147">
        <v>63.95</v>
      </c>
      <c r="BO2147">
        <v>63.95</v>
      </c>
      <c r="BQ2147" t="s">
        <v>1193</v>
      </c>
      <c r="BR2147" t="s">
        <v>84</v>
      </c>
      <c r="BS2147" s="3">
        <v>45854</v>
      </c>
      <c r="BT2147" s="4">
        <v>0.43402777777777779</v>
      </c>
      <c r="BU2147" t="s">
        <v>1194</v>
      </c>
      <c r="BV2147" t="s">
        <v>98</v>
      </c>
      <c r="BY2147">
        <v>1350</v>
      </c>
      <c r="BZ2147" t="s">
        <v>89</v>
      </c>
      <c r="CA2147" t="s">
        <v>318</v>
      </c>
      <c r="CC2147" t="s">
        <v>198</v>
      </c>
      <c r="CD2147">
        <v>1428</v>
      </c>
      <c r="CE2147" t="s">
        <v>1868</v>
      </c>
      <c r="CF2147" s="3">
        <v>45854</v>
      </c>
      <c r="CI2147">
        <v>1</v>
      </c>
      <c r="CJ2147">
        <v>1</v>
      </c>
      <c r="CK2147">
        <v>22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"080066581223"</f>
        <v>080066581223</v>
      </c>
      <c r="F2148" s="3">
        <v>45853</v>
      </c>
      <c r="G2148">
        <v>202604</v>
      </c>
      <c r="H2148" t="s">
        <v>75</v>
      </c>
      <c r="I2148" t="s">
        <v>76</v>
      </c>
      <c r="J2148" t="s">
        <v>77</v>
      </c>
      <c r="K2148" t="s">
        <v>78</v>
      </c>
      <c r="L2148" t="s">
        <v>168</v>
      </c>
      <c r="M2148" t="s">
        <v>169</v>
      </c>
      <c r="N2148" t="s">
        <v>487</v>
      </c>
      <c r="O2148" t="s">
        <v>82</v>
      </c>
      <c r="P2148" t="str">
        <f>"4170048718                    "</f>
        <v xml:space="preserve">4170048718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33.89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1.9</v>
      </c>
      <c r="BK2148">
        <v>3</v>
      </c>
      <c r="BL2148">
        <v>106.77</v>
      </c>
      <c r="BM2148">
        <v>16.02</v>
      </c>
      <c r="BN2148">
        <v>122.79</v>
      </c>
      <c r="BO2148">
        <v>122.79</v>
      </c>
      <c r="BQ2148" t="s">
        <v>488</v>
      </c>
      <c r="BR2148" t="s">
        <v>84</v>
      </c>
      <c r="BS2148" s="3">
        <v>45854</v>
      </c>
      <c r="BT2148" s="4">
        <v>0.43333333333333335</v>
      </c>
      <c r="BU2148" t="s">
        <v>2491</v>
      </c>
      <c r="BV2148" t="s">
        <v>98</v>
      </c>
      <c r="BY2148">
        <v>9728</v>
      </c>
      <c r="BZ2148" t="s">
        <v>89</v>
      </c>
      <c r="CA2148" t="s">
        <v>415</v>
      </c>
      <c r="CC2148" t="s">
        <v>169</v>
      </c>
      <c r="CD2148">
        <v>6012</v>
      </c>
      <c r="CE2148" t="s">
        <v>91</v>
      </c>
      <c r="CF2148" s="3">
        <v>45854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"080066581322"</f>
        <v>080066581322</v>
      </c>
      <c r="F2149" s="3">
        <v>45853</v>
      </c>
      <c r="G2149">
        <v>202604</v>
      </c>
      <c r="H2149" t="s">
        <v>75</v>
      </c>
      <c r="I2149" t="s">
        <v>76</v>
      </c>
      <c r="J2149" t="s">
        <v>77</v>
      </c>
      <c r="K2149" t="s">
        <v>78</v>
      </c>
      <c r="L2149" t="s">
        <v>168</v>
      </c>
      <c r="M2149" t="s">
        <v>169</v>
      </c>
      <c r="N2149" t="s">
        <v>206</v>
      </c>
      <c r="O2149" t="s">
        <v>82</v>
      </c>
      <c r="P2149" t="str">
        <f>"4170048683                    "</f>
        <v xml:space="preserve">4170048683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45.18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4</v>
      </c>
      <c r="BJ2149">
        <v>1.7</v>
      </c>
      <c r="BK2149">
        <v>4</v>
      </c>
      <c r="BL2149">
        <v>142.34</v>
      </c>
      <c r="BM2149">
        <v>21.35</v>
      </c>
      <c r="BN2149">
        <v>163.69</v>
      </c>
      <c r="BO2149">
        <v>163.69</v>
      </c>
      <c r="BQ2149" t="s">
        <v>207</v>
      </c>
      <c r="BR2149" t="s">
        <v>84</v>
      </c>
      <c r="BS2149" s="3">
        <v>45854</v>
      </c>
      <c r="BT2149" s="4">
        <v>0.41666666666666669</v>
      </c>
      <c r="BU2149" t="s">
        <v>2414</v>
      </c>
      <c r="BV2149" t="s">
        <v>98</v>
      </c>
      <c r="BY2149">
        <v>8512</v>
      </c>
      <c r="BZ2149" t="s">
        <v>89</v>
      </c>
      <c r="CA2149" t="s">
        <v>196</v>
      </c>
      <c r="CC2149" t="s">
        <v>169</v>
      </c>
      <c r="CD2149">
        <v>6001</v>
      </c>
      <c r="CE2149" t="s">
        <v>117</v>
      </c>
      <c r="CF2149" s="3">
        <v>45854</v>
      </c>
      <c r="CI2149">
        <v>1</v>
      </c>
      <c r="CJ2149">
        <v>1</v>
      </c>
      <c r="CK2149">
        <v>21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"080066581382"</f>
        <v>080066581382</v>
      </c>
      <c r="F2150" s="3">
        <v>45853</v>
      </c>
      <c r="G2150">
        <v>202604</v>
      </c>
      <c r="H2150" t="s">
        <v>75</v>
      </c>
      <c r="I2150" t="s">
        <v>76</v>
      </c>
      <c r="J2150" t="s">
        <v>77</v>
      </c>
      <c r="K2150" t="s">
        <v>78</v>
      </c>
      <c r="L2150" t="s">
        <v>92</v>
      </c>
      <c r="M2150" t="s">
        <v>93</v>
      </c>
      <c r="N2150" t="s">
        <v>2613</v>
      </c>
      <c r="O2150" t="s">
        <v>82</v>
      </c>
      <c r="P2150" t="str">
        <f>"4170048929                    "</f>
        <v xml:space="preserve">4170048929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67.760000000000005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2</v>
      </c>
      <c r="BI2150">
        <v>6</v>
      </c>
      <c r="BJ2150">
        <v>2.1</v>
      </c>
      <c r="BK2150">
        <v>6</v>
      </c>
      <c r="BL2150">
        <v>213.48</v>
      </c>
      <c r="BM2150">
        <v>32.020000000000003</v>
      </c>
      <c r="BN2150">
        <v>245.5</v>
      </c>
      <c r="BO2150">
        <v>245.5</v>
      </c>
      <c r="BQ2150" t="s">
        <v>2614</v>
      </c>
      <c r="BR2150" t="s">
        <v>84</v>
      </c>
      <c r="BS2150" s="3">
        <v>45854</v>
      </c>
      <c r="BT2150" s="4">
        <v>0.40625</v>
      </c>
      <c r="BU2150" t="s">
        <v>2615</v>
      </c>
      <c r="BV2150" t="s">
        <v>98</v>
      </c>
      <c r="BY2150">
        <v>5320</v>
      </c>
      <c r="BZ2150" t="s">
        <v>89</v>
      </c>
      <c r="CA2150" t="s">
        <v>2616</v>
      </c>
      <c r="CC2150" t="s">
        <v>93</v>
      </c>
      <c r="CD2150">
        <v>4000</v>
      </c>
      <c r="CE2150" t="s">
        <v>1468</v>
      </c>
      <c r="CF2150" s="3">
        <v>45855</v>
      </c>
      <c r="CI2150">
        <v>1</v>
      </c>
      <c r="CJ2150">
        <v>1</v>
      </c>
      <c r="CK2150">
        <v>21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"080066581414"</f>
        <v>080066581414</v>
      </c>
      <c r="F2151" s="3">
        <v>45853</v>
      </c>
      <c r="G2151">
        <v>202604</v>
      </c>
      <c r="H2151" t="s">
        <v>75</v>
      </c>
      <c r="I2151" t="s">
        <v>76</v>
      </c>
      <c r="J2151" t="s">
        <v>77</v>
      </c>
      <c r="K2151" t="s">
        <v>78</v>
      </c>
      <c r="L2151" t="s">
        <v>92</v>
      </c>
      <c r="M2151" t="s">
        <v>93</v>
      </c>
      <c r="N2151" t="s">
        <v>291</v>
      </c>
      <c r="O2151" t="s">
        <v>82</v>
      </c>
      <c r="P2151" t="str">
        <f>"4170048708                    "</f>
        <v xml:space="preserve">4170048708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112.92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10</v>
      </c>
      <c r="BJ2151">
        <v>1.7</v>
      </c>
      <c r="BK2151">
        <v>10</v>
      </c>
      <c r="BL2151">
        <v>355.76</v>
      </c>
      <c r="BM2151">
        <v>53.36</v>
      </c>
      <c r="BN2151">
        <v>409.12</v>
      </c>
      <c r="BO2151">
        <v>409.12</v>
      </c>
      <c r="BQ2151" t="s">
        <v>292</v>
      </c>
      <c r="BR2151" t="s">
        <v>84</v>
      </c>
      <c r="BS2151" s="3">
        <v>45854</v>
      </c>
      <c r="BT2151" s="4">
        <v>0.33263888888888887</v>
      </c>
      <c r="BU2151" t="s">
        <v>1571</v>
      </c>
      <c r="BV2151" t="s">
        <v>98</v>
      </c>
      <c r="BY2151">
        <v>8512</v>
      </c>
      <c r="BZ2151" t="s">
        <v>89</v>
      </c>
      <c r="CA2151" t="s">
        <v>294</v>
      </c>
      <c r="CC2151" t="s">
        <v>93</v>
      </c>
      <c r="CD2151">
        <v>4051</v>
      </c>
      <c r="CE2151" t="s">
        <v>117</v>
      </c>
      <c r="CF2151" s="3">
        <v>45854</v>
      </c>
      <c r="CI2151">
        <v>1</v>
      </c>
      <c r="CJ2151">
        <v>1</v>
      </c>
      <c r="CK2151">
        <v>21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"080066581458"</f>
        <v>080066581458</v>
      </c>
      <c r="F2152" s="3">
        <v>45853</v>
      </c>
      <c r="G2152">
        <v>202604</v>
      </c>
      <c r="H2152" t="s">
        <v>75</v>
      </c>
      <c r="I2152" t="s">
        <v>76</v>
      </c>
      <c r="J2152" t="s">
        <v>77</v>
      </c>
      <c r="K2152" t="s">
        <v>78</v>
      </c>
      <c r="L2152" t="s">
        <v>503</v>
      </c>
      <c r="M2152" t="s">
        <v>504</v>
      </c>
      <c r="N2152" t="s">
        <v>505</v>
      </c>
      <c r="O2152" t="s">
        <v>82</v>
      </c>
      <c r="P2152" t="str">
        <f>"4170048973                    "</f>
        <v xml:space="preserve">4170048973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43.78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1.1000000000000001</v>
      </c>
      <c r="BK2152">
        <v>1.5</v>
      </c>
      <c r="BL2152">
        <v>137.94</v>
      </c>
      <c r="BM2152">
        <v>20.69</v>
      </c>
      <c r="BN2152">
        <v>158.63</v>
      </c>
      <c r="BO2152">
        <v>158.63</v>
      </c>
      <c r="BQ2152" t="s">
        <v>506</v>
      </c>
      <c r="BR2152" t="s">
        <v>84</v>
      </c>
      <c r="BS2152" s="3">
        <v>45854</v>
      </c>
      <c r="BT2152" s="4">
        <v>0.41041666666666665</v>
      </c>
      <c r="BU2152" t="s">
        <v>1235</v>
      </c>
      <c r="BV2152" t="s">
        <v>98</v>
      </c>
      <c r="BY2152">
        <v>5320</v>
      </c>
      <c r="BZ2152" t="s">
        <v>89</v>
      </c>
      <c r="CA2152" t="s">
        <v>508</v>
      </c>
      <c r="CC2152" t="s">
        <v>504</v>
      </c>
      <c r="CD2152">
        <v>7130</v>
      </c>
      <c r="CE2152" t="s">
        <v>117</v>
      </c>
      <c r="CF2152" s="3">
        <v>45855</v>
      </c>
      <c r="CI2152">
        <v>1</v>
      </c>
      <c r="CJ2152">
        <v>1</v>
      </c>
      <c r="CK2152">
        <v>23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"080066581502"</f>
        <v>080066581502</v>
      </c>
      <c r="F2153" s="3">
        <v>45853</v>
      </c>
      <c r="G2153">
        <v>202604</v>
      </c>
      <c r="H2153" t="s">
        <v>75</v>
      </c>
      <c r="I2153" t="s">
        <v>76</v>
      </c>
      <c r="J2153" t="s">
        <v>77</v>
      </c>
      <c r="K2153" t="s">
        <v>78</v>
      </c>
      <c r="L2153" t="s">
        <v>554</v>
      </c>
      <c r="M2153" t="s">
        <v>555</v>
      </c>
      <c r="N2153" t="s">
        <v>556</v>
      </c>
      <c r="O2153" t="s">
        <v>82</v>
      </c>
      <c r="P2153" t="str">
        <f>"4170049001                    "</f>
        <v xml:space="preserve">4170049001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22.6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1.1000000000000001</v>
      </c>
      <c r="BK2153">
        <v>1.5</v>
      </c>
      <c r="BL2153">
        <v>71.2</v>
      </c>
      <c r="BM2153">
        <v>10.68</v>
      </c>
      <c r="BN2153">
        <v>81.88</v>
      </c>
      <c r="BO2153">
        <v>81.88</v>
      </c>
      <c r="BQ2153" t="s">
        <v>557</v>
      </c>
      <c r="BR2153" t="s">
        <v>84</v>
      </c>
      <c r="BS2153" s="3">
        <v>45854</v>
      </c>
      <c r="BT2153" s="4">
        <v>0.37222222222222223</v>
      </c>
      <c r="BU2153" t="s">
        <v>558</v>
      </c>
      <c r="BV2153" t="s">
        <v>98</v>
      </c>
      <c r="BY2153">
        <v>5320</v>
      </c>
      <c r="BZ2153" t="s">
        <v>89</v>
      </c>
      <c r="CA2153" t="s">
        <v>559</v>
      </c>
      <c r="CC2153" t="s">
        <v>555</v>
      </c>
      <c r="CD2153" s="5" t="s">
        <v>560</v>
      </c>
      <c r="CE2153" t="s">
        <v>117</v>
      </c>
      <c r="CF2153" s="3">
        <v>45854</v>
      </c>
      <c r="CI2153">
        <v>1</v>
      </c>
      <c r="CJ2153">
        <v>1</v>
      </c>
      <c r="CK2153">
        <v>21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"080066581561"</f>
        <v>080066581561</v>
      </c>
      <c r="F2154" s="3">
        <v>45853</v>
      </c>
      <c r="G2154">
        <v>202604</v>
      </c>
      <c r="H2154" t="s">
        <v>75</v>
      </c>
      <c r="I2154" t="s">
        <v>76</v>
      </c>
      <c r="J2154" t="s">
        <v>77</v>
      </c>
      <c r="K2154" t="s">
        <v>78</v>
      </c>
      <c r="L2154" t="s">
        <v>704</v>
      </c>
      <c r="M2154" t="s">
        <v>705</v>
      </c>
      <c r="N2154" t="s">
        <v>848</v>
      </c>
      <c r="O2154" t="s">
        <v>82</v>
      </c>
      <c r="P2154" t="str">
        <f>"4170048954                    "</f>
        <v xml:space="preserve">4170048954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73.44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3</v>
      </c>
      <c r="BJ2154">
        <v>3.4</v>
      </c>
      <c r="BK2154">
        <v>3.5</v>
      </c>
      <c r="BL2154">
        <v>231.38</v>
      </c>
      <c r="BM2154">
        <v>34.71</v>
      </c>
      <c r="BN2154">
        <v>266.08999999999997</v>
      </c>
      <c r="BO2154">
        <v>266.08999999999997</v>
      </c>
      <c r="BQ2154" t="s">
        <v>849</v>
      </c>
      <c r="BR2154" t="s">
        <v>84</v>
      </c>
      <c r="BS2154" s="3">
        <v>45854</v>
      </c>
      <c r="BT2154" s="4">
        <v>0.52430555555555558</v>
      </c>
      <c r="BU2154" t="s">
        <v>2274</v>
      </c>
      <c r="BV2154" t="s">
        <v>98</v>
      </c>
      <c r="BY2154">
        <v>17136</v>
      </c>
      <c r="BZ2154" t="s">
        <v>89</v>
      </c>
      <c r="CA2154" t="s">
        <v>1665</v>
      </c>
      <c r="CC2154" t="s">
        <v>705</v>
      </c>
      <c r="CD2154">
        <v>6850</v>
      </c>
      <c r="CE2154" t="s">
        <v>91</v>
      </c>
      <c r="CF2154" s="3">
        <v>45855</v>
      </c>
      <c r="CI2154">
        <v>2</v>
      </c>
      <c r="CJ2154">
        <v>1</v>
      </c>
      <c r="CK2154">
        <v>23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"080066581680"</f>
        <v>080066581680</v>
      </c>
      <c r="F2155" s="3">
        <v>45853</v>
      </c>
      <c r="G2155">
        <v>202604</v>
      </c>
      <c r="H2155" t="s">
        <v>75</v>
      </c>
      <c r="I2155" t="s">
        <v>76</v>
      </c>
      <c r="J2155" t="s">
        <v>77</v>
      </c>
      <c r="K2155" t="s">
        <v>78</v>
      </c>
      <c r="L2155" t="s">
        <v>1762</v>
      </c>
      <c r="M2155" t="s">
        <v>1763</v>
      </c>
      <c r="N2155" t="s">
        <v>2617</v>
      </c>
      <c r="O2155" t="s">
        <v>82</v>
      </c>
      <c r="P2155" t="str">
        <f>"4170048965                    "</f>
        <v xml:space="preserve">4170048965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43.78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0.3</v>
      </c>
      <c r="BK2155">
        <v>1</v>
      </c>
      <c r="BL2155">
        <v>137.94</v>
      </c>
      <c r="BM2155">
        <v>20.69</v>
      </c>
      <c r="BN2155">
        <v>158.63</v>
      </c>
      <c r="BO2155">
        <v>158.63</v>
      </c>
      <c r="BQ2155" t="s">
        <v>2618</v>
      </c>
      <c r="BR2155" t="s">
        <v>84</v>
      </c>
      <c r="BS2155" s="3">
        <v>45854</v>
      </c>
      <c r="BT2155" s="4">
        <v>0.67013888888888884</v>
      </c>
      <c r="BU2155" t="s">
        <v>2619</v>
      </c>
      <c r="BV2155" t="s">
        <v>98</v>
      </c>
      <c r="BY2155">
        <v>1350</v>
      </c>
      <c r="BZ2155" t="s">
        <v>89</v>
      </c>
      <c r="CA2155" t="s">
        <v>1767</v>
      </c>
      <c r="CC2155" t="s">
        <v>1763</v>
      </c>
      <c r="CD2155">
        <v>1390</v>
      </c>
      <c r="CE2155" t="s">
        <v>1868</v>
      </c>
      <c r="CF2155" s="3">
        <v>45854</v>
      </c>
      <c r="CI2155">
        <v>1</v>
      </c>
      <c r="CJ2155">
        <v>1</v>
      </c>
      <c r="CK2155">
        <v>23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"080066581717"</f>
        <v>080066581717</v>
      </c>
      <c r="F2156" s="3">
        <v>45853</v>
      </c>
      <c r="G2156">
        <v>202604</v>
      </c>
      <c r="H2156" t="s">
        <v>75</v>
      </c>
      <c r="I2156" t="s">
        <v>76</v>
      </c>
      <c r="J2156" t="s">
        <v>77</v>
      </c>
      <c r="K2156" t="s">
        <v>78</v>
      </c>
      <c r="L2156" t="s">
        <v>151</v>
      </c>
      <c r="M2156" t="s">
        <v>152</v>
      </c>
      <c r="N2156" t="s">
        <v>500</v>
      </c>
      <c r="O2156" t="s">
        <v>82</v>
      </c>
      <c r="P2156" t="str">
        <f>"4170048979                    "</f>
        <v xml:space="preserve">4170048979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45.18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4</v>
      </c>
      <c r="BJ2156">
        <v>1.1000000000000001</v>
      </c>
      <c r="BK2156">
        <v>4</v>
      </c>
      <c r="BL2156">
        <v>142.34</v>
      </c>
      <c r="BM2156">
        <v>21.35</v>
      </c>
      <c r="BN2156">
        <v>163.69</v>
      </c>
      <c r="BO2156">
        <v>163.69</v>
      </c>
      <c r="BQ2156" t="s">
        <v>501</v>
      </c>
      <c r="BR2156" t="s">
        <v>84</v>
      </c>
      <c r="BS2156" s="3">
        <v>45854</v>
      </c>
      <c r="BT2156" s="4">
        <v>0.40625</v>
      </c>
      <c r="BU2156" t="s">
        <v>1722</v>
      </c>
      <c r="BV2156" t="s">
        <v>98</v>
      </c>
      <c r="BY2156">
        <v>5400</v>
      </c>
      <c r="BZ2156" t="s">
        <v>89</v>
      </c>
      <c r="CA2156" t="s">
        <v>388</v>
      </c>
      <c r="CC2156" t="s">
        <v>152</v>
      </c>
      <c r="CD2156" s="5" t="s">
        <v>157</v>
      </c>
      <c r="CE2156" t="s">
        <v>1868</v>
      </c>
      <c r="CF2156" s="3">
        <v>45854</v>
      </c>
      <c r="CI2156">
        <v>1</v>
      </c>
      <c r="CJ2156">
        <v>1</v>
      </c>
      <c r="CK2156">
        <v>21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"080066581761"</f>
        <v>080066581761</v>
      </c>
      <c r="F2157" s="3">
        <v>45853</v>
      </c>
      <c r="G2157">
        <v>202604</v>
      </c>
      <c r="H2157" t="s">
        <v>75</v>
      </c>
      <c r="I2157" t="s">
        <v>76</v>
      </c>
      <c r="J2157" t="s">
        <v>77</v>
      </c>
      <c r="K2157" t="s">
        <v>78</v>
      </c>
      <c r="L2157" t="s">
        <v>240</v>
      </c>
      <c r="M2157" t="s">
        <v>241</v>
      </c>
      <c r="N2157" t="s">
        <v>447</v>
      </c>
      <c r="O2157" t="s">
        <v>82</v>
      </c>
      <c r="P2157" t="str">
        <f>"4170048956                    "</f>
        <v xml:space="preserve">4170048956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17.649999999999999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0.3</v>
      </c>
      <c r="BK2157">
        <v>1</v>
      </c>
      <c r="BL2157">
        <v>55.61</v>
      </c>
      <c r="BM2157">
        <v>8.34</v>
      </c>
      <c r="BN2157">
        <v>63.95</v>
      </c>
      <c r="BO2157">
        <v>63.95</v>
      </c>
      <c r="BQ2157" t="s">
        <v>448</v>
      </c>
      <c r="BR2157" t="s">
        <v>84</v>
      </c>
      <c r="BS2157" s="3">
        <v>45854</v>
      </c>
      <c r="BT2157" s="4">
        <v>0.40555555555555556</v>
      </c>
      <c r="BU2157" t="s">
        <v>2620</v>
      </c>
      <c r="BV2157" t="s">
        <v>98</v>
      </c>
      <c r="BY2157">
        <v>1350</v>
      </c>
      <c r="BZ2157" t="s">
        <v>89</v>
      </c>
      <c r="CA2157" t="s">
        <v>613</v>
      </c>
      <c r="CC2157" t="s">
        <v>241</v>
      </c>
      <c r="CD2157">
        <v>2094</v>
      </c>
      <c r="CE2157" t="s">
        <v>1868</v>
      </c>
      <c r="CF2157" s="3">
        <v>45854</v>
      </c>
      <c r="CI2157">
        <v>1</v>
      </c>
      <c r="CJ2157">
        <v>1</v>
      </c>
      <c r="CK2157">
        <v>22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"080066581834"</f>
        <v>080066581834</v>
      </c>
      <c r="F2158" s="3">
        <v>45853</v>
      </c>
      <c r="G2158">
        <v>202604</v>
      </c>
      <c r="H2158" t="s">
        <v>75</v>
      </c>
      <c r="I2158" t="s">
        <v>76</v>
      </c>
      <c r="J2158" t="s">
        <v>77</v>
      </c>
      <c r="K2158" t="s">
        <v>78</v>
      </c>
      <c r="L2158" t="s">
        <v>75</v>
      </c>
      <c r="M2158" t="s">
        <v>76</v>
      </c>
      <c r="N2158" t="s">
        <v>701</v>
      </c>
      <c r="O2158" t="s">
        <v>82</v>
      </c>
      <c r="P2158" t="str">
        <f>"4170048998                    "</f>
        <v xml:space="preserve">4170048998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17.649999999999999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55.61</v>
      </c>
      <c r="BM2158">
        <v>8.34</v>
      </c>
      <c r="BN2158">
        <v>63.95</v>
      </c>
      <c r="BO2158">
        <v>63.95</v>
      </c>
      <c r="BQ2158" t="s">
        <v>702</v>
      </c>
      <c r="BR2158" t="s">
        <v>84</v>
      </c>
      <c r="BS2158" s="3">
        <v>45854</v>
      </c>
      <c r="BT2158" s="4">
        <v>0.36041666666666666</v>
      </c>
      <c r="BU2158" t="s">
        <v>703</v>
      </c>
      <c r="BV2158" t="s">
        <v>98</v>
      </c>
      <c r="BY2158">
        <v>1200</v>
      </c>
      <c r="BZ2158" t="s">
        <v>89</v>
      </c>
      <c r="CA2158" t="s">
        <v>617</v>
      </c>
      <c r="CC2158" t="s">
        <v>76</v>
      </c>
      <c r="CD2158">
        <v>1645</v>
      </c>
      <c r="CE2158" t="s">
        <v>239</v>
      </c>
      <c r="CF2158" s="3">
        <v>45854</v>
      </c>
      <c r="CI2158">
        <v>1</v>
      </c>
      <c r="CJ2158">
        <v>1</v>
      </c>
      <c r="CK2158">
        <v>22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"080066581861"</f>
        <v>080066581861</v>
      </c>
      <c r="F2159" s="3">
        <v>45853</v>
      </c>
      <c r="G2159">
        <v>202604</v>
      </c>
      <c r="H2159" t="s">
        <v>75</v>
      </c>
      <c r="I2159" t="s">
        <v>76</v>
      </c>
      <c r="J2159" t="s">
        <v>77</v>
      </c>
      <c r="K2159" t="s">
        <v>78</v>
      </c>
      <c r="L2159" t="s">
        <v>102</v>
      </c>
      <c r="M2159" t="s">
        <v>103</v>
      </c>
      <c r="N2159" t="s">
        <v>104</v>
      </c>
      <c r="O2159" t="s">
        <v>82</v>
      </c>
      <c r="P2159" t="str">
        <f>"4170048995                    "</f>
        <v xml:space="preserve">4170048995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31.78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100.13</v>
      </c>
      <c r="BM2159">
        <v>15.02</v>
      </c>
      <c r="BN2159">
        <v>115.15</v>
      </c>
      <c r="BO2159">
        <v>115.15</v>
      </c>
      <c r="BQ2159" t="s">
        <v>833</v>
      </c>
      <c r="BR2159" t="s">
        <v>84</v>
      </c>
      <c r="BS2159" s="3">
        <v>45854</v>
      </c>
      <c r="BT2159" s="4">
        <v>0.33819444444444446</v>
      </c>
      <c r="BU2159" t="s">
        <v>2601</v>
      </c>
      <c r="BV2159" t="s">
        <v>98</v>
      </c>
      <c r="BY2159">
        <v>1200</v>
      </c>
      <c r="BZ2159" t="s">
        <v>89</v>
      </c>
      <c r="CA2159" t="s">
        <v>2602</v>
      </c>
      <c r="CC2159" t="s">
        <v>103</v>
      </c>
      <c r="CD2159">
        <v>1748</v>
      </c>
      <c r="CE2159" t="s">
        <v>2621</v>
      </c>
      <c r="CF2159" s="3">
        <v>45854</v>
      </c>
      <c r="CI2159">
        <v>1</v>
      </c>
      <c r="CJ2159">
        <v>1</v>
      </c>
      <c r="CK2159">
        <v>24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"080066581903"</f>
        <v>080066581903</v>
      </c>
      <c r="F2160" s="3">
        <v>45853</v>
      </c>
      <c r="G2160">
        <v>202604</v>
      </c>
      <c r="H2160" t="s">
        <v>75</v>
      </c>
      <c r="I2160" t="s">
        <v>76</v>
      </c>
      <c r="J2160" t="s">
        <v>77</v>
      </c>
      <c r="K2160" t="s">
        <v>78</v>
      </c>
      <c r="L2160" t="s">
        <v>240</v>
      </c>
      <c r="M2160" t="s">
        <v>241</v>
      </c>
      <c r="N2160" t="s">
        <v>2027</v>
      </c>
      <c r="O2160" t="s">
        <v>82</v>
      </c>
      <c r="P2160" t="str">
        <f>"4170048992                    "</f>
        <v xml:space="preserve">4170048992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17.649999999999999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55.61</v>
      </c>
      <c r="BM2160">
        <v>8.34</v>
      </c>
      <c r="BN2160">
        <v>63.95</v>
      </c>
      <c r="BO2160">
        <v>63.95</v>
      </c>
      <c r="BQ2160" t="s">
        <v>2028</v>
      </c>
      <c r="BR2160" t="s">
        <v>84</v>
      </c>
      <c r="BS2160" s="3">
        <v>45854</v>
      </c>
      <c r="BT2160" s="4">
        <v>0.42986111111111114</v>
      </c>
      <c r="BU2160" t="s">
        <v>2622</v>
      </c>
      <c r="BV2160" t="s">
        <v>98</v>
      </c>
      <c r="BY2160">
        <v>1200</v>
      </c>
      <c r="BZ2160" t="s">
        <v>89</v>
      </c>
      <c r="CA2160" t="s">
        <v>613</v>
      </c>
      <c r="CC2160" t="s">
        <v>241</v>
      </c>
      <c r="CD2160">
        <v>2049</v>
      </c>
      <c r="CE2160" t="s">
        <v>239</v>
      </c>
      <c r="CF2160" s="3">
        <v>45854</v>
      </c>
      <c r="CI2160">
        <v>1</v>
      </c>
      <c r="CJ2160">
        <v>1</v>
      </c>
      <c r="CK2160">
        <v>22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"080066581927"</f>
        <v>080066581927</v>
      </c>
      <c r="F2161" s="3">
        <v>45853</v>
      </c>
      <c r="G2161">
        <v>202604</v>
      </c>
      <c r="H2161" t="s">
        <v>75</v>
      </c>
      <c r="I2161" t="s">
        <v>76</v>
      </c>
      <c r="J2161" t="s">
        <v>77</v>
      </c>
      <c r="K2161" t="s">
        <v>78</v>
      </c>
      <c r="L2161" t="s">
        <v>277</v>
      </c>
      <c r="M2161" t="s">
        <v>278</v>
      </c>
      <c r="N2161" t="s">
        <v>279</v>
      </c>
      <c r="O2161" t="s">
        <v>82</v>
      </c>
      <c r="P2161" t="str">
        <f>"4170049002                    "</f>
        <v xml:space="preserve">4170049002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22.6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71.2</v>
      </c>
      <c r="BM2161">
        <v>10.68</v>
      </c>
      <c r="BN2161">
        <v>81.88</v>
      </c>
      <c r="BO2161">
        <v>81.88</v>
      </c>
      <c r="BQ2161" t="s">
        <v>280</v>
      </c>
      <c r="BR2161" t="s">
        <v>84</v>
      </c>
      <c r="BS2161" s="3">
        <v>45854</v>
      </c>
      <c r="BT2161" s="4">
        <v>0.40347222222222223</v>
      </c>
      <c r="BU2161" t="s">
        <v>172</v>
      </c>
      <c r="BV2161" t="s">
        <v>98</v>
      </c>
      <c r="BY2161">
        <v>1200</v>
      </c>
      <c r="BZ2161" t="s">
        <v>89</v>
      </c>
      <c r="CA2161" t="s">
        <v>282</v>
      </c>
      <c r="CC2161" t="s">
        <v>278</v>
      </c>
      <c r="CD2161">
        <v>6230</v>
      </c>
      <c r="CE2161" t="s">
        <v>239</v>
      </c>
      <c r="CF2161" s="3">
        <v>45854</v>
      </c>
      <c r="CI2161">
        <v>1</v>
      </c>
      <c r="CJ2161">
        <v>1</v>
      </c>
      <c r="CK2161">
        <v>21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"080066581957"</f>
        <v>080066581957</v>
      </c>
      <c r="F2162" s="3">
        <v>45853</v>
      </c>
      <c r="G2162">
        <v>202604</v>
      </c>
      <c r="H2162" t="s">
        <v>75</v>
      </c>
      <c r="I2162" t="s">
        <v>76</v>
      </c>
      <c r="J2162" t="s">
        <v>77</v>
      </c>
      <c r="K2162" t="s">
        <v>78</v>
      </c>
      <c r="L2162" t="s">
        <v>240</v>
      </c>
      <c r="M2162" t="s">
        <v>241</v>
      </c>
      <c r="N2162" t="s">
        <v>1828</v>
      </c>
      <c r="O2162" t="s">
        <v>82</v>
      </c>
      <c r="P2162" t="str">
        <f>"4170049009                    "</f>
        <v xml:space="preserve">4170049009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17.649999999999999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55.61</v>
      </c>
      <c r="BM2162">
        <v>8.34</v>
      </c>
      <c r="BN2162">
        <v>63.95</v>
      </c>
      <c r="BO2162">
        <v>63.95</v>
      </c>
      <c r="BQ2162" t="s">
        <v>1829</v>
      </c>
      <c r="BR2162" t="s">
        <v>84</v>
      </c>
      <c r="BS2162" s="3">
        <v>45854</v>
      </c>
      <c r="BT2162" s="4">
        <v>0.38750000000000001</v>
      </c>
      <c r="BU2162" t="s">
        <v>2623</v>
      </c>
      <c r="BV2162" t="s">
        <v>98</v>
      </c>
      <c r="BY2162">
        <v>1200</v>
      </c>
      <c r="BZ2162" t="s">
        <v>89</v>
      </c>
      <c r="CA2162" t="s">
        <v>2624</v>
      </c>
      <c r="CC2162" t="s">
        <v>241</v>
      </c>
      <c r="CD2162">
        <v>2091</v>
      </c>
      <c r="CE2162" t="s">
        <v>239</v>
      </c>
      <c r="CF2162" s="3">
        <v>45855</v>
      </c>
      <c r="CI2162">
        <v>1</v>
      </c>
      <c r="CJ2162">
        <v>1</v>
      </c>
      <c r="CK2162">
        <v>22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"080066581985"</f>
        <v>080066581985</v>
      </c>
      <c r="F2163" s="3">
        <v>45853</v>
      </c>
      <c r="G2163">
        <v>202604</v>
      </c>
      <c r="H2163" t="s">
        <v>75</v>
      </c>
      <c r="I2163" t="s">
        <v>76</v>
      </c>
      <c r="J2163" t="s">
        <v>77</v>
      </c>
      <c r="K2163" t="s">
        <v>78</v>
      </c>
      <c r="L2163" t="s">
        <v>277</v>
      </c>
      <c r="M2163" t="s">
        <v>278</v>
      </c>
      <c r="N2163" t="s">
        <v>279</v>
      </c>
      <c r="O2163" t="s">
        <v>82</v>
      </c>
      <c r="P2163" t="str">
        <f>"4170049005                    "</f>
        <v xml:space="preserve">4170049005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22.6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71.2</v>
      </c>
      <c r="BM2163">
        <v>10.68</v>
      </c>
      <c r="BN2163">
        <v>81.88</v>
      </c>
      <c r="BO2163">
        <v>81.88</v>
      </c>
      <c r="BQ2163" t="s">
        <v>280</v>
      </c>
      <c r="BR2163" t="s">
        <v>84</v>
      </c>
      <c r="BS2163" s="3">
        <v>45854</v>
      </c>
      <c r="BT2163" s="4">
        <v>0.40416666666666667</v>
      </c>
      <c r="BU2163" t="s">
        <v>172</v>
      </c>
      <c r="BV2163" t="s">
        <v>98</v>
      </c>
      <c r="BY2163">
        <v>1200</v>
      </c>
      <c r="BZ2163" t="s">
        <v>89</v>
      </c>
      <c r="CA2163" t="s">
        <v>282</v>
      </c>
      <c r="CC2163" t="s">
        <v>278</v>
      </c>
      <c r="CD2163">
        <v>6230</v>
      </c>
      <c r="CE2163" t="s">
        <v>239</v>
      </c>
      <c r="CF2163" s="3">
        <v>45854</v>
      </c>
      <c r="CI2163">
        <v>1</v>
      </c>
      <c r="CJ2163">
        <v>1</v>
      </c>
      <c r="CK2163">
        <v>21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"080066581988"</f>
        <v>080066581988</v>
      </c>
      <c r="F2164" s="3">
        <v>45853</v>
      </c>
      <c r="G2164">
        <v>202604</v>
      </c>
      <c r="H2164" t="s">
        <v>75</v>
      </c>
      <c r="I2164" t="s">
        <v>76</v>
      </c>
      <c r="J2164" t="s">
        <v>77</v>
      </c>
      <c r="K2164" t="s">
        <v>78</v>
      </c>
      <c r="L2164" t="s">
        <v>151</v>
      </c>
      <c r="M2164" t="s">
        <v>152</v>
      </c>
      <c r="N2164" t="s">
        <v>272</v>
      </c>
      <c r="O2164" t="s">
        <v>82</v>
      </c>
      <c r="P2164" t="str">
        <f>"4170048990                    "</f>
        <v xml:space="preserve">4170048990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22.6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0.3</v>
      </c>
      <c r="BK2164">
        <v>1</v>
      </c>
      <c r="BL2164">
        <v>71.2</v>
      </c>
      <c r="BM2164">
        <v>10.68</v>
      </c>
      <c r="BN2164">
        <v>81.88</v>
      </c>
      <c r="BO2164">
        <v>81.88</v>
      </c>
      <c r="BQ2164" t="s">
        <v>273</v>
      </c>
      <c r="BR2164" t="s">
        <v>84</v>
      </c>
      <c r="BS2164" s="3">
        <v>45854</v>
      </c>
      <c r="BT2164" s="4">
        <v>0.42083333333333334</v>
      </c>
      <c r="BU2164" t="s">
        <v>2625</v>
      </c>
      <c r="BV2164" t="s">
        <v>98</v>
      </c>
      <c r="BY2164">
        <v>1350</v>
      </c>
      <c r="BZ2164" t="s">
        <v>89</v>
      </c>
      <c r="CA2164" t="s">
        <v>275</v>
      </c>
      <c r="CC2164" t="s">
        <v>152</v>
      </c>
      <c r="CD2164" s="5" t="s">
        <v>276</v>
      </c>
      <c r="CE2164" t="s">
        <v>1868</v>
      </c>
      <c r="CF2164" s="3">
        <v>45854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"080066582015"</f>
        <v>080066582015</v>
      </c>
      <c r="F2165" s="3">
        <v>45853</v>
      </c>
      <c r="G2165">
        <v>202604</v>
      </c>
      <c r="H2165" t="s">
        <v>75</v>
      </c>
      <c r="I2165" t="s">
        <v>76</v>
      </c>
      <c r="J2165" t="s">
        <v>77</v>
      </c>
      <c r="K2165" t="s">
        <v>78</v>
      </c>
      <c r="L2165" t="s">
        <v>305</v>
      </c>
      <c r="M2165" t="s">
        <v>306</v>
      </c>
      <c r="N2165" t="s">
        <v>1154</v>
      </c>
      <c r="O2165" t="s">
        <v>82</v>
      </c>
      <c r="P2165" t="str">
        <f>"4170049004                    "</f>
        <v xml:space="preserve">4170049004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22.6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71.2</v>
      </c>
      <c r="BM2165">
        <v>10.68</v>
      </c>
      <c r="BN2165">
        <v>81.88</v>
      </c>
      <c r="BO2165">
        <v>81.88</v>
      </c>
      <c r="BQ2165" t="s">
        <v>1155</v>
      </c>
      <c r="BR2165" t="s">
        <v>84</v>
      </c>
      <c r="BS2165" s="3">
        <v>45854</v>
      </c>
      <c r="BT2165" s="4">
        <v>0.57638888888888884</v>
      </c>
      <c r="BU2165" t="s">
        <v>2626</v>
      </c>
      <c r="BV2165" t="s">
        <v>86</v>
      </c>
      <c r="BY2165">
        <v>1200</v>
      </c>
      <c r="BZ2165" t="s">
        <v>89</v>
      </c>
      <c r="CA2165" t="s">
        <v>2627</v>
      </c>
      <c r="CC2165" t="s">
        <v>306</v>
      </c>
      <c r="CD2165">
        <v>5201</v>
      </c>
      <c r="CE2165" t="s">
        <v>239</v>
      </c>
      <c r="CF2165" s="3">
        <v>45854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"080066582041"</f>
        <v>080066582041</v>
      </c>
      <c r="F2166" s="3">
        <v>45853</v>
      </c>
      <c r="G2166">
        <v>202604</v>
      </c>
      <c r="H2166" t="s">
        <v>75</v>
      </c>
      <c r="I2166" t="s">
        <v>76</v>
      </c>
      <c r="J2166" t="s">
        <v>77</v>
      </c>
      <c r="K2166" t="s">
        <v>78</v>
      </c>
      <c r="L2166" t="s">
        <v>168</v>
      </c>
      <c r="M2166" t="s">
        <v>169</v>
      </c>
      <c r="N2166" t="s">
        <v>412</v>
      </c>
      <c r="O2166" t="s">
        <v>82</v>
      </c>
      <c r="P2166" t="str">
        <f>"4170048740                    "</f>
        <v xml:space="preserve">4170048740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67.760000000000005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6</v>
      </c>
      <c r="BJ2166">
        <v>4.8</v>
      </c>
      <c r="BK2166">
        <v>6</v>
      </c>
      <c r="BL2166">
        <v>213.48</v>
      </c>
      <c r="BM2166">
        <v>32.020000000000003</v>
      </c>
      <c r="BN2166">
        <v>245.5</v>
      </c>
      <c r="BO2166">
        <v>245.5</v>
      </c>
      <c r="BQ2166" t="s">
        <v>413</v>
      </c>
      <c r="BR2166" t="s">
        <v>84</v>
      </c>
      <c r="BS2166" s="3">
        <v>45854</v>
      </c>
      <c r="BT2166" s="4">
        <v>0.41597222222222224</v>
      </c>
      <c r="BU2166" t="s">
        <v>2628</v>
      </c>
      <c r="BV2166" t="s">
        <v>98</v>
      </c>
      <c r="BY2166">
        <v>23902</v>
      </c>
      <c r="BZ2166" t="s">
        <v>89</v>
      </c>
      <c r="CA2166" t="s">
        <v>415</v>
      </c>
      <c r="CC2166" t="s">
        <v>169</v>
      </c>
      <c r="CD2166">
        <v>6001</v>
      </c>
      <c r="CE2166" t="s">
        <v>91</v>
      </c>
      <c r="CF2166" s="3">
        <v>45854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"080066582045"</f>
        <v>080066582045</v>
      </c>
      <c r="F2167" s="3">
        <v>45853</v>
      </c>
      <c r="G2167">
        <v>202604</v>
      </c>
      <c r="H2167" t="s">
        <v>75</v>
      </c>
      <c r="I2167" t="s">
        <v>76</v>
      </c>
      <c r="J2167" t="s">
        <v>77</v>
      </c>
      <c r="K2167" t="s">
        <v>78</v>
      </c>
      <c r="L2167" t="s">
        <v>79</v>
      </c>
      <c r="M2167" t="s">
        <v>80</v>
      </c>
      <c r="N2167" t="s">
        <v>141</v>
      </c>
      <c r="O2167" t="s">
        <v>82</v>
      </c>
      <c r="P2167" t="str">
        <f>"4170048983                    "</f>
        <v xml:space="preserve">4170048983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22.6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0.3</v>
      </c>
      <c r="BK2167">
        <v>1</v>
      </c>
      <c r="BL2167">
        <v>71.2</v>
      </c>
      <c r="BM2167">
        <v>10.68</v>
      </c>
      <c r="BN2167">
        <v>81.88</v>
      </c>
      <c r="BO2167">
        <v>81.88</v>
      </c>
      <c r="BQ2167" t="s">
        <v>142</v>
      </c>
      <c r="BR2167" t="s">
        <v>84</v>
      </c>
      <c r="BS2167" s="3">
        <v>45854</v>
      </c>
      <c r="BT2167" s="4">
        <v>0.41111111111111109</v>
      </c>
      <c r="BU2167" t="s">
        <v>143</v>
      </c>
      <c r="BV2167" t="s">
        <v>98</v>
      </c>
      <c r="BY2167">
        <v>1350</v>
      </c>
      <c r="BZ2167" t="s">
        <v>89</v>
      </c>
      <c r="CA2167" t="s">
        <v>144</v>
      </c>
      <c r="CC2167" t="s">
        <v>80</v>
      </c>
      <c r="CD2167">
        <v>7441</v>
      </c>
      <c r="CE2167" t="s">
        <v>1868</v>
      </c>
      <c r="CF2167" s="3">
        <v>45855</v>
      </c>
      <c r="CI2167">
        <v>1</v>
      </c>
      <c r="CJ2167">
        <v>1</v>
      </c>
      <c r="CK2167">
        <v>21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"080066582078"</f>
        <v>080066582078</v>
      </c>
      <c r="F2168" s="3">
        <v>45853</v>
      </c>
      <c r="G2168">
        <v>202604</v>
      </c>
      <c r="H2168" t="s">
        <v>75</v>
      </c>
      <c r="I2168" t="s">
        <v>76</v>
      </c>
      <c r="J2168" t="s">
        <v>77</v>
      </c>
      <c r="K2168" t="s">
        <v>78</v>
      </c>
      <c r="L2168" t="s">
        <v>503</v>
      </c>
      <c r="M2168" t="s">
        <v>504</v>
      </c>
      <c r="N2168" t="s">
        <v>505</v>
      </c>
      <c r="O2168" t="s">
        <v>82</v>
      </c>
      <c r="P2168" t="str">
        <f>"4170048955                    "</f>
        <v xml:space="preserve">4170048955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63.56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3</v>
      </c>
      <c r="BJ2168">
        <v>0.9</v>
      </c>
      <c r="BK2168">
        <v>3</v>
      </c>
      <c r="BL2168">
        <v>200.24</v>
      </c>
      <c r="BM2168">
        <v>30.04</v>
      </c>
      <c r="BN2168">
        <v>230.28</v>
      </c>
      <c r="BO2168">
        <v>230.28</v>
      </c>
      <c r="BQ2168" t="s">
        <v>506</v>
      </c>
      <c r="BR2168" t="s">
        <v>84</v>
      </c>
      <c r="BS2168" s="3">
        <v>45854</v>
      </c>
      <c r="BT2168" s="4">
        <v>0.41041666666666665</v>
      </c>
      <c r="BU2168" t="s">
        <v>1235</v>
      </c>
      <c r="BV2168" t="s">
        <v>98</v>
      </c>
      <c r="BY2168">
        <v>4275</v>
      </c>
      <c r="BZ2168" t="s">
        <v>89</v>
      </c>
      <c r="CA2168" t="s">
        <v>508</v>
      </c>
      <c r="CC2168" t="s">
        <v>504</v>
      </c>
      <c r="CD2168">
        <v>7130</v>
      </c>
      <c r="CE2168" t="s">
        <v>117</v>
      </c>
      <c r="CF2168" s="3">
        <v>45855</v>
      </c>
      <c r="CI2168">
        <v>1</v>
      </c>
      <c r="CJ2168">
        <v>1</v>
      </c>
      <c r="CK2168">
        <v>23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"080066582141"</f>
        <v>080066582141</v>
      </c>
      <c r="F2169" s="3">
        <v>45853</v>
      </c>
      <c r="G2169">
        <v>202604</v>
      </c>
      <c r="H2169" t="s">
        <v>75</v>
      </c>
      <c r="I2169" t="s">
        <v>76</v>
      </c>
      <c r="J2169" t="s">
        <v>77</v>
      </c>
      <c r="K2169" t="s">
        <v>78</v>
      </c>
      <c r="L2169" t="s">
        <v>277</v>
      </c>
      <c r="M2169" t="s">
        <v>278</v>
      </c>
      <c r="N2169" t="s">
        <v>279</v>
      </c>
      <c r="O2169" t="s">
        <v>82</v>
      </c>
      <c r="P2169" t="str">
        <f>"4170049003                    "</f>
        <v xml:space="preserve">4170049003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39.53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3.1</v>
      </c>
      <c r="BK2169">
        <v>3.5</v>
      </c>
      <c r="BL2169">
        <v>124.55</v>
      </c>
      <c r="BM2169">
        <v>18.68</v>
      </c>
      <c r="BN2169">
        <v>143.22999999999999</v>
      </c>
      <c r="BO2169">
        <v>143.22999999999999</v>
      </c>
      <c r="BQ2169" t="s">
        <v>280</v>
      </c>
      <c r="BR2169" t="s">
        <v>84</v>
      </c>
      <c r="BS2169" s="3">
        <v>45854</v>
      </c>
      <c r="BT2169" s="4">
        <v>0.40416666666666667</v>
      </c>
      <c r="BU2169" t="s">
        <v>172</v>
      </c>
      <c r="BV2169" t="s">
        <v>98</v>
      </c>
      <c r="BY2169">
        <v>15708</v>
      </c>
      <c r="BZ2169" t="s">
        <v>89</v>
      </c>
      <c r="CA2169" t="s">
        <v>282</v>
      </c>
      <c r="CC2169" t="s">
        <v>278</v>
      </c>
      <c r="CD2169">
        <v>6230</v>
      </c>
      <c r="CE2169" t="s">
        <v>91</v>
      </c>
      <c r="CF2169" s="3">
        <v>45854</v>
      </c>
      <c r="CI2169">
        <v>1</v>
      </c>
      <c r="CJ2169">
        <v>1</v>
      </c>
      <c r="CK2169">
        <v>21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"080066582170"</f>
        <v>080066582170</v>
      </c>
      <c r="F2170" s="3">
        <v>45853</v>
      </c>
      <c r="G2170">
        <v>202604</v>
      </c>
      <c r="H2170" t="s">
        <v>75</v>
      </c>
      <c r="I2170" t="s">
        <v>76</v>
      </c>
      <c r="J2170" t="s">
        <v>77</v>
      </c>
      <c r="K2170" t="s">
        <v>78</v>
      </c>
      <c r="L2170" t="s">
        <v>329</v>
      </c>
      <c r="M2170" t="s">
        <v>330</v>
      </c>
      <c r="N2170" t="s">
        <v>331</v>
      </c>
      <c r="O2170" t="s">
        <v>82</v>
      </c>
      <c r="P2170" t="str">
        <f>"4170048985                    "</f>
        <v xml:space="preserve">4170048985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43.78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2</v>
      </c>
      <c r="BJ2170">
        <v>1.9</v>
      </c>
      <c r="BK2170">
        <v>2</v>
      </c>
      <c r="BL2170">
        <v>137.94</v>
      </c>
      <c r="BM2170">
        <v>20.69</v>
      </c>
      <c r="BN2170">
        <v>158.63</v>
      </c>
      <c r="BO2170">
        <v>158.63</v>
      </c>
      <c r="BQ2170" t="s">
        <v>332</v>
      </c>
      <c r="BR2170" t="s">
        <v>84</v>
      </c>
      <c r="BS2170" s="3">
        <v>45854</v>
      </c>
      <c r="BT2170" s="4">
        <v>0.53888888888888886</v>
      </c>
      <c r="BU2170" t="s">
        <v>527</v>
      </c>
      <c r="BV2170" t="s">
        <v>98</v>
      </c>
      <c r="BY2170">
        <v>9600</v>
      </c>
      <c r="BZ2170" t="s">
        <v>89</v>
      </c>
      <c r="CA2170" t="s">
        <v>1153</v>
      </c>
      <c r="CC2170" t="s">
        <v>330</v>
      </c>
      <c r="CD2170">
        <v>6300</v>
      </c>
      <c r="CE2170" t="s">
        <v>117</v>
      </c>
      <c r="CF2170" s="3">
        <v>45854</v>
      </c>
      <c r="CI2170">
        <v>2</v>
      </c>
      <c r="CJ2170">
        <v>1</v>
      </c>
      <c r="CK2170">
        <v>23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"080066582202"</f>
        <v>080066582202</v>
      </c>
      <c r="F2171" s="3">
        <v>45853</v>
      </c>
      <c r="G2171">
        <v>202604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701</v>
      </c>
      <c r="O2171" t="s">
        <v>82</v>
      </c>
      <c r="P2171" t="str">
        <f>"4170049000                    "</f>
        <v xml:space="preserve">4170049000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17.649999999999999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</v>
      </c>
      <c r="BJ2171">
        <v>1.1000000000000001</v>
      </c>
      <c r="BK2171">
        <v>2</v>
      </c>
      <c r="BL2171">
        <v>55.61</v>
      </c>
      <c r="BM2171">
        <v>8.34</v>
      </c>
      <c r="BN2171">
        <v>63.95</v>
      </c>
      <c r="BO2171">
        <v>63.95</v>
      </c>
      <c r="BQ2171" t="s">
        <v>702</v>
      </c>
      <c r="BR2171" t="s">
        <v>84</v>
      </c>
      <c r="BS2171" s="3">
        <v>45854</v>
      </c>
      <c r="BT2171" s="4">
        <v>0.3611111111111111</v>
      </c>
      <c r="BU2171" t="s">
        <v>703</v>
      </c>
      <c r="BV2171" t="s">
        <v>98</v>
      </c>
      <c r="BY2171">
        <v>5320</v>
      </c>
      <c r="BZ2171" t="s">
        <v>89</v>
      </c>
      <c r="CA2171" t="s">
        <v>617</v>
      </c>
      <c r="CC2171" t="s">
        <v>76</v>
      </c>
      <c r="CD2171">
        <v>1645</v>
      </c>
      <c r="CE2171" t="s">
        <v>117</v>
      </c>
      <c r="CF2171" s="3">
        <v>45854</v>
      </c>
      <c r="CI2171">
        <v>1</v>
      </c>
      <c r="CJ2171">
        <v>1</v>
      </c>
      <c r="CK2171">
        <v>22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"080066582233"</f>
        <v>080066582233</v>
      </c>
      <c r="F2172" s="3">
        <v>45853</v>
      </c>
      <c r="G2172">
        <v>202604</v>
      </c>
      <c r="H2172" t="s">
        <v>75</v>
      </c>
      <c r="I2172" t="s">
        <v>76</v>
      </c>
      <c r="J2172" t="s">
        <v>77</v>
      </c>
      <c r="K2172" t="s">
        <v>78</v>
      </c>
      <c r="L2172" t="s">
        <v>295</v>
      </c>
      <c r="M2172" t="s">
        <v>296</v>
      </c>
      <c r="N2172" t="s">
        <v>539</v>
      </c>
      <c r="O2172" t="s">
        <v>311</v>
      </c>
      <c r="P2172" t="str">
        <f>"4170048952                    "</f>
        <v xml:space="preserve">4170048952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23.6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2</v>
      </c>
      <c r="BI2172">
        <v>11</v>
      </c>
      <c r="BJ2172">
        <v>4.2</v>
      </c>
      <c r="BK2172">
        <v>11</v>
      </c>
      <c r="BL2172">
        <v>74.349999999999994</v>
      </c>
      <c r="BM2172">
        <v>11.15</v>
      </c>
      <c r="BN2172">
        <v>85.5</v>
      </c>
      <c r="BO2172">
        <v>85.5</v>
      </c>
      <c r="BQ2172" t="s">
        <v>540</v>
      </c>
      <c r="BR2172" t="s">
        <v>84</v>
      </c>
      <c r="BS2172" s="3">
        <v>45854</v>
      </c>
      <c r="BT2172" s="4">
        <v>0.61250000000000004</v>
      </c>
      <c r="BU2172" t="s">
        <v>2629</v>
      </c>
      <c r="BV2172" t="s">
        <v>98</v>
      </c>
      <c r="BY2172">
        <v>21072</v>
      </c>
      <c r="BZ2172" t="s">
        <v>99</v>
      </c>
      <c r="CA2172" t="s">
        <v>300</v>
      </c>
      <c r="CC2172" t="s">
        <v>296</v>
      </c>
      <c r="CD2172">
        <v>1459</v>
      </c>
      <c r="CE2172" t="s">
        <v>214</v>
      </c>
      <c r="CF2172" s="3">
        <v>45854</v>
      </c>
      <c r="CI2172">
        <v>1</v>
      </c>
      <c r="CJ2172">
        <v>1</v>
      </c>
      <c r="CK2172">
        <v>32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"080066582267"</f>
        <v>080066582267</v>
      </c>
      <c r="F2173" s="3">
        <v>45853</v>
      </c>
      <c r="G2173">
        <v>202604</v>
      </c>
      <c r="H2173" t="s">
        <v>75</v>
      </c>
      <c r="I2173" t="s">
        <v>76</v>
      </c>
      <c r="J2173" t="s">
        <v>77</v>
      </c>
      <c r="K2173" t="s">
        <v>78</v>
      </c>
      <c r="L2173" t="s">
        <v>295</v>
      </c>
      <c r="M2173" t="s">
        <v>296</v>
      </c>
      <c r="N2173" t="s">
        <v>962</v>
      </c>
      <c r="O2173" t="s">
        <v>82</v>
      </c>
      <c r="P2173" t="str">
        <f>"4170048991                    "</f>
        <v xml:space="preserve">4170048991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17.649999999999999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3</v>
      </c>
      <c r="BJ2173">
        <v>1.7</v>
      </c>
      <c r="BK2173">
        <v>3</v>
      </c>
      <c r="BL2173">
        <v>55.61</v>
      </c>
      <c r="BM2173">
        <v>8.34</v>
      </c>
      <c r="BN2173">
        <v>63.95</v>
      </c>
      <c r="BO2173">
        <v>63.95</v>
      </c>
      <c r="BQ2173" t="s">
        <v>963</v>
      </c>
      <c r="BR2173" t="s">
        <v>84</v>
      </c>
      <c r="BS2173" s="3">
        <v>45854</v>
      </c>
      <c r="BT2173" s="4">
        <v>0.41180555555555554</v>
      </c>
      <c r="BU2173" t="s">
        <v>1317</v>
      </c>
      <c r="BV2173" t="s">
        <v>98</v>
      </c>
      <c r="BY2173">
        <v>8512</v>
      </c>
      <c r="BZ2173" t="s">
        <v>89</v>
      </c>
      <c r="CA2173" t="s">
        <v>529</v>
      </c>
      <c r="CC2173" t="s">
        <v>296</v>
      </c>
      <c r="CD2173">
        <v>1459</v>
      </c>
      <c r="CE2173" t="s">
        <v>117</v>
      </c>
      <c r="CF2173" s="3">
        <v>45854</v>
      </c>
      <c r="CI2173">
        <v>1</v>
      </c>
      <c r="CJ2173">
        <v>1</v>
      </c>
      <c r="CK2173">
        <v>22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"080066582455"</f>
        <v>080066582455</v>
      </c>
      <c r="F2174" s="3">
        <v>45853</v>
      </c>
      <c r="G2174">
        <v>202604</v>
      </c>
      <c r="H2174" t="s">
        <v>75</v>
      </c>
      <c r="I2174" t="s">
        <v>76</v>
      </c>
      <c r="J2174" t="s">
        <v>77</v>
      </c>
      <c r="K2174" t="s">
        <v>78</v>
      </c>
      <c r="L2174" t="s">
        <v>168</v>
      </c>
      <c r="M2174" t="s">
        <v>169</v>
      </c>
      <c r="N2174" t="s">
        <v>726</v>
      </c>
      <c r="O2174" t="s">
        <v>82</v>
      </c>
      <c r="P2174" t="str">
        <f>"4170049012                    "</f>
        <v xml:space="preserve">4170049012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22.6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0.3</v>
      </c>
      <c r="BK2174">
        <v>1</v>
      </c>
      <c r="BL2174">
        <v>71.2</v>
      </c>
      <c r="BM2174">
        <v>10.68</v>
      </c>
      <c r="BN2174">
        <v>81.88</v>
      </c>
      <c r="BO2174">
        <v>81.88</v>
      </c>
      <c r="BQ2174" t="s">
        <v>727</v>
      </c>
      <c r="BR2174" t="s">
        <v>84</v>
      </c>
      <c r="BS2174" s="3">
        <v>45854</v>
      </c>
      <c r="BT2174" s="4">
        <v>0.41666666666666669</v>
      </c>
      <c r="BU2174" t="s">
        <v>1331</v>
      </c>
      <c r="BV2174" t="s">
        <v>98</v>
      </c>
      <c r="BY2174">
        <v>1350</v>
      </c>
      <c r="BZ2174" t="s">
        <v>89</v>
      </c>
      <c r="CA2174" t="s">
        <v>173</v>
      </c>
      <c r="CC2174" t="s">
        <v>169</v>
      </c>
      <c r="CD2174">
        <v>6001</v>
      </c>
      <c r="CE2174" t="s">
        <v>1868</v>
      </c>
      <c r="CF2174" s="3">
        <v>45868</v>
      </c>
      <c r="CI2174">
        <v>1</v>
      </c>
      <c r="CJ2174">
        <v>1</v>
      </c>
      <c r="CK2174">
        <v>21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"080066582469"</f>
        <v>080066582469</v>
      </c>
      <c r="F2175" s="3">
        <v>45853</v>
      </c>
      <c r="G2175">
        <v>202604</v>
      </c>
      <c r="H2175" t="s">
        <v>75</v>
      </c>
      <c r="I2175" t="s">
        <v>76</v>
      </c>
      <c r="J2175" t="s">
        <v>77</v>
      </c>
      <c r="K2175" t="s">
        <v>78</v>
      </c>
      <c r="L2175" t="s">
        <v>135</v>
      </c>
      <c r="M2175" t="s">
        <v>136</v>
      </c>
      <c r="N2175" t="s">
        <v>1093</v>
      </c>
      <c r="O2175" t="s">
        <v>82</v>
      </c>
      <c r="P2175" t="str">
        <f>"4170048968                    "</f>
        <v xml:space="preserve">4170048968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22.6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0.3</v>
      </c>
      <c r="BK2175">
        <v>1</v>
      </c>
      <c r="BL2175">
        <v>71.2</v>
      </c>
      <c r="BM2175">
        <v>10.68</v>
      </c>
      <c r="BN2175">
        <v>81.88</v>
      </c>
      <c r="BO2175">
        <v>81.88</v>
      </c>
      <c r="BQ2175" t="s">
        <v>1094</v>
      </c>
      <c r="BR2175" t="s">
        <v>84</v>
      </c>
      <c r="BS2175" s="3">
        <v>45854</v>
      </c>
      <c r="BT2175" s="4">
        <v>0.40763888888888888</v>
      </c>
      <c r="BU2175" t="s">
        <v>2630</v>
      </c>
      <c r="BV2175" t="s">
        <v>98</v>
      </c>
      <c r="BY2175">
        <v>1350</v>
      </c>
      <c r="BZ2175" t="s">
        <v>89</v>
      </c>
      <c r="CA2175" t="s">
        <v>1602</v>
      </c>
      <c r="CC2175" t="s">
        <v>136</v>
      </c>
      <c r="CD2175">
        <v>3201</v>
      </c>
      <c r="CE2175" t="s">
        <v>1868</v>
      </c>
      <c r="CF2175" s="3">
        <v>45855</v>
      </c>
      <c r="CI2175">
        <v>1</v>
      </c>
      <c r="CJ2175">
        <v>1</v>
      </c>
      <c r="CK2175">
        <v>21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"080066582466"</f>
        <v>080066582466</v>
      </c>
      <c r="F2176" s="3">
        <v>45853</v>
      </c>
      <c r="G2176">
        <v>202604</v>
      </c>
      <c r="H2176" t="s">
        <v>75</v>
      </c>
      <c r="I2176" t="s">
        <v>76</v>
      </c>
      <c r="J2176" t="s">
        <v>77</v>
      </c>
      <c r="K2176" t="s">
        <v>78</v>
      </c>
      <c r="L2176" t="s">
        <v>240</v>
      </c>
      <c r="M2176" t="s">
        <v>241</v>
      </c>
      <c r="N2176" t="s">
        <v>457</v>
      </c>
      <c r="O2176" t="s">
        <v>82</v>
      </c>
      <c r="P2176" t="str">
        <f>"4170049011                    "</f>
        <v xml:space="preserve">4170049011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17.649999999999999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16.739999999999998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1.7</v>
      </c>
      <c r="BK2176">
        <v>2</v>
      </c>
      <c r="BL2176">
        <v>72.349999999999994</v>
      </c>
      <c r="BM2176">
        <v>10.85</v>
      </c>
      <c r="BN2176">
        <v>83.2</v>
      </c>
      <c r="BO2176">
        <v>83.2</v>
      </c>
      <c r="BQ2176" t="s">
        <v>458</v>
      </c>
      <c r="BR2176" t="s">
        <v>84</v>
      </c>
      <c r="BS2176" s="3">
        <v>45854</v>
      </c>
      <c r="BT2176" s="4">
        <v>0.4375</v>
      </c>
      <c r="BU2176" t="s">
        <v>2631</v>
      </c>
      <c r="BV2176" t="s">
        <v>98</v>
      </c>
      <c r="BY2176">
        <v>8512</v>
      </c>
      <c r="BZ2176" t="s">
        <v>460</v>
      </c>
      <c r="CA2176" t="s">
        <v>461</v>
      </c>
      <c r="CC2176" t="s">
        <v>241</v>
      </c>
      <c r="CD2176">
        <v>2188</v>
      </c>
      <c r="CE2176" t="s">
        <v>117</v>
      </c>
      <c r="CF2176" s="3">
        <v>45854</v>
      </c>
      <c r="CI2176">
        <v>1</v>
      </c>
      <c r="CJ2176">
        <v>1</v>
      </c>
      <c r="CK2176">
        <v>22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"080066582578"</f>
        <v>080066582578</v>
      </c>
      <c r="F2177" s="3">
        <v>45853</v>
      </c>
      <c r="G2177">
        <v>202604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701</v>
      </c>
      <c r="O2177" t="s">
        <v>82</v>
      </c>
      <c r="P2177" t="str">
        <f>"4170048999                    "</f>
        <v xml:space="preserve">4170048999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17.649999999999999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0.3</v>
      </c>
      <c r="BK2177">
        <v>1</v>
      </c>
      <c r="BL2177">
        <v>55.61</v>
      </c>
      <c r="BM2177">
        <v>8.34</v>
      </c>
      <c r="BN2177">
        <v>63.95</v>
      </c>
      <c r="BO2177">
        <v>63.95</v>
      </c>
      <c r="BQ2177" t="s">
        <v>702</v>
      </c>
      <c r="BR2177" t="s">
        <v>84</v>
      </c>
      <c r="BS2177" s="3">
        <v>45854</v>
      </c>
      <c r="BT2177" s="4">
        <v>0.36041666666666666</v>
      </c>
      <c r="BU2177" t="s">
        <v>2632</v>
      </c>
      <c r="BV2177" t="s">
        <v>98</v>
      </c>
      <c r="BY2177">
        <v>1350</v>
      </c>
      <c r="BZ2177" t="s">
        <v>89</v>
      </c>
      <c r="CA2177" t="s">
        <v>617</v>
      </c>
      <c r="CC2177" t="s">
        <v>76</v>
      </c>
      <c r="CD2177">
        <v>1645</v>
      </c>
      <c r="CE2177" t="s">
        <v>1868</v>
      </c>
      <c r="CF2177" s="3">
        <v>45854</v>
      </c>
      <c r="CI2177">
        <v>1</v>
      </c>
      <c r="CJ2177">
        <v>1</v>
      </c>
      <c r="CK2177">
        <v>22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"080066582580"</f>
        <v>080066582580</v>
      </c>
      <c r="F2178" s="3">
        <v>45853</v>
      </c>
      <c r="G2178">
        <v>202604</v>
      </c>
      <c r="H2178" t="s">
        <v>75</v>
      </c>
      <c r="I2178" t="s">
        <v>76</v>
      </c>
      <c r="J2178" t="s">
        <v>77</v>
      </c>
      <c r="K2178" t="s">
        <v>78</v>
      </c>
      <c r="L2178" t="s">
        <v>135</v>
      </c>
      <c r="M2178" t="s">
        <v>136</v>
      </c>
      <c r="N2178" t="s">
        <v>379</v>
      </c>
      <c r="O2178" t="s">
        <v>95</v>
      </c>
      <c r="P2178" t="str">
        <f>"4170048978                    "</f>
        <v xml:space="preserve">4170048978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81.59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4</v>
      </c>
      <c r="BI2178">
        <v>29</v>
      </c>
      <c r="BJ2178">
        <v>35.9</v>
      </c>
      <c r="BK2178">
        <v>36</v>
      </c>
      <c r="BL2178">
        <v>262.92</v>
      </c>
      <c r="BM2178">
        <v>39.44</v>
      </c>
      <c r="BN2178">
        <v>302.36</v>
      </c>
      <c r="BO2178">
        <v>302.36</v>
      </c>
      <c r="BQ2178" t="s">
        <v>380</v>
      </c>
      <c r="BR2178" t="s">
        <v>84</v>
      </c>
      <c r="BS2178" s="3">
        <v>45854</v>
      </c>
      <c r="BT2178" s="4">
        <v>0.51666666666666672</v>
      </c>
      <c r="BU2178" t="s">
        <v>1701</v>
      </c>
      <c r="BV2178" t="s">
        <v>98</v>
      </c>
      <c r="BY2178">
        <v>134912</v>
      </c>
      <c r="BZ2178" t="s">
        <v>99</v>
      </c>
      <c r="CA2178" t="s">
        <v>382</v>
      </c>
      <c r="CC2178" t="s">
        <v>136</v>
      </c>
      <c r="CD2178">
        <v>3212</v>
      </c>
      <c r="CE2178" t="s">
        <v>117</v>
      </c>
      <c r="CF2178" s="3">
        <v>45854</v>
      </c>
      <c r="CI2178">
        <v>3</v>
      </c>
      <c r="CJ2178">
        <v>1</v>
      </c>
      <c r="CK2178">
        <v>41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"080066582607"</f>
        <v>080066582607</v>
      </c>
      <c r="F2179" s="3">
        <v>45853</v>
      </c>
      <c r="G2179">
        <v>202604</v>
      </c>
      <c r="H2179" t="s">
        <v>75</v>
      </c>
      <c r="I2179" t="s">
        <v>76</v>
      </c>
      <c r="J2179" t="s">
        <v>77</v>
      </c>
      <c r="K2179" t="s">
        <v>78</v>
      </c>
      <c r="L2179" t="s">
        <v>102</v>
      </c>
      <c r="M2179" t="s">
        <v>103</v>
      </c>
      <c r="N2179" t="s">
        <v>104</v>
      </c>
      <c r="O2179" t="s">
        <v>82</v>
      </c>
      <c r="P2179" t="str">
        <f>"4170048961                    "</f>
        <v xml:space="preserve">4170048961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31.78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0.3</v>
      </c>
      <c r="BK2179">
        <v>1</v>
      </c>
      <c r="BL2179">
        <v>100.13</v>
      </c>
      <c r="BM2179">
        <v>15.02</v>
      </c>
      <c r="BN2179">
        <v>115.15</v>
      </c>
      <c r="BO2179">
        <v>115.15</v>
      </c>
      <c r="BQ2179" t="s">
        <v>833</v>
      </c>
      <c r="BR2179" t="s">
        <v>84</v>
      </c>
      <c r="BS2179" s="3">
        <v>45854</v>
      </c>
      <c r="BT2179" s="4">
        <v>0.34166666666666667</v>
      </c>
      <c r="BU2179" t="s">
        <v>2601</v>
      </c>
      <c r="BV2179" t="s">
        <v>98</v>
      </c>
      <c r="BY2179">
        <v>1350</v>
      </c>
      <c r="BZ2179" t="s">
        <v>89</v>
      </c>
      <c r="CA2179" t="s">
        <v>2602</v>
      </c>
      <c r="CC2179" t="s">
        <v>103</v>
      </c>
      <c r="CD2179">
        <v>1748</v>
      </c>
      <c r="CE2179" t="s">
        <v>1868</v>
      </c>
      <c r="CF2179" s="3">
        <v>45854</v>
      </c>
      <c r="CI2179">
        <v>1</v>
      </c>
      <c r="CJ2179">
        <v>1</v>
      </c>
      <c r="CK2179">
        <v>24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"080066582625"</f>
        <v>080066582625</v>
      </c>
      <c r="F2180" s="3">
        <v>45853</v>
      </c>
      <c r="G2180">
        <v>202604</v>
      </c>
      <c r="H2180" t="s">
        <v>75</v>
      </c>
      <c r="I2180" t="s">
        <v>76</v>
      </c>
      <c r="J2180" t="s">
        <v>77</v>
      </c>
      <c r="K2180" t="s">
        <v>78</v>
      </c>
      <c r="L2180" t="s">
        <v>92</v>
      </c>
      <c r="M2180" t="s">
        <v>93</v>
      </c>
      <c r="N2180" t="s">
        <v>843</v>
      </c>
      <c r="O2180" t="s">
        <v>82</v>
      </c>
      <c r="P2180" t="str">
        <f>"4170049010                    "</f>
        <v xml:space="preserve">4170049010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112.92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10</v>
      </c>
      <c r="BJ2180">
        <v>8.9</v>
      </c>
      <c r="BK2180">
        <v>10</v>
      </c>
      <c r="BL2180">
        <v>355.76</v>
      </c>
      <c r="BM2180">
        <v>53.36</v>
      </c>
      <c r="BN2180">
        <v>409.12</v>
      </c>
      <c r="BO2180">
        <v>409.12</v>
      </c>
      <c r="BQ2180" t="s">
        <v>844</v>
      </c>
      <c r="BR2180" t="s">
        <v>84</v>
      </c>
      <c r="BS2180" s="3">
        <v>45854</v>
      </c>
      <c r="BT2180" s="4">
        <v>0.35069444444444442</v>
      </c>
      <c r="BU2180" t="s">
        <v>2633</v>
      </c>
      <c r="BV2180" t="s">
        <v>98</v>
      </c>
      <c r="BY2180">
        <v>44640</v>
      </c>
      <c r="BZ2180" t="s">
        <v>89</v>
      </c>
      <c r="CA2180" t="s">
        <v>2430</v>
      </c>
      <c r="CC2180" t="s">
        <v>93</v>
      </c>
      <c r="CD2180">
        <v>4001</v>
      </c>
      <c r="CE2180" t="s">
        <v>117</v>
      </c>
      <c r="CF2180" s="3">
        <v>45854</v>
      </c>
      <c r="CI2180">
        <v>1</v>
      </c>
      <c r="CJ2180">
        <v>1</v>
      </c>
      <c r="CK2180">
        <v>21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"080066582652"</f>
        <v>080066582652</v>
      </c>
      <c r="F2181" s="3">
        <v>45853</v>
      </c>
      <c r="G2181">
        <v>202604</v>
      </c>
      <c r="H2181" t="s">
        <v>75</v>
      </c>
      <c r="I2181" t="s">
        <v>76</v>
      </c>
      <c r="J2181" t="s">
        <v>77</v>
      </c>
      <c r="K2181" t="s">
        <v>78</v>
      </c>
      <c r="L2181" t="s">
        <v>79</v>
      </c>
      <c r="M2181" t="s">
        <v>80</v>
      </c>
      <c r="N2181" t="s">
        <v>1996</v>
      </c>
      <c r="O2181" t="s">
        <v>82</v>
      </c>
      <c r="P2181" t="str">
        <f>"4170048959                    "</f>
        <v xml:space="preserve">4170048959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39.53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3</v>
      </c>
      <c r="BJ2181">
        <v>3.4</v>
      </c>
      <c r="BK2181">
        <v>3.5</v>
      </c>
      <c r="BL2181">
        <v>124.55</v>
      </c>
      <c r="BM2181">
        <v>18.68</v>
      </c>
      <c r="BN2181">
        <v>143.22999999999999</v>
      </c>
      <c r="BO2181">
        <v>143.22999999999999</v>
      </c>
      <c r="BQ2181" t="s">
        <v>1997</v>
      </c>
      <c r="BR2181" t="s">
        <v>84</v>
      </c>
      <c r="BS2181" s="3">
        <v>45854</v>
      </c>
      <c r="BT2181" s="4">
        <v>0.40972222222222221</v>
      </c>
      <c r="BU2181" t="s">
        <v>2634</v>
      </c>
      <c r="BV2181" t="s">
        <v>98</v>
      </c>
      <c r="BY2181">
        <v>16965</v>
      </c>
      <c r="BZ2181" t="s">
        <v>89</v>
      </c>
      <c r="CA2181" t="s">
        <v>658</v>
      </c>
      <c r="CC2181" t="s">
        <v>80</v>
      </c>
      <c r="CD2181">
        <v>7405</v>
      </c>
      <c r="CE2181" t="s">
        <v>117</v>
      </c>
      <c r="CF2181" s="3">
        <v>45855</v>
      </c>
      <c r="CI2181">
        <v>1</v>
      </c>
      <c r="CJ2181">
        <v>1</v>
      </c>
      <c r="CK2181">
        <v>21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"080066582682"</f>
        <v>080066582682</v>
      </c>
      <c r="F2182" s="3">
        <v>45853</v>
      </c>
      <c r="G2182">
        <v>202604</v>
      </c>
      <c r="H2182" t="s">
        <v>75</v>
      </c>
      <c r="I2182" t="s">
        <v>76</v>
      </c>
      <c r="J2182" t="s">
        <v>77</v>
      </c>
      <c r="K2182" t="s">
        <v>78</v>
      </c>
      <c r="L2182" t="s">
        <v>168</v>
      </c>
      <c r="M2182" t="s">
        <v>169</v>
      </c>
      <c r="N2182" t="s">
        <v>924</v>
      </c>
      <c r="O2182" t="s">
        <v>82</v>
      </c>
      <c r="P2182" t="str">
        <f>"4170049013                    "</f>
        <v xml:space="preserve">4170049013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28.24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2.4</v>
      </c>
      <c r="BK2182">
        <v>2.5</v>
      </c>
      <c r="BL2182">
        <v>88.98</v>
      </c>
      <c r="BM2182">
        <v>13.35</v>
      </c>
      <c r="BN2182">
        <v>102.33</v>
      </c>
      <c r="BO2182">
        <v>102.33</v>
      </c>
      <c r="BQ2182" t="s">
        <v>925</v>
      </c>
      <c r="BR2182" t="s">
        <v>84</v>
      </c>
      <c r="BS2182" s="3">
        <v>45854</v>
      </c>
      <c r="BT2182" s="4">
        <v>0.43541666666666667</v>
      </c>
      <c r="BU2182" t="s">
        <v>1027</v>
      </c>
      <c r="BV2182" t="s">
        <v>98</v>
      </c>
      <c r="BY2182">
        <v>12152</v>
      </c>
      <c r="BZ2182" t="s">
        <v>89</v>
      </c>
      <c r="CA2182" t="s">
        <v>196</v>
      </c>
      <c r="CC2182" t="s">
        <v>169</v>
      </c>
      <c r="CD2182">
        <v>6056</v>
      </c>
      <c r="CE2182" t="s">
        <v>91</v>
      </c>
      <c r="CF2182" s="3">
        <v>45854</v>
      </c>
      <c r="CI2182">
        <v>1</v>
      </c>
      <c r="CJ2182">
        <v>1</v>
      </c>
      <c r="CK2182">
        <v>21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"080066582704"</f>
        <v>080066582704</v>
      </c>
      <c r="F2183" s="3">
        <v>45853</v>
      </c>
      <c r="G2183">
        <v>202604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2343</v>
      </c>
      <c r="O2183" t="s">
        <v>82</v>
      </c>
      <c r="P2183" t="str">
        <f>"4170048958                    "</f>
        <v xml:space="preserve">4170048958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17.649999999999999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1.5</v>
      </c>
      <c r="BK2183">
        <v>2</v>
      </c>
      <c r="BL2183">
        <v>55.61</v>
      </c>
      <c r="BM2183">
        <v>8.34</v>
      </c>
      <c r="BN2183">
        <v>63.95</v>
      </c>
      <c r="BO2183">
        <v>63.95</v>
      </c>
      <c r="BQ2183" t="s">
        <v>2344</v>
      </c>
      <c r="BR2183" t="s">
        <v>84</v>
      </c>
      <c r="BS2183" s="3">
        <v>45854</v>
      </c>
      <c r="BT2183" s="4">
        <v>0.41041666666666665</v>
      </c>
      <c r="BU2183" t="s">
        <v>2514</v>
      </c>
      <c r="BV2183" t="s">
        <v>98</v>
      </c>
      <c r="BY2183">
        <v>7616</v>
      </c>
      <c r="BZ2183" t="s">
        <v>89</v>
      </c>
      <c r="CA2183" t="s">
        <v>1799</v>
      </c>
      <c r="CC2183" t="s">
        <v>76</v>
      </c>
      <c r="CD2183">
        <v>1614</v>
      </c>
      <c r="CE2183" t="s">
        <v>91</v>
      </c>
      <c r="CF2183" s="3">
        <v>45855</v>
      </c>
      <c r="CI2183">
        <v>1</v>
      </c>
      <c r="CJ2183">
        <v>1</v>
      </c>
      <c r="CK2183">
        <v>22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"080066582726"</f>
        <v>080066582726</v>
      </c>
      <c r="F2184" s="3">
        <v>45853</v>
      </c>
      <c r="G2184">
        <v>202604</v>
      </c>
      <c r="H2184" t="s">
        <v>75</v>
      </c>
      <c r="I2184" t="s">
        <v>76</v>
      </c>
      <c r="J2184" t="s">
        <v>77</v>
      </c>
      <c r="K2184" t="s">
        <v>78</v>
      </c>
      <c r="L2184" t="s">
        <v>79</v>
      </c>
      <c r="M2184" t="s">
        <v>80</v>
      </c>
      <c r="N2184" t="s">
        <v>1083</v>
      </c>
      <c r="O2184" t="s">
        <v>82</v>
      </c>
      <c r="P2184" t="str">
        <f>"4170048984                    "</f>
        <v xml:space="preserve">4170048984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22.6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1.9</v>
      </c>
      <c r="BK2184">
        <v>2</v>
      </c>
      <c r="BL2184">
        <v>71.2</v>
      </c>
      <c r="BM2184">
        <v>10.68</v>
      </c>
      <c r="BN2184">
        <v>81.88</v>
      </c>
      <c r="BO2184">
        <v>81.88</v>
      </c>
      <c r="BQ2184" t="s">
        <v>1084</v>
      </c>
      <c r="BR2184" t="s">
        <v>84</v>
      </c>
      <c r="BS2184" s="3">
        <v>45854</v>
      </c>
      <c r="BT2184" s="4">
        <v>0.41111111111111109</v>
      </c>
      <c r="BU2184" t="s">
        <v>378</v>
      </c>
      <c r="BV2184" t="s">
        <v>98</v>
      </c>
      <c r="BY2184">
        <v>9600</v>
      </c>
      <c r="BZ2184" t="s">
        <v>89</v>
      </c>
      <c r="CA2184" t="s">
        <v>144</v>
      </c>
      <c r="CC2184" t="s">
        <v>80</v>
      </c>
      <c r="CD2184">
        <v>8001</v>
      </c>
      <c r="CE2184" t="s">
        <v>117</v>
      </c>
      <c r="CF2184" s="3">
        <v>45855</v>
      </c>
      <c r="CI2184">
        <v>1</v>
      </c>
      <c r="CJ2184">
        <v>1</v>
      </c>
      <c r="CK2184">
        <v>21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"080066582736"</f>
        <v>080066582736</v>
      </c>
      <c r="F2185" s="3">
        <v>45853</v>
      </c>
      <c r="G2185">
        <v>202604</v>
      </c>
      <c r="H2185" t="s">
        <v>75</v>
      </c>
      <c r="I2185" t="s">
        <v>76</v>
      </c>
      <c r="J2185" t="s">
        <v>77</v>
      </c>
      <c r="K2185" t="s">
        <v>78</v>
      </c>
      <c r="L2185" t="s">
        <v>75</v>
      </c>
      <c r="M2185" t="s">
        <v>76</v>
      </c>
      <c r="N2185" t="s">
        <v>118</v>
      </c>
      <c r="O2185" t="s">
        <v>82</v>
      </c>
      <c r="P2185" t="str">
        <f>"4170048971                    "</f>
        <v xml:space="preserve">4170048971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17.649999999999999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</v>
      </c>
      <c r="BJ2185">
        <v>1.1000000000000001</v>
      </c>
      <c r="BK2185">
        <v>3</v>
      </c>
      <c r="BL2185">
        <v>55.61</v>
      </c>
      <c r="BM2185">
        <v>8.34</v>
      </c>
      <c r="BN2185">
        <v>63.95</v>
      </c>
      <c r="BO2185">
        <v>63.95</v>
      </c>
      <c r="BQ2185" t="s">
        <v>119</v>
      </c>
      <c r="BR2185" t="s">
        <v>84</v>
      </c>
      <c r="BS2185" s="3">
        <v>45854</v>
      </c>
      <c r="BT2185" s="4">
        <v>0.30972222222222223</v>
      </c>
      <c r="BU2185" t="s">
        <v>768</v>
      </c>
      <c r="BV2185" t="s">
        <v>98</v>
      </c>
      <c r="BY2185">
        <v>5600</v>
      </c>
      <c r="BZ2185" t="s">
        <v>89</v>
      </c>
      <c r="CA2185" t="s">
        <v>1537</v>
      </c>
      <c r="CC2185" t="s">
        <v>76</v>
      </c>
      <c r="CD2185">
        <v>1600</v>
      </c>
      <c r="CE2185" t="s">
        <v>117</v>
      </c>
      <c r="CF2185" s="3">
        <v>45854</v>
      </c>
      <c r="CI2185">
        <v>1</v>
      </c>
      <c r="CJ2185">
        <v>1</v>
      </c>
      <c r="CK2185">
        <v>22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"080066582751"</f>
        <v>080066582751</v>
      </c>
      <c r="F2186" s="3">
        <v>45853</v>
      </c>
      <c r="G2186">
        <v>202604</v>
      </c>
      <c r="H2186" t="s">
        <v>75</v>
      </c>
      <c r="I2186" t="s">
        <v>76</v>
      </c>
      <c r="J2186" t="s">
        <v>77</v>
      </c>
      <c r="K2186" t="s">
        <v>78</v>
      </c>
      <c r="L2186" t="s">
        <v>277</v>
      </c>
      <c r="M2186" t="s">
        <v>278</v>
      </c>
      <c r="N2186" t="s">
        <v>279</v>
      </c>
      <c r="O2186" t="s">
        <v>82</v>
      </c>
      <c r="P2186" t="str">
        <f>"4170049016                    "</f>
        <v xml:space="preserve">4170049016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22.6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0.3</v>
      </c>
      <c r="BK2186">
        <v>1</v>
      </c>
      <c r="BL2186">
        <v>71.2</v>
      </c>
      <c r="BM2186">
        <v>10.68</v>
      </c>
      <c r="BN2186">
        <v>81.88</v>
      </c>
      <c r="BO2186">
        <v>81.88</v>
      </c>
      <c r="BQ2186" t="s">
        <v>280</v>
      </c>
      <c r="BR2186" t="s">
        <v>84</v>
      </c>
      <c r="BS2186" s="3">
        <v>45854</v>
      </c>
      <c r="BT2186" s="4">
        <v>0.40416666666666667</v>
      </c>
      <c r="BU2186" t="s">
        <v>172</v>
      </c>
      <c r="BV2186" t="s">
        <v>98</v>
      </c>
      <c r="BY2186">
        <v>1350</v>
      </c>
      <c r="BZ2186" t="s">
        <v>89</v>
      </c>
      <c r="CA2186" t="s">
        <v>282</v>
      </c>
      <c r="CC2186" t="s">
        <v>278</v>
      </c>
      <c r="CD2186">
        <v>6230</v>
      </c>
      <c r="CE2186" t="s">
        <v>1868</v>
      </c>
      <c r="CF2186" s="3">
        <v>45854</v>
      </c>
      <c r="CI2186">
        <v>1</v>
      </c>
      <c r="CJ2186">
        <v>1</v>
      </c>
      <c r="CK2186">
        <v>21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"080066582755"</f>
        <v>080066582755</v>
      </c>
      <c r="F2187" s="3">
        <v>45853</v>
      </c>
      <c r="G2187">
        <v>202604</v>
      </c>
      <c r="H2187" t="s">
        <v>75</v>
      </c>
      <c r="I2187" t="s">
        <v>76</v>
      </c>
      <c r="J2187" t="s">
        <v>77</v>
      </c>
      <c r="K2187" t="s">
        <v>78</v>
      </c>
      <c r="L2187" t="s">
        <v>305</v>
      </c>
      <c r="M2187" t="s">
        <v>306</v>
      </c>
      <c r="N2187" t="s">
        <v>1320</v>
      </c>
      <c r="O2187" t="s">
        <v>82</v>
      </c>
      <c r="P2187" t="str">
        <f>"4170049006                    "</f>
        <v xml:space="preserve">4170049006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45.18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3.9</v>
      </c>
      <c r="BK2187">
        <v>4</v>
      </c>
      <c r="BL2187">
        <v>142.34</v>
      </c>
      <c r="BM2187">
        <v>21.35</v>
      </c>
      <c r="BN2187">
        <v>163.69</v>
      </c>
      <c r="BO2187">
        <v>163.69</v>
      </c>
      <c r="BQ2187" t="s">
        <v>308</v>
      </c>
      <c r="BR2187" t="s">
        <v>84</v>
      </c>
      <c r="BS2187" s="3">
        <v>45854</v>
      </c>
      <c r="BT2187" s="4">
        <v>0.4375</v>
      </c>
      <c r="BU2187" t="s">
        <v>1378</v>
      </c>
      <c r="BV2187" t="s">
        <v>98</v>
      </c>
      <c r="BY2187">
        <v>19584</v>
      </c>
      <c r="BZ2187" t="s">
        <v>89</v>
      </c>
      <c r="CA2187" t="s">
        <v>310</v>
      </c>
      <c r="CC2187" t="s">
        <v>306</v>
      </c>
      <c r="CD2187">
        <v>5201</v>
      </c>
      <c r="CE2187" t="s">
        <v>91</v>
      </c>
      <c r="CF2187" s="3">
        <v>45855</v>
      </c>
      <c r="CI2187">
        <v>1</v>
      </c>
      <c r="CJ2187">
        <v>1</v>
      </c>
      <c r="CK2187">
        <v>21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"080066582824"</f>
        <v>080066582824</v>
      </c>
      <c r="F2188" s="3">
        <v>45853</v>
      </c>
      <c r="G2188">
        <v>202604</v>
      </c>
      <c r="H2188" t="s">
        <v>75</v>
      </c>
      <c r="I2188" t="s">
        <v>76</v>
      </c>
      <c r="J2188" t="s">
        <v>77</v>
      </c>
      <c r="K2188" t="s">
        <v>78</v>
      </c>
      <c r="L2188" t="s">
        <v>542</v>
      </c>
      <c r="M2188" t="s">
        <v>543</v>
      </c>
      <c r="N2188" t="s">
        <v>544</v>
      </c>
      <c r="O2188" t="s">
        <v>82</v>
      </c>
      <c r="P2188" t="str">
        <f>"4170047880                    "</f>
        <v xml:space="preserve">4170047880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17.649999999999999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3</v>
      </c>
      <c r="BJ2188">
        <v>1.9</v>
      </c>
      <c r="BK2188">
        <v>3</v>
      </c>
      <c r="BL2188">
        <v>55.61</v>
      </c>
      <c r="BM2188">
        <v>8.34</v>
      </c>
      <c r="BN2188">
        <v>63.95</v>
      </c>
      <c r="BO2188">
        <v>63.95</v>
      </c>
      <c r="BQ2188" t="s">
        <v>545</v>
      </c>
      <c r="BR2188" t="s">
        <v>84</v>
      </c>
      <c r="BS2188" s="3">
        <v>45854</v>
      </c>
      <c r="BT2188" s="4">
        <v>0.40625</v>
      </c>
      <c r="BU2188" t="s">
        <v>2635</v>
      </c>
      <c r="BV2188" t="s">
        <v>98</v>
      </c>
      <c r="BY2188">
        <v>9600</v>
      </c>
      <c r="BZ2188" t="s">
        <v>89</v>
      </c>
      <c r="CA2188" t="s">
        <v>2636</v>
      </c>
      <c r="CC2188" t="s">
        <v>543</v>
      </c>
      <c r="CD2188">
        <v>1449</v>
      </c>
      <c r="CE2188" t="s">
        <v>117</v>
      </c>
      <c r="CF2188" s="3">
        <v>45855</v>
      </c>
      <c r="CI2188">
        <v>1</v>
      </c>
      <c r="CJ2188">
        <v>1</v>
      </c>
      <c r="CK2188">
        <v>22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"080066582886"</f>
        <v>080066582886</v>
      </c>
      <c r="F2189" s="3">
        <v>45853</v>
      </c>
      <c r="G2189">
        <v>202604</v>
      </c>
      <c r="H2189" t="s">
        <v>75</v>
      </c>
      <c r="I2189" t="s">
        <v>76</v>
      </c>
      <c r="J2189" t="s">
        <v>77</v>
      </c>
      <c r="K2189" t="s">
        <v>78</v>
      </c>
      <c r="L2189" t="s">
        <v>79</v>
      </c>
      <c r="M2189" t="s">
        <v>80</v>
      </c>
      <c r="N2189" t="s">
        <v>286</v>
      </c>
      <c r="O2189" t="s">
        <v>82</v>
      </c>
      <c r="P2189" t="str">
        <f>"4170049019                    "</f>
        <v xml:space="preserve">4170049019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22.6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0.3</v>
      </c>
      <c r="BK2189">
        <v>1</v>
      </c>
      <c r="BL2189">
        <v>71.2</v>
      </c>
      <c r="BM2189">
        <v>10.68</v>
      </c>
      <c r="BN2189">
        <v>81.88</v>
      </c>
      <c r="BO2189">
        <v>81.88</v>
      </c>
      <c r="BQ2189" t="s">
        <v>287</v>
      </c>
      <c r="BR2189" t="s">
        <v>84</v>
      </c>
      <c r="BS2189" s="3">
        <v>45854</v>
      </c>
      <c r="BT2189" s="4">
        <v>0.34305555555555556</v>
      </c>
      <c r="BU2189" t="s">
        <v>2322</v>
      </c>
      <c r="BV2189" t="s">
        <v>98</v>
      </c>
      <c r="BY2189">
        <v>1350</v>
      </c>
      <c r="BZ2189" t="s">
        <v>89</v>
      </c>
      <c r="CA2189" t="s">
        <v>289</v>
      </c>
      <c r="CC2189" t="s">
        <v>80</v>
      </c>
      <c r="CD2189">
        <v>7530</v>
      </c>
      <c r="CE2189" t="s">
        <v>1868</v>
      </c>
      <c r="CF2189" s="3">
        <v>45855</v>
      </c>
      <c r="CI2189">
        <v>1</v>
      </c>
      <c r="CJ2189">
        <v>1</v>
      </c>
      <c r="CK2189">
        <v>21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"080066582893"</f>
        <v>080066582893</v>
      </c>
      <c r="F2190" s="3">
        <v>45853</v>
      </c>
      <c r="G2190">
        <v>202604</v>
      </c>
      <c r="H2190" t="s">
        <v>75</v>
      </c>
      <c r="I2190" t="s">
        <v>76</v>
      </c>
      <c r="J2190" t="s">
        <v>77</v>
      </c>
      <c r="K2190" t="s">
        <v>78</v>
      </c>
      <c r="L2190" t="s">
        <v>277</v>
      </c>
      <c r="M2190" t="s">
        <v>278</v>
      </c>
      <c r="N2190" t="s">
        <v>1473</v>
      </c>
      <c r="O2190" t="s">
        <v>82</v>
      </c>
      <c r="P2190" t="str">
        <f>"4170048735                    "</f>
        <v xml:space="preserve">4170048735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101.63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9</v>
      </c>
      <c r="BJ2190">
        <v>2.6</v>
      </c>
      <c r="BK2190">
        <v>9</v>
      </c>
      <c r="BL2190">
        <v>320.19</v>
      </c>
      <c r="BM2190">
        <v>48.03</v>
      </c>
      <c r="BN2190">
        <v>368.22</v>
      </c>
      <c r="BO2190">
        <v>368.22</v>
      </c>
      <c r="BQ2190" t="s">
        <v>1474</v>
      </c>
      <c r="BR2190" t="s">
        <v>84</v>
      </c>
      <c r="BS2190" s="3">
        <v>45854</v>
      </c>
      <c r="BT2190" s="4">
        <v>0.41388888888888886</v>
      </c>
      <c r="BU2190" t="s">
        <v>1475</v>
      </c>
      <c r="BV2190" t="s">
        <v>98</v>
      </c>
      <c r="BY2190">
        <v>12768</v>
      </c>
      <c r="BZ2190" t="s">
        <v>89</v>
      </c>
      <c r="CA2190" t="s">
        <v>282</v>
      </c>
      <c r="CC2190" t="s">
        <v>278</v>
      </c>
      <c r="CD2190">
        <v>6229</v>
      </c>
      <c r="CE2190" t="s">
        <v>117</v>
      </c>
      <c r="CF2190" s="3">
        <v>45854</v>
      </c>
      <c r="CI2190">
        <v>1</v>
      </c>
      <c r="CJ2190">
        <v>1</v>
      </c>
      <c r="CK2190">
        <v>21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"080066582905"</f>
        <v>080066582905</v>
      </c>
      <c r="F2191" s="3">
        <v>45853</v>
      </c>
      <c r="G2191">
        <v>202604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1855</v>
      </c>
      <c r="O2191" t="s">
        <v>82</v>
      </c>
      <c r="P2191" t="str">
        <f>"4170048475                    "</f>
        <v xml:space="preserve">4170048475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17.649999999999999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0.3</v>
      </c>
      <c r="BK2191">
        <v>1</v>
      </c>
      <c r="BL2191">
        <v>55.61</v>
      </c>
      <c r="BM2191">
        <v>8.34</v>
      </c>
      <c r="BN2191">
        <v>63.95</v>
      </c>
      <c r="BO2191">
        <v>63.95</v>
      </c>
      <c r="BQ2191" t="s">
        <v>1856</v>
      </c>
      <c r="BR2191" t="s">
        <v>84</v>
      </c>
      <c r="BS2191" s="3">
        <v>45854</v>
      </c>
      <c r="BT2191" s="4">
        <v>0.41805555555555557</v>
      </c>
      <c r="BU2191" t="s">
        <v>2571</v>
      </c>
      <c r="BV2191" t="s">
        <v>98</v>
      </c>
      <c r="BY2191">
        <v>1350</v>
      </c>
      <c r="BZ2191" t="s">
        <v>89</v>
      </c>
      <c r="CA2191" t="s">
        <v>304</v>
      </c>
      <c r="CC2191" t="s">
        <v>76</v>
      </c>
      <c r="CD2191">
        <v>1600</v>
      </c>
      <c r="CE2191" t="s">
        <v>1868</v>
      </c>
      <c r="CF2191" s="3">
        <v>45854</v>
      </c>
      <c r="CI2191">
        <v>1</v>
      </c>
      <c r="CJ2191">
        <v>1</v>
      </c>
      <c r="CK2191">
        <v>22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"080066582918"</f>
        <v>080066582918</v>
      </c>
      <c r="F2192" s="3">
        <v>45853</v>
      </c>
      <c r="G2192">
        <v>202604</v>
      </c>
      <c r="H2192" t="s">
        <v>75</v>
      </c>
      <c r="I2192" t="s">
        <v>76</v>
      </c>
      <c r="J2192" t="s">
        <v>77</v>
      </c>
      <c r="K2192" t="s">
        <v>78</v>
      </c>
      <c r="L2192" t="s">
        <v>79</v>
      </c>
      <c r="M2192" t="s">
        <v>80</v>
      </c>
      <c r="N2192" t="s">
        <v>2637</v>
      </c>
      <c r="O2192" t="s">
        <v>95</v>
      </c>
      <c r="P2192" t="str">
        <f>"4170048997                    "</f>
        <v xml:space="preserve">4170048997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72.569999999999993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12</v>
      </c>
      <c r="BJ2192">
        <v>30.9</v>
      </c>
      <c r="BK2192">
        <v>31</v>
      </c>
      <c r="BL2192">
        <v>234.5</v>
      </c>
      <c r="BM2192">
        <v>35.18</v>
      </c>
      <c r="BN2192">
        <v>269.68</v>
      </c>
      <c r="BO2192">
        <v>269.68</v>
      </c>
      <c r="BQ2192" t="s">
        <v>2638</v>
      </c>
      <c r="BR2192" t="s">
        <v>84</v>
      </c>
      <c r="BS2192" s="3">
        <v>45855</v>
      </c>
      <c r="BT2192" s="4">
        <v>0.49583333333333335</v>
      </c>
      <c r="BU2192" t="s">
        <v>2639</v>
      </c>
      <c r="BV2192" t="s">
        <v>98</v>
      </c>
      <c r="BY2192">
        <v>154560</v>
      </c>
      <c r="BZ2192" t="s">
        <v>99</v>
      </c>
      <c r="CA2192" t="s">
        <v>658</v>
      </c>
      <c r="CC2192" t="s">
        <v>80</v>
      </c>
      <c r="CD2192">
        <v>7405</v>
      </c>
      <c r="CE2192" t="s">
        <v>117</v>
      </c>
      <c r="CF2192" s="3">
        <v>45856</v>
      </c>
      <c r="CI2192">
        <v>3</v>
      </c>
      <c r="CJ2192">
        <v>2</v>
      </c>
      <c r="CK2192">
        <v>41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"080066582919"</f>
        <v>080066582919</v>
      </c>
      <c r="F2193" s="3">
        <v>45853</v>
      </c>
      <c r="G2193">
        <v>202604</v>
      </c>
      <c r="H2193" t="s">
        <v>75</v>
      </c>
      <c r="I2193" t="s">
        <v>76</v>
      </c>
      <c r="J2193" t="s">
        <v>77</v>
      </c>
      <c r="K2193" t="s">
        <v>78</v>
      </c>
      <c r="L2193" t="s">
        <v>240</v>
      </c>
      <c r="M2193" t="s">
        <v>241</v>
      </c>
      <c r="N2193" t="s">
        <v>447</v>
      </c>
      <c r="O2193" t="s">
        <v>82</v>
      </c>
      <c r="P2193" t="str">
        <f>"4170047893                    "</f>
        <v xml:space="preserve">4170047893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17.649999999999999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0.3</v>
      </c>
      <c r="BK2193">
        <v>1</v>
      </c>
      <c r="BL2193">
        <v>55.61</v>
      </c>
      <c r="BM2193">
        <v>8.34</v>
      </c>
      <c r="BN2193">
        <v>63.95</v>
      </c>
      <c r="BO2193">
        <v>63.95</v>
      </c>
      <c r="BQ2193" t="s">
        <v>448</v>
      </c>
      <c r="BR2193" t="s">
        <v>84</v>
      </c>
      <c r="BS2193" s="3">
        <v>45854</v>
      </c>
      <c r="BT2193" s="4">
        <v>0.41111111111111109</v>
      </c>
      <c r="BU2193" t="s">
        <v>2640</v>
      </c>
      <c r="BV2193" t="s">
        <v>98</v>
      </c>
      <c r="BY2193">
        <v>1350</v>
      </c>
      <c r="BZ2193" t="s">
        <v>89</v>
      </c>
      <c r="CA2193" t="s">
        <v>613</v>
      </c>
      <c r="CC2193" t="s">
        <v>241</v>
      </c>
      <c r="CD2193">
        <v>2094</v>
      </c>
      <c r="CE2193" t="s">
        <v>1868</v>
      </c>
      <c r="CF2193" s="3">
        <v>45854</v>
      </c>
      <c r="CI2193">
        <v>1</v>
      </c>
      <c r="CJ2193">
        <v>1</v>
      </c>
      <c r="CK2193">
        <v>22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"080066582931"</f>
        <v>080066582931</v>
      </c>
      <c r="F2194" s="3">
        <v>45853</v>
      </c>
      <c r="G2194">
        <v>202604</v>
      </c>
      <c r="H2194" t="s">
        <v>75</v>
      </c>
      <c r="I2194" t="s">
        <v>76</v>
      </c>
      <c r="J2194" t="s">
        <v>77</v>
      </c>
      <c r="K2194" t="s">
        <v>78</v>
      </c>
      <c r="L2194" t="s">
        <v>503</v>
      </c>
      <c r="M2194" t="s">
        <v>504</v>
      </c>
      <c r="N2194" t="s">
        <v>505</v>
      </c>
      <c r="O2194" t="s">
        <v>82</v>
      </c>
      <c r="P2194" t="str">
        <f>"4170048973                    "</f>
        <v xml:space="preserve">4170048973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43.78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2</v>
      </c>
      <c r="BK2194">
        <v>2</v>
      </c>
      <c r="BL2194">
        <v>137.94</v>
      </c>
      <c r="BM2194">
        <v>20.69</v>
      </c>
      <c r="BN2194">
        <v>158.63</v>
      </c>
      <c r="BO2194">
        <v>158.63</v>
      </c>
      <c r="BQ2194" t="s">
        <v>506</v>
      </c>
      <c r="BR2194" t="s">
        <v>84</v>
      </c>
      <c r="BS2194" s="3">
        <v>45854</v>
      </c>
      <c r="BT2194" s="4">
        <v>0.41041666666666665</v>
      </c>
      <c r="BU2194" t="s">
        <v>1235</v>
      </c>
      <c r="BV2194" t="s">
        <v>98</v>
      </c>
      <c r="BY2194">
        <v>10240</v>
      </c>
      <c r="BZ2194" t="s">
        <v>89</v>
      </c>
      <c r="CA2194" t="s">
        <v>508</v>
      </c>
      <c r="CC2194" t="s">
        <v>504</v>
      </c>
      <c r="CD2194">
        <v>7130</v>
      </c>
      <c r="CE2194" t="s">
        <v>91</v>
      </c>
      <c r="CF2194" s="3">
        <v>45855</v>
      </c>
      <c r="CI2194">
        <v>1</v>
      </c>
      <c r="CJ2194">
        <v>1</v>
      </c>
      <c r="CK2194">
        <v>23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"080066582956"</f>
        <v>080066582956</v>
      </c>
      <c r="F2195" s="3">
        <v>45853</v>
      </c>
      <c r="G2195">
        <v>202604</v>
      </c>
      <c r="H2195" t="s">
        <v>75</v>
      </c>
      <c r="I2195" t="s">
        <v>76</v>
      </c>
      <c r="J2195" t="s">
        <v>77</v>
      </c>
      <c r="K2195" t="s">
        <v>78</v>
      </c>
      <c r="L2195" t="s">
        <v>854</v>
      </c>
      <c r="M2195" t="s">
        <v>855</v>
      </c>
      <c r="N2195" t="s">
        <v>856</v>
      </c>
      <c r="O2195" t="s">
        <v>95</v>
      </c>
      <c r="P2195" t="str">
        <f>"4170048687                    "</f>
        <v xml:space="preserve">4170048687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61.64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16.739999999999998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8</v>
      </c>
      <c r="BJ2195">
        <v>4.8</v>
      </c>
      <c r="BK2195">
        <v>8</v>
      </c>
      <c r="BL2195">
        <v>216.8</v>
      </c>
      <c r="BM2195">
        <v>32.520000000000003</v>
      </c>
      <c r="BN2195">
        <v>249.32</v>
      </c>
      <c r="BO2195">
        <v>249.32</v>
      </c>
      <c r="BQ2195" t="s">
        <v>857</v>
      </c>
      <c r="BR2195" t="s">
        <v>84</v>
      </c>
      <c r="BS2195" s="3">
        <v>45854</v>
      </c>
      <c r="BT2195" s="4">
        <v>0.50347222222222221</v>
      </c>
      <c r="BU2195" t="s">
        <v>1880</v>
      </c>
      <c r="BV2195" t="s">
        <v>98</v>
      </c>
      <c r="BY2195">
        <v>24000</v>
      </c>
      <c r="BZ2195" t="s">
        <v>991</v>
      </c>
      <c r="CC2195" t="s">
        <v>855</v>
      </c>
      <c r="CD2195" s="5" t="s">
        <v>860</v>
      </c>
      <c r="CE2195" t="s">
        <v>91</v>
      </c>
      <c r="CF2195" s="3">
        <v>45855</v>
      </c>
      <c r="CI2195">
        <v>1</v>
      </c>
      <c r="CJ2195">
        <v>1</v>
      </c>
      <c r="CK2195">
        <v>43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"080066582978"</f>
        <v>080066582978</v>
      </c>
      <c r="F2196" s="3">
        <v>45853</v>
      </c>
      <c r="G2196">
        <v>202604</v>
      </c>
      <c r="H2196" t="s">
        <v>75</v>
      </c>
      <c r="I2196" t="s">
        <v>76</v>
      </c>
      <c r="J2196" t="s">
        <v>77</v>
      </c>
      <c r="K2196" t="s">
        <v>78</v>
      </c>
      <c r="L2196" t="s">
        <v>92</v>
      </c>
      <c r="M2196" t="s">
        <v>93</v>
      </c>
      <c r="N2196" t="s">
        <v>2641</v>
      </c>
      <c r="O2196" t="s">
        <v>82</v>
      </c>
      <c r="P2196" t="str">
        <f>"4170049021                    "</f>
        <v xml:space="preserve">4170049021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22.6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0.3</v>
      </c>
      <c r="BK2196">
        <v>1</v>
      </c>
      <c r="BL2196">
        <v>71.2</v>
      </c>
      <c r="BM2196">
        <v>10.68</v>
      </c>
      <c r="BN2196">
        <v>81.88</v>
      </c>
      <c r="BO2196">
        <v>81.88</v>
      </c>
      <c r="BQ2196" t="s">
        <v>2642</v>
      </c>
      <c r="BR2196" t="s">
        <v>84</v>
      </c>
      <c r="BS2196" s="3">
        <v>45854</v>
      </c>
      <c r="BT2196" s="4">
        <v>0.43055555555555558</v>
      </c>
      <c r="BU2196" t="s">
        <v>2643</v>
      </c>
      <c r="BV2196" t="s">
        <v>98</v>
      </c>
      <c r="BY2196">
        <v>1350</v>
      </c>
      <c r="BZ2196" t="s">
        <v>89</v>
      </c>
      <c r="CA2196" t="s">
        <v>2430</v>
      </c>
      <c r="CC2196" t="s">
        <v>93</v>
      </c>
      <c r="CD2196">
        <v>4000</v>
      </c>
      <c r="CE2196" t="s">
        <v>1868</v>
      </c>
      <c r="CF2196" s="3">
        <v>45854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"080066582981"</f>
        <v>080066582981</v>
      </c>
      <c r="F2197" s="3">
        <v>45853</v>
      </c>
      <c r="G2197">
        <v>202604</v>
      </c>
      <c r="H2197" t="s">
        <v>75</v>
      </c>
      <c r="I2197" t="s">
        <v>76</v>
      </c>
      <c r="J2197" t="s">
        <v>77</v>
      </c>
      <c r="K2197" t="s">
        <v>78</v>
      </c>
      <c r="L2197" t="s">
        <v>168</v>
      </c>
      <c r="M2197" t="s">
        <v>169</v>
      </c>
      <c r="N2197" t="s">
        <v>438</v>
      </c>
      <c r="O2197" t="s">
        <v>82</v>
      </c>
      <c r="P2197" t="str">
        <f>"4170049014                    "</f>
        <v xml:space="preserve">4170049014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28.24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2</v>
      </c>
      <c r="BJ2197">
        <v>2.4</v>
      </c>
      <c r="BK2197">
        <v>2.5</v>
      </c>
      <c r="BL2197">
        <v>88.98</v>
      </c>
      <c r="BM2197">
        <v>13.35</v>
      </c>
      <c r="BN2197">
        <v>102.33</v>
      </c>
      <c r="BO2197">
        <v>102.33</v>
      </c>
      <c r="BQ2197" t="s">
        <v>439</v>
      </c>
      <c r="BR2197" t="s">
        <v>84</v>
      </c>
      <c r="BS2197" s="3">
        <v>45854</v>
      </c>
      <c r="BT2197" s="4">
        <v>0.4236111111111111</v>
      </c>
      <c r="BU2197" t="s">
        <v>440</v>
      </c>
      <c r="BV2197" t="s">
        <v>98</v>
      </c>
      <c r="BY2197">
        <v>11760</v>
      </c>
      <c r="BZ2197" t="s">
        <v>89</v>
      </c>
      <c r="CA2197" t="s">
        <v>423</v>
      </c>
      <c r="CC2197" t="s">
        <v>169</v>
      </c>
      <c r="CD2197">
        <v>6001</v>
      </c>
      <c r="CE2197" t="s">
        <v>91</v>
      </c>
      <c r="CF2197" s="3">
        <v>45854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"080066583001"</f>
        <v>080066583001</v>
      </c>
      <c r="F2198" s="3">
        <v>45853</v>
      </c>
      <c r="G2198">
        <v>202604</v>
      </c>
      <c r="H2198" t="s">
        <v>75</v>
      </c>
      <c r="I2198" t="s">
        <v>76</v>
      </c>
      <c r="J2198" t="s">
        <v>77</v>
      </c>
      <c r="K2198" t="s">
        <v>78</v>
      </c>
      <c r="L2198" t="s">
        <v>135</v>
      </c>
      <c r="M2198" t="s">
        <v>136</v>
      </c>
      <c r="N2198" t="s">
        <v>416</v>
      </c>
      <c r="O2198" t="s">
        <v>82</v>
      </c>
      <c r="P2198" t="str">
        <f>"4170049018                    "</f>
        <v xml:space="preserve">4170049018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33.89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</v>
      </c>
      <c r="BJ2198">
        <v>1.4</v>
      </c>
      <c r="BK2198">
        <v>3</v>
      </c>
      <c r="BL2198">
        <v>106.77</v>
      </c>
      <c r="BM2198">
        <v>16.02</v>
      </c>
      <c r="BN2198">
        <v>122.79</v>
      </c>
      <c r="BO2198">
        <v>122.79</v>
      </c>
      <c r="BQ2198" t="s">
        <v>417</v>
      </c>
      <c r="BR2198" t="s">
        <v>84</v>
      </c>
      <c r="BS2198" s="3">
        <v>45854</v>
      </c>
      <c r="BT2198" s="4">
        <v>0.41666666666666669</v>
      </c>
      <c r="BU2198" t="s">
        <v>2522</v>
      </c>
      <c r="BV2198" t="s">
        <v>98</v>
      </c>
      <c r="BY2198">
        <v>6840</v>
      </c>
      <c r="BZ2198" t="s">
        <v>89</v>
      </c>
      <c r="CC2198" t="s">
        <v>136</v>
      </c>
      <c r="CD2198">
        <v>3201</v>
      </c>
      <c r="CE2198" t="s">
        <v>1868</v>
      </c>
      <c r="CF2198" s="3">
        <v>45855</v>
      </c>
      <c r="CI2198">
        <v>1</v>
      </c>
      <c r="CJ2198">
        <v>1</v>
      </c>
      <c r="CK2198">
        <v>21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"080066582996"</f>
        <v>080066582996</v>
      </c>
      <c r="F2199" s="3">
        <v>45853</v>
      </c>
      <c r="G2199">
        <v>202604</v>
      </c>
      <c r="H2199" t="s">
        <v>75</v>
      </c>
      <c r="I2199" t="s">
        <v>76</v>
      </c>
      <c r="J2199" t="s">
        <v>77</v>
      </c>
      <c r="K2199" t="s">
        <v>78</v>
      </c>
      <c r="L2199" t="s">
        <v>151</v>
      </c>
      <c r="M2199" t="s">
        <v>152</v>
      </c>
      <c r="N2199" t="s">
        <v>1568</v>
      </c>
      <c r="O2199" t="s">
        <v>82</v>
      </c>
      <c r="P2199" t="str">
        <f>"4170048981                    "</f>
        <v xml:space="preserve">4170048981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22.6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2</v>
      </c>
      <c r="BJ2199">
        <v>1.1000000000000001</v>
      </c>
      <c r="BK2199">
        <v>2</v>
      </c>
      <c r="BL2199">
        <v>71.2</v>
      </c>
      <c r="BM2199">
        <v>10.68</v>
      </c>
      <c r="BN2199">
        <v>81.88</v>
      </c>
      <c r="BO2199">
        <v>81.88</v>
      </c>
      <c r="BQ2199" t="s">
        <v>1569</v>
      </c>
      <c r="BR2199" t="s">
        <v>84</v>
      </c>
      <c r="BS2199" s="3">
        <v>45854</v>
      </c>
      <c r="BT2199" s="4">
        <v>0.33402777777777776</v>
      </c>
      <c r="BU2199" t="s">
        <v>1570</v>
      </c>
      <c r="BV2199" t="s">
        <v>98</v>
      </c>
      <c r="BY2199">
        <v>5320</v>
      </c>
      <c r="BZ2199" t="s">
        <v>89</v>
      </c>
      <c r="CA2199" t="s">
        <v>906</v>
      </c>
      <c r="CC2199" t="s">
        <v>152</v>
      </c>
      <c r="CD2199" s="5" t="s">
        <v>907</v>
      </c>
      <c r="CE2199" t="s">
        <v>117</v>
      </c>
      <c r="CF2199" s="3">
        <v>45854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"080066583022"</f>
        <v>080066583022</v>
      </c>
      <c r="F2200" s="3">
        <v>45853</v>
      </c>
      <c r="G2200">
        <v>202604</v>
      </c>
      <c r="H2200" t="s">
        <v>75</v>
      </c>
      <c r="I2200" t="s">
        <v>76</v>
      </c>
      <c r="J2200" t="s">
        <v>77</v>
      </c>
      <c r="K2200" t="s">
        <v>78</v>
      </c>
      <c r="L2200" t="s">
        <v>174</v>
      </c>
      <c r="M2200" t="s">
        <v>175</v>
      </c>
      <c r="N2200" t="s">
        <v>2644</v>
      </c>
      <c r="O2200" t="s">
        <v>82</v>
      </c>
      <c r="P2200" t="str">
        <f>"4170049015                    "</f>
        <v xml:space="preserve">4170049015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33.89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3</v>
      </c>
      <c r="BJ2200">
        <v>1.1000000000000001</v>
      </c>
      <c r="BK2200">
        <v>3</v>
      </c>
      <c r="BL2200">
        <v>106.77</v>
      </c>
      <c r="BM2200">
        <v>16.02</v>
      </c>
      <c r="BN2200">
        <v>122.79</v>
      </c>
      <c r="BO2200">
        <v>122.79</v>
      </c>
      <c r="BQ2200" t="s">
        <v>2645</v>
      </c>
      <c r="BR2200" t="s">
        <v>84</v>
      </c>
      <c r="BS2200" s="3">
        <v>45854</v>
      </c>
      <c r="BT2200" s="4">
        <v>0.49027777777777776</v>
      </c>
      <c r="BU2200" t="s">
        <v>1995</v>
      </c>
      <c r="BV2200" t="s">
        <v>86</v>
      </c>
      <c r="BY2200">
        <v>5320</v>
      </c>
      <c r="BZ2200" t="s">
        <v>89</v>
      </c>
      <c r="CA2200" t="s">
        <v>173</v>
      </c>
      <c r="CC2200" t="s">
        <v>175</v>
      </c>
      <c r="CD2200">
        <v>6220</v>
      </c>
      <c r="CE2200" t="s">
        <v>117</v>
      </c>
      <c r="CF2200" s="3">
        <v>45854</v>
      </c>
      <c r="CI2200">
        <v>1</v>
      </c>
      <c r="CJ2200">
        <v>1</v>
      </c>
      <c r="CK2200">
        <v>21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"080066583048"</f>
        <v>080066583048</v>
      </c>
      <c r="F2201" s="3">
        <v>45853</v>
      </c>
      <c r="G2201">
        <v>202604</v>
      </c>
      <c r="H2201" t="s">
        <v>75</v>
      </c>
      <c r="I2201" t="s">
        <v>76</v>
      </c>
      <c r="J2201" t="s">
        <v>77</v>
      </c>
      <c r="K2201" t="s">
        <v>78</v>
      </c>
      <c r="L2201" t="s">
        <v>168</v>
      </c>
      <c r="M2201" t="s">
        <v>169</v>
      </c>
      <c r="N2201" t="s">
        <v>420</v>
      </c>
      <c r="O2201" t="s">
        <v>82</v>
      </c>
      <c r="P2201" t="str">
        <f>"4170048986                    "</f>
        <v xml:space="preserve">4170048986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39.53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3</v>
      </c>
      <c r="BJ2201">
        <v>3.2</v>
      </c>
      <c r="BK2201">
        <v>3.5</v>
      </c>
      <c r="BL2201">
        <v>124.55</v>
      </c>
      <c r="BM2201">
        <v>18.68</v>
      </c>
      <c r="BN2201">
        <v>143.22999999999999</v>
      </c>
      <c r="BO2201">
        <v>143.22999999999999</v>
      </c>
      <c r="BQ2201" t="s">
        <v>421</v>
      </c>
      <c r="BR2201" t="s">
        <v>84</v>
      </c>
      <c r="BS2201" s="3">
        <v>45854</v>
      </c>
      <c r="BT2201" s="4">
        <v>0.40625</v>
      </c>
      <c r="BU2201" t="s">
        <v>1121</v>
      </c>
      <c r="BV2201" t="s">
        <v>98</v>
      </c>
      <c r="BY2201">
        <v>15872</v>
      </c>
      <c r="BZ2201" t="s">
        <v>89</v>
      </c>
      <c r="CA2201" t="s">
        <v>423</v>
      </c>
      <c r="CC2201" t="s">
        <v>169</v>
      </c>
      <c r="CD2201">
        <v>6001</v>
      </c>
      <c r="CE2201" t="s">
        <v>91</v>
      </c>
      <c r="CF2201" s="3">
        <v>45854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"080066583060"</f>
        <v>080066583060</v>
      </c>
      <c r="F2202" s="3">
        <v>45853</v>
      </c>
      <c r="G2202">
        <v>202604</v>
      </c>
      <c r="H2202" t="s">
        <v>75</v>
      </c>
      <c r="I2202" t="s">
        <v>76</v>
      </c>
      <c r="J2202" t="s">
        <v>77</v>
      </c>
      <c r="K2202" t="s">
        <v>78</v>
      </c>
      <c r="L2202" t="s">
        <v>79</v>
      </c>
      <c r="M2202" t="s">
        <v>80</v>
      </c>
      <c r="N2202" t="s">
        <v>1414</v>
      </c>
      <c r="O2202" t="s">
        <v>82</v>
      </c>
      <c r="P2202" t="str">
        <f>"4170049020                    "</f>
        <v xml:space="preserve">4170049020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22.6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0.3</v>
      </c>
      <c r="BK2202">
        <v>1</v>
      </c>
      <c r="BL2202">
        <v>71.2</v>
      </c>
      <c r="BM2202">
        <v>10.68</v>
      </c>
      <c r="BN2202">
        <v>81.88</v>
      </c>
      <c r="BO2202">
        <v>81.88</v>
      </c>
      <c r="BQ2202" t="s">
        <v>1415</v>
      </c>
      <c r="BR2202" t="s">
        <v>84</v>
      </c>
      <c r="BS2202" s="3">
        <v>45854</v>
      </c>
      <c r="BT2202" s="4">
        <v>0.45069444444444445</v>
      </c>
      <c r="BU2202" t="s">
        <v>2646</v>
      </c>
      <c r="BV2202" t="s">
        <v>86</v>
      </c>
      <c r="BY2202">
        <v>1350</v>
      </c>
      <c r="BZ2202" t="s">
        <v>89</v>
      </c>
      <c r="CA2202" t="s">
        <v>579</v>
      </c>
      <c r="CC2202" t="s">
        <v>80</v>
      </c>
      <c r="CD2202">
        <v>7460</v>
      </c>
      <c r="CE2202" t="s">
        <v>1868</v>
      </c>
      <c r="CF2202" s="3">
        <v>45855</v>
      </c>
      <c r="CI2202">
        <v>1</v>
      </c>
      <c r="CJ2202">
        <v>1</v>
      </c>
      <c r="CK2202">
        <v>21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"080066583078"</f>
        <v>080066583078</v>
      </c>
      <c r="F2203" s="3">
        <v>45853</v>
      </c>
      <c r="G2203">
        <v>202604</v>
      </c>
      <c r="H2203" t="s">
        <v>75</v>
      </c>
      <c r="I2203" t="s">
        <v>76</v>
      </c>
      <c r="J2203" t="s">
        <v>77</v>
      </c>
      <c r="K2203" t="s">
        <v>78</v>
      </c>
      <c r="L2203" t="s">
        <v>240</v>
      </c>
      <c r="M2203" t="s">
        <v>241</v>
      </c>
      <c r="N2203" t="s">
        <v>779</v>
      </c>
      <c r="O2203" t="s">
        <v>82</v>
      </c>
      <c r="P2203" t="str">
        <f>"4170049007                    "</f>
        <v xml:space="preserve">4170049007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17.649999999999999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3</v>
      </c>
      <c r="BJ2203">
        <v>4.5</v>
      </c>
      <c r="BK2203">
        <v>5</v>
      </c>
      <c r="BL2203">
        <v>55.61</v>
      </c>
      <c r="BM2203">
        <v>8.34</v>
      </c>
      <c r="BN2203">
        <v>63.95</v>
      </c>
      <c r="BO2203">
        <v>63.95</v>
      </c>
      <c r="BQ2203" t="s">
        <v>780</v>
      </c>
      <c r="BR2203" t="s">
        <v>84</v>
      </c>
      <c r="BS2203" s="3">
        <v>45854</v>
      </c>
      <c r="BT2203" s="4">
        <v>0.43541666666666667</v>
      </c>
      <c r="BU2203" t="s">
        <v>1447</v>
      </c>
      <c r="BV2203" t="s">
        <v>98</v>
      </c>
      <c r="BY2203">
        <v>22620</v>
      </c>
      <c r="BZ2203" t="s">
        <v>89</v>
      </c>
      <c r="CC2203" t="s">
        <v>241</v>
      </c>
      <c r="CD2203">
        <v>2092</v>
      </c>
      <c r="CE2203" t="s">
        <v>117</v>
      </c>
      <c r="CF2203" s="3">
        <v>45855</v>
      </c>
      <c r="CI2203">
        <v>1</v>
      </c>
      <c r="CJ2203">
        <v>1</v>
      </c>
      <c r="CK2203">
        <v>22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"080066583100"</f>
        <v>080066583100</v>
      </c>
      <c r="F2204" s="3">
        <v>45853</v>
      </c>
      <c r="G2204">
        <v>202604</v>
      </c>
      <c r="H2204" t="s">
        <v>75</v>
      </c>
      <c r="I2204" t="s">
        <v>76</v>
      </c>
      <c r="J2204" t="s">
        <v>77</v>
      </c>
      <c r="K2204" t="s">
        <v>78</v>
      </c>
      <c r="L2204" t="s">
        <v>151</v>
      </c>
      <c r="M2204" t="s">
        <v>152</v>
      </c>
      <c r="N2204" t="s">
        <v>500</v>
      </c>
      <c r="O2204" t="s">
        <v>82</v>
      </c>
      <c r="P2204" t="str">
        <f>"4170048781                    "</f>
        <v xml:space="preserve">4170048781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28.24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2.2000000000000002</v>
      </c>
      <c r="BK2204">
        <v>2.5</v>
      </c>
      <c r="BL2204">
        <v>88.98</v>
      </c>
      <c r="BM2204">
        <v>13.35</v>
      </c>
      <c r="BN2204">
        <v>102.33</v>
      </c>
      <c r="BO2204">
        <v>102.33</v>
      </c>
      <c r="BQ2204" t="s">
        <v>501</v>
      </c>
      <c r="BR2204" t="s">
        <v>84</v>
      </c>
      <c r="BS2204" s="3">
        <v>45854</v>
      </c>
      <c r="BT2204" s="4">
        <v>0.40694444444444444</v>
      </c>
      <c r="BU2204" t="s">
        <v>1722</v>
      </c>
      <c r="BV2204" t="s">
        <v>98</v>
      </c>
      <c r="BY2204">
        <v>10800</v>
      </c>
      <c r="BZ2204" t="s">
        <v>89</v>
      </c>
      <c r="CA2204" t="s">
        <v>388</v>
      </c>
      <c r="CC2204" t="s">
        <v>152</v>
      </c>
      <c r="CD2204" s="5" t="s">
        <v>157</v>
      </c>
      <c r="CE2204" t="s">
        <v>91</v>
      </c>
      <c r="CF2204" s="3">
        <v>45854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"080011568054"</f>
        <v>080011568054</v>
      </c>
      <c r="F2205" s="3">
        <v>45854</v>
      </c>
      <c r="G2205">
        <v>202604</v>
      </c>
      <c r="H2205" t="s">
        <v>135</v>
      </c>
      <c r="I2205" t="s">
        <v>136</v>
      </c>
      <c r="J2205" t="s">
        <v>2647</v>
      </c>
      <c r="K2205" t="s">
        <v>78</v>
      </c>
      <c r="L2205" t="s">
        <v>75</v>
      </c>
      <c r="M2205" t="s">
        <v>76</v>
      </c>
      <c r="N2205" t="s">
        <v>228</v>
      </c>
      <c r="O2205" t="s">
        <v>95</v>
      </c>
      <c r="P2205" t="str">
        <f>"ZA1001397720                  "</f>
        <v xml:space="preserve">ZA1001397720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137.52000000000001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67</v>
      </c>
      <c r="BJ2205">
        <v>46.7</v>
      </c>
      <c r="BK2205">
        <v>67</v>
      </c>
      <c r="BL2205">
        <v>439.13</v>
      </c>
      <c r="BM2205">
        <v>65.87</v>
      </c>
      <c r="BN2205">
        <v>505</v>
      </c>
      <c r="BO2205">
        <v>505</v>
      </c>
      <c r="BP2205" t="s">
        <v>2648</v>
      </c>
      <c r="BQ2205" t="s">
        <v>230</v>
      </c>
      <c r="BR2205" t="s">
        <v>2649</v>
      </c>
      <c r="BS2205" s="3">
        <v>45855</v>
      </c>
      <c r="BT2205" s="4">
        <v>0.4375</v>
      </c>
      <c r="BU2205" t="s">
        <v>2650</v>
      </c>
      <c r="BV2205" t="s">
        <v>98</v>
      </c>
      <c r="BY2205">
        <v>233285</v>
      </c>
      <c r="BZ2205" t="s">
        <v>99</v>
      </c>
      <c r="CC2205" t="s">
        <v>76</v>
      </c>
      <c r="CD2205">
        <v>1619</v>
      </c>
      <c r="CE2205" t="s">
        <v>233</v>
      </c>
      <c r="CF2205" s="3">
        <v>45856</v>
      </c>
      <c r="CI2205">
        <v>2</v>
      </c>
      <c r="CJ2205">
        <v>1</v>
      </c>
      <c r="CK2205">
        <v>41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"080011568934"</f>
        <v>080011568934</v>
      </c>
      <c r="F2206" s="3">
        <v>45854</v>
      </c>
      <c r="G2206">
        <v>202604</v>
      </c>
      <c r="H2206" t="s">
        <v>197</v>
      </c>
      <c r="I2206" t="s">
        <v>198</v>
      </c>
      <c r="J2206" t="s">
        <v>2651</v>
      </c>
      <c r="K2206" t="s">
        <v>78</v>
      </c>
      <c r="L2206" t="s">
        <v>75</v>
      </c>
      <c r="M2206" t="s">
        <v>76</v>
      </c>
      <c r="N2206" t="s">
        <v>228</v>
      </c>
      <c r="O2206" t="s">
        <v>82</v>
      </c>
      <c r="P2206" t="str">
        <f>"ZA1001394120                  "</f>
        <v xml:space="preserve">ZA1001394120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17.649999999999999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4.8</v>
      </c>
      <c r="BK2206">
        <v>5</v>
      </c>
      <c r="BL2206">
        <v>55.61</v>
      </c>
      <c r="BM2206">
        <v>8.34</v>
      </c>
      <c r="BN2206">
        <v>63.95</v>
      </c>
      <c r="BO2206">
        <v>63.95</v>
      </c>
      <c r="BP2206" t="s">
        <v>2652</v>
      </c>
      <c r="BQ2206" t="s">
        <v>230</v>
      </c>
      <c r="BR2206" t="s">
        <v>2653</v>
      </c>
      <c r="BS2206" s="3">
        <v>45855</v>
      </c>
      <c r="BT2206" s="4">
        <v>0.38680555555555557</v>
      </c>
      <c r="BU2206" t="s">
        <v>232</v>
      </c>
      <c r="BV2206" t="s">
        <v>98</v>
      </c>
      <c r="BY2206">
        <v>24000</v>
      </c>
      <c r="BZ2206" t="s">
        <v>89</v>
      </c>
      <c r="CA2206" t="s">
        <v>304</v>
      </c>
      <c r="CC2206" t="s">
        <v>76</v>
      </c>
      <c r="CD2206">
        <v>1619</v>
      </c>
      <c r="CE2206" t="s">
        <v>233</v>
      </c>
      <c r="CF2206" s="3">
        <v>45855</v>
      </c>
      <c r="CI2206">
        <v>1</v>
      </c>
      <c r="CJ2206">
        <v>1</v>
      </c>
      <c r="CK2206">
        <v>22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"080011569476"</f>
        <v>080011569476</v>
      </c>
      <c r="F2207" s="3">
        <v>45854</v>
      </c>
      <c r="G2207">
        <v>202604</v>
      </c>
      <c r="H2207" t="s">
        <v>92</v>
      </c>
      <c r="I2207" t="s">
        <v>93</v>
      </c>
      <c r="J2207" t="s">
        <v>2654</v>
      </c>
      <c r="K2207" t="s">
        <v>78</v>
      </c>
      <c r="L2207" t="s">
        <v>75</v>
      </c>
      <c r="M2207" t="s">
        <v>76</v>
      </c>
      <c r="N2207" t="s">
        <v>228</v>
      </c>
      <c r="O2207" t="s">
        <v>82</v>
      </c>
      <c r="P2207" t="str">
        <f>"ZA1001395110                  "</f>
        <v xml:space="preserve">ZA1001395110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33.89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1.2</v>
      </c>
      <c r="BK2207">
        <v>3</v>
      </c>
      <c r="BL2207">
        <v>106.77</v>
      </c>
      <c r="BM2207">
        <v>16.02</v>
      </c>
      <c r="BN2207">
        <v>122.79</v>
      </c>
      <c r="BO2207">
        <v>122.79</v>
      </c>
      <c r="BP2207" t="s">
        <v>2655</v>
      </c>
      <c r="BQ2207" t="s">
        <v>230</v>
      </c>
      <c r="BR2207" t="s">
        <v>2656</v>
      </c>
      <c r="BS2207" s="3">
        <v>45855</v>
      </c>
      <c r="BT2207" s="4">
        <v>0.38680555555555557</v>
      </c>
      <c r="BU2207" t="s">
        <v>232</v>
      </c>
      <c r="BV2207" t="s">
        <v>98</v>
      </c>
      <c r="BY2207">
        <v>6000</v>
      </c>
      <c r="BZ2207" t="s">
        <v>89</v>
      </c>
      <c r="CA2207" t="s">
        <v>304</v>
      </c>
      <c r="CC2207" t="s">
        <v>76</v>
      </c>
      <c r="CD2207">
        <v>1619</v>
      </c>
      <c r="CE2207" t="s">
        <v>233</v>
      </c>
      <c r="CF2207" s="3">
        <v>45855</v>
      </c>
      <c r="CI2207">
        <v>1</v>
      </c>
      <c r="CJ2207">
        <v>1</v>
      </c>
      <c r="CK2207">
        <v>21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"080066594161"</f>
        <v>080066594161</v>
      </c>
      <c r="F2208" s="3">
        <v>45854</v>
      </c>
      <c r="G2208">
        <v>202604</v>
      </c>
      <c r="H2208" t="s">
        <v>75</v>
      </c>
      <c r="I2208" t="s">
        <v>76</v>
      </c>
      <c r="J2208" t="s">
        <v>77</v>
      </c>
      <c r="K2208" t="s">
        <v>78</v>
      </c>
      <c r="L2208" t="s">
        <v>168</v>
      </c>
      <c r="M2208" t="s">
        <v>169</v>
      </c>
      <c r="N2208" t="s">
        <v>202</v>
      </c>
      <c r="O2208" t="s">
        <v>82</v>
      </c>
      <c r="P2208" t="str">
        <f>"4170048916                    "</f>
        <v xml:space="preserve">4170048916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141.15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4</v>
      </c>
      <c r="BJ2208">
        <v>12.5</v>
      </c>
      <c r="BK2208">
        <v>12.5</v>
      </c>
      <c r="BL2208">
        <v>444.69</v>
      </c>
      <c r="BM2208">
        <v>66.7</v>
      </c>
      <c r="BN2208">
        <v>511.39</v>
      </c>
      <c r="BO2208">
        <v>511.39</v>
      </c>
      <c r="BQ2208" t="s">
        <v>203</v>
      </c>
      <c r="BR2208" t="s">
        <v>84</v>
      </c>
      <c r="BS2208" s="3">
        <v>45856</v>
      </c>
      <c r="BT2208" s="4">
        <v>0.33333333333333331</v>
      </c>
      <c r="BU2208" t="s">
        <v>1127</v>
      </c>
      <c r="BV2208" t="s">
        <v>86</v>
      </c>
      <c r="BW2208" t="s">
        <v>1395</v>
      </c>
      <c r="BX2208" t="s">
        <v>2657</v>
      </c>
      <c r="BY2208">
        <v>62720</v>
      </c>
      <c r="BZ2208" t="s">
        <v>89</v>
      </c>
      <c r="CC2208" t="s">
        <v>169</v>
      </c>
      <c r="CD2208">
        <v>6001</v>
      </c>
      <c r="CE2208" t="s">
        <v>91</v>
      </c>
      <c r="CF2208" s="3">
        <v>45856</v>
      </c>
      <c r="CI2208">
        <v>1</v>
      </c>
      <c r="CJ2208">
        <v>2</v>
      </c>
      <c r="CK2208">
        <v>21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"080066594619"</f>
        <v>080066594619</v>
      </c>
      <c r="F2209" s="3">
        <v>45854</v>
      </c>
      <c r="G2209">
        <v>202604</v>
      </c>
      <c r="H2209" t="s">
        <v>75</v>
      </c>
      <c r="I2209" t="s">
        <v>76</v>
      </c>
      <c r="J2209" t="s">
        <v>77</v>
      </c>
      <c r="K2209" t="s">
        <v>78</v>
      </c>
      <c r="L2209" t="s">
        <v>168</v>
      </c>
      <c r="M2209" t="s">
        <v>169</v>
      </c>
      <c r="N2209" t="s">
        <v>202</v>
      </c>
      <c r="O2209" t="s">
        <v>82</v>
      </c>
      <c r="P2209" t="str">
        <f>"4170049034                    "</f>
        <v xml:space="preserve">4170049034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22.6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71.2</v>
      </c>
      <c r="BM2209">
        <v>10.68</v>
      </c>
      <c r="BN2209">
        <v>81.88</v>
      </c>
      <c r="BO2209">
        <v>81.88</v>
      </c>
      <c r="BQ2209" t="s">
        <v>203</v>
      </c>
      <c r="BR2209" t="s">
        <v>84</v>
      </c>
      <c r="BS2209" s="3">
        <v>45855</v>
      </c>
      <c r="BT2209" s="4">
        <v>0.40069444444444446</v>
      </c>
      <c r="BU2209" t="s">
        <v>204</v>
      </c>
      <c r="BV2209" t="s">
        <v>98</v>
      </c>
      <c r="BY2209">
        <v>1200</v>
      </c>
      <c r="BZ2209" t="s">
        <v>89</v>
      </c>
      <c r="CA2209" t="s">
        <v>205</v>
      </c>
      <c r="CC2209" t="s">
        <v>169</v>
      </c>
      <c r="CD2209">
        <v>6001</v>
      </c>
      <c r="CE2209" t="s">
        <v>239</v>
      </c>
      <c r="CF2209" s="3">
        <v>45855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"080066594659"</f>
        <v>080066594659</v>
      </c>
      <c r="F2210" s="3">
        <v>45854</v>
      </c>
      <c r="G2210">
        <v>202604</v>
      </c>
      <c r="H2210" t="s">
        <v>75</v>
      </c>
      <c r="I2210" t="s">
        <v>76</v>
      </c>
      <c r="J2210" t="s">
        <v>77</v>
      </c>
      <c r="K2210" t="s">
        <v>78</v>
      </c>
      <c r="L2210" t="s">
        <v>79</v>
      </c>
      <c r="M2210" t="s">
        <v>80</v>
      </c>
      <c r="N2210" t="s">
        <v>141</v>
      </c>
      <c r="O2210" t="s">
        <v>82</v>
      </c>
      <c r="P2210" t="str">
        <f>"4170049084                    "</f>
        <v xml:space="preserve">4170049084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22.6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71.2</v>
      </c>
      <c r="BM2210">
        <v>10.68</v>
      </c>
      <c r="BN2210">
        <v>81.88</v>
      </c>
      <c r="BO2210">
        <v>81.88</v>
      </c>
      <c r="BQ2210" t="s">
        <v>142</v>
      </c>
      <c r="BR2210" t="s">
        <v>84</v>
      </c>
      <c r="BS2210" s="3">
        <v>45855</v>
      </c>
      <c r="BT2210" s="4">
        <v>0.40277777777777779</v>
      </c>
      <c r="BU2210" t="s">
        <v>2437</v>
      </c>
      <c r="BV2210" t="s">
        <v>98</v>
      </c>
      <c r="BY2210">
        <v>1200</v>
      </c>
      <c r="BZ2210" t="s">
        <v>89</v>
      </c>
      <c r="CA2210" t="s">
        <v>144</v>
      </c>
      <c r="CC2210" t="s">
        <v>80</v>
      </c>
      <c r="CD2210">
        <v>7441</v>
      </c>
      <c r="CE2210" t="s">
        <v>239</v>
      </c>
      <c r="CF2210" s="3">
        <v>45856</v>
      </c>
      <c r="CI2210">
        <v>1</v>
      </c>
      <c r="CJ2210">
        <v>1</v>
      </c>
      <c r="CK2210">
        <v>21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"080066594710"</f>
        <v>080066594710</v>
      </c>
      <c r="F2211" s="3">
        <v>45854</v>
      </c>
      <c r="G2211">
        <v>202604</v>
      </c>
      <c r="H2211" t="s">
        <v>75</v>
      </c>
      <c r="I2211" t="s">
        <v>76</v>
      </c>
      <c r="J2211" t="s">
        <v>77</v>
      </c>
      <c r="K2211" t="s">
        <v>78</v>
      </c>
      <c r="L2211" t="s">
        <v>452</v>
      </c>
      <c r="M2211" t="s">
        <v>453</v>
      </c>
      <c r="N2211" t="s">
        <v>1180</v>
      </c>
      <c r="O2211" t="s">
        <v>82</v>
      </c>
      <c r="P2211" t="str">
        <f>"4170049091                    "</f>
        <v xml:space="preserve">4170049091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17.649999999999999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55.61</v>
      </c>
      <c r="BM2211">
        <v>8.34</v>
      </c>
      <c r="BN2211">
        <v>63.95</v>
      </c>
      <c r="BO2211">
        <v>63.95</v>
      </c>
      <c r="BQ2211" t="s">
        <v>1181</v>
      </c>
      <c r="BR2211" t="s">
        <v>84</v>
      </c>
      <c r="BS2211" s="3">
        <v>45855</v>
      </c>
      <c r="BT2211" s="4">
        <v>0.38819444444444445</v>
      </c>
      <c r="BU2211" t="s">
        <v>2658</v>
      </c>
      <c r="BV2211" t="s">
        <v>98</v>
      </c>
      <c r="BY2211">
        <v>1200</v>
      </c>
      <c r="BZ2211" t="s">
        <v>89</v>
      </c>
      <c r="CA2211" t="s">
        <v>997</v>
      </c>
      <c r="CC2211" t="s">
        <v>453</v>
      </c>
      <c r="CD2211">
        <v>1559</v>
      </c>
      <c r="CE2211" t="s">
        <v>239</v>
      </c>
      <c r="CF2211" s="3">
        <v>45855</v>
      </c>
      <c r="CI2211">
        <v>1</v>
      </c>
      <c r="CJ2211">
        <v>1</v>
      </c>
      <c r="CK2211">
        <v>22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"080066594769"</f>
        <v>080066594769</v>
      </c>
      <c r="F2212" s="3">
        <v>45854</v>
      </c>
      <c r="G2212">
        <v>202604</v>
      </c>
      <c r="H2212" t="s">
        <v>75</v>
      </c>
      <c r="I2212" t="s">
        <v>76</v>
      </c>
      <c r="J2212" t="s">
        <v>77</v>
      </c>
      <c r="K2212" t="s">
        <v>78</v>
      </c>
      <c r="L2212" t="s">
        <v>151</v>
      </c>
      <c r="M2212" t="s">
        <v>152</v>
      </c>
      <c r="N2212" t="s">
        <v>153</v>
      </c>
      <c r="O2212" t="s">
        <v>95</v>
      </c>
      <c r="P2212" t="str">
        <f>"4170049058                    "</f>
        <v xml:space="preserve">4170049058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67.16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2</v>
      </c>
      <c r="BI2212">
        <v>28</v>
      </c>
      <c r="BJ2212">
        <v>24.8</v>
      </c>
      <c r="BK2212">
        <v>28</v>
      </c>
      <c r="BL2212">
        <v>217.45</v>
      </c>
      <c r="BM2212">
        <v>32.619999999999997</v>
      </c>
      <c r="BN2212">
        <v>250.07</v>
      </c>
      <c r="BO2212">
        <v>250.07</v>
      </c>
      <c r="BQ2212" t="s">
        <v>154</v>
      </c>
      <c r="BR2212" t="s">
        <v>84</v>
      </c>
      <c r="BS2212" s="3">
        <v>45855</v>
      </c>
      <c r="BT2212" s="4">
        <v>0.34722222222222221</v>
      </c>
      <c r="BU2212" t="s">
        <v>155</v>
      </c>
      <c r="BV2212" t="s">
        <v>98</v>
      </c>
      <c r="BY2212">
        <v>124025</v>
      </c>
      <c r="BZ2212" t="s">
        <v>99</v>
      </c>
      <c r="CA2212" t="s">
        <v>156</v>
      </c>
      <c r="CC2212" t="s">
        <v>152</v>
      </c>
      <c r="CD2212" s="5" t="s">
        <v>157</v>
      </c>
      <c r="CE2212" t="s">
        <v>1377</v>
      </c>
      <c r="CF2212" s="3">
        <v>45855</v>
      </c>
      <c r="CI2212">
        <v>1</v>
      </c>
      <c r="CJ2212">
        <v>1</v>
      </c>
      <c r="CK2212">
        <v>41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"080066594902"</f>
        <v>080066594902</v>
      </c>
      <c r="F2213" s="3">
        <v>45854</v>
      </c>
      <c r="G2213">
        <v>202604</v>
      </c>
      <c r="H2213" t="s">
        <v>75</v>
      </c>
      <c r="I2213" t="s">
        <v>76</v>
      </c>
      <c r="J2213" t="s">
        <v>77</v>
      </c>
      <c r="K2213" t="s">
        <v>78</v>
      </c>
      <c r="L2213" t="s">
        <v>92</v>
      </c>
      <c r="M2213" t="s">
        <v>93</v>
      </c>
      <c r="N2213" t="s">
        <v>334</v>
      </c>
      <c r="O2213" t="s">
        <v>82</v>
      </c>
      <c r="P2213" t="str">
        <f>"4170049073                    "</f>
        <v xml:space="preserve">4170049073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22.6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</v>
      </c>
      <c r="BJ2213">
        <v>1.1000000000000001</v>
      </c>
      <c r="BK2213">
        <v>2</v>
      </c>
      <c r="BL2213">
        <v>71.2</v>
      </c>
      <c r="BM2213">
        <v>10.68</v>
      </c>
      <c r="BN2213">
        <v>81.88</v>
      </c>
      <c r="BO2213">
        <v>81.88</v>
      </c>
      <c r="BQ2213" t="s">
        <v>335</v>
      </c>
      <c r="BR2213" t="s">
        <v>84</v>
      </c>
      <c r="BS2213" s="3">
        <v>45855</v>
      </c>
      <c r="BT2213" s="4">
        <v>0.43888888888888888</v>
      </c>
      <c r="BU2213" t="s">
        <v>336</v>
      </c>
      <c r="BV2213" t="s">
        <v>86</v>
      </c>
      <c r="BW2213" t="s">
        <v>219</v>
      </c>
      <c r="BX2213" t="s">
        <v>220</v>
      </c>
      <c r="BY2213">
        <v>5320</v>
      </c>
      <c r="BZ2213" t="s">
        <v>89</v>
      </c>
      <c r="CA2213" t="s">
        <v>337</v>
      </c>
      <c r="CC2213" t="s">
        <v>93</v>
      </c>
      <c r="CD2213">
        <v>4052</v>
      </c>
      <c r="CE2213" t="s">
        <v>117</v>
      </c>
      <c r="CF2213" s="3">
        <v>45855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"080066594950"</f>
        <v>080066594950</v>
      </c>
      <c r="F2214" s="3">
        <v>45854</v>
      </c>
      <c r="G2214">
        <v>202604</v>
      </c>
      <c r="H2214" t="s">
        <v>75</v>
      </c>
      <c r="I2214" t="s">
        <v>76</v>
      </c>
      <c r="J2214" t="s">
        <v>77</v>
      </c>
      <c r="K2214" t="s">
        <v>78</v>
      </c>
      <c r="L2214" t="s">
        <v>135</v>
      </c>
      <c r="M2214" t="s">
        <v>136</v>
      </c>
      <c r="N2214" t="s">
        <v>416</v>
      </c>
      <c r="O2214" t="s">
        <v>82</v>
      </c>
      <c r="P2214" t="str">
        <f>"4170049035                    "</f>
        <v xml:space="preserve">4170049035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22.6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2</v>
      </c>
      <c r="BJ2214">
        <v>0.9</v>
      </c>
      <c r="BK2214">
        <v>2</v>
      </c>
      <c r="BL2214">
        <v>71.2</v>
      </c>
      <c r="BM2214">
        <v>10.68</v>
      </c>
      <c r="BN2214">
        <v>81.88</v>
      </c>
      <c r="BO2214">
        <v>81.88</v>
      </c>
      <c r="BQ2214" t="s">
        <v>417</v>
      </c>
      <c r="BR2214" t="s">
        <v>84</v>
      </c>
      <c r="BS2214" s="3">
        <v>45855</v>
      </c>
      <c r="BT2214" s="4">
        <v>0.41666666666666669</v>
      </c>
      <c r="BU2214" t="s">
        <v>650</v>
      </c>
      <c r="BV2214" t="s">
        <v>98</v>
      </c>
      <c r="BY2214">
        <v>4275</v>
      </c>
      <c r="BZ2214" t="s">
        <v>89</v>
      </c>
      <c r="CC2214" t="s">
        <v>136</v>
      </c>
      <c r="CD2214">
        <v>3201</v>
      </c>
      <c r="CE2214" t="s">
        <v>266</v>
      </c>
      <c r="CF2214" s="3">
        <v>45856</v>
      </c>
      <c r="CI2214">
        <v>1</v>
      </c>
      <c r="CJ2214">
        <v>1</v>
      </c>
      <c r="CK2214">
        <v>21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"080066595875"</f>
        <v>080066595875</v>
      </c>
      <c r="F2215" s="3">
        <v>45854</v>
      </c>
      <c r="G2215">
        <v>202604</v>
      </c>
      <c r="H2215" t="s">
        <v>75</v>
      </c>
      <c r="I2215" t="s">
        <v>76</v>
      </c>
      <c r="J2215" t="s">
        <v>77</v>
      </c>
      <c r="K2215" t="s">
        <v>78</v>
      </c>
      <c r="L2215" t="s">
        <v>2659</v>
      </c>
      <c r="M2215" t="s">
        <v>2660</v>
      </c>
      <c r="N2215" t="s">
        <v>2661</v>
      </c>
      <c r="O2215" t="s">
        <v>82</v>
      </c>
      <c r="P2215" t="str">
        <f>"4170049076                    "</f>
        <v xml:space="preserve">4170049076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43.78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137.94</v>
      </c>
      <c r="BM2215">
        <v>20.69</v>
      </c>
      <c r="BN2215">
        <v>158.63</v>
      </c>
      <c r="BO2215">
        <v>158.63</v>
      </c>
      <c r="BQ2215" t="s">
        <v>2662</v>
      </c>
      <c r="BR2215" t="s">
        <v>84</v>
      </c>
      <c r="BS2215" s="3">
        <v>45859</v>
      </c>
      <c r="BT2215" s="4">
        <v>0.64027777777777772</v>
      </c>
      <c r="BU2215" t="s">
        <v>2663</v>
      </c>
      <c r="BV2215" t="s">
        <v>86</v>
      </c>
      <c r="BW2215" t="s">
        <v>1356</v>
      </c>
      <c r="BX2215" t="s">
        <v>2664</v>
      </c>
      <c r="BY2215">
        <v>1200</v>
      </c>
      <c r="CC2215" t="s">
        <v>2660</v>
      </c>
      <c r="CD2215">
        <v>8801</v>
      </c>
      <c r="CE2215" t="s">
        <v>121</v>
      </c>
      <c r="CF2215" s="3">
        <v>45860</v>
      </c>
      <c r="CI2215">
        <v>2</v>
      </c>
      <c r="CJ2215">
        <v>3</v>
      </c>
      <c r="CK2215">
        <v>23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"080066595907"</f>
        <v>080066595907</v>
      </c>
      <c r="F2216" s="3">
        <v>45854</v>
      </c>
      <c r="G2216">
        <v>202604</v>
      </c>
      <c r="H2216" t="s">
        <v>75</v>
      </c>
      <c r="I2216" t="s">
        <v>76</v>
      </c>
      <c r="J2216" t="s">
        <v>77</v>
      </c>
      <c r="K2216" t="s">
        <v>78</v>
      </c>
      <c r="L2216" t="s">
        <v>135</v>
      </c>
      <c r="M2216" t="s">
        <v>136</v>
      </c>
      <c r="N2216" t="s">
        <v>416</v>
      </c>
      <c r="O2216" t="s">
        <v>82</v>
      </c>
      <c r="P2216" t="str">
        <f>"4170049087                    "</f>
        <v xml:space="preserve">4170049087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22.6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71.2</v>
      </c>
      <c r="BM2216">
        <v>10.68</v>
      </c>
      <c r="BN2216">
        <v>81.88</v>
      </c>
      <c r="BO2216">
        <v>81.88</v>
      </c>
      <c r="BQ2216" t="s">
        <v>417</v>
      </c>
      <c r="BR2216" t="s">
        <v>84</v>
      </c>
      <c r="BS2216" s="3">
        <v>45855</v>
      </c>
      <c r="BT2216" s="4">
        <v>0.41666666666666669</v>
      </c>
      <c r="BU2216" t="s">
        <v>650</v>
      </c>
      <c r="BV2216" t="s">
        <v>98</v>
      </c>
      <c r="BY2216">
        <v>1200</v>
      </c>
      <c r="BZ2216" t="s">
        <v>89</v>
      </c>
      <c r="CC2216" t="s">
        <v>136</v>
      </c>
      <c r="CD2216">
        <v>3201</v>
      </c>
      <c r="CE2216" t="s">
        <v>239</v>
      </c>
      <c r="CF2216" s="3">
        <v>45856</v>
      </c>
      <c r="CI2216">
        <v>1</v>
      </c>
      <c r="CJ2216">
        <v>1</v>
      </c>
      <c r="CK2216">
        <v>21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"080066595956"</f>
        <v>080066595956</v>
      </c>
      <c r="F2217" s="3">
        <v>45854</v>
      </c>
      <c r="G2217">
        <v>202604</v>
      </c>
      <c r="H2217" t="s">
        <v>75</v>
      </c>
      <c r="I2217" t="s">
        <v>76</v>
      </c>
      <c r="J2217" t="s">
        <v>77</v>
      </c>
      <c r="K2217" t="s">
        <v>78</v>
      </c>
      <c r="L2217" t="s">
        <v>135</v>
      </c>
      <c r="M2217" t="s">
        <v>136</v>
      </c>
      <c r="N2217" t="s">
        <v>416</v>
      </c>
      <c r="O2217" t="s">
        <v>82</v>
      </c>
      <c r="P2217" t="str">
        <f>"4170049030                    "</f>
        <v xml:space="preserve">4170049030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22.6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71.2</v>
      </c>
      <c r="BM2217">
        <v>10.68</v>
      </c>
      <c r="BN2217">
        <v>81.88</v>
      </c>
      <c r="BO2217">
        <v>81.88</v>
      </c>
      <c r="BQ2217" t="s">
        <v>417</v>
      </c>
      <c r="BR2217" t="s">
        <v>84</v>
      </c>
      <c r="BS2217" s="3">
        <v>45855</v>
      </c>
      <c r="BT2217" s="4">
        <v>0.41666666666666669</v>
      </c>
      <c r="BU2217" t="s">
        <v>650</v>
      </c>
      <c r="BV2217" t="s">
        <v>98</v>
      </c>
      <c r="BY2217">
        <v>1200</v>
      </c>
      <c r="BZ2217" t="s">
        <v>89</v>
      </c>
      <c r="CC2217" t="s">
        <v>136</v>
      </c>
      <c r="CD2217">
        <v>3201</v>
      </c>
      <c r="CE2217" t="s">
        <v>239</v>
      </c>
      <c r="CF2217" s="3">
        <v>45856</v>
      </c>
      <c r="CI2217">
        <v>1</v>
      </c>
      <c r="CJ2217">
        <v>1</v>
      </c>
      <c r="CK2217">
        <v>21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"080066596041"</f>
        <v>080066596041</v>
      </c>
      <c r="F2218" s="3">
        <v>45854</v>
      </c>
      <c r="G2218">
        <v>202604</v>
      </c>
      <c r="H2218" t="s">
        <v>75</v>
      </c>
      <c r="I2218" t="s">
        <v>76</v>
      </c>
      <c r="J2218" t="s">
        <v>77</v>
      </c>
      <c r="K2218" t="s">
        <v>78</v>
      </c>
      <c r="L2218" t="s">
        <v>240</v>
      </c>
      <c r="M2218" t="s">
        <v>241</v>
      </c>
      <c r="N2218" t="s">
        <v>2665</v>
      </c>
      <c r="O2218" t="s">
        <v>82</v>
      </c>
      <c r="P2218" t="str">
        <f>"4170049063                    "</f>
        <v xml:space="preserve">4170049063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17.649999999999999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55.61</v>
      </c>
      <c r="BM2218">
        <v>8.34</v>
      </c>
      <c r="BN2218">
        <v>63.95</v>
      </c>
      <c r="BO2218">
        <v>63.95</v>
      </c>
      <c r="BQ2218" t="s">
        <v>2666</v>
      </c>
      <c r="BR2218" t="s">
        <v>84</v>
      </c>
      <c r="BS2218" s="3">
        <v>45855</v>
      </c>
      <c r="BT2218" s="4">
        <v>0.41180555555555554</v>
      </c>
      <c r="BU2218" t="s">
        <v>2667</v>
      </c>
      <c r="BV2218" t="s">
        <v>98</v>
      </c>
      <c r="BY2218">
        <v>1200</v>
      </c>
      <c r="BZ2218" t="s">
        <v>89</v>
      </c>
      <c r="CA2218" t="s">
        <v>2668</v>
      </c>
      <c r="CC2218" t="s">
        <v>241</v>
      </c>
      <c r="CD2218">
        <v>2056</v>
      </c>
      <c r="CE2218" t="s">
        <v>239</v>
      </c>
      <c r="CF2218" s="3">
        <v>45856</v>
      </c>
      <c r="CI2218">
        <v>1</v>
      </c>
      <c r="CJ2218">
        <v>1</v>
      </c>
      <c r="CK2218">
        <v>22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"080066596066"</f>
        <v>080066596066</v>
      </c>
      <c r="F2219" s="3">
        <v>45854</v>
      </c>
      <c r="G2219">
        <v>202604</v>
      </c>
      <c r="H2219" t="s">
        <v>75</v>
      </c>
      <c r="I2219" t="s">
        <v>76</v>
      </c>
      <c r="J2219" t="s">
        <v>77</v>
      </c>
      <c r="K2219" t="s">
        <v>78</v>
      </c>
      <c r="L2219" t="s">
        <v>102</v>
      </c>
      <c r="M2219" t="s">
        <v>103</v>
      </c>
      <c r="N2219" t="s">
        <v>1643</v>
      </c>
      <c r="O2219" t="s">
        <v>82</v>
      </c>
      <c r="P2219" t="str">
        <f>"4170049074                    "</f>
        <v xml:space="preserve">4170049074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31.78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100.13</v>
      </c>
      <c r="BM2219">
        <v>15.02</v>
      </c>
      <c r="BN2219">
        <v>115.15</v>
      </c>
      <c r="BO2219">
        <v>115.15</v>
      </c>
      <c r="BQ2219" t="s">
        <v>1644</v>
      </c>
      <c r="BR2219" t="s">
        <v>84</v>
      </c>
      <c r="BS2219" s="3">
        <v>45855</v>
      </c>
      <c r="BT2219" s="4">
        <v>0.38333333333333336</v>
      </c>
      <c r="BU2219" t="s">
        <v>2669</v>
      </c>
      <c r="BV2219" t="s">
        <v>98</v>
      </c>
      <c r="BY2219">
        <v>1200</v>
      </c>
      <c r="BZ2219" t="s">
        <v>89</v>
      </c>
      <c r="CA2219" t="s">
        <v>109</v>
      </c>
      <c r="CC2219" t="s">
        <v>103</v>
      </c>
      <c r="CD2219">
        <v>1748</v>
      </c>
      <c r="CE2219" t="s">
        <v>239</v>
      </c>
      <c r="CF2219" s="3">
        <v>45856</v>
      </c>
      <c r="CI2219">
        <v>1</v>
      </c>
      <c r="CJ2219">
        <v>1</v>
      </c>
      <c r="CK2219">
        <v>24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"080066596095"</f>
        <v>080066596095</v>
      </c>
      <c r="F2220" s="3">
        <v>45854</v>
      </c>
      <c r="G2220">
        <v>202604</v>
      </c>
      <c r="H2220" t="s">
        <v>75</v>
      </c>
      <c r="I2220" t="s">
        <v>76</v>
      </c>
      <c r="J2220" t="s">
        <v>77</v>
      </c>
      <c r="K2220" t="s">
        <v>78</v>
      </c>
      <c r="L2220" t="s">
        <v>135</v>
      </c>
      <c r="M2220" t="s">
        <v>136</v>
      </c>
      <c r="N2220" t="s">
        <v>416</v>
      </c>
      <c r="O2220" t="s">
        <v>82</v>
      </c>
      <c r="P2220" t="str">
        <f>"4170049033                    "</f>
        <v xml:space="preserve">4170049033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22.6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71.2</v>
      </c>
      <c r="BM2220">
        <v>10.68</v>
      </c>
      <c r="BN2220">
        <v>81.88</v>
      </c>
      <c r="BO2220">
        <v>81.88</v>
      </c>
      <c r="BQ2220" t="s">
        <v>417</v>
      </c>
      <c r="BR2220" t="s">
        <v>84</v>
      </c>
      <c r="BS2220" s="3">
        <v>45855</v>
      </c>
      <c r="BT2220" s="4">
        <v>0.41666666666666669</v>
      </c>
      <c r="BU2220" t="s">
        <v>650</v>
      </c>
      <c r="BV2220" t="s">
        <v>98</v>
      </c>
      <c r="BY2220">
        <v>1200</v>
      </c>
      <c r="BZ2220" t="s">
        <v>89</v>
      </c>
      <c r="CC2220" t="s">
        <v>136</v>
      </c>
      <c r="CD2220">
        <v>3201</v>
      </c>
      <c r="CE2220" t="s">
        <v>239</v>
      </c>
      <c r="CF2220" s="3">
        <v>45856</v>
      </c>
      <c r="CI2220">
        <v>1</v>
      </c>
      <c r="CJ2220">
        <v>1</v>
      </c>
      <c r="CK2220">
        <v>21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"080066596116"</f>
        <v>080066596116</v>
      </c>
      <c r="F2221" s="3">
        <v>45854</v>
      </c>
      <c r="G2221">
        <v>202604</v>
      </c>
      <c r="H2221" t="s">
        <v>75</v>
      </c>
      <c r="I2221" t="s">
        <v>76</v>
      </c>
      <c r="J2221" t="s">
        <v>77</v>
      </c>
      <c r="K2221" t="s">
        <v>78</v>
      </c>
      <c r="L2221" t="s">
        <v>1291</v>
      </c>
      <c r="M2221" t="s">
        <v>1292</v>
      </c>
      <c r="N2221" t="s">
        <v>2670</v>
      </c>
      <c r="O2221" t="s">
        <v>82</v>
      </c>
      <c r="P2221" t="str">
        <f>"4170049090                    "</f>
        <v xml:space="preserve">4170049090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43.78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137.94</v>
      </c>
      <c r="BM2221">
        <v>20.69</v>
      </c>
      <c r="BN2221">
        <v>158.63</v>
      </c>
      <c r="BO2221">
        <v>158.63</v>
      </c>
      <c r="BQ2221" t="s">
        <v>2671</v>
      </c>
      <c r="BR2221" t="s">
        <v>84</v>
      </c>
      <c r="BS2221" s="3">
        <v>45855</v>
      </c>
      <c r="BT2221" s="4">
        <v>0.62638888888888888</v>
      </c>
      <c r="BU2221" t="s">
        <v>2672</v>
      </c>
      <c r="BV2221" t="s">
        <v>98</v>
      </c>
      <c r="BY2221">
        <v>1200</v>
      </c>
      <c r="BZ2221" t="s">
        <v>89</v>
      </c>
      <c r="CA2221" t="s">
        <v>1296</v>
      </c>
      <c r="CC2221" t="s">
        <v>1292</v>
      </c>
      <c r="CD2221">
        <v>3370</v>
      </c>
      <c r="CE2221" t="s">
        <v>239</v>
      </c>
      <c r="CF2221" s="3">
        <v>45856</v>
      </c>
      <c r="CI2221">
        <v>2</v>
      </c>
      <c r="CJ2221">
        <v>1</v>
      </c>
      <c r="CK2221">
        <v>23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"080066596146"</f>
        <v>080066596146</v>
      </c>
      <c r="F2222" s="3">
        <v>45854</v>
      </c>
      <c r="G2222">
        <v>202604</v>
      </c>
      <c r="H2222" t="s">
        <v>75</v>
      </c>
      <c r="I2222" t="s">
        <v>76</v>
      </c>
      <c r="J2222" t="s">
        <v>77</v>
      </c>
      <c r="K2222" t="s">
        <v>78</v>
      </c>
      <c r="L2222" t="s">
        <v>168</v>
      </c>
      <c r="M2222" t="s">
        <v>169</v>
      </c>
      <c r="N2222" t="s">
        <v>206</v>
      </c>
      <c r="O2222" t="s">
        <v>82</v>
      </c>
      <c r="P2222" t="str">
        <f>"4170049044                    "</f>
        <v xml:space="preserve">4170049044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22.6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71.2</v>
      </c>
      <c r="BM2222">
        <v>10.68</v>
      </c>
      <c r="BN2222">
        <v>81.88</v>
      </c>
      <c r="BO2222">
        <v>81.88</v>
      </c>
      <c r="BQ2222" t="s">
        <v>207</v>
      </c>
      <c r="BR2222" t="s">
        <v>84</v>
      </c>
      <c r="BS2222" s="3">
        <v>45855</v>
      </c>
      <c r="BT2222" s="4">
        <v>0.42708333333333331</v>
      </c>
      <c r="BU2222" t="s">
        <v>208</v>
      </c>
      <c r="BV2222" t="s">
        <v>98</v>
      </c>
      <c r="BY2222">
        <v>1200</v>
      </c>
      <c r="BZ2222" t="s">
        <v>89</v>
      </c>
      <c r="CA2222" t="s">
        <v>196</v>
      </c>
      <c r="CC2222" t="s">
        <v>169</v>
      </c>
      <c r="CD2222">
        <v>6001</v>
      </c>
      <c r="CE2222" t="s">
        <v>239</v>
      </c>
      <c r="CF2222" s="3">
        <v>45856</v>
      </c>
      <c r="CI2222">
        <v>1</v>
      </c>
      <c r="CJ2222">
        <v>1</v>
      </c>
      <c r="CK2222">
        <v>21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"080066596181"</f>
        <v>080066596181</v>
      </c>
      <c r="F2223" s="3">
        <v>45854</v>
      </c>
      <c r="G2223">
        <v>202604</v>
      </c>
      <c r="H2223" t="s">
        <v>75</v>
      </c>
      <c r="I2223" t="s">
        <v>76</v>
      </c>
      <c r="J2223" t="s">
        <v>77</v>
      </c>
      <c r="K2223" t="s">
        <v>78</v>
      </c>
      <c r="L2223" t="s">
        <v>1768</v>
      </c>
      <c r="M2223" t="s">
        <v>1769</v>
      </c>
      <c r="N2223" t="s">
        <v>1928</v>
      </c>
      <c r="O2223" t="s">
        <v>82</v>
      </c>
      <c r="P2223" t="str">
        <f>"4170049055                    "</f>
        <v xml:space="preserve">4170049055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43.78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137.94</v>
      </c>
      <c r="BM2223">
        <v>20.69</v>
      </c>
      <c r="BN2223">
        <v>158.63</v>
      </c>
      <c r="BO2223">
        <v>158.63</v>
      </c>
      <c r="BQ2223" t="s">
        <v>1929</v>
      </c>
      <c r="BR2223" t="s">
        <v>84</v>
      </c>
      <c r="BS2223" s="3">
        <v>45856</v>
      </c>
      <c r="BT2223" s="4">
        <v>0.40625</v>
      </c>
      <c r="BU2223" t="s">
        <v>2673</v>
      </c>
      <c r="BV2223" t="s">
        <v>86</v>
      </c>
      <c r="BW2223" t="s">
        <v>2110</v>
      </c>
      <c r="BX2223" t="s">
        <v>1420</v>
      </c>
      <c r="BY2223">
        <v>1200</v>
      </c>
      <c r="BZ2223" t="s">
        <v>89</v>
      </c>
      <c r="CA2223" t="s">
        <v>1773</v>
      </c>
      <c r="CC2223" t="s">
        <v>1769</v>
      </c>
      <c r="CD2223">
        <v>2302</v>
      </c>
      <c r="CE2223" t="s">
        <v>239</v>
      </c>
      <c r="CF2223" s="3">
        <v>45859</v>
      </c>
      <c r="CI2223">
        <v>1</v>
      </c>
      <c r="CJ2223">
        <v>2</v>
      </c>
      <c r="CK2223">
        <v>23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"080066596230"</f>
        <v>080066596230</v>
      </c>
      <c r="F2224" s="3">
        <v>45854</v>
      </c>
      <c r="G2224">
        <v>202604</v>
      </c>
      <c r="H2224" t="s">
        <v>75</v>
      </c>
      <c r="I2224" t="s">
        <v>76</v>
      </c>
      <c r="J2224" t="s">
        <v>77</v>
      </c>
      <c r="K2224" t="s">
        <v>78</v>
      </c>
      <c r="L2224" t="s">
        <v>788</v>
      </c>
      <c r="M2224" t="s">
        <v>789</v>
      </c>
      <c r="N2224" t="s">
        <v>272</v>
      </c>
      <c r="O2224" t="s">
        <v>82</v>
      </c>
      <c r="P2224" t="str">
        <f>"4170049041                    "</f>
        <v xml:space="preserve">4170049041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22.6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71.2</v>
      </c>
      <c r="BM2224">
        <v>10.68</v>
      </c>
      <c r="BN2224">
        <v>81.88</v>
      </c>
      <c r="BO2224">
        <v>81.88</v>
      </c>
      <c r="BQ2224" t="s">
        <v>273</v>
      </c>
      <c r="BR2224" t="s">
        <v>84</v>
      </c>
      <c r="BS2224" s="3">
        <v>45855</v>
      </c>
      <c r="BT2224" s="4">
        <v>0.37152777777777779</v>
      </c>
      <c r="BU2224" t="s">
        <v>2674</v>
      </c>
      <c r="BV2224" t="s">
        <v>98</v>
      </c>
      <c r="BY2224">
        <v>1200</v>
      </c>
      <c r="BZ2224" t="s">
        <v>89</v>
      </c>
      <c r="CA2224" t="s">
        <v>2675</v>
      </c>
      <c r="CC2224" t="s">
        <v>789</v>
      </c>
      <c r="CD2224" s="5" t="s">
        <v>791</v>
      </c>
      <c r="CE2224" t="s">
        <v>239</v>
      </c>
      <c r="CF2224" s="3">
        <v>45855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"080066596278"</f>
        <v>080066596278</v>
      </c>
      <c r="F2225" s="3">
        <v>45854</v>
      </c>
      <c r="G2225">
        <v>202604</v>
      </c>
      <c r="H2225" t="s">
        <v>75</v>
      </c>
      <c r="I2225" t="s">
        <v>76</v>
      </c>
      <c r="J2225" t="s">
        <v>77</v>
      </c>
      <c r="K2225" t="s">
        <v>78</v>
      </c>
      <c r="L2225" t="s">
        <v>168</v>
      </c>
      <c r="M2225" t="s">
        <v>169</v>
      </c>
      <c r="N2225" t="s">
        <v>1673</v>
      </c>
      <c r="O2225" t="s">
        <v>82</v>
      </c>
      <c r="P2225" t="str">
        <f>"4170049062                    "</f>
        <v xml:space="preserve">4170049062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22.6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71.2</v>
      </c>
      <c r="BM2225">
        <v>10.68</v>
      </c>
      <c r="BN2225">
        <v>81.88</v>
      </c>
      <c r="BO2225">
        <v>81.88</v>
      </c>
      <c r="BQ2225" t="s">
        <v>1674</v>
      </c>
      <c r="BR2225" t="s">
        <v>84</v>
      </c>
      <c r="BS2225" s="3">
        <v>45855</v>
      </c>
      <c r="BT2225" s="4">
        <v>0.41666666666666669</v>
      </c>
      <c r="BU2225" t="s">
        <v>2676</v>
      </c>
      <c r="BV2225" t="s">
        <v>98</v>
      </c>
      <c r="BY2225">
        <v>1200</v>
      </c>
      <c r="BZ2225" t="s">
        <v>89</v>
      </c>
      <c r="CA2225" t="s">
        <v>423</v>
      </c>
      <c r="CC2225" t="s">
        <v>169</v>
      </c>
      <c r="CD2225">
        <v>6001</v>
      </c>
      <c r="CE2225" t="s">
        <v>239</v>
      </c>
      <c r="CF2225" s="3">
        <v>45855</v>
      </c>
      <c r="CI2225">
        <v>1</v>
      </c>
      <c r="CJ2225">
        <v>1</v>
      </c>
      <c r="CK2225">
        <v>21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"080066596391"</f>
        <v>080066596391</v>
      </c>
      <c r="F2226" s="3">
        <v>45854</v>
      </c>
      <c r="G2226">
        <v>202604</v>
      </c>
      <c r="H2226" t="s">
        <v>75</v>
      </c>
      <c r="I2226" t="s">
        <v>76</v>
      </c>
      <c r="J2226" t="s">
        <v>77</v>
      </c>
      <c r="K2226" t="s">
        <v>78</v>
      </c>
      <c r="L2226" t="s">
        <v>240</v>
      </c>
      <c r="M2226" t="s">
        <v>241</v>
      </c>
      <c r="N2226" t="s">
        <v>2677</v>
      </c>
      <c r="O2226" t="s">
        <v>311</v>
      </c>
      <c r="P2226" t="str">
        <f>"4170049049                    "</f>
        <v xml:space="preserve">4170049049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19.64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6</v>
      </c>
      <c r="BJ2226">
        <v>8.1</v>
      </c>
      <c r="BK2226">
        <v>9</v>
      </c>
      <c r="BL2226">
        <v>61.87</v>
      </c>
      <c r="BM2226">
        <v>9.2799999999999994</v>
      </c>
      <c r="BN2226">
        <v>71.150000000000006</v>
      </c>
      <c r="BO2226">
        <v>71.150000000000006</v>
      </c>
      <c r="BQ2226" t="s">
        <v>2678</v>
      </c>
      <c r="BR2226" t="s">
        <v>84</v>
      </c>
      <c r="BS2226" s="3">
        <v>45855</v>
      </c>
      <c r="BT2226" s="4">
        <v>0.40972222222222221</v>
      </c>
      <c r="BU2226" t="s">
        <v>1948</v>
      </c>
      <c r="BV2226" t="s">
        <v>98</v>
      </c>
      <c r="BY2226">
        <v>40432</v>
      </c>
      <c r="BZ2226" t="s">
        <v>99</v>
      </c>
      <c r="CA2226" t="s">
        <v>451</v>
      </c>
      <c r="CC2226" t="s">
        <v>241</v>
      </c>
      <c r="CD2226">
        <v>2049</v>
      </c>
      <c r="CE2226" t="s">
        <v>91</v>
      </c>
      <c r="CF2226" s="3">
        <v>45855</v>
      </c>
      <c r="CI2226">
        <v>1</v>
      </c>
      <c r="CJ2226">
        <v>1</v>
      </c>
      <c r="CK2226">
        <v>32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"080066596439"</f>
        <v>080066596439</v>
      </c>
      <c r="F2227" s="3">
        <v>45854</v>
      </c>
      <c r="G2227">
        <v>202604</v>
      </c>
      <c r="H2227" t="s">
        <v>75</v>
      </c>
      <c r="I2227" t="s">
        <v>76</v>
      </c>
      <c r="J2227" t="s">
        <v>77</v>
      </c>
      <c r="K2227" t="s">
        <v>78</v>
      </c>
      <c r="L2227" t="s">
        <v>135</v>
      </c>
      <c r="M2227" t="s">
        <v>136</v>
      </c>
      <c r="N2227" t="s">
        <v>416</v>
      </c>
      <c r="O2227" t="s">
        <v>82</v>
      </c>
      <c r="P2227" t="str">
        <f>"4170049032                    "</f>
        <v xml:space="preserve">4170049032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56.47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5</v>
      </c>
      <c r="BJ2227">
        <v>1.9</v>
      </c>
      <c r="BK2227">
        <v>5</v>
      </c>
      <c r="BL2227">
        <v>177.91</v>
      </c>
      <c r="BM2227">
        <v>26.69</v>
      </c>
      <c r="BN2227">
        <v>204.6</v>
      </c>
      <c r="BO2227">
        <v>204.6</v>
      </c>
      <c r="BQ2227" t="s">
        <v>417</v>
      </c>
      <c r="BR2227" t="s">
        <v>84</v>
      </c>
      <c r="BS2227" s="3">
        <v>45855</v>
      </c>
      <c r="BT2227" s="4">
        <v>0.41666666666666669</v>
      </c>
      <c r="BU2227" t="s">
        <v>650</v>
      </c>
      <c r="BV2227" t="s">
        <v>98</v>
      </c>
      <c r="BY2227">
        <v>9600</v>
      </c>
      <c r="BZ2227" t="s">
        <v>89</v>
      </c>
      <c r="CC2227" t="s">
        <v>136</v>
      </c>
      <c r="CD2227">
        <v>3201</v>
      </c>
      <c r="CE2227" t="s">
        <v>117</v>
      </c>
      <c r="CF2227" s="3">
        <v>45856</v>
      </c>
      <c r="CI2227">
        <v>1</v>
      </c>
      <c r="CJ2227">
        <v>1</v>
      </c>
      <c r="CK2227">
        <v>21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"080066596491"</f>
        <v>080066596491</v>
      </c>
      <c r="F2228" s="3">
        <v>45854</v>
      </c>
      <c r="G2228">
        <v>202604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622</v>
      </c>
      <c r="O2228" t="s">
        <v>311</v>
      </c>
      <c r="P2228" t="str">
        <f>"4170049028                    "</f>
        <v xml:space="preserve">4170049028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17.66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4</v>
      </c>
      <c r="BJ2228">
        <v>1.9</v>
      </c>
      <c r="BK2228">
        <v>4</v>
      </c>
      <c r="BL2228">
        <v>55.63</v>
      </c>
      <c r="BM2228">
        <v>8.34</v>
      </c>
      <c r="BN2228">
        <v>63.97</v>
      </c>
      <c r="BO2228">
        <v>63.97</v>
      </c>
      <c r="BQ2228" t="s">
        <v>623</v>
      </c>
      <c r="BR2228" t="s">
        <v>84</v>
      </c>
      <c r="BS2228" s="3">
        <v>45855</v>
      </c>
      <c r="BT2228" s="4">
        <v>0.33750000000000002</v>
      </c>
      <c r="BU2228" t="s">
        <v>2679</v>
      </c>
      <c r="BV2228" t="s">
        <v>98</v>
      </c>
      <c r="BY2228">
        <v>9600</v>
      </c>
      <c r="BZ2228" t="s">
        <v>99</v>
      </c>
      <c r="CA2228" t="s">
        <v>304</v>
      </c>
      <c r="CC2228" t="s">
        <v>76</v>
      </c>
      <c r="CD2228">
        <v>1601</v>
      </c>
      <c r="CE2228" t="s">
        <v>117</v>
      </c>
      <c r="CF2228" s="3">
        <v>45855</v>
      </c>
      <c r="CI2228">
        <v>1</v>
      </c>
      <c r="CJ2228">
        <v>1</v>
      </c>
      <c r="CK2228">
        <v>32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"080066596534"</f>
        <v>080066596534</v>
      </c>
      <c r="F2229" s="3">
        <v>45854</v>
      </c>
      <c r="G2229">
        <v>202604</v>
      </c>
      <c r="H2229" t="s">
        <v>75</v>
      </c>
      <c r="I2229" t="s">
        <v>76</v>
      </c>
      <c r="J2229" t="s">
        <v>77</v>
      </c>
      <c r="K2229" t="s">
        <v>78</v>
      </c>
      <c r="L2229" t="s">
        <v>295</v>
      </c>
      <c r="M2229" t="s">
        <v>296</v>
      </c>
      <c r="N2229" t="s">
        <v>2094</v>
      </c>
      <c r="O2229" t="s">
        <v>82</v>
      </c>
      <c r="P2229" t="str">
        <f>"4170049065                    "</f>
        <v xml:space="preserve">4170049065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17.649999999999999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1.1000000000000001</v>
      </c>
      <c r="BK2229">
        <v>2</v>
      </c>
      <c r="BL2229">
        <v>55.61</v>
      </c>
      <c r="BM2229">
        <v>8.34</v>
      </c>
      <c r="BN2229">
        <v>63.95</v>
      </c>
      <c r="BO2229">
        <v>63.95</v>
      </c>
      <c r="BQ2229" t="s">
        <v>2095</v>
      </c>
      <c r="BR2229" t="s">
        <v>84</v>
      </c>
      <c r="BS2229" s="3">
        <v>45855</v>
      </c>
      <c r="BT2229" s="4">
        <v>0.30416666666666664</v>
      </c>
      <c r="BU2229" t="s">
        <v>2680</v>
      </c>
      <c r="BV2229" t="s">
        <v>98</v>
      </c>
      <c r="BY2229">
        <v>5320</v>
      </c>
      <c r="BZ2229" t="s">
        <v>89</v>
      </c>
      <c r="CA2229" t="s">
        <v>300</v>
      </c>
      <c r="CC2229" t="s">
        <v>296</v>
      </c>
      <c r="CD2229">
        <v>1459</v>
      </c>
      <c r="CE2229" t="s">
        <v>117</v>
      </c>
      <c r="CF2229" s="3">
        <v>45855</v>
      </c>
      <c r="CI2229">
        <v>1</v>
      </c>
      <c r="CJ2229">
        <v>1</v>
      </c>
      <c r="CK2229">
        <v>22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"080066596588"</f>
        <v>080066596588</v>
      </c>
      <c r="F2230" s="3">
        <v>45854</v>
      </c>
      <c r="G2230">
        <v>202604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701</v>
      </c>
      <c r="O2230" t="s">
        <v>82</v>
      </c>
      <c r="P2230" t="str">
        <f>"4170049061                    "</f>
        <v xml:space="preserve">4170049061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17.649999999999999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2</v>
      </c>
      <c r="BJ2230">
        <v>0.9</v>
      </c>
      <c r="BK2230">
        <v>2</v>
      </c>
      <c r="BL2230">
        <v>55.61</v>
      </c>
      <c r="BM2230">
        <v>8.34</v>
      </c>
      <c r="BN2230">
        <v>63.95</v>
      </c>
      <c r="BO2230">
        <v>63.95</v>
      </c>
      <c r="BQ2230" t="s">
        <v>702</v>
      </c>
      <c r="BR2230" t="s">
        <v>84</v>
      </c>
      <c r="BS2230" s="3">
        <v>45855</v>
      </c>
      <c r="BT2230" s="4">
        <v>0.40138888888888891</v>
      </c>
      <c r="BU2230" t="s">
        <v>2681</v>
      </c>
      <c r="BV2230" t="s">
        <v>98</v>
      </c>
      <c r="BY2230">
        <v>4275</v>
      </c>
      <c r="BZ2230" t="s">
        <v>89</v>
      </c>
      <c r="CA2230" t="s">
        <v>617</v>
      </c>
      <c r="CC2230" t="s">
        <v>76</v>
      </c>
      <c r="CD2230">
        <v>1645</v>
      </c>
      <c r="CE2230" t="s">
        <v>266</v>
      </c>
      <c r="CF2230" s="3">
        <v>45855</v>
      </c>
      <c r="CI2230">
        <v>1</v>
      </c>
      <c r="CJ2230">
        <v>1</v>
      </c>
      <c r="CK2230">
        <v>22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"080066596633"</f>
        <v>080066596633</v>
      </c>
      <c r="F2231" s="3">
        <v>45854</v>
      </c>
      <c r="G2231">
        <v>202604</v>
      </c>
      <c r="H2231" t="s">
        <v>75</v>
      </c>
      <c r="I2231" t="s">
        <v>76</v>
      </c>
      <c r="J2231" t="s">
        <v>77</v>
      </c>
      <c r="K2231" t="s">
        <v>78</v>
      </c>
      <c r="L2231" t="s">
        <v>79</v>
      </c>
      <c r="M2231" t="s">
        <v>80</v>
      </c>
      <c r="N2231" t="s">
        <v>576</v>
      </c>
      <c r="O2231" t="s">
        <v>82</v>
      </c>
      <c r="P2231" t="str">
        <f>"4170049082                    "</f>
        <v xml:space="preserve">4170049082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22.6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1.9</v>
      </c>
      <c r="BK2231">
        <v>2</v>
      </c>
      <c r="BL2231">
        <v>71.2</v>
      </c>
      <c r="BM2231">
        <v>10.68</v>
      </c>
      <c r="BN2231">
        <v>81.88</v>
      </c>
      <c r="BO2231">
        <v>81.88</v>
      </c>
      <c r="BQ2231" t="s">
        <v>577</v>
      </c>
      <c r="BR2231" t="s">
        <v>84</v>
      </c>
      <c r="BS2231" s="3">
        <v>45855</v>
      </c>
      <c r="BT2231" s="4">
        <v>0.42916666666666664</v>
      </c>
      <c r="BU2231" t="s">
        <v>1092</v>
      </c>
      <c r="BV2231" t="s">
        <v>98</v>
      </c>
      <c r="BY2231">
        <v>9600</v>
      </c>
      <c r="BZ2231" t="s">
        <v>89</v>
      </c>
      <c r="CA2231" t="s">
        <v>579</v>
      </c>
      <c r="CC2231" t="s">
        <v>80</v>
      </c>
      <c r="CD2231">
        <v>7480</v>
      </c>
      <c r="CE2231" t="s">
        <v>117</v>
      </c>
      <c r="CF2231" s="3">
        <v>45856</v>
      </c>
      <c r="CI2231">
        <v>1</v>
      </c>
      <c r="CJ2231">
        <v>1</v>
      </c>
      <c r="CK2231">
        <v>21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"080066596690"</f>
        <v>080066596690</v>
      </c>
      <c r="F2232" s="3">
        <v>45854</v>
      </c>
      <c r="G2232">
        <v>202604</v>
      </c>
      <c r="H2232" t="s">
        <v>75</v>
      </c>
      <c r="I2232" t="s">
        <v>76</v>
      </c>
      <c r="J2232" t="s">
        <v>77</v>
      </c>
      <c r="K2232" t="s">
        <v>78</v>
      </c>
      <c r="L2232" t="s">
        <v>427</v>
      </c>
      <c r="M2232" t="s">
        <v>428</v>
      </c>
      <c r="N2232" t="s">
        <v>429</v>
      </c>
      <c r="O2232" t="s">
        <v>82</v>
      </c>
      <c r="P2232" t="str">
        <f>"4170049093                    "</f>
        <v xml:space="preserve">4170049093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43.78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0.3</v>
      </c>
      <c r="BK2232">
        <v>1</v>
      </c>
      <c r="BL2232">
        <v>137.94</v>
      </c>
      <c r="BM2232">
        <v>20.69</v>
      </c>
      <c r="BN2232">
        <v>158.63</v>
      </c>
      <c r="BO2232">
        <v>158.63</v>
      </c>
      <c r="BQ2232" t="s">
        <v>430</v>
      </c>
      <c r="BR2232" t="s">
        <v>84</v>
      </c>
      <c r="BS2232" s="3">
        <v>45855</v>
      </c>
      <c r="BT2232" s="4">
        <v>0.41666666666666669</v>
      </c>
      <c r="BU2232" t="s">
        <v>2682</v>
      </c>
      <c r="BV2232" t="s">
        <v>98</v>
      </c>
      <c r="BY2232">
        <v>1350</v>
      </c>
      <c r="BZ2232" t="s">
        <v>89</v>
      </c>
      <c r="CA2232" t="s">
        <v>432</v>
      </c>
      <c r="CC2232" t="s">
        <v>428</v>
      </c>
      <c r="CD2232">
        <v>9880</v>
      </c>
      <c r="CE2232" t="s">
        <v>1906</v>
      </c>
      <c r="CF2232" s="3">
        <v>45856</v>
      </c>
      <c r="CI2232">
        <v>1</v>
      </c>
      <c r="CJ2232">
        <v>1</v>
      </c>
      <c r="CK2232">
        <v>23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"080066596856"</f>
        <v>080066596856</v>
      </c>
      <c r="F2233" s="3">
        <v>45854</v>
      </c>
      <c r="G2233">
        <v>202604</v>
      </c>
      <c r="H2233" t="s">
        <v>75</v>
      </c>
      <c r="I2233" t="s">
        <v>76</v>
      </c>
      <c r="J2233" t="s">
        <v>77</v>
      </c>
      <c r="K2233" t="s">
        <v>78</v>
      </c>
      <c r="L2233" t="s">
        <v>277</v>
      </c>
      <c r="M2233" t="s">
        <v>278</v>
      </c>
      <c r="N2233" t="s">
        <v>2683</v>
      </c>
      <c r="O2233" t="s">
        <v>82</v>
      </c>
      <c r="P2233" t="str">
        <f>"4170049056                    "</f>
        <v xml:space="preserve">4170049056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22.6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0.3</v>
      </c>
      <c r="BK2233">
        <v>1</v>
      </c>
      <c r="BL2233">
        <v>71.2</v>
      </c>
      <c r="BM2233">
        <v>10.68</v>
      </c>
      <c r="BN2233">
        <v>81.88</v>
      </c>
      <c r="BO2233">
        <v>81.88</v>
      </c>
      <c r="BQ2233" t="s">
        <v>2684</v>
      </c>
      <c r="BR2233" t="s">
        <v>84</v>
      </c>
      <c r="BS2233" s="3">
        <v>45855</v>
      </c>
      <c r="BT2233" s="4">
        <v>0.40902777777777777</v>
      </c>
      <c r="BU2233" t="s">
        <v>2685</v>
      </c>
      <c r="BV2233" t="s">
        <v>98</v>
      </c>
      <c r="BY2233">
        <v>1350</v>
      </c>
      <c r="BZ2233" t="s">
        <v>89</v>
      </c>
      <c r="CA2233" t="s">
        <v>282</v>
      </c>
      <c r="CC2233" t="s">
        <v>278</v>
      </c>
      <c r="CD2233">
        <v>6230</v>
      </c>
      <c r="CE2233" t="s">
        <v>1868</v>
      </c>
      <c r="CF2233" s="3">
        <v>45855</v>
      </c>
      <c r="CI2233">
        <v>1</v>
      </c>
      <c r="CJ2233">
        <v>1</v>
      </c>
      <c r="CK2233">
        <v>21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"080066596966"</f>
        <v>080066596966</v>
      </c>
      <c r="F2234" s="3">
        <v>45854</v>
      </c>
      <c r="G2234">
        <v>202604</v>
      </c>
      <c r="H2234" t="s">
        <v>75</v>
      </c>
      <c r="I2234" t="s">
        <v>76</v>
      </c>
      <c r="J2234" t="s">
        <v>77</v>
      </c>
      <c r="K2234" t="s">
        <v>78</v>
      </c>
      <c r="L2234" t="s">
        <v>151</v>
      </c>
      <c r="M2234" t="s">
        <v>152</v>
      </c>
      <c r="N2234" t="s">
        <v>2100</v>
      </c>
      <c r="O2234" t="s">
        <v>82</v>
      </c>
      <c r="P2234" t="str">
        <f>"4170049048                    "</f>
        <v xml:space="preserve">4170049048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22.6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0.3</v>
      </c>
      <c r="BK2234">
        <v>1</v>
      </c>
      <c r="BL2234">
        <v>71.2</v>
      </c>
      <c r="BM2234">
        <v>10.68</v>
      </c>
      <c r="BN2234">
        <v>81.88</v>
      </c>
      <c r="BO2234">
        <v>81.88</v>
      </c>
      <c r="BQ2234" t="s">
        <v>2101</v>
      </c>
      <c r="BR2234" t="s">
        <v>84</v>
      </c>
      <c r="BS2234" s="3">
        <v>45855</v>
      </c>
      <c r="BT2234" s="4">
        <v>0.4</v>
      </c>
      <c r="BU2234" t="s">
        <v>2102</v>
      </c>
      <c r="BV2234" t="s">
        <v>98</v>
      </c>
      <c r="BY2234">
        <v>1350</v>
      </c>
      <c r="BZ2234" t="s">
        <v>89</v>
      </c>
      <c r="CA2234" t="s">
        <v>716</v>
      </c>
      <c r="CC2234" t="s">
        <v>152</v>
      </c>
      <c r="CD2234" s="5" t="s">
        <v>717</v>
      </c>
      <c r="CE2234" t="s">
        <v>158</v>
      </c>
      <c r="CF2234" s="3">
        <v>45855</v>
      </c>
      <c r="CI2234">
        <v>1</v>
      </c>
      <c r="CJ2234">
        <v>1</v>
      </c>
      <c r="CK2234">
        <v>21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"080011569745"</f>
        <v>080011569745</v>
      </c>
      <c r="F2235" s="3">
        <v>45854</v>
      </c>
      <c r="G2235">
        <v>202604</v>
      </c>
      <c r="H2235" t="s">
        <v>240</v>
      </c>
      <c r="I2235" t="s">
        <v>241</v>
      </c>
      <c r="J2235" t="s">
        <v>2686</v>
      </c>
      <c r="K2235" t="s">
        <v>78</v>
      </c>
      <c r="L2235" t="s">
        <v>75</v>
      </c>
      <c r="M2235" t="s">
        <v>76</v>
      </c>
      <c r="N2235" t="s">
        <v>228</v>
      </c>
      <c r="O2235" t="s">
        <v>82</v>
      </c>
      <c r="P2235" t="str">
        <f>"ZA1001396697                  "</f>
        <v xml:space="preserve">ZA1001396697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17.649999999999999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0.2</v>
      </c>
      <c r="BJ2235">
        <v>1</v>
      </c>
      <c r="BK2235">
        <v>1</v>
      </c>
      <c r="BL2235">
        <v>55.61</v>
      </c>
      <c r="BM2235">
        <v>8.34</v>
      </c>
      <c r="BN2235">
        <v>63.95</v>
      </c>
      <c r="BO2235">
        <v>63.95</v>
      </c>
      <c r="BP2235" t="s">
        <v>587</v>
      </c>
      <c r="BQ2235" t="s">
        <v>230</v>
      </c>
      <c r="BR2235" t="s">
        <v>2687</v>
      </c>
      <c r="BS2235" s="3">
        <v>45855</v>
      </c>
      <c r="BT2235" s="4">
        <v>0.38680555555555557</v>
      </c>
      <c r="BU2235" t="s">
        <v>232</v>
      </c>
      <c r="BV2235" t="s">
        <v>98</v>
      </c>
      <c r="BY2235">
        <v>4795.88</v>
      </c>
      <c r="BZ2235" t="s">
        <v>89</v>
      </c>
      <c r="CA2235" t="s">
        <v>304</v>
      </c>
      <c r="CC2235" t="s">
        <v>76</v>
      </c>
      <c r="CD2235">
        <v>1619</v>
      </c>
      <c r="CE2235" t="s">
        <v>233</v>
      </c>
      <c r="CF2235" s="3">
        <v>45855</v>
      </c>
      <c r="CI2235">
        <v>1</v>
      </c>
      <c r="CJ2235">
        <v>1</v>
      </c>
      <c r="CK2235">
        <v>22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"080066597164"</f>
        <v>080066597164</v>
      </c>
      <c r="F2236" s="3">
        <v>45854</v>
      </c>
      <c r="G2236">
        <v>202604</v>
      </c>
      <c r="H2236" t="s">
        <v>75</v>
      </c>
      <c r="I2236" t="s">
        <v>76</v>
      </c>
      <c r="J2236" t="s">
        <v>77</v>
      </c>
      <c r="K2236" t="s">
        <v>78</v>
      </c>
      <c r="L2236" t="s">
        <v>75</v>
      </c>
      <c r="M2236" t="s">
        <v>76</v>
      </c>
      <c r="N2236" t="s">
        <v>118</v>
      </c>
      <c r="O2236" t="s">
        <v>82</v>
      </c>
      <c r="P2236" t="str">
        <f>"4170049079                    "</f>
        <v xml:space="preserve">4170049079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17.649999999999999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0.6</v>
      </c>
      <c r="BK2236">
        <v>1</v>
      </c>
      <c r="BL2236">
        <v>55.61</v>
      </c>
      <c r="BM2236">
        <v>8.34</v>
      </c>
      <c r="BN2236">
        <v>63.95</v>
      </c>
      <c r="BO2236">
        <v>63.95</v>
      </c>
      <c r="BQ2236" t="s">
        <v>119</v>
      </c>
      <c r="BR2236" t="s">
        <v>84</v>
      </c>
      <c r="BS2236" s="3">
        <v>45855</v>
      </c>
      <c r="BT2236" s="4">
        <v>0.32847222222222222</v>
      </c>
      <c r="BU2236" t="s">
        <v>832</v>
      </c>
      <c r="BV2236" t="s">
        <v>98</v>
      </c>
      <c r="BY2236">
        <v>3200</v>
      </c>
      <c r="BZ2236" t="s">
        <v>89</v>
      </c>
      <c r="CA2236" t="s">
        <v>213</v>
      </c>
      <c r="CC2236" t="s">
        <v>76</v>
      </c>
      <c r="CD2236">
        <v>1600</v>
      </c>
      <c r="CE2236" t="s">
        <v>91</v>
      </c>
      <c r="CF2236" s="3">
        <v>45856</v>
      </c>
      <c r="CI2236">
        <v>1</v>
      </c>
      <c r="CJ2236">
        <v>1</v>
      </c>
      <c r="CK2236">
        <v>22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"080066598470"</f>
        <v>080066598470</v>
      </c>
      <c r="F2237" s="3">
        <v>45854</v>
      </c>
      <c r="G2237">
        <v>202604</v>
      </c>
      <c r="H2237" t="s">
        <v>75</v>
      </c>
      <c r="I2237" t="s">
        <v>76</v>
      </c>
      <c r="J2237" t="s">
        <v>77</v>
      </c>
      <c r="K2237" t="s">
        <v>78</v>
      </c>
      <c r="L2237" t="s">
        <v>168</v>
      </c>
      <c r="M2237" t="s">
        <v>169</v>
      </c>
      <c r="N2237" t="s">
        <v>202</v>
      </c>
      <c r="O2237" t="s">
        <v>82</v>
      </c>
      <c r="P2237" t="str">
        <f>"4170049040                    "</f>
        <v xml:space="preserve">4170049040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1.1000000000000001</v>
      </c>
      <c r="BK2237">
        <v>1.5</v>
      </c>
      <c r="BL2237">
        <v>71.2</v>
      </c>
      <c r="BM2237">
        <v>10.68</v>
      </c>
      <c r="BN2237">
        <v>81.88</v>
      </c>
      <c r="BO2237">
        <v>81.88</v>
      </c>
      <c r="BQ2237" t="s">
        <v>203</v>
      </c>
      <c r="BR2237" t="s">
        <v>84</v>
      </c>
      <c r="BS2237" s="3">
        <v>45855</v>
      </c>
      <c r="BT2237" s="4">
        <v>0.40069444444444446</v>
      </c>
      <c r="BU2237" t="s">
        <v>1127</v>
      </c>
      <c r="BV2237" t="s">
        <v>98</v>
      </c>
      <c r="BY2237">
        <v>5320</v>
      </c>
      <c r="BZ2237" t="s">
        <v>89</v>
      </c>
      <c r="CA2237" t="s">
        <v>205</v>
      </c>
      <c r="CC2237" t="s">
        <v>169</v>
      </c>
      <c r="CD2237">
        <v>6001</v>
      </c>
      <c r="CE2237" t="s">
        <v>117</v>
      </c>
      <c r="CF2237" s="3">
        <v>45855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"080066601566"</f>
        <v>080066601566</v>
      </c>
      <c r="F2238" s="3">
        <v>45854</v>
      </c>
      <c r="G2238">
        <v>202604</v>
      </c>
      <c r="H2238" t="s">
        <v>75</v>
      </c>
      <c r="I2238" t="s">
        <v>76</v>
      </c>
      <c r="J2238" t="s">
        <v>77</v>
      </c>
      <c r="K2238" t="s">
        <v>78</v>
      </c>
      <c r="L2238" t="s">
        <v>79</v>
      </c>
      <c r="M2238" t="s">
        <v>80</v>
      </c>
      <c r="N2238" t="s">
        <v>141</v>
      </c>
      <c r="O2238" t="s">
        <v>82</v>
      </c>
      <c r="P2238" t="str">
        <f>"4170049098                    "</f>
        <v xml:space="preserve">4170049098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22.6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71.2</v>
      </c>
      <c r="BM2238">
        <v>10.68</v>
      </c>
      <c r="BN2238">
        <v>81.88</v>
      </c>
      <c r="BO2238">
        <v>81.88</v>
      </c>
      <c r="BQ2238" t="s">
        <v>142</v>
      </c>
      <c r="BR2238" t="s">
        <v>84</v>
      </c>
      <c r="BS2238" s="3">
        <v>45855</v>
      </c>
      <c r="BT2238" s="4">
        <v>0.40277777777777779</v>
      </c>
      <c r="BU2238" t="s">
        <v>2437</v>
      </c>
      <c r="BV2238" t="s">
        <v>98</v>
      </c>
      <c r="BY2238">
        <v>1200</v>
      </c>
      <c r="BZ2238" t="s">
        <v>89</v>
      </c>
      <c r="CA2238" t="s">
        <v>144</v>
      </c>
      <c r="CC2238" t="s">
        <v>80</v>
      </c>
      <c r="CD2238">
        <v>7441</v>
      </c>
      <c r="CE2238" t="s">
        <v>239</v>
      </c>
      <c r="CF2238" s="3">
        <v>45856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"080066601614"</f>
        <v>080066601614</v>
      </c>
      <c r="F2239" s="3">
        <v>45854</v>
      </c>
      <c r="G2239">
        <v>202604</v>
      </c>
      <c r="H2239" t="s">
        <v>75</v>
      </c>
      <c r="I2239" t="s">
        <v>76</v>
      </c>
      <c r="J2239" t="s">
        <v>77</v>
      </c>
      <c r="K2239" t="s">
        <v>78</v>
      </c>
      <c r="L2239" t="s">
        <v>79</v>
      </c>
      <c r="M2239" t="s">
        <v>80</v>
      </c>
      <c r="N2239" t="s">
        <v>141</v>
      </c>
      <c r="O2239" t="s">
        <v>82</v>
      </c>
      <c r="P2239" t="str">
        <f>"4170049047                    "</f>
        <v xml:space="preserve">4170049047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22.6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71.2</v>
      </c>
      <c r="BM2239">
        <v>10.68</v>
      </c>
      <c r="BN2239">
        <v>81.88</v>
      </c>
      <c r="BO2239">
        <v>81.88</v>
      </c>
      <c r="BQ2239" t="s">
        <v>142</v>
      </c>
      <c r="BR2239" t="s">
        <v>84</v>
      </c>
      <c r="BS2239" s="3">
        <v>45855</v>
      </c>
      <c r="BT2239" s="4">
        <v>0.40277777777777779</v>
      </c>
      <c r="BU2239" t="s">
        <v>2437</v>
      </c>
      <c r="BV2239" t="s">
        <v>98</v>
      </c>
      <c r="BY2239">
        <v>1200</v>
      </c>
      <c r="BZ2239" t="s">
        <v>89</v>
      </c>
      <c r="CA2239" t="s">
        <v>144</v>
      </c>
      <c r="CC2239" t="s">
        <v>80</v>
      </c>
      <c r="CD2239">
        <v>7441</v>
      </c>
      <c r="CE2239" t="s">
        <v>239</v>
      </c>
      <c r="CF2239" s="3">
        <v>45856</v>
      </c>
      <c r="CI2239">
        <v>1</v>
      </c>
      <c r="CJ2239">
        <v>1</v>
      </c>
      <c r="CK2239">
        <v>21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"080066601644"</f>
        <v>080066601644</v>
      </c>
      <c r="F2240" s="3">
        <v>45854</v>
      </c>
      <c r="G2240">
        <v>202604</v>
      </c>
      <c r="H2240" t="s">
        <v>75</v>
      </c>
      <c r="I2240" t="s">
        <v>76</v>
      </c>
      <c r="J2240" t="s">
        <v>77</v>
      </c>
      <c r="K2240" t="s">
        <v>78</v>
      </c>
      <c r="L2240" t="s">
        <v>79</v>
      </c>
      <c r="M2240" t="s">
        <v>80</v>
      </c>
      <c r="N2240" t="s">
        <v>286</v>
      </c>
      <c r="O2240" t="s">
        <v>82</v>
      </c>
      <c r="P2240" t="str">
        <f>"4170049125                    "</f>
        <v xml:space="preserve">4170049125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22.6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71.2</v>
      </c>
      <c r="BM2240">
        <v>10.68</v>
      </c>
      <c r="BN2240">
        <v>81.88</v>
      </c>
      <c r="BO2240">
        <v>81.88</v>
      </c>
      <c r="BQ2240" t="s">
        <v>287</v>
      </c>
      <c r="BR2240" t="s">
        <v>84</v>
      </c>
      <c r="BS2240" s="3">
        <v>45855</v>
      </c>
      <c r="BT2240" s="4">
        <v>0.3347222222222222</v>
      </c>
      <c r="BU2240" t="s">
        <v>1693</v>
      </c>
      <c r="BV2240" t="s">
        <v>98</v>
      </c>
      <c r="BY2240">
        <v>1200</v>
      </c>
      <c r="BZ2240" t="s">
        <v>89</v>
      </c>
      <c r="CA2240" t="s">
        <v>289</v>
      </c>
      <c r="CC2240" t="s">
        <v>80</v>
      </c>
      <c r="CD2240">
        <v>7530</v>
      </c>
      <c r="CE2240" t="s">
        <v>239</v>
      </c>
      <c r="CF2240" s="3">
        <v>45856</v>
      </c>
      <c r="CI2240">
        <v>1</v>
      </c>
      <c r="CJ2240">
        <v>1</v>
      </c>
      <c r="CK2240">
        <v>21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"080066601725"</f>
        <v>080066601725</v>
      </c>
      <c r="F2241" s="3">
        <v>45854</v>
      </c>
      <c r="G2241">
        <v>202604</v>
      </c>
      <c r="H2241" t="s">
        <v>75</v>
      </c>
      <c r="I2241" t="s">
        <v>76</v>
      </c>
      <c r="J2241" t="s">
        <v>77</v>
      </c>
      <c r="K2241" t="s">
        <v>78</v>
      </c>
      <c r="L2241" t="s">
        <v>503</v>
      </c>
      <c r="M2241" t="s">
        <v>504</v>
      </c>
      <c r="N2241" t="s">
        <v>2020</v>
      </c>
      <c r="O2241" t="s">
        <v>82</v>
      </c>
      <c r="P2241" t="str">
        <f>"4170049128                    "</f>
        <v xml:space="preserve">4170049128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43.78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137.94</v>
      </c>
      <c r="BM2241">
        <v>20.69</v>
      </c>
      <c r="BN2241">
        <v>158.63</v>
      </c>
      <c r="BO2241">
        <v>158.63</v>
      </c>
      <c r="BQ2241" t="s">
        <v>2021</v>
      </c>
      <c r="BR2241" t="s">
        <v>84</v>
      </c>
      <c r="BS2241" s="3">
        <v>45855</v>
      </c>
      <c r="BT2241" s="4">
        <v>0.43055555555555558</v>
      </c>
      <c r="BU2241" t="s">
        <v>863</v>
      </c>
      <c r="BV2241" t="s">
        <v>98</v>
      </c>
      <c r="BY2241">
        <v>1200</v>
      </c>
      <c r="BZ2241" t="s">
        <v>89</v>
      </c>
      <c r="CA2241" t="s">
        <v>508</v>
      </c>
      <c r="CC2241" t="s">
        <v>504</v>
      </c>
      <c r="CD2241">
        <v>7130</v>
      </c>
      <c r="CE2241" t="s">
        <v>239</v>
      </c>
      <c r="CF2241" s="3">
        <v>45856</v>
      </c>
      <c r="CI2241">
        <v>1</v>
      </c>
      <c r="CJ2241">
        <v>1</v>
      </c>
      <c r="CK2241">
        <v>23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"080066601772"</f>
        <v>080066601772</v>
      </c>
      <c r="F2242" s="3">
        <v>45854</v>
      </c>
      <c r="G2242">
        <v>202604</v>
      </c>
      <c r="H2242" t="s">
        <v>75</v>
      </c>
      <c r="I2242" t="s">
        <v>76</v>
      </c>
      <c r="J2242" t="s">
        <v>77</v>
      </c>
      <c r="K2242" t="s">
        <v>78</v>
      </c>
      <c r="L2242" t="s">
        <v>363</v>
      </c>
      <c r="M2242" t="s">
        <v>364</v>
      </c>
      <c r="N2242" t="s">
        <v>365</v>
      </c>
      <c r="O2242" t="s">
        <v>82</v>
      </c>
      <c r="P2242" t="str">
        <f>"4170049038                    "</f>
        <v xml:space="preserve">4170049038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43.78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137.94</v>
      </c>
      <c r="BM2242">
        <v>20.69</v>
      </c>
      <c r="BN2242">
        <v>158.63</v>
      </c>
      <c r="BO2242">
        <v>158.63</v>
      </c>
      <c r="BQ2242" t="s">
        <v>1118</v>
      </c>
      <c r="BR2242" t="s">
        <v>84</v>
      </c>
      <c r="BS2242" s="3">
        <v>45855</v>
      </c>
      <c r="BT2242" s="4">
        <v>0.61527777777777781</v>
      </c>
      <c r="BU2242" t="s">
        <v>2688</v>
      </c>
      <c r="BV2242" t="s">
        <v>98</v>
      </c>
      <c r="BY2242">
        <v>1240</v>
      </c>
      <c r="BZ2242" t="s">
        <v>89</v>
      </c>
      <c r="CC2242" t="s">
        <v>364</v>
      </c>
      <c r="CD2242">
        <v>7300</v>
      </c>
      <c r="CE2242" t="s">
        <v>239</v>
      </c>
      <c r="CF2242" s="3">
        <v>45856</v>
      </c>
      <c r="CI2242">
        <v>1</v>
      </c>
      <c r="CJ2242">
        <v>1</v>
      </c>
      <c r="CK2242">
        <v>23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"080066601810"</f>
        <v>080066601810</v>
      </c>
      <c r="F2243" s="3">
        <v>45854</v>
      </c>
      <c r="G2243">
        <v>202604</v>
      </c>
      <c r="H2243" t="s">
        <v>75</v>
      </c>
      <c r="I2243" t="s">
        <v>76</v>
      </c>
      <c r="J2243" t="s">
        <v>77</v>
      </c>
      <c r="K2243" t="s">
        <v>78</v>
      </c>
      <c r="L2243" t="s">
        <v>92</v>
      </c>
      <c r="M2243" t="s">
        <v>93</v>
      </c>
      <c r="N2243" t="s">
        <v>334</v>
      </c>
      <c r="O2243" t="s">
        <v>82</v>
      </c>
      <c r="P2243" t="str">
        <f>"4170049100                    "</f>
        <v xml:space="preserve">4170049100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22.6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71.2</v>
      </c>
      <c r="BM2243">
        <v>10.68</v>
      </c>
      <c r="BN2243">
        <v>81.88</v>
      </c>
      <c r="BO2243">
        <v>81.88</v>
      </c>
      <c r="BQ2243" t="s">
        <v>335</v>
      </c>
      <c r="BR2243" t="s">
        <v>84</v>
      </c>
      <c r="BS2243" s="3">
        <v>45855</v>
      </c>
      <c r="BT2243" s="4">
        <v>0.43888888888888888</v>
      </c>
      <c r="BU2243" t="s">
        <v>336</v>
      </c>
      <c r="BV2243" t="s">
        <v>86</v>
      </c>
      <c r="BW2243" t="s">
        <v>219</v>
      </c>
      <c r="BX2243" t="s">
        <v>220</v>
      </c>
      <c r="BY2243">
        <v>1200</v>
      </c>
      <c r="BZ2243" t="s">
        <v>89</v>
      </c>
      <c r="CA2243" t="s">
        <v>337</v>
      </c>
      <c r="CC2243" t="s">
        <v>93</v>
      </c>
      <c r="CD2243">
        <v>4052</v>
      </c>
      <c r="CE2243" t="s">
        <v>239</v>
      </c>
      <c r="CF2243" s="3">
        <v>45855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"080066601831"</f>
        <v>080066601831</v>
      </c>
      <c r="F2244" s="3">
        <v>45854</v>
      </c>
      <c r="G2244">
        <v>202604</v>
      </c>
      <c r="H2244" t="s">
        <v>75</v>
      </c>
      <c r="I2244" t="s">
        <v>76</v>
      </c>
      <c r="J2244" t="s">
        <v>77</v>
      </c>
      <c r="K2244" t="s">
        <v>78</v>
      </c>
      <c r="L2244" t="s">
        <v>473</v>
      </c>
      <c r="M2244" t="s">
        <v>474</v>
      </c>
      <c r="N2244" t="s">
        <v>1224</v>
      </c>
      <c r="O2244" t="s">
        <v>82</v>
      </c>
      <c r="P2244" t="str">
        <f>"4170049026                    "</f>
        <v xml:space="preserve">4170049026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22.6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1.1000000000000001</v>
      </c>
      <c r="BK2244">
        <v>1.5</v>
      </c>
      <c r="BL2244">
        <v>71.2</v>
      </c>
      <c r="BM2244">
        <v>10.68</v>
      </c>
      <c r="BN2244">
        <v>81.88</v>
      </c>
      <c r="BO2244">
        <v>81.88</v>
      </c>
      <c r="BQ2244" t="s">
        <v>1225</v>
      </c>
      <c r="BR2244" t="s">
        <v>84</v>
      </c>
      <c r="BS2244" s="3">
        <v>45855</v>
      </c>
      <c r="BT2244" s="4">
        <v>0.39027777777777778</v>
      </c>
      <c r="BU2244" t="s">
        <v>1226</v>
      </c>
      <c r="BV2244" t="s">
        <v>98</v>
      </c>
      <c r="BY2244">
        <v>5320</v>
      </c>
      <c r="BZ2244" t="s">
        <v>89</v>
      </c>
      <c r="CA2244" t="s">
        <v>337</v>
      </c>
      <c r="CC2244" t="s">
        <v>474</v>
      </c>
      <c r="CD2244">
        <v>4026</v>
      </c>
      <c r="CE2244" t="s">
        <v>117</v>
      </c>
      <c r="CF2244" s="3">
        <v>45855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"080066601859"</f>
        <v>080066601859</v>
      </c>
      <c r="F2245" s="3">
        <v>45854</v>
      </c>
      <c r="G2245">
        <v>202604</v>
      </c>
      <c r="H2245" t="s">
        <v>75</v>
      </c>
      <c r="I2245" t="s">
        <v>76</v>
      </c>
      <c r="J2245" t="s">
        <v>77</v>
      </c>
      <c r="K2245" t="s">
        <v>78</v>
      </c>
      <c r="L2245" t="s">
        <v>135</v>
      </c>
      <c r="M2245" t="s">
        <v>136</v>
      </c>
      <c r="N2245" t="s">
        <v>416</v>
      </c>
      <c r="O2245" t="s">
        <v>82</v>
      </c>
      <c r="P2245" t="str">
        <f>"4170049031                    "</f>
        <v xml:space="preserve">4170049031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22.6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0.3</v>
      </c>
      <c r="BK2245">
        <v>1</v>
      </c>
      <c r="BL2245">
        <v>71.2</v>
      </c>
      <c r="BM2245">
        <v>10.68</v>
      </c>
      <c r="BN2245">
        <v>81.88</v>
      </c>
      <c r="BO2245">
        <v>81.88</v>
      </c>
      <c r="BQ2245" t="s">
        <v>417</v>
      </c>
      <c r="BR2245" t="s">
        <v>84</v>
      </c>
      <c r="BS2245" s="3">
        <v>45855</v>
      </c>
      <c r="BT2245" s="4">
        <v>0.41666666666666669</v>
      </c>
      <c r="BU2245" t="s">
        <v>650</v>
      </c>
      <c r="BV2245" t="s">
        <v>98</v>
      </c>
      <c r="BY2245">
        <v>1350</v>
      </c>
      <c r="BZ2245" t="s">
        <v>89</v>
      </c>
      <c r="CC2245" t="s">
        <v>136</v>
      </c>
      <c r="CD2245">
        <v>3201</v>
      </c>
      <c r="CE2245" t="s">
        <v>1868</v>
      </c>
      <c r="CF2245" s="3">
        <v>45856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"080066601880"</f>
        <v>080066601880</v>
      </c>
      <c r="F2246" s="3">
        <v>45854</v>
      </c>
      <c r="G2246">
        <v>202604</v>
      </c>
      <c r="H2246" t="s">
        <v>75</v>
      </c>
      <c r="I2246" t="s">
        <v>76</v>
      </c>
      <c r="J2246" t="s">
        <v>77</v>
      </c>
      <c r="K2246" t="s">
        <v>78</v>
      </c>
      <c r="L2246" t="s">
        <v>122</v>
      </c>
      <c r="M2246" t="s">
        <v>123</v>
      </c>
      <c r="N2246" t="s">
        <v>283</v>
      </c>
      <c r="O2246" t="s">
        <v>82</v>
      </c>
      <c r="P2246" t="str">
        <f>"4170049126                    "</f>
        <v xml:space="preserve">4170049126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101.63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2</v>
      </c>
      <c r="BI2246">
        <v>9</v>
      </c>
      <c r="BJ2246">
        <v>7</v>
      </c>
      <c r="BK2246">
        <v>9</v>
      </c>
      <c r="BL2246">
        <v>320.19</v>
      </c>
      <c r="BM2246">
        <v>48.03</v>
      </c>
      <c r="BN2246">
        <v>368.22</v>
      </c>
      <c r="BO2246">
        <v>368.22</v>
      </c>
      <c r="BQ2246" t="s">
        <v>284</v>
      </c>
      <c r="BR2246" t="s">
        <v>84</v>
      </c>
      <c r="BS2246" s="3">
        <v>45855</v>
      </c>
      <c r="BT2246" s="4">
        <v>0.41666666666666669</v>
      </c>
      <c r="BU2246" t="s">
        <v>2689</v>
      </c>
      <c r="BV2246" t="s">
        <v>98</v>
      </c>
      <c r="BY2246">
        <v>35124</v>
      </c>
      <c r="BZ2246" t="s">
        <v>89</v>
      </c>
      <c r="CA2246" t="s">
        <v>187</v>
      </c>
      <c r="CC2246" t="s">
        <v>123</v>
      </c>
      <c r="CD2246">
        <v>3608</v>
      </c>
      <c r="CE2246" t="s">
        <v>117</v>
      </c>
      <c r="CF2246" s="3">
        <v>45856</v>
      </c>
      <c r="CI2246">
        <v>1</v>
      </c>
      <c r="CJ2246">
        <v>1</v>
      </c>
      <c r="CK2246">
        <v>21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"080066601902"</f>
        <v>080066601902</v>
      </c>
      <c r="F2247" s="3">
        <v>45854</v>
      </c>
      <c r="G2247">
        <v>202604</v>
      </c>
      <c r="H2247" t="s">
        <v>75</v>
      </c>
      <c r="I2247" t="s">
        <v>76</v>
      </c>
      <c r="J2247" t="s">
        <v>77</v>
      </c>
      <c r="K2247" t="s">
        <v>78</v>
      </c>
      <c r="L2247" t="s">
        <v>168</v>
      </c>
      <c r="M2247" t="s">
        <v>169</v>
      </c>
      <c r="N2247" t="s">
        <v>2690</v>
      </c>
      <c r="O2247" t="s">
        <v>82</v>
      </c>
      <c r="P2247" t="str">
        <f>"4170049050                    "</f>
        <v xml:space="preserve">4170049050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22.6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0.3</v>
      </c>
      <c r="BK2247">
        <v>1</v>
      </c>
      <c r="BL2247">
        <v>71.2</v>
      </c>
      <c r="BM2247">
        <v>10.68</v>
      </c>
      <c r="BN2247">
        <v>81.88</v>
      </c>
      <c r="BO2247">
        <v>81.88</v>
      </c>
      <c r="BQ2247" t="s">
        <v>2691</v>
      </c>
      <c r="BR2247" t="s">
        <v>84</v>
      </c>
      <c r="BS2247" s="3">
        <v>45855</v>
      </c>
      <c r="BT2247" s="4">
        <v>0.43680555555555556</v>
      </c>
      <c r="BU2247" t="s">
        <v>2692</v>
      </c>
      <c r="BV2247" t="s">
        <v>98</v>
      </c>
      <c r="BY2247">
        <v>1350</v>
      </c>
      <c r="BZ2247" t="s">
        <v>89</v>
      </c>
      <c r="CA2247" t="s">
        <v>196</v>
      </c>
      <c r="CC2247" t="s">
        <v>169</v>
      </c>
      <c r="CD2247">
        <v>6001</v>
      </c>
      <c r="CE2247" t="s">
        <v>1868</v>
      </c>
      <c r="CF2247" s="3">
        <v>45855</v>
      </c>
      <c r="CI2247">
        <v>1</v>
      </c>
      <c r="CJ2247">
        <v>1</v>
      </c>
      <c r="CK2247">
        <v>21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"080066601921"</f>
        <v>080066601921</v>
      </c>
      <c r="F2248" s="3">
        <v>45854</v>
      </c>
      <c r="G2248">
        <v>202604</v>
      </c>
      <c r="H2248" t="s">
        <v>75</v>
      </c>
      <c r="I2248" t="s">
        <v>76</v>
      </c>
      <c r="J2248" t="s">
        <v>77</v>
      </c>
      <c r="K2248" t="s">
        <v>78</v>
      </c>
      <c r="L2248" t="s">
        <v>503</v>
      </c>
      <c r="M2248" t="s">
        <v>504</v>
      </c>
      <c r="N2248" t="s">
        <v>505</v>
      </c>
      <c r="O2248" t="s">
        <v>82</v>
      </c>
      <c r="P2248" t="str">
        <f>"4170049053                    "</f>
        <v xml:space="preserve">4170049053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142.63999999999999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2</v>
      </c>
      <c r="BI2248">
        <v>7</v>
      </c>
      <c r="BJ2248">
        <v>2.2000000000000002</v>
      </c>
      <c r="BK2248">
        <v>7</v>
      </c>
      <c r="BL2248">
        <v>449.4</v>
      </c>
      <c r="BM2248">
        <v>67.41</v>
      </c>
      <c r="BN2248">
        <v>516.80999999999995</v>
      </c>
      <c r="BO2248">
        <v>516.80999999999995</v>
      </c>
      <c r="BQ2248" t="s">
        <v>506</v>
      </c>
      <c r="BR2248" t="s">
        <v>84</v>
      </c>
      <c r="BS2248" s="3">
        <v>45855</v>
      </c>
      <c r="BT2248" s="4">
        <v>0.48958333333333331</v>
      </c>
      <c r="BU2248" t="s">
        <v>161</v>
      </c>
      <c r="BV2248" t="s">
        <v>98</v>
      </c>
      <c r="BY2248">
        <v>10990</v>
      </c>
      <c r="BZ2248" t="s">
        <v>89</v>
      </c>
      <c r="CA2248" t="s">
        <v>508</v>
      </c>
      <c r="CC2248" t="s">
        <v>504</v>
      </c>
      <c r="CD2248">
        <v>7130</v>
      </c>
      <c r="CE2248" t="s">
        <v>117</v>
      </c>
      <c r="CF2248" s="3">
        <v>45856</v>
      </c>
      <c r="CI2248">
        <v>1</v>
      </c>
      <c r="CJ2248">
        <v>1</v>
      </c>
      <c r="CK2248">
        <v>23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"080066601924"</f>
        <v>080066601924</v>
      </c>
      <c r="F2249" s="3">
        <v>45854</v>
      </c>
      <c r="G2249">
        <v>202604</v>
      </c>
      <c r="H2249" t="s">
        <v>75</v>
      </c>
      <c r="I2249" t="s">
        <v>76</v>
      </c>
      <c r="J2249" t="s">
        <v>77</v>
      </c>
      <c r="K2249" t="s">
        <v>78</v>
      </c>
      <c r="L2249" t="s">
        <v>92</v>
      </c>
      <c r="M2249" t="s">
        <v>93</v>
      </c>
      <c r="N2249" t="s">
        <v>334</v>
      </c>
      <c r="O2249" t="s">
        <v>82</v>
      </c>
      <c r="P2249" t="str">
        <f>"4170049072                    "</f>
        <v xml:space="preserve">4170049072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22.6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0.3</v>
      </c>
      <c r="BK2249">
        <v>1</v>
      </c>
      <c r="BL2249">
        <v>71.2</v>
      </c>
      <c r="BM2249">
        <v>10.68</v>
      </c>
      <c r="BN2249">
        <v>81.88</v>
      </c>
      <c r="BO2249">
        <v>81.88</v>
      </c>
      <c r="BQ2249" t="s">
        <v>335</v>
      </c>
      <c r="BR2249" t="s">
        <v>84</v>
      </c>
      <c r="BS2249" s="3">
        <v>45855</v>
      </c>
      <c r="BT2249" s="4">
        <v>0.43958333333333333</v>
      </c>
      <c r="BU2249" t="s">
        <v>336</v>
      </c>
      <c r="BV2249" t="s">
        <v>86</v>
      </c>
      <c r="BW2249" t="s">
        <v>219</v>
      </c>
      <c r="BX2249" t="s">
        <v>220</v>
      </c>
      <c r="BY2249">
        <v>1350</v>
      </c>
      <c r="BZ2249" t="s">
        <v>89</v>
      </c>
      <c r="CA2249" t="s">
        <v>337</v>
      </c>
      <c r="CC2249" t="s">
        <v>93</v>
      </c>
      <c r="CD2249">
        <v>4052</v>
      </c>
      <c r="CE2249" t="s">
        <v>1868</v>
      </c>
      <c r="CF2249" s="3">
        <v>45855</v>
      </c>
      <c r="CI2249">
        <v>1</v>
      </c>
      <c r="CJ2249">
        <v>1</v>
      </c>
      <c r="CK2249">
        <v>21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"080066601953"</f>
        <v>080066601953</v>
      </c>
      <c r="F2250" s="3">
        <v>45854</v>
      </c>
      <c r="G2250">
        <v>202604</v>
      </c>
      <c r="H2250" t="s">
        <v>75</v>
      </c>
      <c r="I2250" t="s">
        <v>76</v>
      </c>
      <c r="J2250" t="s">
        <v>77</v>
      </c>
      <c r="K2250" t="s">
        <v>78</v>
      </c>
      <c r="L2250" t="s">
        <v>168</v>
      </c>
      <c r="M2250" t="s">
        <v>169</v>
      </c>
      <c r="N2250" t="s">
        <v>206</v>
      </c>
      <c r="O2250" t="s">
        <v>82</v>
      </c>
      <c r="P2250" t="str">
        <f>"4170049121                    "</f>
        <v xml:space="preserve">4170049121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22.6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1.3</v>
      </c>
      <c r="BK2250">
        <v>1.5</v>
      </c>
      <c r="BL2250">
        <v>71.2</v>
      </c>
      <c r="BM2250">
        <v>10.68</v>
      </c>
      <c r="BN2250">
        <v>81.88</v>
      </c>
      <c r="BO2250">
        <v>81.88</v>
      </c>
      <c r="BQ2250" t="s">
        <v>207</v>
      </c>
      <c r="BR2250" t="s">
        <v>84</v>
      </c>
      <c r="BS2250" s="3">
        <v>45855</v>
      </c>
      <c r="BT2250" s="4">
        <v>0.42708333333333331</v>
      </c>
      <c r="BU2250" t="s">
        <v>208</v>
      </c>
      <c r="BV2250" t="s">
        <v>98</v>
      </c>
      <c r="BY2250">
        <v>6384</v>
      </c>
      <c r="BZ2250" t="s">
        <v>89</v>
      </c>
      <c r="CA2250" t="s">
        <v>196</v>
      </c>
      <c r="CC2250" t="s">
        <v>169</v>
      </c>
      <c r="CD2250">
        <v>6001</v>
      </c>
      <c r="CE2250" t="s">
        <v>117</v>
      </c>
      <c r="CF2250" s="3">
        <v>45855</v>
      </c>
      <c r="CI2250">
        <v>1</v>
      </c>
      <c r="CJ2250">
        <v>1</v>
      </c>
      <c r="CK2250">
        <v>21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"080066601970"</f>
        <v>080066601970</v>
      </c>
      <c r="F2251" s="3">
        <v>45854</v>
      </c>
      <c r="G2251">
        <v>202604</v>
      </c>
      <c r="H2251" t="s">
        <v>75</v>
      </c>
      <c r="I2251" t="s">
        <v>76</v>
      </c>
      <c r="J2251" t="s">
        <v>77</v>
      </c>
      <c r="K2251" t="s">
        <v>78</v>
      </c>
      <c r="L2251" t="s">
        <v>151</v>
      </c>
      <c r="M2251" t="s">
        <v>152</v>
      </c>
      <c r="N2251" t="s">
        <v>2557</v>
      </c>
      <c r="O2251" t="s">
        <v>82</v>
      </c>
      <c r="P2251" t="str">
        <f>"4170049067                    "</f>
        <v xml:space="preserve">4170049067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22.6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0.3</v>
      </c>
      <c r="BK2251">
        <v>1</v>
      </c>
      <c r="BL2251">
        <v>71.2</v>
      </c>
      <c r="BM2251">
        <v>10.68</v>
      </c>
      <c r="BN2251">
        <v>81.88</v>
      </c>
      <c r="BO2251">
        <v>81.88</v>
      </c>
      <c r="BQ2251" t="s">
        <v>2558</v>
      </c>
      <c r="BR2251" t="s">
        <v>84</v>
      </c>
      <c r="BS2251" s="3">
        <v>45855</v>
      </c>
      <c r="BT2251" s="4">
        <v>0.39097222222222222</v>
      </c>
      <c r="BU2251" t="s">
        <v>1570</v>
      </c>
      <c r="BV2251" t="s">
        <v>98</v>
      </c>
      <c r="BY2251">
        <v>1350</v>
      </c>
      <c r="BZ2251" t="s">
        <v>89</v>
      </c>
      <c r="CA2251" t="s">
        <v>716</v>
      </c>
      <c r="CC2251" t="s">
        <v>152</v>
      </c>
      <c r="CD2251" s="5" t="s">
        <v>717</v>
      </c>
      <c r="CE2251" t="s">
        <v>1868</v>
      </c>
      <c r="CF2251" s="3">
        <v>45855</v>
      </c>
      <c r="CI2251">
        <v>1</v>
      </c>
      <c r="CJ2251">
        <v>1</v>
      </c>
      <c r="CK2251">
        <v>21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"080066602001"</f>
        <v>080066602001</v>
      </c>
      <c r="F2252" s="3">
        <v>45854</v>
      </c>
      <c r="G2252">
        <v>202604</v>
      </c>
      <c r="H2252" t="s">
        <v>75</v>
      </c>
      <c r="I2252" t="s">
        <v>76</v>
      </c>
      <c r="J2252" t="s">
        <v>77</v>
      </c>
      <c r="K2252" t="s">
        <v>78</v>
      </c>
      <c r="L2252" t="s">
        <v>135</v>
      </c>
      <c r="M2252" t="s">
        <v>136</v>
      </c>
      <c r="N2252" t="s">
        <v>416</v>
      </c>
      <c r="O2252" t="s">
        <v>82</v>
      </c>
      <c r="P2252" t="str">
        <f>"4170049029                    "</f>
        <v xml:space="preserve">4170049029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33.89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</v>
      </c>
      <c r="BJ2252">
        <v>1.7</v>
      </c>
      <c r="BK2252">
        <v>3</v>
      </c>
      <c r="BL2252">
        <v>106.77</v>
      </c>
      <c r="BM2252">
        <v>16.02</v>
      </c>
      <c r="BN2252">
        <v>122.79</v>
      </c>
      <c r="BO2252">
        <v>122.79</v>
      </c>
      <c r="BQ2252" t="s">
        <v>417</v>
      </c>
      <c r="BR2252" t="s">
        <v>84</v>
      </c>
      <c r="BS2252" s="3">
        <v>45855</v>
      </c>
      <c r="BT2252" s="4">
        <v>0.41666666666666669</v>
      </c>
      <c r="BU2252" t="s">
        <v>650</v>
      </c>
      <c r="BV2252" t="s">
        <v>98</v>
      </c>
      <c r="BY2252">
        <v>8512</v>
      </c>
      <c r="BZ2252" t="s">
        <v>89</v>
      </c>
      <c r="CC2252" t="s">
        <v>136</v>
      </c>
      <c r="CD2252">
        <v>3201</v>
      </c>
      <c r="CE2252" t="s">
        <v>117</v>
      </c>
      <c r="CF2252" s="3">
        <v>45856</v>
      </c>
      <c r="CI2252">
        <v>1</v>
      </c>
      <c r="CJ2252">
        <v>1</v>
      </c>
      <c r="CK2252">
        <v>21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"080066602009"</f>
        <v>080066602009</v>
      </c>
      <c r="F2253" s="3">
        <v>45854</v>
      </c>
      <c r="G2253">
        <v>202604</v>
      </c>
      <c r="H2253" t="s">
        <v>75</v>
      </c>
      <c r="I2253" t="s">
        <v>76</v>
      </c>
      <c r="J2253" t="s">
        <v>77</v>
      </c>
      <c r="K2253" t="s">
        <v>78</v>
      </c>
      <c r="L2253" t="s">
        <v>92</v>
      </c>
      <c r="M2253" t="s">
        <v>93</v>
      </c>
      <c r="N2253" t="s">
        <v>272</v>
      </c>
      <c r="O2253" t="s">
        <v>82</v>
      </c>
      <c r="P2253" t="str">
        <f>"4170049083                    "</f>
        <v xml:space="preserve">4170049083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22.6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0.3</v>
      </c>
      <c r="BK2253">
        <v>1</v>
      </c>
      <c r="BL2253">
        <v>71.2</v>
      </c>
      <c r="BM2253">
        <v>10.68</v>
      </c>
      <c r="BN2253">
        <v>81.88</v>
      </c>
      <c r="BO2253">
        <v>81.88</v>
      </c>
      <c r="BQ2253" t="s">
        <v>273</v>
      </c>
      <c r="BR2253" t="s">
        <v>84</v>
      </c>
      <c r="BS2253" s="3">
        <v>45856</v>
      </c>
      <c r="BT2253" s="4">
        <v>0.36388888888888887</v>
      </c>
      <c r="BU2253" t="s">
        <v>2415</v>
      </c>
      <c r="BV2253" t="s">
        <v>86</v>
      </c>
      <c r="BW2253" t="s">
        <v>194</v>
      </c>
      <c r="BX2253" t="s">
        <v>739</v>
      </c>
      <c r="BY2253">
        <v>1350</v>
      </c>
      <c r="CA2253" t="s">
        <v>1428</v>
      </c>
      <c r="CC2253" t="s">
        <v>93</v>
      </c>
      <c r="CD2253">
        <v>4068</v>
      </c>
      <c r="CE2253" t="s">
        <v>158</v>
      </c>
      <c r="CF2253" s="3">
        <v>45857</v>
      </c>
      <c r="CI2253">
        <v>1</v>
      </c>
      <c r="CJ2253">
        <v>2</v>
      </c>
      <c r="CK2253">
        <v>21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"080066602025"</f>
        <v>080066602025</v>
      </c>
      <c r="F2254" s="3">
        <v>45854</v>
      </c>
      <c r="G2254">
        <v>202604</v>
      </c>
      <c r="H2254" t="s">
        <v>75</v>
      </c>
      <c r="I2254" t="s">
        <v>76</v>
      </c>
      <c r="J2254" t="s">
        <v>77</v>
      </c>
      <c r="K2254" t="s">
        <v>78</v>
      </c>
      <c r="L2254" t="s">
        <v>92</v>
      </c>
      <c r="M2254" t="s">
        <v>93</v>
      </c>
      <c r="N2254" t="s">
        <v>291</v>
      </c>
      <c r="O2254" t="s">
        <v>82</v>
      </c>
      <c r="P2254" t="str">
        <f>"4170049051                    "</f>
        <v xml:space="preserve">4170049051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22.6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1.1000000000000001</v>
      </c>
      <c r="BK2254">
        <v>2</v>
      </c>
      <c r="BL2254">
        <v>71.2</v>
      </c>
      <c r="BM2254">
        <v>10.68</v>
      </c>
      <c r="BN2254">
        <v>81.88</v>
      </c>
      <c r="BO2254">
        <v>81.88</v>
      </c>
      <c r="BQ2254" t="s">
        <v>292</v>
      </c>
      <c r="BR2254" t="s">
        <v>84</v>
      </c>
      <c r="BS2254" s="3">
        <v>45855</v>
      </c>
      <c r="BT2254" s="4">
        <v>0.33333333333333331</v>
      </c>
      <c r="BU2254" t="s">
        <v>1571</v>
      </c>
      <c r="BV2254" t="s">
        <v>98</v>
      </c>
      <c r="BY2254">
        <v>5320</v>
      </c>
      <c r="BZ2254" t="s">
        <v>89</v>
      </c>
      <c r="CA2254" t="s">
        <v>294</v>
      </c>
      <c r="CC2254" t="s">
        <v>93</v>
      </c>
      <c r="CD2254">
        <v>4051</v>
      </c>
      <c r="CE2254" t="s">
        <v>117</v>
      </c>
      <c r="CF2254" s="3">
        <v>45855</v>
      </c>
      <c r="CI2254">
        <v>1</v>
      </c>
      <c r="CJ2254">
        <v>1</v>
      </c>
      <c r="CK2254">
        <v>21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"080066602036"</f>
        <v>080066602036</v>
      </c>
      <c r="F2255" s="3">
        <v>45854</v>
      </c>
      <c r="G2255">
        <v>202604</v>
      </c>
      <c r="H2255" t="s">
        <v>75</v>
      </c>
      <c r="I2255" t="s">
        <v>76</v>
      </c>
      <c r="J2255" t="s">
        <v>77</v>
      </c>
      <c r="K2255" t="s">
        <v>78</v>
      </c>
      <c r="L2255" t="s">
        <v>168</v>
      </c>
      <c r="M2255" t="s">
        <v>169</v>
      </c>
      <c r="N2255" t="s">
        <v>487</v>
      </c>
      <c r="O2255" t="s">
        <v>82</v>
      </c>
      <c r="P2255" t="str">
        <f>"4170049066                    "</f>
        <v xml:space="preserve">4170049066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22.6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0.3</v>
      </c>
      <c r="BK2255">
        <v>1</v>
      </c>
      <c r="BL2255">
        <v>71.2</v>
      </c>
      <c r="BM2255">
        <v>10.68</v>
      </c>
      <c r="BN2255">
        <v>81.88</v>
      </c>
      <c r="BO2255">
        <v>81.88</v>
      </c>
      <c r="BQ2255" t="s">
        <v>488</v>
      </c>
      <c r="BR2255" t="s">
        <v>84</v>
      </c>
      <c r="BS2255" s="3">
        <v>45855</v>
      </c>
      <c r="BT2255" s="4">
        <v>0.42152777777777778</v>
      </c>
      <c r="BU2255" t="s">
        <v>2693</v>
      </c>
      <c r="BV2255" t="s">
        <v>98</v>
      </c>
      <c r="BY2255">
        <v>1350</v>
      </c>
      <c r="BZ2255" t="s">
        <v>89</v>
      </c>
      <c r="CA2255" t="s">
        <v>415</v>
      </c>
      <c r="CC2255" t="s">
        <v>169</v>
      </c>
      <c r="CD2255">
        <v>6012</v>
      </c>
      <c r="CE2255" t="s">
        <v>1868</v>
      </c>
      <c r="CF2255" s="3">
        <v>45855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"080066602061"</f>
        <v>080066602061</v>
      </c>
      <c r="F2256" s="3">
        <v>45854</v>
      </c>
      <c r="G2256">
        <v>202604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622</v>
      </c>
      <c r="O2256" t="s">
        <v>82</v>
      </c>
      <c r="P2256" t="str">
        <f>"4170049096                    "</f>
        <v xml:space="preserve">4170049096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17.649999999999999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</v>
      </c>
      <c r="BJ2256">
        <v>1.1000000000000001</v>
      </c>
      <c r="BK2256">
        <v>2</v>
      </c>
      <c r="BL2256">
        <v>55.61</v>
      </c>
      <c r="BM2256">
        <v>8.34</v>
      </c>
      <c r="BN2256">
        <v>63.95</v>
      </c>
      <c r="BO2256">
        <v>63.95</v>
      </c>
      <c r="BQ2256" t="s">
        <v>623</v>
      </c>
      <c r="BR2256" t="s">
        <v>84</v>
      </c>
      <c r="BS2256" s="3">
        <v>45855</v>
      </c>
      <c r="BT2256" s="4">
        <v>0.33750000000000002</v>
      </c>
      <c r="BU2256" t="s">
        <v>2694</v>
      </c>
      <c r="BV2256" t="s">
        <v>98</v>
      </c>
      <c r="BY2256">
        <v>5320</v>
      </c>
      <c r="BZ2256" t="s">
        <v>89</v>
      </c>
      <c r="CA2256" t="s">
        <v>2695</v>
      </c>
      <c r="CC2256" t="s">
        <v>76</v>
      </c>
      <c r="CD2256">
        <v>1601</v>
      </c>
      <c r="CE2256" t="s">
        <v>117</v>
      </c>
      <c r="CF2256" s="3">
        <v>45855</v>
      </c>
      <c r="CI2256">
        <v>1</v>
      </c>
      <c r="CJ2256">
        <v>1</v>
      </c>
      <c r="CK2256">
        <v>22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"080066602066"</f>
        <v>080066602066</v>
      </c>
      <c r="F2257" s="3">
        <v>45854</v>
      </c>
      <c r="G2257">
        <v>202604</v>
      </c>
      <c r="H2257" t="s">
        <v>75</v>
      </c>
      <c r="I2257" t="s">
        <v>76</v>
      </c>
      <c r="J2257" t="s">
        <v>77</v>
      </c>
      <c r="K2257" t="s">
        <v>78</v>
      </c>
      <c r="L2257" t="s">
        <v>452</v>
      </c>
      <c r="M2257" t="s">
        <v>453</v>
      </c>
      <c r="N2257" t="s">
        <v>2696</v>
      </c>
      <c r="O2257" t="s">
        <v>82</v>
      </c>
      <c r="P2257" t="str">
        <f>"4170049039                    "</f>
        <v xml:space="preserve">4170049039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17.649999999999999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0.3</v>
      </c>
      <c r="BK2257">
        <v>1</v>
      </c>
      <c r="BL2257">
        <v>55.61</v>
      </c>
      <c r="BM2257">
        <v>8.34</v>
      </c>
      <c r="BN2257">
        <v>63.95</v>
      </c>
      <c r="BO2257">
        <v>63.95</v>
      </c>
      <c r="BQ2257" t="s">
        <v>2697</v>
      </c>
      <c r="BR2257" t="s">
        <v>84</v>
      </c>
      <c r="BS2257" s="3">
        <v>45856</v>
      </c>
      <c r="BT2257" s="4">
        <v>0.36527777777777776</v>
      </c>
      <c r="BU2257" t="s">
        <v>2698</v>
      </c>
      <c r="BV2257" t="s">
        <v>86</v>
      </c>
      <c r="BY2257">
        <v>1350</v>
      </c>
      <c r="CA2257" t="s">
        <v>1541</v>
      </c>
      <c r="CC2257" t="s">
        <v>453</v>
      </c>
      <c r="CD2257">
        <v>1568</v>
      </c>
      <c r="CE2257" t="s">
        <v>158</v>
      </c>
      <c r="CF2257" s="3">
        <v>45856</v>
      </c>
      <c r="CI2257">
        <v>1</v>
      </c>
      <c r="CJ2257">
        <v>2</v>
      </c>
      <c r="CK2257">
        <v>22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"080066602089"</f>
        <v>080066602089</v>
      </c>
      <c r="F2258" s="3">
        <v>45854</v>
      </c>
      <c r="G2258">
        <v>202604</v>
      </c>
      <c r="H2258" t="s">
        <v>75</v>
      </c>
      <c r="I2258" t="s">
        <v>76</v>
      </c>
      <c r="J2258" t="s">
        <v>77</v>
      </c>
      <c r="K2258" t="s">
        <v>78</v>
      </c>
      <c r="L2258" t="s">
        <v>79</v>
      </c>
      <c r="M2258" t="s">
        <v>80</v>
      </c>
      <c r="N2258" t="s">
        <v>1996</v>
      </c>
      <c r="O2258" t="s">
        <v>82</v>
      </c>
      <c r="P2258" t="str">
        <f>"4170049071                    "</f>
        <v xml:space="preserve">4170049071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22.6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0.3</v>
      </c>
      <c r="BK2258">
        <v>1</v>
      </c>
      <c r="BL2258">
        <v>71.2</v>
      </c>
      <c r="BM2258">
        <v>10.68</v>
      </c>
      <c r="BN2258">
        <v>81.88</v>
      </c>
      <c r="BO2258">
        <v>81.88</v>
      </c>
      <c r="BQ2258" t="s">
        <v>1997</v>
      </c>
      <c r="BR2258" t="s">
        <v>84</v>
      </c>
      <c r="BS2258" s="3">
        <v>45855</v>
      </c>
      <c r="BT2258" s="4">
        <v>0.42986111111111114</v>
      </c>
      <c r="BU2258" t="s">
        <v>2279</v>
      </c>
      <c r="BV2258" t="s">
        <v>98</v>
      </c>
      <c r="BY2258">
        <v>1350</v>
      </c>
      <c r="BZ2258" t="s">
        <v>89</v>
      </c>
      <c r="CC2258" t="s">
        <v>80</v>
      </c>
      <c r="CD2258">
        <v>7405</v>
      </c>
      <c r="CE2258" t="s">
        <v>1868</v>
      </c>
      <c r="CF2258" s="3">
        <v>45856</v>
      </c>
      <c r="CI2258">
        <v>1</v>
      </c>
      <c r="CJ2258">
        <v>1</v>
      </c>
      <c r="CK2258">
        <v>21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"080066602115"</f>
        <v>080066602115</v>
      </c>
      <c r="F2259" s="3">
        <v>45854</v>
      </c>
      <c r="G2259">
        <v>202604</v>
      </c>
      <c r="H2259" t="s">
        <v>75</v>
      </c>
      <c r="I2259" t="s">
        <v>76</v>
      </c>
      <c r="J2259" t="s">
        <v>77</v>
      </c>
      <c r="K2259" t="s">
        <v>78</v>
      </c>
      <c r="L2259" t="s">
        <v>704</v>
      </c>
      <c r="M2259" t="s">
        <v>705</v>
      </c>
      <c r="N2259" t="s">
        <v>848</v>
      </c>
      <c r="O2259" t="s">
        <v>82</v>
      </c>
      <c r="P2259" t="str">
        <f>"4170049064                    "</f>
        <v xml:space="preserve">4170049064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0.3</v>
      </c>
      <c r="BK2259">
        <v>1</v>
      </c>
      <c r="BL2259">
        <v>0</v>
      </c>
      <c r="BM2259">
        <v>0</v>
      </c>
      <c r="BN2259">
        <v>0</v>
      </c>
      <c r="BO2259">
        <v>0</v>
      </c>
      <c r="BQ2259" t="s">
        <v>849</v>
      </c>
      <c r="BR2259" t="s">
        <v>84</v>
      </c>
      <c r="BS2259" s="3">
        <v>45854</v>
      </c>
      <c r="BT2259" s="4">
        <v>0.55763888888888891</v>
      </c>
      <c r="BU2259" t="s">
        <v>424</v>
      </c>
      <c r="BV2259" t="s">
        <v>98</v>
      </c>
      <c r="BY2259">
        <v>1350</v>
      </c>
      <c r="BZ2259" t="s">
        <v>425</v>
      </c>
      <c r="CA2259" t="s">
        <v>2699</v>
      </c>
      <c r="CC2259" t="s">
        <v>705</v>
      </c>
      <c r="CD2259">
        <v>6850</v>
      </c>
      <c r="CE2259" t="s">
        <v>1868</v>
      </c>
      <c r="CF2259" s="3">
        <v>45855</v>
      </c>
      <c r="CI2259">
        <v>2</v>
      </c>
      <c r="CJ2259">
        <v>0</v>
      </c>
      <c r="CK2259">
        <v>-1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"080066602143"</f>
        <v>080066602143</v>
      </c>
      <c r="F2260" s="3">
        <v>45854</v>
      </c>
      <c r="G2260">
        <v>202604</v>
      </c>
      <c r="H2260" t="s">
        <v>75</v>
      </c>
      <c r="I2260" t="s">
        <v>76</v>
      </c>
      <c r="J2260" t="s">
        <v>77</v>
      </c>
      <c r="K2260" t="s">
        <v>78</v>
      </c>
      <c r="L2260" t="s">
        <v>406</v>
      </c>
      <c r="M2260" t="s">
        <v>407</v>
      </c>
      <c r="N2260" t="s">
        <v>1283</v>
      </c>
      <c r="O2260" t="s">
        <v>82</v>
      </c>
      <c r="P2260" t="str">
        <f>"4170049106                    "</f>
        <v xml:space="preserve">4170049106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43.78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0.9</v>
      </c>
      <c r="BK2260">
        <v>2</v>
      </c>
      <c r="BL2260">
        <v>137.94</v>
      </c>
      <c r="BM2260">
        <v>20.69</v>
      </c>
      <c r="BN2260">
        <v>158.63</v>
      </c>
      <c r="BO2260">
        <v>158.63</v>
      </c>
      <c r="BQ2260" t="s">
        <v>1284</v>
      </c>
      <c r="BR2260" t="s">
        <v>84</v>
      </c>
      <c r="BS2260" s="3">
        <v>45856</v>
      </c>
      <c r="BT2260" s="4">
        <v>0.42708333333333331</v>
      </c>
      <c r="BU2260" t="s">
        <v>2700</v>
      </c>
      <c r="BV2260" t="s">
        <v>86</v>
      </c>
      <c r="BW2260" t="s">
        <v>194</v>
      </c>
      <c r="BX2260" t="s">
        <v>739</v>
      </c>
      <c r="BY2260">
        <v>4608</v>
      </c>
      <c r="CA2260" t="s">
        <v>1286</v>
      </c>
      <c r="CC2260" t="s">
        <v>407</v>
      </c>
      <c r="CD2260">
        <v>4400</v>
      </c>
      <c r="CE2260" t="s">
        <v>91</v>
      </c>
      <c r="CF2260" s="3">
        <v>45856</v>
      </c>
      <c r="CI2260">
        <v>1</v>
      </c>
      <c r="CJ2260">
        <v>2</v>
      </c>
      <c r="CK2260">
        <v>23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"080066602163"</f>
        <v>080066602163</v>
      </c>
      <c r="F2261" s="3">
        <v>45854</v>
      </c>
      <c r="G2261">
        <v>202604</v>
      </c>
      <c r="H2261" t="s">
        <v>75</v>
      </c>
      <c r="I2261" t="s">
        <v>76</v>
      </c>
      <c r="J2261" t="s">
        <v>77</v>
      </c>
      <c r="K2261" t="s">
        <v>78</v>
      </c>
      <c r="L2261" t="s">
        <v>135</v>
      </c>
      <c r="M2261" t="s">
        <v>136</v>
      </c>
      <c r="N2261" t="s">
        <v>379</v>
      </c>
      <c r="O2261" t="s">
        <v>82</v>
      </c>
      <c r="P2261" t="str">
        <f>"4170049036                    "</f>
        <v xml:space="preserve">4170049036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67.760000000000005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6</v>
      </c>
      <c r="BJ2261">
        <v>2.1</v>
      </c>
      <c r="BK2261">
        <v>6</v>
      </c>
      <c r="BL2261">
        <v>213.48</v>
      </c>
      <c r="BM2261">
        <v>32.020000000000003</v>
      </c>
      <c r="BN2261">
        <v>245.5</v>
      </c>
      <c r="BO2261">
        <v>245.5</v>
      </c>
      <c r="BQ2261" t="s">
        <v>380</v>
      </c>
      <c r="BR2261" t="s">
        <v>84</v>
      </c>
      <c r="BS2261" s="3">
        <v>45855</v>
      </c>
      <c r="BT2261" s="4">
        <v>0.41666666666666669</v>
      </c>
      <c r="BU2261" t="s">
        <v>2019</v>
      </c>
      <c r="BV2261" t="s">
        <v>98</v>
      </c>
      <c r="BY2261">
        <v>10640</v>
      </c>
      <c r="BZ2261" t="s">
        <v>89</v>
      </c>
      <c r="CA2261" t="s">
        <v>382</v>
      </c>
      <c r="CC2261" t="s">
        <v>136</v>
      </c>
      <c r="CD2261">
        <v>3212</v>
      </c>
      <c r="CE2261" t="s">
        <v>91</v>
      </c>
      <c r="CF2261" s="3">
        <v>45856</v>
      </c>
      <c r="CI2261">
        <v>2</v>
      </c>
      <c r="CJ2261">
        <v>1</v>
      </c>
      <c r="CK2261">
        <v>21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"080066602184"</f>
        <v>080066602184</v>
      </c>
      <c r="F2262" s="3">
        <v>45854</v>
      </c>
      <c r="G2262">
        <v>202604</v>
      </c>
      <c r="H2262" t="s">
        <v>75</v>
      </c>
      <c r="I2262" t="s">
        <v>76</v>
      </c>
      <c r="J2262" t="s">
        <v>77</v>
      </c>
      <c r="K2262" t="s">
        <v>78</v>
      </c>
      <c r="L2262" t="s">
        <v>135</v>
      </c>
      <c r="M2262" t="s">
        <v>136</v>
      </c>
      <c r="N2262" t="s">
        <v>379</v>
      </c>
      <c r="O2262" t="s">
        <v>82</v>
      </c>
      <c r="P2262" t="str">
        <f>"4170049046                    "</f>
        <v xml:space="preserve">4170049046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90.34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8</v>
      </c>
      <c r="BJ2262">
        <v>2</v>
      </c>
      <c r="BK2262">
        <v>8</v>
      </c>
      <c r="BL2262">
        <v>284.62</v>
      </c>
      <c r="BM2262">
        <v>42.69</v>
      </c>
      <c r="BN2262">
        <v>327.31</v>
      </c>
      <c r="BO2262">
        <v>327.31</v>
      </c>
      <c r="BQ2262" t="s">
        <v>380</v>
      </c>
      <c r="BR2262" t="s">
        <v>84</v>
      </c>
      <c r="BS2262" s="3">
        <v>45855</v>
      </c>
      <c r="BT2262" s="4">
        <v>0.41666666666666669</v>
      </c>
      <c r="BU2262" t="s">
        <v>2019</v>
      </c>
      <c r="BV2262" t="s">
        <v>98</v>
      </c>
      <c r="BY2262">
        <v>10080</v>
      </c>
      <c r="BZ2262" t="s">
        <v>89</v>
      </c>
      <c r="CA2262" t="s">
        <v>382</v>
      </c>
      <c r="CC2262" t="s">
        <v>136</v>
      </c>
      <c r="CD2262">
        <v>3212</v>
      </c>
      <c r="CE2262" t="s">
        <v>91</v>
      </c>
      <c r="CF2262" s="3">
        <v>45856</v>
      </c>
      <c r="CI2262">
        <v>2</v>
      </c>
      <c r="CJ2262">
        <v>1</v>
      </c>
      <c r="CK2262">
        <v>21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"080066602212"</f>
        <v>080066602212</v>
      </c>
      <c r="F2263" s="3">
        <v>45854</v>
      </c>
      <c r="G2263">
        <v>202604</v>
      </c>
      <c r="H2263" t="s">
        <v>75</v>
      </c>
      <c r="I2263" t="s">
        <v>76</v>
      </c>
      <c r="J2263" t="s">
        <v>77</v>
      </c>
      <c r="K2263" t="s">
        <v>78</v>
      </c>
      <c r="L2263" t="s">
        <v>92</v>
      </c>
      <c r="M2263" t="s">
        <v>93</v>
      </c>
      <c r="N2263" t="s">
        <v>1893</v>
      </c>
      <c r="O2263" t="s">
        <v>82</v>
      </c>
      <c r="P2263" t="str">
        <f>"4170049081                    "</f>
        <v xml:space="preserve">4170049081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22.6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1.9</v>
      </c>
      <c r="BK2263">
        <v>2</v>
      </c>
      <c r="BL2263">
        <v>71.2</v>
      </c>
      <c r="BM2263">
        <v>10.68</v>
      </c>
      <c r="BN2263">
        <v>81.88</v>
      </c>
      <c r="BO2263">
        <v>81.88</v>
      </c>
      <c r="BQ2263" t="s">
        <v>1894</v>
      </c>
      <c r="BR2263" t="s">
        <v>84</v>
      </c>
      <c r="BS2263" s="3">
        <v>45855</v>
      </c>
      <c r="BT2263" s="4">
        <v>0.76180555555555551</v>
      </c>
      <c r="BU2263" t="s">
        <v>2273</v>
      </c>
      <c r="BV2263" t="s">
        <v>86</v>
      </c>
      <c r="BW2263" t="s">
        <v>194</v>
      </c>
      <c r="BX2263" t="s">
        <v>739</v>
      </c>
      <c r="BY2263">
        <v>9600</v>
      </c>
      <c r="BZ2263" t="s">
        <v>89</v>
      </c>
      <c r="CA2263" t="s">
        <v>1898</v>
      </c>
      <c r="CC2263" t="s">
        <v>93</v>
      </c>
      <c r="CD2263">
        <v>4001</v>
      </c>
      <c r="CE2263" t="s">
        <v>117</v>
      </c>
      <c r="CF2263" s="3">
        <v>45856</v>
      </c>
      <c r="CI2263">
        <v>1</v>
      </c>
      <c r="CJ2263">
        <v>1</v>
      </c>
      <c r="CK2263">
        <v>21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"080066602246"</f>
        <v>080066602246</v>
      </c>
      <c r="F2264" s="3">
        <v>45854</v>
      </c>
      <c r="G2264">
        <v>202604</v>
      </c>
      <c r="H2264" t="s">
        <v>75</v>
      </c>
      <c r="I2264" t="s">
        <v>76</v>
      </c>
      <c r="J2264" t="s">
        <v>77</v>
      </c>
      <c r="K2264" t="s">
        <v>78</v>
      </c>
      <c r="L2264" t="s">
        <v>102</v>
      </c>
      <c r="M2264" t="s">
        <v>103</v>
      </c>
      <c r="N2264" t="s">
        <v>2701</v>
      </c>
      <c r="O2264" t="s">
        <v>82</v>
      </c>
      <c r="P2264" t="str">
        <f>"4170049117                    "</f>
        <v xml:space="preserve">4170049117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31.78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1.9</v>
      </c>
      <c r="BK2264">
        <v>2</v>
      </c>
      <c r="BL2264">
        <v>100.13</v>
      </c>
      <c r="BM2264">
        <v>15.02</v>
      </c>
      <c r="BN2264">
        <v>115.15</v>
      </c>
      <c r="BO2264">
        <v>115.15</v>
      </c>
      <c r="BQ2264" t="s">
        <v>2702</v>
      </c>
      <c r="BR2264" t="s">
        <v>84</v>
      </c>
      <c r="BS2264" s="3">
        <v>45855</v>
      </c>
      <c r="BT2264" s="4">
        <v>0.53055555555555556</v>
      </c>
      <c r="BU2264" t="s">
        <v>2703</v>
      </c>
      <c r="BV2264" t="s">
        <v>98</v>
      </c>
      <c r="BY2264">
        <v>9600</v>
      </c>
      <c r="BZ2264" t="s">
        <v>89</v>
      </c>
      <c r="CA2264" t="s">
        <v>2548</v>
      </c>
      <c r="CC2264" t="s">
        <v>103</v>
      </c>
      <c r="CD2264">
        <v>1756</v>
      </c>
      <c r="CE2264" t="s">
        <v>117</v>
      </c>
      <c r="CF2264" s="3">
        <v>45856</v>
      </c>
      <c r="CI2264">
        <v>1</v>
      </c>
      <c r="CJ2264">
        <v>1</v>
      </c>
      <c r="CK2264">
        <v>24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"080066602379"</f>
        <v>080066602379</v>
      </c>
      <c r="F2265" s="3">
        <v>45854</v>
      </c>
      <c r="G2265">
        <v>202604</v>
      </c>
      <c r="H2265" t="s">
        <v>75</v>
      </c>
      <c r="I2265" t="s">
        <v>76</v>
      </c>
      <c r="J2265" t="s">
        <v>77</v>
      </c>
      <c r="K2265" t="s">
        <v>78</v>
      </c>
      <c r="L2265" t="s">
        <v>168</v>
      </c>
      <c r="M2265" t="s">
        <v>169</v>
      </c>
      <c r="N2265" t="s">
        <v>2704</v>
      </c>
      <c r="O2265" t="s">
        <v>82</v>
      </c>
      <c r="P2265" t="str">
        <f>"4170049123                    "</f>
        <v xml:space="preserve">4170049123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22.6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1.9</v>
      </c>
      <c r="BK2265">
        <v>2</v>
      </c>
      <c r="BL2265">
        <v>71.2</v>
      </c>
      <c r="BM2265">
        <v>10.68</v>
      </c>
      <c r="BN2265">
        <v>81.88</v>
      </c>
      <c r="BO2265">
        <v>81.88</v>
      </c>
      <c r="BQ2265" t="s">
        <v>2705</v>
      </c>
      <c r="BR2265" t="s">
        <v>84</v>
      </c>
      <c r="BS2265" s="3">
        <v>45855</v>
      </c>
      <c r="BT2265" s="4">
        <v>0.41597222222222224</v>
      </c>
      <c r="BU2265" t="s">
        <v>2706</v>
      </c>
      <c r="BV2265" t="s">
        <v>98</v>
      </c>
      <c r="BY2265">
        <v>9600</v>
      </c>
      <c r="BZ2265" t="s">
        <v>89</v>
      </c>
      <c r="CA2265" t="s">
        <v>2707</v>
      </c>
      <c r="CC2265" t="s">
        <v>169</v>
      </c>
      <c r="CD2265">
        <v>6045</v>
      </c>
      <c r="CE2265" t="s">
        <v>117</v>
      </c>
      <c r="CF2265" s="3">
        <v>45855</v>
      </c>
      <c r="CI2265">
        <v>1</v>
      </c>
      <c r="CJ2265">
        <v>1</v>
      </c>
      <c r="CK2265">
        <v>21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"080066602405"</f>
        <v>080066602405</v>
      </c>
      <c r="F2266" s="3">
        <v>45854</v>
      </c>
      <c r="G2266">
        <v>202604</v>
      </c>
      <c r="H2266" t="s">
        <v>75</v>
      </c>
      <c r="I2266" t="s">
        <v>76</v>
      </c>
      <c r="J2266" t="s">
        <v>77</v>
      </c>
      <c r="K2266" t="s">
        <v>78</v>
      </c>
      <c r="L2266" t="s">
        <v>151</v>
      </c>
      <c r="M2266" t="s">
        <v>152</v>
      </c>
      <c r="N2266" t="s">
        <v>713</v>
      </c>
      <c r="O2266" t="s">
        <v>82</v>
      </c>
      <c r="P2266" t="str">
        <f>"4170049043                    "</f>
        <v xml:space="preserve">4170049043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22.6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1.1000000000000001</v>
      </c>
      <c r="BK2266">
        <v>2</v>
      </c>
      <c r="BL2266">
        <v>71.2</v>
      </c>
      <c r="BM2266">
        <v>10.68</v>
      </c>
      <c r="BN2266">
        <v>81.88</v>
      </c>
      <c r="BO2266">
        <v>81.88</v>
      </c>
      <c r="BQ2266" t="s">
        <v>714</v>
      </c>
      <c r="BR2266" t="s">
        <v>84</v>
      </c>
      <c r="BS2266" s="3">
        <v>45855</v>
      </c>
      <c r="BT2266" s="4">
        <v>0.41111111111111109</v>
      </c>
      <c r="BU2266" t="s">
        <v>715</v>
      </c>
      <c r="BV2266" t="s">
        <v>98</v>
      </c>
      <c r="BY2266">
        <v>5320</v>
      </c>
      <c r="BZ2266" t="s">
        <v>89</v>
      </c>
      <c r="CA2266" t="s">
        <v>716</v>
      </c>
      <c r="CC2266" t="s">
        <v>152</v>
      </c>
      <c r="CD2266" s="5" t="s">
        <v>717</v>
      </c>
      <c r="CE2266" t="s">
        <v>117</v>
      </c>
      <c r="CF2266" s="3">
        <v>45855</v>
      </c>
      <c r="CI2266">
        <v>1</v>
      </c>
      <c r="CJ2266">
        <v>1</v>
      </c>
      <c r="CK2266">
        <v>21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"080066602429"</f>
        <v>080066602429</v>
      </c>
      <c r="F2267" s="3">
        <v>45854</v>
      </c>
      <c r="G2267">
        <v>202604</v>
      </c>
      <c r="H2267" t="s">
        <v>75</v>
      </c>
      <c r="I2267" t="s">
        <v>76</v>
      </c>
      <c r="J2267" t="s">
        <v>77</v>
      </c>
      <c r="K2267" t="s">
        <v>78</v>
      </c>
      <c r="L2267" t="s">
        <v>168</v>
      </c>
      <c r="M2267" t="s">
        <v>169</v>
      </c>
      <c r="N2267" t="s">
        <v>206</v>
      </c>
      <c r="O2267" t="s">
        <v>82</v>
      </c>
      <c r="P2267" t="str">
        <f>"4170049025                    "</f>
        <v xml:space="preserve">4170049025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22.6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1.3</v>
      </c>
      <c r="BK2267">
        <v>1.5</v>
      </c>
      <c r="BL2267">
        <v>71.2</v>
      </c>
      <c r="BM2267">
        <v>10.68</v>
      </c>
      <c r="BN2267">
        <v>81.88</v>
      </c>
      <c r="BO2267">
        <v>81.88</v>
      </c>
      <c r="BQ2267" t="s">
        <v>207</v>
      </c>
      <c r="BR2267" t="s">
        <v>84</v>
      </c>
      <c r="BS2267" s="3">
        <v>45855</v>
      </c>
      <c r="BT2267" s="4">
        <v>0.42708333333333331</v>
      </c>
      <c r="BU2267" t="s">
        <v>208</v>
      </c>
      <c r="BV2267" t="s">
        <v>98</v>
      </c>
      <c r="BY2267">
        <v>6384</v>
      </c>
      <c r="BZ2267" t="s">
        <v>89</v>
      </c>
      <c r="CA2267" t="s">
        <v>196</v>
      </c>
      <c r="CC2267" t="s">
        <v>169</v>
      </c>
      <c r="CD2267">
        <v>6001</v>
      </c>
      <c r="CE2267" t="s">
        <v>117</v>
      </c>
      <c r="CF2267" s="3">
        <v>45855</v>
      </c>
      <c r="CI2267">
        <v>1</v>
      </c>
      <c r="CJ2267">
        <v>1</v>
      </c>
      <c r="CK2267">
        <v>21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"080066602466"</f>
        <v>080066602466</v>
      </c>
      <c r="F2268" s="3">
        <v>45854</v>
      </c>
      <c r="G2268">
        <v>202604</v>
      </c>
      <c r="H2268" t="s">
        <v>75</v>
      </c>
      <c r="I2268" t="s">
        <v>76</v>
      </c>
      <c r="J2268" t="s">
        <v>77</v>
      </c>
      <c r="K2268" t="s">
        <v>78</v>
      </c>
      <c r="L2268" t="s">
        <v>295</v>
      </c>
      <c r="M2268" t="s">
        <v>296</v>
      </c>
      <c r="N2268" t="s">
        <v>2507</v>
      </c>
      <c r="O2268" t="s">
        <v>82</v>
      </c>
      <c r="P2268" t="str">
        <f>"4170049101                    "</f>
        <v xml:space="preserve">4170049101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17.649999999999999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</v>
      </c>
      <c r="BJ2268">
        <v>5</v>
      </c>
      <c r="BK2268">
        <v>5</v>
      </c>
      <c r="BL2268">
        <v>55.61</v>
      </c>
      <c r="BM2268">
        <v>8.34</v>
      </c>
      <c r="BN2268">
        <v>63.95</v>
      </c>
      <c r="BO2268">
        <v>63.95</v>
      </c>
      <c r="BQ2268" t="s">
        <v>2508</v>
      </c>
      <c r="BR2268" t="s">
        <v>84</v>
      </c>
      <c r="BS2268" s="3">
        <v>45855</v>
      </c>
      <c r="BT2268" s="4">
        <v>0.31736111111111109</v>
      </c>
      <c r="BU2268" t="s">
        <v>2509</v>
      </c>
      <c r="BV2268" t="s">
        <v>98</v>
      </c>
      <c r="BY2268">
        <v>25056</v>
      </c>
      <c r="BZ2268" t="s">
        <v>89</v>
      </c>
      <c r="CA2268" t="s">
        <v>300</v>
      </c>
      <c r="CC2268" t="s">
        <v>296</v>
      </c>
      <c r="CD2268">
        <v>1459</v>
      </c>
      <c r="CE2268" t="s">
        <v>91</v>
      </c>
      <c r="CF2268" s="3">
        <v>45855</v>
      </c>
      <c r="CI2268">
        <v>1</v>
      </c>
      <c r="CJ2268">
        <v>1</v>
      </c>
      <c r="CK2268">
        <v>22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"080066602499"</f>
        <v>080066602499</v>
      </c>
      <c r="F2269" s="3">
        <v>45854</v>
      </c>
      <c r="G2269">
        <v>202604</v>
      </c>
      <c r="H2269" t="s">
        <v>75</v>
      </c>
      <c r="I2269" t="s">
        <v>76</v>
      </c>
      <c r="J2269" t="s">
        <v>77</v>
      </c>
      <c r="K2269" t="s">
        <v>78</v>
      </c>
      <c r="L2269" t="s">
        <v>79</v>
      </c>
      <c r="M2269" t="s">
        <v>80</v>
      </c>
      <c r="N2269" t="s">
        <v>141</v>
      </c>
      <c r="O2269" t="s">
        <v>82</v>
      </c>
      <c r="P2269" t="str">
        <f>"4170049111                    "</f>
        <v xml:space="preserve">4170049111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22.6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71.2</v>
      </c>
      <c r="BM2269">
        <v>10.68</v>
      </c>
      <c r="BN2269">
        <v>81.88</v>
      </c>
      <c r="BO2269">
        <v>81.88</v>
      </c>
      <c r="BQ2269" t="s">
        <v>142</v>
      </c>
      <c r="BR2269" t="s">
        <v>84</v>
      </c>
      <c r="BS2269" s="3">
        <v>45855</v>
      </c>
      <c r="BT2269" s="4">
        <v>0.40277777777777779</v>
      </c>
      <c r="BU2269" t="s">
        <v>2437</v>
      </c>
      <c r="BV2269" t="s">
        <v>98</v>
      </c>
      <c r="BY2269">
        <v>1200</v>
      </c>
      <c r="BZ2269" t="s">
        <v>89</v>
      </c>
      <c r="CA2269" t="s">
        <v>144</v>
      </c>
      <c r="CC2269" t="s">
        <v>80</v>
      </c>
      <c r="CD2269">
        <v>7441</v>
      </c>
      <c r="CE2269" t="s">
        <v>239</v>
      </c>
      <c r="CF2269" s="3">
        <v>45856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"080066602838"</f>
        <v>080066602838</v>
      </c>
      <c r="F2270" s="3">
        <v>45854</v>
      </c>
      <c r="G2270">
        <v>202604</v>
      </c>
      <c r="H2270" t="s">
        <v>75</v>
      </c>
      <c r="I2270" t="s">
        <v>76</v>
      </c>
      <c r="J2270" t="s">
        <v>77</v>
      </c>
      <c r="K2270" t="s">
        <v>78</v>
      </c>
      <c r="L2270" t="s">
        <v>704</v>
      </c>
      <c r="M2270" t="s">
        <v>705</v>
      </c>
      <c r="N2270" t="s">
        <v>2708</v>
      </c>
      <c r="O2270" t="s">
        <v>82</v>
      </c>
      <c r="P2270" t="str">
        <f>"4170049064                    "</f>
        <v xml:space="preserve">4170049064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43.78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137.94</v>
      </c>
      <c r="BM2270">
        <v>20.69</v>
      </c>
      <c r="BN2270">
        <v>158.63</v>
      </c>
      <c r="BO2270">
        <v>158.63</v>
      </c>
      <c r="BQ2270" t="s">
        <v>2709</v>
      </c>
      <c r="BR2270" t="s">
        <v>84</v>
      </c>
      <c r="BS2270" s="3">
        <v>45855</v>
      </c>
      <c r="BT2270" s="4">
        <v>0.54791666666666672</v>
      </c>
      <c r="BU2270" t="s">
        <v>2710</v>
      </c>
      <c r="BV2270" t="s">
        <v>98</v>
      </c>
      <c r="BY2270">
        <v>1200</v>
      </c>
      <c r="BZ2270" t="s">
        <v>89</v>
      </c>
      <c r="CA2270" t="s">
        <v>1152</v>
      </c>
      <c r="CC2270" t="s">
        <v>705</v>
      </c>
      <c r="CD2270">
        <v>6850</v>
      </c>
      <c r="CE2270" t="s">
        <v>214</v>
      </c>
      <c r="CF2270" s="3">
        <v>45856</v>
      </c>
      <c r="CI2270">
        <v>2</v>
      </c>
      <c r="CJ2270">
        <v>1</v>
      </c>
      <c r="CK2270">
        <v>23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"080066603409"</f>
        <v>080066603409</v>
      </c>
      <c r="F2271" s="3">
        <v>45854</v>
      </c>
      <c r="G2271">
        <v>202604</v>
      </c>
      <c r="H2271" t="s">
        <v>75</v>
      </c>
      <c r="I2271" t="s">
        <v>76</v>
      </c>
      <c r="J2271" t="s">
        <v>77</v>
      </c>
      <c r="K2271" t="s">
        <v>78</v>
      </c>
      <c r="L2271" t="s">
        <v>168</v>
      </c>
      <c r="M2271" t="s">
        <v>169</v>
      </c>
      <c r="N2271" t="s">
        <v>360</v>
      </c>
      <c r="O2271" t="s">
        <v>82</v>
      </c>
      <c r="P2271" t="str">
        <f>"4170049129                    "</f>
        <v xml:space="preserve">4170049129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45.18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3.8</v>
      </c>
      <c r="BK2271">
        <v>4</v>
      </c>
      <c r="BL2271">
        <v>142.34</v>
      </c>
      <c r="BM2271">
        <v>21.35</v>
      </c>
      <c r="BN2271">
        <v>163.69</v>
      </c>
      <c r="BO2271">
        <v>163.69</v>
      </c>
      <c r="BQ2271" t="s">
        <v>361</v>
      </c>
      <c r="BR2271" t="s">
        <v>84</v>
      </c>
      <c r="BS2271" s="3">
        <v>45855</v>
      </c>
      <c r="BT2271" s="4">
        <v>0.39583333333333331</v>
      </c>
      <c r="BU2271" t="s">
        <v>1439</v>
      </c>
      <c r="BV2271" t="s">
        <v>98</v>
      </c>
      <c r="BY2271">
        <v>19040</v>
      </c>
      <c r="BZ2271" t="s">
        <v>89</v>
      </c>
      <c r="CA2271" t="s">
        <v>423</v>
      </c>
      <c r="CC2271" t="s">
        <v>169</v>
      </c>
      <c r="CD2271">
        <v>6001</v>
      </c>
      <c r="CE2271" t="s">
        <v>91</v>
      </c>
      <c r="CF2271" s="3">
        <v>45855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"080066603461"</f>
        <v>080066603461</v>
      </c>
      <c r="F2272" s="3">
        <v>45854</v>
      </c>
      <c r="G2272">
        <v>202604</v>
      </c>
      <c r="H2272" t="s">
        <v>75</v>
      </c>
      <c r="I2272" t="s">
        <v>76</v>
      </c>
      <c r="J2272" t="s">
        <v>77</v>
      </c>
      <c r="K2272" t="s">
        <v>78</v>
      </c>
      <c r="L2272" t="s">
        <v>79</v>
      </c>
      <c r="M2272" t="s">
        <v>80</v>
      </c>
      <c r="N2272" t="s">
        <v>1101</v>
      </c>
      <c r="O2272" t="s">
        <v>82</v>
      </c>
      <c r="P2272" t="str">
        <f>"4170049124                    "</f>
        <v xml:space="preserve">4170049124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39.53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</v>
      </c>
      <c r="BJ2272">
        <v>3.4</v>
      </c>
      <c r="BK2272">
        <v>3.5</v>
      </c>
      <c r="BL2272">
        <v>124.55</v>
      </c>
      <c r="BM2272">
        <v>18.68</v>
      </c>
      <c r="BN2272">
        <v>143.22999999999999</v>
      </c>
      <c r="BO2272">
        <v>143.22999999999999</v>
      </c>
      <c r="BQ2272" t="s">
        <v>1102</v>
      </c>
      <c r="BR2272" t="s">
        <v>84</v>
      </c>
      <c r="BS2272" s="3">
        <v>45855</v>
      </c>
      <c r="BT2272" s="4">
        <v>0.33819444444444446</v>
      </c>
      <c r="BU2272" t="s">
        <v>2711</v>
      </c>
      <c r="BV2272" t="s">
        <v>98</v>
      </c>
      <c r="BY2272">
        <v>16965</v>
      </c>
      <c r="BZ2272" t="s">
        <v>89</v>
      </c>
      <c r="CA2272" t="s">
        <v>289</v>
      </c>
      <c r="CC2272" t="s">
        <v>80</v>
      </c>
      <c r="CD2272">
        <v>7530</v>
      </c>
      <c r="CE2272" t="s">
        <v>117</v>
      </c>
      <c r="CF2272" s="3">
        <v>45856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"080066603723"</f>
        <v>080066603723</v>
      </c>
      <c r="F2273" s="3">
        <v>45854</v>
      </c>
      <c r="G2273">
        <v>202604</v>
      </c>
      <c r="H2273" t="s">
        <v>75</v>
      </c>
      <c r="I2273" t="s">
        <v>76</v>
      </c>
      <c r="J2273" t="s">
        <v>77</v>
      </c>
      <c r="K2273" t="s">
        <v>78</v>
      </c>
      <c r="L2273" t="s">
        <v>79</v>
      </c>
      <c r="M2273" t="s">
        <v>80</v>
      </c>
      <c r="N2273" t="s">
        <v>2063</v>
      </c>
      <c r="O2273" t="s">
        <v>82</v>
      </c>
      <c r="P2273" t="str">
        <f>"4170049027                    "</f>
        <v xml:space="preserve">4170049027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22.6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0.3</v>
      </c>
      <c r="BK2273">
        <v>1</v>
      </c>
      <c r="BL2273">
        <v>71.2</v>
      </c>
      <c r="BM2273">
        <v>10.68</v>
      </c>
      <c r="BN2273">
        <v>81.88</v>
      </c>
      <c r="BO2273">
        <v>81.88</v>
      </c>
      <c r="BQ2273" t="s">
        <v>2337</v>
      </c>
      <c r="BR2273" t="s">
        <v>84</v>
      </c>
      <c r="BS2273" s="3">
        <v>45855</v>
      </c>
      <c r="BT2273" s="4">
        <v>0.37569444444444444</v>
      </c>
      <c r="BU2273" t="s">
        <v>596</v>
      </c>
      <c r="BV2273" t="s">
        <v>98</v>
      </c>
      <c r="BY2273">
        <v>1350</v>
      </c>
      <c r="BZ2273" t="s">
        <v>89</v>
      </c>
      <c r="CA2273" t="s">
        <v>579</v>
      </c>
      <c r="CC2273" t="s">
        <v>80</v>
      </c>
      <c r="CD2273">
        <v>7480</v>
      </c>
      <c r="CE2273" t="s">
        <v>1868</v>
      </c>
      <c r="CF2273" s="3">
        <v>45856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"080066603779"</f>
        <v>080066603779</v>
      </c>
      <c r="F2274" s="3">
        <v>45854</v>
      </c>
      <c r="G2274">
        <v>202604</v>
      </c>
      <c r="H2274" t="s">
        <v>75</v>
      </c>
      <c r="I2274" t="s">
        <v>76</v>
      </c>
      <c r="J2274" t="s">
        <v>77</v>
      </c>
      <c r="K2274" t="s">
        <v>78</v>
      </c>
      <c r="L2274" t="s">
        <v>79</v>
      </c>
      <c r="M2274" t="s">
        <v>80</v>
      </c>
      <c r="N2274" t="s">
        <v>2063</v>
      </c>
      <c r="O2274" t="s">
        <v>82</v>
      </c>
      <c r="P2274" t="str">
        <f>"4170049045                    "</f>
        <v xml:space="preserve">4170049045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22.6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0.3</v>
      </c>
      <c r="BK2274">
        <v>1</v>
      </c>
      <c r="BL2274">
        <v>71.2</v>
      </c>
      <c r="BM2274">
        <v>10.68</v>
      </c>
      <c r="BN2274">
        <v>81.88</v>
      </c>
      <c r="BO2274">
        <v>81.88</v>
      </c>
      <c r="BQ2274" t="s">
        <v>2064</v>
      </c>
      <c r="BR2274" t="s">
        <v>84</v>
      </c>
      <c r="BS2274" s="3">
        <v>45855</v>
      </c>
      <c r="BT2274" s="4">
        <v>0.37569444444444444</v>
      </c>
      <c r="BU2274" t="s">
        <v>596</v>
      </c>
      <c r="BV2274" t="s">
        <v>98</v>
      </c>
      <c r="BY2274">
        <v>1350</v>
      </c>
      <c r="BZ2274" t="s">
        <v>89</v>
      </c>
      <c r="CA2274" s="5" t="s">
        <v>2712</v>
      </c>
      <c r="CC2274" t="s">
        <v>80</v>
      </c>
      <c r="CD2274">
        <v>7480</v>
      </c>
      <c r="CE2274" t="s">
        <v>1868</v>
      </c>
      <c r="CF2274" s="3">
        <v>45856</v>
      </c>
      <c r="CI2274">
        <v>1</v>
      </c>
      <c r="CJ2274">
        <v>1</v>
      </c>
      <c r="CK2274">
        <v>21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"080066603802"</f>
        <v>080066603802</v>
      </c>
      <c r="F2275" s="3">
        <v>45854</v>
      </c>
      <c r="G2275">
        <v>202604</v>
      </c>
      <c r="H2275" t="s">
        <v>75</v>
      </c>
      <c r="I2275" t="s">
        <v>76</v>
      </c>
      <c r="J2275" t="s">
        <v>77</v>
      </c>
      <c r="K2275" t="s">
        <v>78</v>
      </c>
      <c r="L2275" t="s">
        <v>79</v>
      </c>
      <c r="M2275" t="s">
        <v>80</v>
      </c>
      <c r="N2275" t="s">
        <v>141</v>
      </c>
      <c r="O2275" t="s">
        <v>82</v>
      </c>
      <c r="P2275" t="str">
        <f>"4170049118                    "</f>
        <v xml:space="preserve">4170049118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22.6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0.3</v>
      </c>
      <c r="BK2275">
        <v>1</v>
      </c>
      <c r="BL2275">
        <v>71.2</v>
      </c>
      <c r="BM2275">
        <v>10.68</v>
      </c>
      <c r="BN2275">
        <v>81.88</v>
      </c>
      <c r="BO2275">
        <v>81.88</v>
      </c>
      <c r="BQ2275" t="s">
        <v>142</v>
      </c>
      <c r="BR2275" t="s">
        <v>84</v>
      </c>
      <c r="BS2275" s="3">
        <v>45855</v>
      </c>
      <c r="BT2275" s="4">
        <v>0.40277777777777779</v>
      </c>
      <c r="BU2275" t="s">
        <v>2437</v>
      </c>
      <c r="BV2275" t="s">
        <v>98</v>
      </c>
      <c r="BY2275">
        <v>1350</v>
      </c>
      <c r="BZ2275" t="s">
        <v>89</v>
      </c>
      <c r="CA2275" t="s">
        <v>144</v>
      </c>
      <c r="CC2275" t="s">
        <v>80</v>
      </c>
      <c r="CD2275">
        <v>7441</v>
      </c>
      <c r="CE2275" t="s">
        <v>1868</v>
      </c>
      <c r="CF2275" s="3">
        <v>45856</v>
      </c>
      <c r="CI2275">
        <v>1</v>
      </c>
      <c r="CJ2275">
        <v>1</v>
      </c>
      <c r="CK2275">
        <v>21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"080066603833"</f>
        <v>080066603833</v>
      </c>
      <c r="F2276" s="3">
        <v>45854</v>
      </c>
      <c r="G2276">
        <v>202604</v>
      </c>
      <c r="H2276" t="s">
        <v>75</v>
      </c>
      <c r="I2276" t="s">
        <v>76</v>
      </c>
      <c r="J2276" t="s">
        <v>77</v>
      </c>
      <c r="K2276" t="s">
        <v>78</v>
      </c>
      <c r="L2276" t="s">
        <v>122</v>
      </c>
      <c r="M2276" t="s">
        <v>123</v>
      </c>
      <c r="N2276" t="s">
        <v>283</v>
      </c>
      <c r="O2276" t="s">
        <v>82</v>
      </c>
      <c r="P2276" t="str">
        <f>"4170049108                    "</f>
        <v xml:space="preserve">4170049108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22.6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0.3</v>
      </c>
      <c r="BK2276">
        <v>1</v>
      </c>
      <c r="BL2276">
        <v>71.2</v>
      </c>
      <c r="BM2276">
        <v>10.68</v>
      </c>
      <c r="BN2276">
        <v>81.88</v>
      </c>
      <c r="BO2276">
        <v>81.88</v>
      </c>
      <c r="BQ2276" t="s">
        <v>284</v>
      </c>
      <c r="BR2276" t="s">
        <v>84</v>
      </c>
      <c r="BS2276" s="3">
        <v>45855</v>
      </c>
      <c r="BT2276" s="4">
        <v>0.41875000000000001</v>
      </c>
      <c r="BU2276" t="s">
        <v>2689</v>
      </c>
      <c r="BV2276" t="s">
        <v>98</v>
      </c>
      <c r="BY2276">
        <v>1350</v>
      </c>
      <c r="BZ2276" t="s">
        <v>89</v>
      </c>
      <c r="CA2276" t="s">
        <v>187</v>
      </c>
      <c r="CC2276" t="s">
        <v>123</v>
      </c>
      <c r="CD2276">
        <v>3608</v>
      </c>
      <c r="CE2276" t="s">
        <v>1868</v>
      </c>
      <c r="CF2276" s="3">
        <v>45856</v>
      </c>
      <c r="CI2276">
        <v>1</v>
      </c>
      <c r="CJ2276">
        <v>1</v>
      </c>
      <c r="CK2276">
        <v>21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"080066603866"</f>
        <v>080066603866</v>
      </c>
      <c r="F2277" s="3">
        <v>45854</v>
      </c>
      <c r="G2277">
        <v>202604</v>
      </c>
      <c r="H2277" t="s">
        <v>75</v>
      </c>
      <c r="I2277" t="s">
        <v>76</v>
      </c>
      <c r="J2277" t="s">
        <v>77</v>
      </c>
      <c r="K2277" t="s">
        <v>78</v>
      </c>
      <c r="L2277" t="s">
        <v>305</v>
      </c>
      <c r="M2277" t="s">
        <v>306</v>
      </c>
      <c r="N2277" t="s">
        <v>1320</v>
      </c>
      <c r="O2277" t="s">
        <v>82</v>
      </c>
      <c r="P2277" t="str">
        <f>"4170049135                    "</f>
        <v xml:space="preserve">4170049135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22.6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0.3</v>
      </c>
      <c r="BK2277">
        <v>1</v>
      </c>
      <c r="BL2277">
        <v>71.2</v>
      </c>
      <c r="BM2277">
        <v>10.68</v>
      </c>
      <c r="BN2277">
        <v>81.88</v>
      </c>
      <c r="BO2277">
        <v>81.88</v>
      </c>
      <c r="BQ2277" t="s">
        <v>308</v>
      </c>
      <c r="BR2277" t="s">
        <v>84</v>
      </c>
      <c r="BS2277" s="3">
        <v>45855</v>
      </c>
      <c r="BT2277" s="4">
        <v>0.47430555555555554</v>
      </c>
      <c r="BU2277" t="s">
        <v>1378</v>
      </c>
      <c r="BV2277" t="s">
        <v>86</v>
      </c>
      <c r="BY2277">
        <v>1350</v>
      </c>
      <c r="BZ2277" t="s">
        <v>89</v>
      </c>
      <c r="CA2277" t="s">
        <v>310</v>
      </c>
      <c r="CC2277" t="s">
        <v>306</v>
      </c>
      <c r="CD2277">
        <v>5201</v>
      </c>
      <c r="CE2277" t="s">
        <v>1868</v>
      </c>
      <c r="CF2277" s="3">
        <v>45855</v>
      </c>
      <c r="CI2277">
        <v>1</v>
      </c>
      <c r="CJ2277">
        <v>1</v>
      </c>
      <c r="CK2277">
        <v>21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"080066604461"</f>
        <v>080066604461</v>
      </c>
      <c r="F2278" s="3">
        <v>45854</v>
      </c>
      <c r="G2278">
        <v>202604</v>
      </c>
      <c r="H2278" t="s">
        <v>75</v>
      </c>
      <c r="I2278" t="s">
        <v>76</v>
      </c>
      <c r="J2278" t="s">
        <v>77</v>
      </c>
      <c r="K2278" t="s">
        <v>78</v>
      </c>
      <c r="L2278" t="s">
        <v>704</v>
      </c>
      <c r="M2278" t="s">
        <v>705</v>
      </c>
      <c r="N2278" t="s">
        <v>848</v>
      </c>
      <c r="O2278" t="s">
        <v>82</v>
      </c>
      <c r="P2278" t="str">
        <f>"4170049060                    "</f>
        <v xml:space="preserve">4170049060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83.33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3.8</v>
      </c>
      <c r="BK2278">
        <v>4</v>
      </c>
      <c r="BL2278">
        <v>262.52999999999997</v>
      </c>
      <c r="BM2278">
        <v>39.380000000000003</v>
      </c>
      <c r="BN2278">
        <v>301.91000000000003</v>
      </c>
      <c r="BO2278">
        <v>301.91000000000003</v>
      </c>
      <c r="BQ2278" t="s">
        <v>849</v>
      </c>
      <c r="BR2278" t="s">
        <v>84</v>
      </c>
      <c r="BS2278" s="3">
        <v>45855</v>
      </c>
      <c r="BT2278" s="4">
        <v>0.52152777777777781</v>
      </c>
      <c r="BU2278" t="s">
        <v>2713</v>
      </c>
      <c r="BV2278" t="s">
        <v>98</v>
      </c>
      <c r="BY2278">
        <v>19040</v>
      </c>
      <c r="BZ2278" t="s">
        <v>89</v>
      </c>
      <c r="CA2278" t="s">
        <v>1152</v>
      </c>
      <c r="CC2278" t="s">
        <v>705</v>
      </c>
      <c r="CD2278">
        <v>6850</v>
      </c>
      <c r="CE2278" t="s">
        <v>91</v>
      </c>
      <c r="CF2278" s="3">
        <v>45856</v>
      </c>
      <c r="CI2278">
        <v>2</v>
      </c>
      <c r="CJ2278">
        <v>1</v>
      </c>
      <c r="CK2278">
        <v>23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"080066604475"</f>
        <v>080066604475</v>
      </c>
      <c r="F2279" s="3">
        <v>45854</v>
      </c>
      <c r="G2279">
        <v>202604</v>
      </c>
      <c r="H2279" t="s">
        <v>75</v>
      </c>
      <c r="I2279" t="s">
        <v>76</v>
      </c>
      <c r="J2279" t="s">
        <v>77</v>
      </c>
      <c r="K2279" t="s">
        <v>78</v>
      </c>
      <c r="L2279" t="s">
        <v>75</v>
      </c>
      <c r="M2279" t="s">
        <v>76</v>
      </c>
      <c r="N2279" t="s">
        <v>2714</v>
      </c>
      <c r="O2279" t="s">
        <v>82</v>
      </c>
      <c r="P2279" t="str">
        <f>"4170049134                    "</f>
        <v xml:space="preserve">4170049134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17.649999999999999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3</v>
      </c>
      <c r="BJ2279">
        <v>6.8</v>
      </c>
      <c r="BK2279">
        <v>7</v>
      </c>
      <c r="BL2279">
        <v>55.61</v>
      </c>
      <c r="BM2279">
        <v>8.34</v>
      </c>
      <c r="BN2279">
        <v>63.95</v>
      </c>
      <c r="BO2279">
        <v>63.95</v>
      </c>
      <c r="BQ2279" t="s">
        <v>2715</v>
      </c>
      <c r="BR2279" t="s">
        <v>84</v>
      </c>
      <c r="BS2279" s="3">
        <v>45855</v>
      </c>
      <c r="BT2279" s="4">
        <v>0.41249999999999998</v>
      </c>
      <c r="BU2279" t="s">
        <v>2716</v>
      </c>
      <c r="BV2279" t="s">
        <v>98</v>
      </c>
      <c r="BY2279">
        <v>34200</v>
      </c>
      <c r="BZ2279" t="s">
        <v>89</v>
      </c>
      <c r="CA2279" t="s">
        <v>1799</v>
      </c>
      <c r="CC2279" t="s">
        <v>76</v>
      </c>
      <c r="CD2279">
        <v>1609</v>
      </c>
      <c r="CE2279" t="s">
        <v>91</v>
      </c>
      <c r="CF2279" s="3">
        <v>45856</v>
      </c>
      <c r="CI2279">
        <v>1</v>
      </c>
      <c r="CJ2279">
        <v>1</v>
      </c>
      <c r="CK2279">
        <v>22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"080066604554"</f>
        <v>080066604554</v>
      </c>
      <c r="F2280" s="3">
        <v>45854</v>
      </c>
      <c r="G2280">
        <v>202604</v>
      </c>
      <c r="H2280" t="s">
        <v>75</v>
      </c>
      <c r="I2280" t="s">
        <v>76</v>
      </c>
      <c r="J2280" t="s">
        <v>77</v>
      </c>
      <c r="K2280" t="s">
        <v>78</v>
      </c>
      <c r="L2280" t="s">
        <v>151</v>
      </c>
      <c r="M2280" t="s">
        <v>152</v>
      </c>
      <c r="N2280" t="s">
        <v>680</v>
      </c>
      <c r="O2280" t="s">
        <v>95</v>
      </c>
      <c r="P2280" t="str">
        <f>"4170049114                    "</f>
        <v xml:space="preserve">4170049114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59.94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17</v>
      </c>
      <c r="BJ2280">
        <v>23.5</v>
      </c>
      <c r="BK2280">
        <v>24</v>
      </c>
      <c r="BL2280">
        <v>194.71</v>
      </c>
      <c r="BM2280">
        <v>29.21</v>
      </c>
      <c r="BN2280">
        <v>223.92</v>
      </c>
      <c r="BO2280">
        <v>223.92</v>
      </c>
      <c r="BQ2280" t="s">
        <v>681</v>
      </c>
      <c r="BR2280" t="s">
        <v>84</v>
      </c>
      <c r="BS2280" s="3">
        <v>45855</v>
      </c>
      <c r="BT2280" s="4">
        <v>0.3298611111111111</v>
      </c>
      <c r="BU2280" t="s">
        <v>2393</v>
      </c>
      <c r="BV2280" t="s">
        <v>98</v>
      </c>
      <c r="BY2280">
        <v>117500</v>
      </c>
      <c r="BZ2280" t="s">
        <v>99</v>
      </c>
      <c r="CA2280" t="s">
        <v>683</v>
      </c>
      <c r="CC2280" t="s">
        <v>152</v>
      </c>
      <c r="CD2280" s="5" t="s">
        <v>684</v>
      </c>
      <c r="CE2280" t="s">
        <v>91</v>
      </c>
      <c r="CF2280" s="3">
        <v>45855</v>
      </c>
      <c r="CI2280">
        <v>1</v>
      </c>
      <c r="CJ2280">
        <v>1</v>
      </c>
      <c r="CK2280">
        <v>41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"080066604589"</f>
        <v>080066604589</v>
      </c>
      <c r="F2281" s="3">
        <v>45854</v>
      </c>
      <c r="G2281">
        <v>202604</v>
      </c>
      <c r="H2281" t="s">
        <v>75</v>
      </c>
      <c r="I2281" t="s">
        <v>76</v>
      </c>
      <c r="J2281" t="s">
        <v>77</v>
      </c>
      <c r="K2281" t="s">
        <v>78</v>
      </c>
      <c r="L2281" t="s">
        <v>122</v>
      </c>
      <c r="M2281" t="s">
        <v>123</v>
      </c>
      <c r="N2281" t="s">
        <v>283</v>
      </c>
      <c r="O2281" t="s">
        <v>82</v>
      </c>
      <c r="P2281" t="str">
        <f>"4170049107                    "</f>
        <v xml:space="preserve">4170049107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62.11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3</v>
      </c>
      <c r="BJ2281">
        <v>5.5</v>
      </c>
      <c r="BK2281">
        <v>5.5</v>
      </c>
      <c r="BL2281">
        <v>195.69</v>
      </c>
      <c r="BM2281">
        <v>29.35</v>
      </c>
      <c r="BN2281">
        <v>225.04</v>
      </c>
      <c r="BO2281">
        <v>225.04</v>
      </c>
      <c r="BQ2281" t="s">
        <v>284</v>
      </c>
      <c r="BR2281" t="s">
        <v>84</v>
      </c>
      <c r="BS2281" s="3">
        <v>45855</v>
      </c>
      <c r="BT2281" s="4">
        <v>0.41805555555555557</v>
      </c>
      <c r="BU2281" t="s">
        <v>2689</v>
      </c>
      <c r="BV2281" t="s">
        <v>98</v>
      </c>
      <c r="BY2281">
        <v>27744</v>
      </c>
      <c r="BZ2281" t="s">
        <v>89</v>
      </c>
      <c r="CA2281" t="s">
        <v>187</v>
      </c>
      <c r="CC2281" t="s">
        <v>123</v>
      </c>
      <c r="CD2281">
        <v>3608</v>
      </c>
      <c r="CE2281" t="s">
        <v>91</v>
      </c>
      <c r="CF2281" s="3">
        <v>45856</v>
      </c>
      <c r="CI2281">
        <v>1</v>
      </c>
      <c r="CJ2281">
        <v>1</v>
      </c>
      <c r="CK2281">
        <v>21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"080066604613"</f>
        <v>080066604613</v>
      </c>
      <c r="F2282" s="3">
        <v>45854</v>
      </c>
      <c r="G2282">
        <v>202604</v>
      </c>
      <c r="H2282" t="s">
        <v>75</v>
      </c>
      <c r="I2282" t="s">
        <v>76</v>
      </c>
      <c r="J2282" t="s">
        <v>77</v>
      </c>
      <c r="K2282" t="s">
        <v>78</v>
      </c>
      <c r="L2282" t="s">
        <v>168</v>
      </c>
      <c r="M2282" t="s">
        <v>169</v>
      </c>
      <c r="N2282" t="s">
        <v>206</v>
      </c>
      <c r="O2282" t="s">
        <v>82</v>
      </c>
      <c r="P2282" t="str">
        <f>"4170049086                    "</f>
        <v xml:space="preserve">4170049086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22.6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1.1000000000000001</v>
      </c>
      <c r="BK2282">
        <v>1.5</v>
      </c>
      <c r="BL2282">
        <v>71.2</v>
      </c>
      <c r="BM2282">
        <v>10.68</v>
      </c>
      <c r="BN2282">
        <v>81.88</v>
      </c>
      <c r="BO2282">
        <v>81.88</v>
      </c>
      <c r="BQ2282" t="s">
        <v>207</v>
      </c>
      <c r="BR2282" t="s">
        <v>84</v>
      </c>
      <c r="BS2282" s="3">
        <v>45855</v>
      </c>
      <c r="BT2282" s="4">
        <v>0.42708333333333331</v>
      </c>
      <c r="BU2282" t="s">
        <v>208</v>
      </c>
      <c r="BV2282" t="s">
        <v>98</v>
      </c>
      <c r="BY2282">
        <v>5320</v>
      </c>
      <c r="BZ2282" t="s">
        <v>89</v>
      </c>
      <c r="CA2282" t="s">
        <v>196</v>
      </c>
      <c r="CC2282" t="s">
        <v>169</v>
      </c>
      <c r="CD2282">
        <v>6001</v>
      </c>
      <c r="CE2282" t="s">
        <v>117</v>
      </c>
      <c r="CF2282" s="3">
        <v>45855</v>
      </c>
      <c r="CI2282">
        <v>1</v>
      </c>
      <c r="CJ2282">
        <v>1</v>
      </c>
      <c r="CK2282">
        <v>21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"080066604639"</f>
        <v>080066604639</v>
      </c>
      <c r="F2283" s="3">
        <v>45854</v>
      </c>
      <c r="G2283">
        <v>202604</v>
      </c>
      <c r="H2283" t="s">
        <v>75</v>
      </c>
      <c r="I2283" t="s">
        <v>76</v>
      </c>
      <c r="J2283" t="s">
        <v>77</v>
      </c>
      <c r="K2283" t="s">
        <v>78</v>
      </c>
      <c r="L2283" t="s">
        <v>135</v>
      </c>
      <c r="M2283" t="s">
        <v>136</v>
      </c>
      <c r="N2283" t="s">
        <v>416</v>
      </c>
      <c r="O2283" t="s">
        <v>82</v>
      </c>
      <c r="P2283" t="str">
        <f>"4170049024                    "</f>
        <v xml:space="preserve">4170049024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22.6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</v>
      </c>
      <c r="BJ2283">
        <v>1.1000000000000001</v>
      </c>
      <c r="BK2283">
        <v>2</v>
      </c>
      <c r="BL2283">
        <v>71.2</v>
      </c>
      <c r="BM2283">
        <v>10.68</v>
      </c>
      <c r="BN2283">
        <v>81.88</v>
      </c>
      <c r="BO2283">
        <v>81.88</v>
      </c>
      <c r="BQ2283" t="s">
        <v>417</v>
      </c>
      <c r="BR2283" t="s">
        <v>84</v>
      </c>
      <c r="BS2283" s="3">
        <v>45855</v>
      </c>
      <c r="BT2283" s="4">
        <v>0.41666666666666669</v>
      </c>
      <c r="BU2283" t="s">
        <v>650</v>
      </c>
      <c r="BV2283" t="s">
        <v>98</v>
      </c>
      <c r="BY2283">
        <v>5320</v>
      </c>
      <c r="BZ2283" t="s">
        <v>89</v>
      </c>
      <c r="CC2283" t="s">
        <v>136</v>
      </c>
      <c r="CD2283">
        <v>3201</v>
      </c>
      <c r="CE2283" t="s">
        <v>117</v>
      </c>
      <c r="CF2283" s="3">
        <v>45856</v>
      </c>
      <c r="CI2283">
        <v>1</v>
      </c>
      <c r="CJ2283">
        <v>1</v>
      </c>
      <c r="CK2283">
        <v>21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"080066604671"</f>
        <v>080066604671</v>
      </c>
      <c r="F2284" s="3">
        <v>45854</v>
      </c>
      <c r="G2284">
        <v>202604</v>
      </c>
      <c r="H2284" t="s">
        <v>75</v>
      </c>
      <c r="I2284" t="s">
        <v>76</v>
      </c>
      <c r="J2284" t="s">
        <v>77</v>
      </c>
      <c r="K2284" t="s">
        <v>78</v>
      </c>
      <c r="L2284" t="s">
        <v>135</v>
      </c>
      <c r="M2284" t="s">
        <v>136</v>
      </c>
      <c r="N2284" t="s">
        <v>2717</v>
      </c>
      <c r="O2284" t="s">
        <v>82</v>
      </c>
      <c r="P2284" t="str">
        <f>"4170049130                    "</f>
        <v xml:space="preserve">4170049130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22.6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71.2</v>
      </c>
      <c r="BM2284">
        <v>10.68</v>
      </c>
      <c r="BN2284">
        <v>81.88</v>
      </c>
      <c r="BO2284">
        <v>81.88</v>
      </c>
      <c r="BQ2284" t="s">
        <v>2718</v>
      </c>
      <c r="BR2284" t="s">
        <v>84</v>
      </c>
      <c r="BS2284" s="3">
        <v>45856</v>
      </c>
      <c r="BT2284" s="4">
        <v>0.41666666666666669</v>
      </c>
      <c r="BU2284" t="s">
        <v>2719</v>
      </c>
      <c r="BV2284" t="s">
        <v>86</v>
      </c>
      <c r="BY2284">
        <v>1200</v>
      </c>
      <c r="CC2284" t="s">
        <v>136</v>
      </c>
      <c r="CD2284">
        <v>3200</v>
      </c>
      <c r="CE2284" t="s">
        <v>121</v>
      </c>
      <c r="CF2284" s="3">
        <v>45856</v>
      </c>
      <c r="CI2284">
        <v>1</v>
      </c>
      <c r="CJ2284">
        <v>2</v>
      </c>
      <c r="CK2284">
        <v>21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"080066604693"</f>
        <v>080066604693</v>
      </c>
      <c r="F2285" s="3">
        <v>45854</v>
      </c>
      <c r="G2285">
        <v>202604</v>
      </c>
      <c r="H2285" t="s">
        <v>75</v>
      </c>
      <c r="I2285" t="s">
        <v>76</v>
      </c>
      <c r="J2285" t="s">
        <v>77</v>
      </c>
      <c r="K2285" t="s">
        <v>78</v>
      </c>
      <c r="L2285" t="s">
        <v>92</v>
      </c>
      <c r="M2285" t="s">
        <v>93</v>
      </c>
      <c r="N2285" t="s">
        <v>334</v>
      </c>
      <c r="O2285" t="s">
        <v>82</v>
      </c>
      <c r="P2285" t="str">
        <f>"4170049115                    "</f>
        <v xml:space="preserve">4170049115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22.6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71.2</v>
      </c>
      <c r="BM2285">
        <v>10.68</v>
      </c>
      <c r="BN2285">
        <v>81.88</v>
      </c>
      <c r="BO2285">
        <v>81.88</v>
      </c>
      <c r="BQ2285" t="s">
        <v>335</v>
      </c>
      <c r="BR2285" t="s">
        <v>84</v>
      </c>
      <c r="BS2285" s="3">
        <v>45855</v>
      </c>
      <c r="BT2285" s="4">
        <v>0.43888888888888888</v>
      </c>
      <c r="BU2285" t="s">
        <v>336</v>
      </c>
      <c r="BV2285" t="s">
        <v>86</v>
      </c>
      <c r="BW2285" t="s">
        <v>219</v>
      </c>
      <c r="BX2285" t="s">
        <v>220</v>
      </c>
      <c r="BY2285">
        <v>1200</v>
      </c>
      <c r="BZ2285" t="s">
        <v>89</v>
      </c>
      <c r="CA2285" t="s">
        <v>337</v>
      </c>
      <c r="CC2285" t="s">
        <v>93</v>
      </c>
      <c r="CD2285">
        <v>4052</v>
      </c>
      <c r="CE2285" t="s">
        <v>239</v>
      </c>
      <c r="CF2285" s="3">
        <v>45855</v>
      </c>
      <c r="CI2285">
        <v>1</v>
      </c>
      <c r="CJ2285">
        <v>1</v>
      </c>
      <c r="CK2285">
        <v>21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"080066605690"</f>
        <v>080066605690</v>
      </c>
      <c r="F2286" s="3">
        <v>45854</v>
      </c>
      <c r="G2286">
        <v>202604</v>
      </c>
      <c r="H2286" t="s">
        <v>75</v>
      </c>
      <c r="I2286" t="s">
        <v>76</v>
      </c>
      <c r="J2286" t="s">
        <v>77</v>
      </c>
      <c r="K2286" t="s">
        <v>78</v>
      </c>
      <c r="L2286" t="s">
        <v>329</v>
      </c>
      <c r="M2286" t="s">
        <v>330</v>
      </c>
      <c r="N2286" t="s">
        <v>331</v>
      </c>
      <c r="O2286" t="s">
        <v>82</v>
      </c>
      <c r="P2286" t="str">
        <f>"4170049150                    "</f>
        <v xml:space="preserve">4170049150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43.78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137.94</v>
      </c>
      <c r="BM2286">
        <v>20.69</v>
      </c>
      <c r="BN2286">
        <v>158.63</v>
      </c>
      <c r="BO2286">
        <v>158.63</v>
      </c>
      <c r="BQ2286" t="s">
        <v>332</v>
      </c>
      <c r="BR2286" t="s">
        <v>84</v>
      </c>
      <c r="BS2286" s="3">
        <v>45855</v>
      </c>
      <c r="BT2286" s="4">
        <v>0.43125000000000002</v>
      </c>
      <c r="BU2286" t="s">
        <v>333</v>
      </c>
      <c r="BV2286" t="s">
        <v>98</v>
      </c>
      <c r="BY2286">
        <v>1200</v>
      </c>
      <c r="BZ2286" t="s">
        <v>89</v>
      </c>
      <c r="CA2286" t="s">
        <v>1153</v>
      </c>
      <c r="CC2286" t="s">
        <v>330</v>
      </c>
      <c r="CD2286">
        <v>6300</v>
      </c>
      <c r="CE2286" t="s">
        <v>239</v>
      </c>
      <c r="CF2286" s="3">
        <v>45855</v>
      </c>
      <c r="CI2286">
        <v>2</v>
      </c>
      <c r="CJ2286">
        <v>1</v>
      </c>
      <c r="CK2286">
        <v>23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"080066605732"</f>
        <v>080066605732</v>
      </c>
      <c r="F2287" s="3">
        <v>45854</v>
      </c>
      <c r="G2287">
        <v>202604</v>
      </c>
      <c r="H2287" t="s">
        <v>75</v>
      </c>
      <c r="I2287" t="s">
        <v>76</v>
      </c>
      <c r="J2287" t="s">
        <v>77</v>
      </c>
      <c r="K2287" t="s">
        <v>78</v>
      </c>
      <c r="L2287" t="s">
        <v>305</v>
      </c>
      <c r="M2287" t="s">
        <v>306</v>
      </c>
      <c r="N2287" t="s">
        <v>1154</v>
      </c>
      <c r="O2287" t="s">
        <v>82</v>
      </c>
      <c r="P2287" t="str">
        <f>"4170047638                    "</f>
        <v xml:space="preserve">4170047638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22.6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71.2</v>
      </c>
      <c r="BM2287">
        <v>10.68</v>
      </c>
      <c r="BN2287">
        <v>81.88</v>
      </c>
      <c r="BO2287">
        <v>81.88</v>
      </c>
      <c r="BQ2287" t="s">
        <v>1155</v>
      </c>
      <c r="BR2287" t="s">
        <v>84</v>
      </c>
      <c r="BS2287" s="3">
        <v>45855</v>
      </c>
      <c r="BT2287" s="4">
        <v>0.60416666666666663</v>
      </c>
      <c r="BU2287" t="s">
        <v>2720</v>
      </c>
      <c r="BV2287" t="s">
        <v>86</v>
      </c>
      <c r="BY2287">
        <v>1200</v>
      </c>
      <c r="BZ2287" t="s">
        <v>89</v>
      </c>
      <c r="CA2287" t="s">
        <v>1157</v>
      </c>
      <c r="CC2287" t="s">
        <v>306</v>
      </c>
      <c r="CD2287">
        <v>5201</v>
      </c>
      <c r="CE2287" t="s">
        <v>121</v>
      </c>
      <c r="CF2287" s="3">
        <v>45855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"080066605834"</f>
        <v>080066605834</v>
      </c>
      <c r="F2288" s="3">
        <v>45854</v>
      </c>
      <c r="G2288">
        <v>202604</v>
      </c>
      <c r="H2288" t="s">
        <v>75</v>
      </c>
      <c r="I2288" t="s">
        <v>76</v>
      </c>
      <c r="J2288" t="s">
        <v>77</v>
      </c>
      <c r="K2288" t="s">
        <v>78</v>
      </c>
      <c r="L2288" t="s">
        <v>92</v>
      </c>
      <c r="M2288" t="s">
        <v>93</v>
      </c>
      <c r="N2288" t="s">
        <v>2721</v>
      </c>
      <c r="O2288" t="s">
        <v>82</v>
      </c>
      <c r="P2288" t="str">
        <f>"4170049148                    "</f>
        <v xml:space="preserve">4170049148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22.6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71.2</v>
      </c>
      <c r="BM2288">
        <v>10.68</v>
      </c>
      <c r="BN2288">
        <v>81.88</v>
      </c>
      <c r="BO2288">
        <v>81.88</v>
      </c>
      <c r="BQ2288" t="s">
        <v>2722</v>
      </c>
      <c r="BR2288" t="s">
        <v>84</v>
      </c>
      <c r="BS2288" s="3">
        <v>45855</v>
      </c>
      <c r="BT2288" s="4">
        <v>0.50763888888888886</v>
      </c>
      <c r="BU2288" t="s">
        <v>2723</v>
      </c>
      <c r="BV2288" t="s">
        <v>86</v>
      </c>
      <c r="BW2288" t="s">
        <v>194</v>
      </c>
      <c r="BX2288" t="s">
        <v>739</v>
      </c>
      <c r="BY2288">
        <v>1200</v>
      </c>
      <c r="BZ2288" t="s">
        <v>89</v>
      </c>
      <c r="CA2288" t="s">
        <v>491</v>
      </c>
      <c r="CC2288" t="s">
        <v>93</v>
      </c>
      <c r="CD2288">
        <v>4000</v>
      </c>
      <c r="CE2288" t="s">
        <v>239</v>
      </c>
      <c r="CF2288" s="3">
        <v>45856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"080066605887"</f>
        <v>080066605887</v>
      </c>
      <c r="F2289" s="3">
        <v>45854</v>
      </c>
      <c r="G2289">
        <v>202604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1855</v>
      </c>
      <c r="O2289" t="s">
        <v>95</v>
      </c>
      <c r="P2289" t="str">
        <f>"4170049143                    "</f>
        <v xml:space="preserve">4170049143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53.44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17</v>
      </c>
      <c r="BJ2289">
        <v>34.200000000000003</v>
      </c>
      <c r="BK2289">
        <v>35</v>
      </c>
      <c r="BL2289">
        <v>174.23</v>
      </c>
      <c r="BM2289">
        <v>26.13</v>
      </c>
      <c r="BN2289">
        <v>200.36</v>
      </c>
      <c r="BO2289">
        <v>200.36</v>
      </c>
      <c r="BQ2289" t="s">
        <v>1856</v>
      </c>
      <c r="BR2289" t="s">
        <v>84</v>
      </c>
      <c r="BS2289" s="3">
        <v>45855</v>
      </c>
      <c r="BT2289" s="4">
        <v>0.34930555555555554</v>
      </c>
      <c r="BU2289" t="s">
        <v>212</v>
      </c>
      <c r="BV2289" t="s">
        <v>98</v>
      </c>
      <c r="BY2289">
        <v>171120</v>
      </c>
      <c r="BZ2289" t="s">
        <v>99</v>
      </c>
      <c r="CA2289" t="s">
        <v>304</v>
      </c>
      <c r="CC2289" t="s">
        <v>76</v>
      </c>
      <c r="CD2289">
        <v>1600</v>
      </c>
      <c r="CE2289" t="s">
        <v>117</v>
      </c>
      <c r="CF2289" s="3">
        <v>45855</v>
      </c>
      <c r="CI2289">
        <v>1</v>
      </c>
      <c r="CJ2289">
        <v>1</v>
      </c>
      <c r="CK2289">
        <v>42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"080066606011"</f>
        <v>080066606011</v>
      </c>
      <c r="F2290" s="3">
        <v>45854</v>
      </c>
      <c r="G2290">
        <v>202604</v>
      </c>
      <c r="H2290" t="s">
        <v>75</v>
      </c>
      <c r="I2290" t="s">
        <v>76</v>
      </c>
      <c r="J2290" t="s">
        <v>77</v>
      </c>
      <c r="K2290" t="s">
        <v>78</v>
      </c>
      <c r="L2290" t="s">
        <v>240</v>
      </c>
      <c r="M2290" t="s">
        <v>241</v>
      </c>
      <c r="N2290" t="s">
        <v>610</v>
      </c>
      <c r="O2290" t="s">
        <v>82</v>
      </c>
      <c r="P2290" t="str">
        <f>"4170049119                    "</f>
        <v xml:space="preserve">4170049119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17.649999999999999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1.7</v>
      </c>
      <c r="BK2290">
        <v>2</v>
      </c>
      <c r="BL2290">
        <v>55.61</v>
      </c>
      <c r="BM2290">
        <v>8.34</v>
      </c>
      <c r="BN2290">
        <v>63.95</v>
      </c>
      <c r="BO2290">
        <v>63.95</v>
      </c>
      <c r="BQ2290" t="s">
        <v>611</v>
      </c>
      <c r="BR2290" t="s">
        <v>84</v>
      </c>
      <c r="BS2290" s="3">
        <v>45855</v>
      </c>
      <c r="BT2290" s="4">
        <v>0.40972222222222221</v>
      </c>
      <c r="BU2290" t="s">
        <v>1629</v>
      </c>
      <c r="BV2290" t="s">
        <v>98</v>
      </c>
      <c r="BY2290">
        <v>8512</v>
      </c>
      <c r="BZ2290" t="s">
        <v>89</v>
      </c>
      <c r="CA2290" t="s">
        <v>451</v>
      </c>
      <c r="CC2290" t="s">
        <v>241</v>
      </c>
      <c r="CD2290">
        <v>2197</v>
      </c>
      <c r="CE2290" t="s">
        <v>117</v>
      </c>
      <c r="CF2290" s="3">
        <v>45855</v>
      </c>
      <c r="CI2290">
        <v>1</v>
      </c>
      <c r="CJ2290">
        <v>1</v>
      </c>
      <c r="CK2290">
        <v>22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"080066606072"</f>
        <v>080066606072</v>
      </c>
      <c r="F2291" s="3">
        <v>45854</v>
      </c>
      <c r="G2291">
        <v>202604</v>
      </c>
      <c r="H2291" t="s">
        <v>75</v>
      </c>
      <c r="I2291" t="s">
        <v>76</v>
      </c>
      <c r="J2291" t="s">
        <v>77</v>
      </c>
      <c r="K2291" t="s">
        <v>78</v>
      </c>
      <c r="L2291" t="s">
        <v>79</v>
      </c>
      <c r="M2291" t="s">
        <v>80</v>
      </c>
      <c r="N2291" t="s">
        <v>141</v>
      </c>
      <c r="O2291" t="s">
        <v>82</v>
      </c>
      <c r="P2291" t="str">
        <f>"4170049145                    "</f>
        <v xml:space="preserve">4170049145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33.89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3</v>
      </c>
      <c r="BJ2291">
        <v>1.7</v>
      </c>
      <c r="BK2291">
        <v>3</v>
      </c>
      <c r="BL2291">
        <v>106.77</v>
      </c>
      <c r="BM2291">
        <v>16.02</v>
      </c>
      <c r="BN2291">
        <v>122.79</v>
      </c>
      <c r="BO2291">
        <v>122.79</v>
      </c>
      <c r="BQ2291" t="s">
        <v>142</v>
      </c>
      <c r="BR2291" t="s">
        <v>84</v>
      </c>
      <c r="BS2291" s="3">
        <v>45855</v>
      </c>
      <c r="BT2291" s="4">
        <v>0.40277777777777779</v>
      </c>
      <c r="BU2291" t="s">
        <v>2437</v>
      </c>
      <c r="BV2291" t="s">
        <v>98</v>
      </c>
      <c r="BY2291">
        <v>8512</v>
      </c>
      <c r="BZ2291" t="s">
        <v>89</v>
      </c>
      <c r="CA2291" t="s">
        <v>144</v>
      </c>
      <c r="CC2291" t="s">
        <v>80</v>
      </c>
      <c r="CD2291">
        <v>7441</v>
      </c>
      <c r="CE2291" t="s">
        <v>117</v>
      </c>
      <c r="CF2291" s="3">
        <v>45856</v>
      </c>
      <c r="CI2291">
        <v>1</v>
      </c>
      <c r="CJ2291">
        <v>1</v>
      </c>
      <c r="CK2291">
        <v>21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"080066606120"</f>
        <v>080066606120</v>
      </c>
      <c r="F2292" s="3">
        <v>45854</v>
      </c>
      <c r="G2292">
        <v>202604</v>
      </c>
      <c r="H2292" t="s">
        <v>75</v>
      </c>
      <c r="I2292" t="s">
        <v>76</v>
      </c>
      <c r="J2292" t="s">
        <v>77</v>
      </c>
      <c r="K2292" t="s">
        <v>78</v>
      </c>
      <c r="L2292" t="s">
        <v>452</v>
      </c>
      <c r="M2292" t="s">
        <v>453</v>
      </c>
      <c r="N2292" t="s">
        <v>968</v>
      </c>
      <c r="O2292" t="s">
        <v>82</v>
      </c>
      <c r="P2292" t="str">
        <f>"4170049137                    "</f>
        <v xml:space="preserve">4170049137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17.649999999999999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</v>
      </c>
      <c r="BJ2292">
        <v>2.4</v>
      </c>
      <c r="BK2292">
        <v>3</v>
      </c>
      <c r="BL2292">
        <v>55.61</v>
      </c>
      <c r="BM2292">
        <v>8.34</v>
      </c>
      <c r="BN2292">
        <v>63.95</v>
      </c>
      <c r="BO2292">
        <v>63.95</v>
      </c>
      <c r="BQ2292" t="s">
        <v>1098</v>
      </c>
      <c r="BR2292" t="s">
        <v>84</v>
      </c>
      <c r="BS2292" s="3">
        <v>45855</v>
      </c>
      <c r="BT2292" s="4">
        <v>0.42430555555555555</v>
      </c>
      <c r="BU2292" t="s">
        <v>2724</v>
      </c>
      <c r="BV2292" t="s">
        <v>98</v>
      </c>
      <c r="BY2292">
        <v>11970</v>
      </c>
      <c r="BZ2292" t="s">
        <v>89</v>
      </c>
      <c r="CA2292" t="s">
        <v>997</v>
      </c>
      <c r="CC2292" t="s">
        <v>453</v>
      </c>
      <c r="CD2292">
        <v>1559</v>
      </c>
      <c r="CE2292" t="s">
        <v>91</v>
      </c>
      <c r="CF2292" s="3">
        <v>45855</v>
      </c>
      <c r="CI2292">
        <v>1</v>
      </c>
      <c r="CJ2292">
        <v>1</v>
      </c>
      <c r="CK2292">
        <v>22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"080066606165"</f>
        <v>080066606165</v>
      </c>
      <c r="F2293" s="3">
        <v>45854</v>
      </c>
      <c r="G2293">
        <v>202604</v>
      </c>
      <c r="H2293" t="s">
        <v>75</v>
      </c>
      <c r="I2293" t="s">
        <v>76</v>
      </c>
      <c r="J2293" t="s">
        <v>77</v>
      </c>
      <c r="K2293" t="s">
        <v>78</v>
      </c>
      <c r="L2293" t="s">
        <v>295</v>
      </c>
      <c r="M2293" t="s">
        <v>296</v>
      </c>
      <c r="N2293" t="s">
        <v>1043</v>
      </c>
      <c r="O2293" t="s">
        <v>311</v>
      </c>
      <c r="P2293" t="str">
        <f>"4170049102                    "</f>
        <v xml:space="preserve">4170049102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17.66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8</v>
      </c>
      <c r="BJ2293">
        <v>5.3</v>
      </c>
      <c r="BK2293">
        <v>8</v>
      </c>
      <c r="BL2293">
        <v>55.63</v>
      </c>
      <c r="BM2293">
        <v>8.34</v>
      </c>
      <c r="BN2293">
        <v>63.97</v>
      </c>
      <c r="BO2293">
        <v>63.97</v>
      </c>
      <c r="BQ2293" t="s">
        <v>1044</v>
      </c>
      <c r="BR2293" t="s">
        <v>84</v>
      </c>
      <c r="BS2293" s="3">
        <v>45855</v>
      </c>
      <c r="BT2293" s="4">
        <v>0.39305555555555555</v>
      </c>
      <c r="BU2293" t="s">
        <v>1672</v>
      </c>
      <c r="BV2293" t="s">
        <v>98</v>
      </c>
      <c r="BY2293">
        <v>26656</v>
      </c>
      <c r="BZ2293" t="s">
        <v>99</v>
      </c>
      <c r="CA2293" t="s">
        <v>300</v>
      </c>
      <c r="CC2293" t="s">
        <v>296</v>
      </c>
      <c r="CD2293">
        <v>1459</v>
      </c>
      <c r="CE2293" t="s">
        <v>91</v>
      </c>
      <c r="CF2293" s="3">
        <v>45855</v>
      </c>
      <c r="CI2293">
        <v>1</v>
      </c>
      <c r="CJ2293">
        <v>1</v>
      </c>
      <c r="CK2293">
        <v>32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"080066606663"</f>
        <v>080066606663</v>
      </c>
      <c r="F2294" s="3">
        <v>45854</v>
      </c>
      <c r="G2294">
        <v>202604</v>
      </c>
      <c r="H2294" t="s">
        <v>75</v>
      </c>
      <c r="I2294" t="s">
        <v>76</v>
      </c>
      <c r="J2294" t="s">
        <v>77</v>
      </c>
      <c r="K2294" t="s">
        <v>78</v>
      </c>
      <c r="L2294" t="s">
        <v>79</v>
      </c>
      <c r="M2294" t="s">
        <v>80</v>
      </c>
      <c r="N2294" t="s">
        <v>141</v>
      </c>
      <c r="O2294" t="s">
        <v>82</v>
      </c>
      <c r="P2294" t="str">
        <f>"4170049105                    "</f>
        <v xml:space="preserve">4170049105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191.95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17</v>
      </c>
      <c r="BJ2294">
        <v>8.9</v>
      </c>
      <c r="BK2294">
        <v>17</v>
      </c>
      <c r="BL2294">
        <v>604.75</v>
      </c>
      <c r="BM2294">
        <v>90.71</v>
      </c>
      <c r="BN2294">
        <v>695.46</v>
      </c>
      <c r="BO2294">
        <v>695.46</v>
      </c>
      <c r="BQ2294" t="s">
        <v>142</v>
      </c>
      <c r="BR2294" t="s">
        <v>84</v>
      </c>
      <c r="BS2294" s="3">
        <v>45855</v>
      </c>
      <c r="BT2294" s="4">
        <v>0.40277777777777779</v>
      </c>
      <c r="BU2294" t="s">
        <v>2437</v>
      </c>
      <c r="BV2294" t="s">
        <v>98</v>
      </c>
      <c r="BY2294">
        <v>44640</v>
      </c>
      <c r="BZ2294" t="s">
        <v>89</v>
      </c>
      <c r="CA2294" t="s">
        <v>144</v>
      </c>
      <c r="CC2294" t="s">
        <v>80</v>
      </c>
      <c r="CD2294">
        <v>7441</v>
      </c>
      <c r="CE2294" t="s">
        <v>117</v>
      </c>
      <c r="CF2294" s="3">
        <v>45856</v>
      </c>
      <c r="CI2294">
        <v>1</v>
      </c>
      <c r="CJ2294">
        <v>1</v>
      </c>
      <c r="CK2294">
        <v>21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"080066606738"</f>
        <v>080066606738</v>
      </c>
      <c r="F2295" s="3">
        <v>45854</v>
      </c>
      <c r="G2295">
        <v>202604</v>
      </c>
      <c r="H2295" t="s">
        <v>75</v>
      </c>
      <c r="I2295" t="s">
        <v>76</v>
      </c>
      <c r="J2295" t="s">
        <v>77</v>
      </c>
      <c r="K2295" t="s">
        <v>78</v>
      </c>
      <c r="L2295" t="s">
        <v>92</v>
      </c>
      <c r="M2295" t="s">
        <v>93</v>
      </c>
      <c r="N2295" t="s">
        <v>334</v>
      </c>
      <c r="O2295" t="s">
        <v>82</v>
      </c>
      <c r="P2295" t="str">
        <f>"4170049155                    "</f>
        <v xml:space="preserve">4170049155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22.6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71.2</v>
      </c>
      <c r="BM2295">
        <v>10.68</v>
      </c>
      <c r="BN2295">
        <v>81.88</v>
      </c>
      <c r="BO2295">
        <v>81.88</v>
      </c>
      <c r="BQ2295" t="s">
        <v>335</v>
      </c>
      <c r="BR2295" t="s">
        <v>84</v>
      </c>
      <c r="BS2295" s="3">
        <v>45855</v>
      </c>
      <c r="BT2295" s="4">
        <v>0.43888888888888888</v>
      </c>
      <c r="BU2295" t="s">
        <v>336</v>
      </c>
      <c r="BV2295" t="s">
        <v>86</v>
      </c>
      <c r="BW2295" t="s">
        <v>219</v>
      </c>
      <c r="BX2295" t="s">
        <v>220</v>
      </c>
      <c r="BY2295">
        <v>1200</v>
      </c>
      <c r="BZ2295" t="s">
        <v>89</v>
      </c>
      <c r="CA2295" t="s">
        <v>337</v>
      </c>
      <c r="CC2295" t="s">
        <v>93</v>
      </c>
      <c r="CD2295">
        <v>4052</v>
      </c>
      <c r="CE2295" t="s">
        <v>239</v>
      </c>
      <c r="CF2295" s="3">
        <v>45855</v>
      </c>
      <c r="CI2295">
        <v>1</v>
      </c>
      <c r="CJ2295">
        <v>1</v>
      </c>
      <c r="CK2295">
        <v>21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"080066606782"</f>
        <v>080066606782</v>
      </c>
      <c r="F2296" s="3">
        <v>45854</v>
      </c>
      <c r="G2296">
        <v>202604</v>
      </c>
      <c r="H2296" t="s">
        <v>75</v>
      </c>
      <c r="I2296" t="s">
        <v>76</v>
      </c>
      <c r="J2296" t="s">
        <v>77</v>
      </c>
      <c r="K2296" t="s">
        <v>78</v>
      </c>
      <c r="L2296" t="s">
        <v>79</v>
      </c>
      <c r="M2296" t="s">
        <v>80</v>
      </c>
      <c r="N2296" t="s">
        <v>1083</v>
      </c>
      <c r="O2296" t="s">
        <v>82</v>
      </c>
      <c r="P2296" t="str">
        <f>"4170049146                    "</f>
        <v xml:space="preserve">4170049146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22.6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71.2</v>
      </c>
      <c r="BM2296">
        <v>10.68</v>
      </c>
      <c r="BN2296">
        <v>81.88</v>
      </c>
      <c r="BO2296">
        <v>81.88</v>
      </c>
      <c r="BQ2296" t="s">
        <v>1084</v>
      </c>
      <c r="BR2296" t="s">
        <v>84</v>
      </c>
      <c r="BS2296" s="3">
        <v>45855</v>
      </c>
      <c r="BT2296" s="4">
        <v>0.42291666666666666</v>
      </c>
      <c r="BU2296" t="s">
        <v>2725</v>
      </c>
      <c r="BV2296" t="s">
        <v>98</v>
      </c>
      <c r="BY2296">
        <v>1200</v>
      </c>
      <c r="BZ2296" t="s">
        <v>89</v>
      </c>
      <c r="CC2296" t="s">
        <v>80</v>
      </c>
      <c r="CD2296">
        <v>8001</v>
      </c>
      <c r="CE2296" t="s">
        <v>239</v>
      </c>
      <c r="CF2296" s="3">
        <v>45856</v>
      </c>
      <c r="CI2296">
        <v>1</v>
      </c>
      <c r="CJ2296">
        <v>1</v>
      </c>
      <c r="CK2296">
        <v>21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"080066606833"</f>
        <v>080066606833</v>
      </c>
      <c r="F2297" s="3">
        <v>45854</v>
      </c>
      <c r="G2297">
        <v>202604</v>
      </c>
      <c r="H2297" t="s">
        <v>75</v>
      </c>
      <c r="I2297" t="s">
        <v>76</v>
      </c>
      <c r="J2297" t="s">
        <v>77</v>
      </c>
      <c r="K2297" t="s">
        <v>78</v>
      </c>
      <c r="L2297" t="s">
        <v>554</v>
      </c>
      <c r="M2297" t="s">
        <v>555</v>
      </c>
      <c r="N2297" t="s">
        <v>2163</v>
      </c>
      <c r="O2297" t="s">
        <v>82</v>
      </c>
      <c r="P2297" t="str">
        <f>"4170049147                    "</f>
        <v xml:space="preserve">4170049147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22.6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71.2</v>
      </c>
      <c r="BM2297">
        <v>10.68</v>
      </c>
      <c r="BN2297">
        <v>81.88</v>
      </c>
      <c r="BO2297">
        <v>81.88</v>
      </c>
      <c r="BQ2297" t="s">
        <v>2164</v>
      </c>
      <c r="BR2297" t="s">
        <v>84</v>
      </c>
      <c r="BS2297" s="3">
        <v>45855</v>
      </c>
      <c r="BT2297" s="4">
        <v>0.34722222222222221</v>
      </c>
      <c r="BU2297" t="s">
        <v>1140</v>
      </c>
      <c r="BV2297" t="s">
        <v>98</v>
      </c>
      <c r="BY2297">
        <v>1200</v>
      </c>
      <c r="BZ2297" t="s">
        <v>89</v>
      </c>
      <c r="CA2297" t="s">
        <v>156</v>
      </c>
      <c r="CC2297" t="s">
        <v>555</v>
      </c>
      <c r="CD2297" s="5" t="s">
        <v>560</v>
      </c>
      <c r="CE2297" t="s">
        <v>239</v>
      </c>
      <c r="CF2297" s="3">
        <v>45855</v>
      </c>
      <c r="CI2297">
        <v>1</v>
      </c>
      <c r="CJ2297">
        <v>1</v>
      </c>
      <c r="CK2297">
        <v>21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"080066606887"</f>
        <v>080066606887</v>
      </c>
      <c r="F2298" s="3">
        <v>45854</v>
      </c>
      <c r="G2298">
        <v>202604</v>
      </c>
      <c r="H2298" t="s">
        <v>75</v>
      </c>
      <c r="I2298" t="s">
        <v>76</v>
      </c>
      <c r="J2298" t="s">
        <v>77</v>
      </c>
      <c r="K2298" t="s">
        <v>78</v>
      </c>
      <c r="L2298" t="s">
        <v>295</v>
      </c>
      <c r="M2298" t="s">
        <v>296</v>
      </c>
      <c r="N2298" t="s">
        <v>297</v>
      </c>
      <c r="O2298" t="s">
        <v>82</v>
      </c>
      <c r="P2298" t="str">
        <f>"4170049151                    "</f>
        <v xml:space="preserve">4170049151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17.649999999999999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55.61</v>
      </c>
      <c r="BM2298">
        <v>8.34</v>
      </c>
      <c r="BN2298">
        <v>63.95</v>
      </c>
      <c r="BO2298">
        <v>63.95</v>
      </c>
      <c r="BQ2298" t="s">
        <v>298</v>
      </c>
      <c r="BR2298" t="s">
        <v>84</v>
      </c>
      <c r="BS2298" s="3">
        <v>45855</v>
      </c>
      <c r="BT2298" s="4">
        <v>0.33611111111111114</v>
      </c>
      <c r="BU2298" t="s">
        <v>299</v>
      </c>
      <c r="BV2298" t="s">
        <v>98</v>
      </c>
      <c r="BY2298">
        <v>1200</v>
      </c>
      <c r="BZ2298" t="s">
        <v>89</v>
      </c>
      <c r="CA2298" t="s">
        <v>300</v>
      </c>
      <c r="CC2298" t="s">
        <v>296</v>
      </c>
      <c r="CD2298">
        <v>1459</v>
      </c>
      <c r="CE2298" t="s">
        <v>239</v>
      </c>
      <c r="CF2298" s="3">
        <v>45855</v>
      </c>
      <c r="CI2298">
        <v>1</v>
      </c>
      <c r="CJ2298">
        <v>1</v>
      </c>
      <c r="CK2298">
        <v>22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"080066606928"</f>
        <v>080066606928</v>
      </c>
      <c r="F2299" s="3">
        <v>45854</v>
      </c>
      <c r="G2299">
        <v>202604</v>
      </c>
      <c r="H2299" t="s">
        <v>75</v>
      </c>
      <c r="I2299" t="s">
        <v>76</v>
      </c>
      <c r="J2299" t="s">
        <v>77</v>
      </c>
      <c r="K2299" t="s">
        <v>78</v>
      </c>
      <c r="L2299" t="s">
        <v>122</v>
      </c>
      <c r="M2299" t="s">
        <v>123</v>
      </c>
      <c r="N2299" t="s">
        <v>2405</v>
      </c>
      <c r="O2299" t="s">
        <v>82</v>
      </c>
      <c r="P2299" t="str">
        <f>"4170049149                    "</f>
        <v xml:space="preserve">4170049149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22.6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71.2</v>
      </c>
      <c r="BM2299">
        <v>10.68</v>
      </c>
      <c r="BN2299">
        <v>81.88</v>
      </c>
      <c r="BO2299">
        <v>81.88</v>
      </c>
      <c r="BQ2299" t="s">
        <v>2406</v>
      </c>
      <c r="BR2299" t="s">
        <v>84</v>
      </c>
      <c r="BS2299" s="3">
        <v>45855</v>
      </c>
      <c r="BT2299" s="4">
        <v>0.56180555555555556</v>
      </c>
      <c r="BU2299" t="s">
        <v>2407</v>
      </c>
      <c r="BV2299" t="s">
        <v>86</v>
      </c>
      <c r="BW2299" t="s">
        <v>219</v>
      </c>
      <c r="BX2299" t="s">
        <v>220</v>
      </c>
      <c r="BY2299">
        <v>1200</v>
      </c>
      <c r="BZ2299" t="s">
        <v>89</v>
      </c>
      <c r="CA2299" t="s">
        <v>166</v>
      </c>
      <c r="CC2299" t="s">
        <v>123</v>
      </c>
      <c r="CD2299">
        <v>3610</v>
      </c>
      <c r="CE2299" t="s">
        <v>239</v>
      </c>
      <c r="CF2299" s="3">
        <v>45855</v>
      </c>
      <c r="CI2299">
        <v>1</v>
      </c>
      <c r="CJ2299">
        <v>1</v>
      </c>
      <c r="CK2299">
        <v>21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"080066606980"</f>
        <v>080066606980</v>
      </c>
      <c r="F2300" s="3">
        <v>45854</v>
      </c>
      <c r="G2300">
        <v>202604</v>
      </c>
      <c r="H2300" t="s">
        <v>75</v>
      </c>
      <c r="I2300" t="s">
        <v>76</v>
      </c>
      <c r="J2300" t="s">
        <v>77</v>
      </c>
      <c r="K2300" t="s">
        <v>78</v>
      </c>
      <c r="L2300" t="s">
        <v>305</v>
      </c>
      <c r="M2300" t="s">
        <v>306</v>
      </c>
      <c r="N2300" t="s">
        <v>640</v>
      </c>
      <c r="O2300" t="s">
        <v>95</v>
      </c>
      <c r="P2300" t="str">
        <f>"4170049116                    "</f>
        <v xml:space="preserve">4170049116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49.11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12</v>
      </c>
      <c r="BJ2300">
        <v>17.7</v>
      </c>
      <c r="BK2300">
        <v>18</v>
      </c>
      <c r="BL2300">
        <v>160.6</v>
      </c>
      <c r="BM2300">
        <v>24.09</v>
      </c>
      <c r="BN2300">
        <v>184.69</v>
      </c>
      <c r="BO2300">
        <v>184.69</v>
      </c>
      <c r="BQ2300" t="s">
        <v>641</v>
      </c>
      <c r="BR2300" t="s">
        <v>84</v>
      </c>
      <c r="BS2300" s="3">
        <v>45856</v>
      </c>
      <c r="BT2300" s="4">
        <v>0.51458333333333328</v>
      </c>
      <c r="BU2300" t="s">
        <v>2726</v>
      </c>
      <c r="BV2300" t="s">
        <v>98</v>
      </c>
      <c r="BY2300">
        <v>88320</v>
      </c>
      <c r="CA2300" t="s">
        <v>2174</v>
      </c>
      <c r="CC2300" t="s">
        <v>306</v>
      </c>
      <c r="CD2300">
        <v>5201</v>
      </c>
      <c r="CE2300" t="s">
        <v>145</v>
      </c>
      <c r="CF2300" s="3">
        <v>45856</v>
      </c>
      <c r="CI2300">
        <v>3</v>
      </c>
      <c r="CJ2300">
        <v>2</v>
      </c>
      <c r="CK2300">
        <v>41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"080066607031"</f>
        <v>080066607031</v>
      </c>
      <c r="F2301" s="3">
        <v>45854</v>
      </c>
      <c r="G2301">
        <v>202604</v>
      </c>
      <c r="H2301" t="s">
        <v>75</v>
      </c>
      <c r="I2301" t="s">
        <v>76</v>
      </c>
      <c r="J2301" t="s">
        <v>77</v>
      </c>
      <c r="K2301" t="s">
        <v>78</v>
      </c>
      <c r="L2301" t="s">
        <v>240</v>
      </c>
      <c r="M2301" t="s">
        <v>241</v>
      </c>
      <c r="N2301" t="s">
        <v>610</v>
      </c>
      <c r="O2301" t="s">
        <v>82</v>
      </c>
      <c r="P2301" t="str">
        <f>"4170049120                    "</f>
        <v xml:space="preserve">4170049120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17.649999999999999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</v>
      </c>
      <c r="BJ2301">
        <v>2</v>
      </c>
      <c r="BK2301">
        <v>3</v>
      </c>
      <c r="BL2301">
        <v>55.61</v>
      </c>
      <c r="BM2301">
        <v>8.34</v>
      </c>
      <c r="BN2301">
        <v>63.95</v>
      </c>
      <c r="BO2301">
        <v>63.95</v>
      </c>
      <c r="BQ2301" t="s">
        <v>611</v>
      </c>
      <c r="BR2301" t="s">
        <v>84</v>
      </c>
      <c r="BS2301" s="3">
        <v>45855</v>
      </c>
      <c r="BT2301" s="4">
        <v>0.39583333333333331</v>
      </c>
      <c r="BU2301" t="s">
        <v>1629</v>
      </c>
      <c r="BV2301" t="s">
        <v>98</v>
      </c>
      <c r="BY2301">
        <v>10240</v>
      </c>
      <c r="BZ2301" t="s">
        <v>89</v>
      </c>
      <c r="CA2301" t="s">
        <v>451</v>
      </c>
      <c r="CC2301" t="s">
        <v>241</v>
      </c>
      <c r="CD2301">
        <v>2197</v>
      </c>
      <c r="CE2301" t="s">
        <v>91</v>
      </c>
      <c r="CF2301" s="3">
        <v>45855</v>
      </c>
      <c r="CI2301">
        <v>1</v>
      </c>
      <c r="CJ2301">
        <v>1</v>
      </c>
      <c r="CK2301">
        <v>22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"080066607062"</f>
        <v>080066607062</v>
      </c>
      <c r="F2302" s="3">
        <v>45854</v>
      </c>
      <c r="G2302">
        <v>202604</v>
      </c>
      <c r="H2302" t="s">
        <v>75</v>
      </c>
      <c r="I2302" t="s">
        <v>76</v>
      </c>
      <c r="J2302" t="s">
        <v>77</v>
      </c>
      <c r="K2302" t="s">
        <v>78</v>
      </c>
      <c r="L2302" t="s">
        <v>168</v>
      </c>
      <c r="M2302" t="s">
        <v>169</v>
      </c>
      <c r="N2302" t="s">
        <v>420</v>
      </c>
      <c r="O2302" t="s">
        <v>82</v>
      </c>
      <c r="P2302" t="str">
        <f>"4170049154                    "</f>
        <v xml:space="preserve">4170049154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39.53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3.4</v>
      </c>
      <c r="BK2302">
        <v>3.5</v>
      </c>
      <c r="BL2302">
        <v>124.55</v>
      </c>
      <c r="BM2302">
        <v>18.68</v>
      </c>
      <c r="BN2302">
        <v>143.22999999999999</v>
      </c>
      <c r="BO2302">
        <v>143.22999999999999</v>
      </c>
      <c r="BQ2302" t="s">
        <v>421</v>
      </c>
      <c r="BR2302" t="s">
        <v>84</v>
      </c>
      <c r="BS2302" s="3">
        <v>45855</v>
      </c>
      <c r="BT2302" s="4">
        <v>0.42499999999999999</v>
      </c>
      <c r="BU2302" t="s">
        <v>917</v>
      </c>
      <c r="BV2302" t="s">
        <v>98</v>
      </c>
      <c r="BY2302">
        <v>16800</v>
      </c>
      <c r="BZ2302" t="s">
        <v>89</v>
      </c>
      <c r="CA2302" t="s">
        <v>423</v>
      </c>
      <c r="CC2302" t="s">
        <v>169</v>
      </c>
      <c r="CD2302">
        <v>6001</v>
      </c>
      <c r="CE2302" t="s">
        <v>91</v>
      </c>
      <c r="CF2302" s="3">
        <v>45855</v>
      </c>
      <c r="CI2302">
        <v>1</v>
      </c>
      <c r="CJ2302">
        <v>1</v>
      </c>
      <c r="CK2302">
        <v>21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"080066607110"</f>
        <v>080066607110</v>
      </c>
      <c r="F2303" s="3">
        <v>45854</v>
      </c>
      <c r="G2303">
        <v>202604</v>
      </c>
      <c r="H2303" t="s">
        <v>75</v>
      </c>
      <c r="I2303" t="s">
        <v>76</v>
      </c>
      <c r="J2303" t="s">
        <v>77</v>
      </c>
      <c r="K2303" t="s">
        <v>78</v>
      </c>
      <c r="L2303" t="s">
        <v>135</v>
      </c>
      <c r="M2303" t="s">
        <v>136</v>
      </c>
      <c r="N2303" t="s">
        <v>416</v>
      </c>
      <c r="O2303" t="s">
        <v>82</v>
      </c>
      <c r="P2303" t="str">
        <f>"4170049085                    "</f>
        <v xml:space="preserve">4170049085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22.6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0.9</v>
      </c>
      <c r="BK2303">
        <v>1</v>
      </c>
      <c r="BL2303">
        <v>71.2</v>
      </c>
      <c r="BM2303">
        <v>10.68</v>
      </c>
      <c r="BN2303">
        <v>81.88</v>
      </c>
      <c r="BO2303">
        <v>81.88</v>
      </c>
      <c r="BQ2303" t="s">
        <v>417</v>
      </c>
      <c r="BR2303" t="s">
        <v>84</v>
      </c>
      <c r="BS2303" s="3">
        <v>45855</v>
      </c>
      <c r="BT2303" s="4">
        <v>0.41666666666666669</v>
      </c>
      <c r="BU2303" t="s">
        <v>650</v>
      </c>
      <c r="BV2303" t="s">
        <v>98</v>
      </c>
      <c r="BY2303">
        <v>4275</v>
      </c>
      <c r="BZ2303" t="s">
        <v>89</v>
      </c>
      <c r="CC2303" t="s">
        <v>136</v>
      </c>
      <c r="CD2303">
        <v>3201</v>
      </c>
      <c r="CE2303" t="s">
        <v>266</v>
      </c>
      <c r="CF2303" s="3">
        <v>45856</v>
      </c>
      <c r="CI2303">
        <v>1</v>
      </c>
      <c r="CJ2303">
        <v>1</v>
      </c>
      <c r="CK2303">
        <v>21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"080066607209"</f>
        <v>080066607209</v>
      </c>
      <c r="F2304" s="3">
        <v>45854</v>
      </c>
      <c r="G2304">
        <v>202604</v>
      </c>
      <c r="H2304" t="s">
        <v>75</v>
      </c>
      <c r="I2304" t="s">
        <v>76</v>
      </c>
      <c r="J2304" t="s">
        <v>77</v>
      </c>
      <c r="K2304" t="s">
        <v>78</v>
      </c>
      <c r="L2304" t="s">
        <v>168</v>
      </c>
      <c r="M2304" t="s">
        <v>169</v>
      </c>
      <c r="N2304" t="s">
        <v>202</v>
      </c>
      <c r="O2304" t="s">
        <v>82</v>
      </c>
      <c r="P2304" t="str">
        <f>"4170049158                    "</f>
        <v xml:space="preserve">4170049158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22.6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71.2</v>
      </c>
      <c r="BM2304">
        <v>10.68</v>
      </c>
      <c r="BN2304">
        <v>81.88</v>
      </c>
      <c r="BO2304">
        <v>81.88</v>
      </c>
      <c r="BQ2304" t="s">
        <v>203</v>
      </c>
      <c r="BR2304" t="s">
        <v>84</v>
      </c>
      <c r="BS2304" s="3">
        <v>45855</v>
      </c>
      <c r="BT2304" s="4">
        <v>0.40138888888888891</v>
      </c>
      <c r="BU2304" t="s">
        <v>1127</v>
      </c>
      <c r="BV2304" t="s">
        <v>98</v>
      </c>
      <c r="BY2304">
        <v>1200</v>
      </c>
      <c r="BZ2304" t="s">
        <v>89</v>
      </c>
      <c r="CA2304" t="s">
        <v>205</v>
      </c>
      <c r="CC2304" t="s">
        <v>169</v>
      </c>
      <c r="CD2304">
        <v>6001</v>
      </c>
      <c r="CE2304" t="s">
        <v>239</v>
      </c>
      <c r="CF2304" s="3">
        <v>45855</v>
      </c>
      <c r="CI2304">
        <v>1</v>
      </c>
      <c r="CJ2304">
        <v>1</v>
      </c>
      <c r="CK2304">
        <v>21</v>
      </c>
      <c r="CL2304" t="s">
        <v>86</v>
      </c>
    </row>
    <row r="2305" spans="1:91" x14ac:dyDescent="0.3">
      <c r="A2305" t="s">
        <v>72</v>
      </c>
      <c r="B2305" t="s">
        <v>73</v>
      </c>
      <c r="C2305" t="s">
        <v>74</v>
      </c>
      <c r="E2305" t="str">
        <f>"080066607275"</f>
        <v>080066607275</v>
      </c>
      <c r="F2305" s="3">
        <v>45854</v>
      </c>
      <c r="G2305">
        <v>202604</v>
      </c>
      <c r="H2305" t="s">
        <v>75</v>
      </c>
      <c r="I2305" t="s">
        <v>76</v>
      </c>
      <c r="J2305" t="s">
        <v>77</v>
      </c>
      <c r="K2305" t="s">
        <v>78</v>
      </c>
      <c r="L2305" t="s">
        <v>580</v>
      </c>
      <c r="M2305" t="s">
        <v>581</v>
      </c>
      <c r="N2305" t="s">
        <v>582</v>
      </c>
      <c r="O2305" t="s">
        <v>82</v>
      </c>
      <c r="P2305" t="str">
        <f>"4170049159                    "</f>
        <v xml:space="preserve">4170049159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22.6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71.2</v>
      </c>
      <c r="BM2305">
        <v>10.68</v>
      </c>
      <c r="BN2305">
        <v>81.88</v>
      </c>
      <c r="BO2305">
        <v>81.88</v>
      </c>
      <c r="BQ2305" t="s">
        <v>583</v>
      </c>
      <c r="BR2305" t="s">
        <v>84</v>
      </c>
      <c r="BS2305" s="3">
        <v>45855</v>
      </c>
      <c r="BT2305" s="4">
        <v>0.40972222222222221</v>
      </c>
      <c r="BU2305" t="s">
        <v>2727</v>
      </c>
      <c r="BV2305" t="s">
        <v>98</v>
      </c>
      <c r="BY2305">
        <v>1200</v>
      </c>
      <c r="BZ2305" t="s">
        <v>89</v>
      </c>
      <c r="CA2305" t="s">
        <v>2728</v>
      </c>
      <c r="CC2305" t="s">
        <v>581</v>
      </c>
      <c r="CD2305">
        <v>4302</v>
      </c>
      <c r="CE2305" t="s">
        <v>239</v>
      </c>
      <c r="CF2305" s="3">
        <v>45855</v>
      </c>
      <c r="CI2305">
        <v>1</v>
      </c>
      <c r="CJ2305">
        <v>1</v>
      </c>
      <c r="CK2305">
        <v>21</v>
      </c>
      <c r="CL2305" t="s">
        <v>86</v>
      </c>
    </row>
    <row r="2306" spans="1:91" x14ac:dyDescent="0.3">
      <c r="A2306" t="s">
        <v>72</v>
      </c>
      <c r="B2306" t="s">
        <v>73</v>
      </c>
      <c r="C2306" t="s">
        <v>74</v>
      </c>
      <c r="E2306" t="str">
        <f>"080066607310"</f>
        <v>080066607310</v>
      </c>
      <c r="F2306" s="3">
        <v>45854</v>
      </c>
      <c r="G2306">
        <v>202604</v>
      </c>
      <c r="H2306" t="s">
        <v>75</v>
      </c>
      <c r="I2306" t="s">
        <v>76</v>
      </c>
      <c r="J2306" t="s">
        <v>77</v>
      </c>
      <c r="K2306" t="s">
        <v>78</v>
      </c>
      <c r="L2306" t="s">
        <v>122</v>
      </c>
      <c r="M2306" t="s">
        <v>123</v>
      </c>
      <c r="N2306" t="s">
        <v>357</v>
      </c>
      <c r="O2306" t="s">
        <v>82</v>
      </c>
      <c r="P2306" t="str">
        <f>"4170049156                    "</f>
        <v xml:space="preserve">4170049156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22.6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71.2</v>
      </c>
      <c r="BM2306">
        <v>10.68</v>
      </c>
      <c r="BN2306">
        <v>81.88</v>
      </c>
      <c r="BO2306">
        <v>81.88</v>
      </c>
      <c r="BQ2306" t="s">
        <v>358</v>
      </c>
      <c r="BR2306" t="s">
        <v>84</v>
      </c>
      <c r="BS2306" s="3">
        <v>45855</v>
      </c>
      <c r="BT2306" s="4">
        <v>0.55486111111111114</v>
      </c>
      <c r="BU2306" t="s">
        <v>359</v>
      </c>
      <c r="BV2306" t="s">
        <v>86</v>
      </c>
      <c r="BW2306" t="s">
        <v>219</v>
      </c>
      <c r="BX2306" t="s">
        <v>220</v>
      </c>
      <c r="BY2306">
        <v>1200</v>
      </c>
      <c r="BZ2306" t="s">
        <v>89</v>
      </c>
      <c r="CA2306" t="s">
        <v>166</v>
      </c>
      <c r="CC2306" t="s">
        <v>123</v>
      </c>
      <c r="CD2306">
        <v>3610</v>
      </c>
      <c r="CE2306" t="s">
        <v>239</v>
      </c>
      <c r="CF2306" s="3">
        <v>45855</v>
      </c>
      <c r="CI2306">
        <v>1</v>
      </c>
      <c r="CJ2306">
        <v>1</v>
      </c>
      <c r="CK2306">
        <v>21</v>
      </c>
      <c r="CL2306" t="s">
        <v>86</v>
      </c>
    </row>
    <row r="2307" spans="1:91" x14ac:dyDescent="0.3">
      <c r="A2307" t="s">
        <v>72</v>
      </c>
      <c r="B2307" t="s">
        <v>73</v>
      </c>
      <c r="C2307" t="s">
        <v>74</v>
      </c>
      <c r="E2307" t="str">
        <f>"080066607371"</f>
        <v>080066607371</v>
      </c>
      <c r="F2307" s="3">
        <v>45854</v>
      </c>
      <c r="G2307">
        <v>202604</v>
      </c>
      <c r="H2307" t="s">
        <v>75</v>
      </c>
      <c r="I2307" t="s">
        <v>76</v>
      </c>
      <c r="J2307" t="s">
        <v>77</v>
      </c>
      <c r="K2307" t="s">
        <v>78</v>
      </c>
      <c r="L2307" t="s">
        <v>135</v>
      </c>
      <c r="M2307" t="s">
        <v>136</v>
      </c>
      <c r="N2307" t="s">
        <v>2729</v>
      </c>
      <c r="O2307" t="s">
        <v>82</v>
      </c>
      <c r="P2307" t="str">
        <f>"4170049144                    "</f>
        <v xml:space="preserve">4170049144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22.6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1.1000000000000001</v>
      </c>
      <c r="BK2307">
        <v>1.5</v>
      </c>
      <c r="BL2307">
        <v>71.2</v>
      </c>
      <c r="BM2307">
        <v>10.68</v>
      </c>
      <c r="BN2307">
        <v>81.88</v>
      </c>
      <c r="BO2307">
        <v>81.88</v>
      </c>
      <c r="BQ2307" t="s">
        <v>2730</v>
      </c>
      <c r="BR2307" t="s">
        <v>84</v>
      </c>
      <c r="BS2307" s="3">
        <v>45855</v>
      </c>
      <c r="BT2307" s="4">
        <v>0.41666666666666669</v>
      </c>
      <c r="BU2307" t="s">
        <v>2731</v>
      </c>
      <c r="BV2307" t="s">
        <v>98</v>
      </c>
      <c r="BY2307">
        <v>5320</v>
      </c>
      <c r="BZ2307" t="s">
        <v>89</v>
      </c>
      <c r="CA2307" t="s">
        <v>1169</v>
      </c>
      <c r="CC2307" t="s">
        <v>136</v>
      </c>
      <c r="CD2307">
        <v>3201</v>
      </c>
      <c r="CE2307" t="s">
        <v>117</v>
      </c>
      <c r="CF2307" s="3">
        <v>45855</v>
      </c>
      <c r="CI2307">
        <v>1</v>
      </c>
      <c r="CJ2307">
        <v>1</v>
      </c>
      <c r="CK2307">
        <v>21</v>
      </c>
      <c r="CL2307" t="s">
        <v>86</v>
      </c>
    </row>
    <row r="2308" spans="1:91" x14ac:dyDescent="0.3">
      <c r="A2308" t="s">
        <v>72</v>
      </c>
      <c r="B2308" t="s">
        <v>73</v>
      </c>
      <c r="C2308" t="s">
        <v>74</v>
      </c>
      <c r="E2308" t="str">
        <f>"080066607598"</f>
        <v>080066607598</v>
      </c>
      <c r="F2308" s="3">
        <v>45854</v>
      </c>
      <c r="G2308">
        <v>202604</v>
      </c>
      <c r="H2308" t="s">
        <v>75</v>
      </c>
      <c r="I2308" t="s">
        <v>76</v>
      </c>
      <c r="J2308" t="s">
        <v>77</v>
      </c>
      <c r="K2308" t="s">
        <v>78</v>
      </c>
      <c r="L2308" t="s">
        <v>146</v>
      </c>
      <c r="M2308" t="s">
        <v>146</v>
      </c>
      <c r="N2308" t="s">
        <v>986</v>
      </c>
      <c r="O2308" t="s">
        <v>95</v>
      </c>
      <c r="P2308" t="str">
        <f>"4170049142                    "</f>
        <v xml:space="preserve">4170049142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121.45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13</v>
      </c>
      <c r="BJ2308">
        <v>33.1</v>
      </c>
      <c r="BK2308">
        <v>34</v>
      </c>
      <c r="BL2308">
        <v>388.5</v>
      </c>
      <c r="BM2308">
        <v>58.28</v>
      </c>
      <c r="BN2308">
        <v>446.78</v>
      </c>
      <c r="BO2308">
        <v>446.78</v>
      </c>
      <c r="BQ2308" t="s">
        <v>987</v>
      </c>
      <c r="BR2308" t="s">
        <v>84</v>
      </c>
      <c r="BS2308" s="3">
        <v>45856</v>
      </c>
      <c r="BT2308" s="4">
        <v>0.5180555555555556</v>
      </c>
      <c r="BU2308" t="s">
        <v>2004</v>
      </c>
      <c r="BV2308" t="s">
        <v>98</v>
      </c>
      <c r="BY2308">
        <v>165600</v>
      </c>
      <c r="CA2308" t="s">
        <v>150</v>
      </c>
      <c r="CC2308" t="s">
        <v>146</v>
      </c>
      <c r="CD2308">
        <v>7646</v>
      </c>
      <c r="CE2308" t="s">
        <v>145</v>
      </c>
      <c r="CF2308" s="3">
        <v>45859</v>
      </c>
      <c r="CI2308">
        <v>3</v>
      </c>
      <c r="CJ2308">
        <v>2</v>
      </c>
      <c r="CK2308">
        <v>43</v>
      </c>
      <c r="CL2308" t="s">
        <v>86</v>
      </c>
    </row>
    <row r="2309" spans="1:91" x14ac:dyDescent="0.3">
      <c r="A2309" t="s">
        <v>72</v>
      </c>
      <c r="B2309" t="s">
        <v>73</v>
      </c>
      <c r="C2309" t="s">
        <v>74</v>
      </c>
      <c r="E2309" t="str">
        <f>"080066606315"</f>
        <v>080066606315</v>
      </c>
      <c r="F2309" s="3">
        <v>45854</v>
      </c>
      <c r="G2309">
        <v>202604</v>
      </c>
      <c r="H2309" t="s">
        <v>75</v>
      </c>
      <c r="I2309" t="s">
        <v>76</v>
      </c>
      <c r="J2309" t="s">
        <v>101</v>
      </c>
      <c r="K2309" t="s">
        <v>78</v>
      </c>
      <c r="L2309" t="s">
        <v>79</v>
      </c>
      <c r="M2309" t="s">
        <v>80</v>
      </c>
      <c r="N2309" t="s">
        <v>141</v>
      </c>
      <c r="O2309" t="s">
        <v>82</v>
      </c>
      <c r="P2309" t="str">
        <f>"4170049105                    "</f>
        <v xml:space="preserve">4170049105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17</v>
      </c>
      <c r="BJ2309">
        <v>8.9</v>
      </c>
      <c r="BK2309">
        <v>17</v>
      </c>
      <c r="BL2309">
        <v>0</v>
      </c>
      <c r="BM2309">
        <v>0</v>
      </c>
      <c r="BN2309">
        <v>0</v>
      </c>
      <c r="BO2309">
        <v>0</v>
      </c>
      <c r="BQ2309" t="s">
        <v>142</v>
      </c>
      <c r="BR2309" t="s">
        <v>106</v>
      </c>
      <c r="BS2309" s="3">
        <v>45854</v>
      </c>
      <c r="BT2309" s="4">
        <v>0.63472222222222219</v>
      </c>
      <c r="BU2309" t="s">
        <v>424</v>
      </c>
      <c r="BV2309" t="s">
        <v>98</v>
      </c>
      <c r="BY2309">
        <v>44640</v>
      </c>
      <c r="BZ2309" t="s">
        <v>425</v>
      </c>
      <c r="CA2309" t="s">
        <v>2732</v>
      </c>
      <c r="CC2309" t="s">
        <v>80</v>
      </c>
      <c r="CD2309">
        <v>7441</v>
      </c>
      <c r="CE2309" t="s">
        <v>117</v>
      </c>
      <c r="CF2309" s="3">
        <v>45855</v>
      </c>
      <c r="CI2309">
        <v>1</v>
      </c>
      <c r="CJ2309">
        <v>0</v>
      </c>
      <c r="CK2309">
        <v>-1</v>
      </c>
      <c r="CL2309" t="s">
        <v>86</v>
      </c>
    </row>
    <row r="2310" spans="1:91" x14ac:dyDescent="0.3">
      <c r="A2310" t="s">
        <v>72</v>
      </c>
      <c r="B2310" t="s">
        <v>73</v>
      </c>
      <c r="C2310" t="s">
        <v>74</v>
      </c>
      <c r="E2310" t="str">
        <f>"080066609251"</f>
        <v>080066609251</v>
      </c>
      <c r="F2310" s="3">
        <v>45854</v>
      </c>
      <c r="G2310">
        <v>202604</v>
      </c>
      <c r="H2310" t="s">
        <v>75</v>
      </c>
      <c r="I2310" t="s">
        <v>76</v>
      </c>
      <c r="J2310" t="s">
        <v>77</v>
      </c>
      <c r="K2310" t="s">
        <v>78</v>
      </c>
      <c r="L2310" t="s">
        <v>240</v>
      </c>
      <c r="M2310" t="s">
        <v>241</v>
      </c>
      <c r="N2310" t="s">
        <v>2733</v>
      </c>
      <c r="O2310" t="s">
        <v>82</v>
      </c>
      <c r="P2310" t="str">
        <f>"009943879277                  "</f>
        <v xml:space="preserve">009943879277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190.46</v>
      </c>
      <c r="AN2310">
        <v>0</v>
      </c>
      <c r="AO2310">
        <v>0</v>
      </c>
      <c r="AP2310">
        <v>0</v>
      </c>
      <c r="AQ2310">
        <v>17.649999999999999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246.07</v>
      </c>
      <c r="BM2310">
        <v>36.909999999999997</v>
      </c>
      <c r="BN2310">
        <v>282.98</v>
      </c>
      <c r="BO2310">
        <v>282.98</v>
      </c>
      <c r="BQ2310" t="s">
        <v>2734</v>
      </c>
      <c r="BR2310" t="s">
        <v>84</v>
      </c>
      <c r="BS2310" s="3">
        <v>45855</v>
      </c>
      <c r="BT2310" s="4">
        <v>0.38611111111111113</v>
      </c>
      <c r="BU2310" t="s">
        <v>2735</v>
      </c>
      <c r="BV2310" t="s">
        <v>98</v>
      </c>
      <c r="BY2310">
        <v>1200</v>
      </c>
      <c r="BZ2310" t="s">
        <v>2736</v>
      </c>
      <c r="CA2310" t="s">
        <v>2737</v>
      </c>
      <c r="CC2310" t="s">
        <v>241</v>
      </c>
      <c r="CD2310">
        <v>2145</v>
      </c>
      <c r="CE2310" t="s">
        <v>239</v>
      </c>
      <c r="CF2310" s="3">
        <v>45856</v>
      </c>
      <c r="CI2310">
        <v>1</v>
      </c>
      <c r="CJ2310">
        <v>1</v>
      </c>
      <c r="CK2310">
        <v>22</v>
      </c>
      <c r="CL2310" t="s">
        <v>98</v>
      </c>
      <c r="CM2310" s="4">
        <v>0.38611111111111113</v>
      </c>
    </row>
    <row r="2311" spans="1:91" x14ac:dyDescent="0.3">
      <c r="A2311" t="s">
        <v>72</v>
      </c>
      <c r="B2311" t="s">
        <v>73</v>
      </c>
      <c r="C2311" t="s">
        <v>74</v>
      </c>
      <c r="E2311" t="str">
        <f>"080066609540"</f>
        <v>080066609540</v>
      </c>
      <c r="F2311" s="3">
        <v>45854</v>
      </c>
      <c r="G2311">
        <v>202604</v>
      </c>
      <c r="H2311" t="s">
        <v>75</v>
      </c>
      <c r="I2311" t="s">
        <v>76</v>
      </c>
      <c r="J2311" t="s">
        <v>77</v>
      </c>
      <c r="K2311" t="s">
        <v>78</v>
      </c>
      <c r="L2311" t="s">
        <v>151</v>
      </c>
      <c r="M2311" t="s">
        <v>152</v>
      </c>
      <c r="N2311" t="s">
        <v>2738</v>
      </c>
      <c r="O2311" t="s">
        <v>95</v>
      </c>
      <c r="P2311" t="str">
        <f>"4170049167                    "</f>
        <v xml:space="preserve">4170049167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63.55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7</v>
      </c>
      <c r="BJ2311">
        <v>25.4</v>
      </c>
      <c r="BK2311">
        <v>26</v>
      </c>
      <c r="BL2311">
        <v>206.08</v>
      </c>
      <c r="BM2311">
        <v>30.91</v>
      </c>
      <c r="BN2311">
        <v>236.99</v>
      </c>
      <c r="BO2311">
        <v>236.99</v>
      </c>
      <c r="BQ2311" t="s">
        <v>2739</v>
      </c>
      <c r="BR2311" t="s">
        <v>84</v>
      </c>
      <c r="BS2311" s="3">
        <v>45855</v>
      </c>
      <c r="BT2311" s="4">
        <v>0.31597222222222221</v>
      </c>
      <c r="BU2311" t="s">
        <v>1109</v>
      </c>
      <c r="BV2311" t="s">
        <v>98</v>
      </c>
      <c r="BY2311">
        <v>127200</v>
      </c>
      <c r="BZ2311" t="s">
        <v>99</v>
      </c>
      <c r="CA2311" t="s">
        <v>1258</v>
      </c>
      <c r="CC2311" t="s">
        <v>152</v>
      </c>
      <c r="CD2311" s="5" t="s">
        <v>2740</v>
      </c>
      <c r="CE2311" t="s">
        <v>145</v>
      </c>
      <c r="CF2311" s="3">
        <v>45855</v>
      </c>
      <c r="CI2311">
        <v>1</v>
      </c>
      <c r="CJ2311">
        <v>1</v>
      </c>
      <c r="CK2311">
        <v>41</v>
      </c>
      <c r="CL2311" t="s">
        <v>86</v>
      </c>
    </row>
    <row r="2312" spans="1:91" x14ac:dyDescent="0.3">
      <c r="A2312" t="s">
        <v>72</v>
      </c>
      <c r="B2312" t="s">
        <v>73</v>
      </c>
      <c r="C2312" t="s">
        <v>74</v>
      </c>
      <c r="E2312" t="str">
        <f>"080066609576"</f>
        <v>080066609576</v>
      </c>
      <c r="F2312" s="3">
        <v>45854</v>
      </c>
      <c r="G2312">
        <v>202604</v>
      </c>
      <c r="H2312" t="s">
        <v>75</v>
      </c>
      <c r="I2312" t="s">
        <v>76</v>
      </c>
      <c r="J2312" t="s">
        <v>77</v>
      </c>
      <c r="K2312" t="s">
        <v>78</v>
      </c>
      <c r="L2312" t="s">
        <v>168</v>
      </c>
      <c r="M2312" t="s">
        <v>169</v>
      </c>
      <c r="N2312" t="s">
        <v>360</v>
      </c>
      <c r="O2312" t="s">
        <v>82</v>
      </c>
      <c r="P2312" t="str">
        <f>"4170049165                    "</f>
        <v xml:space="preserve">4170049165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146.79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13</v>
      </c>
      <c r="BJ2312">
        <v>9.6999999999999993</v>
      </c>
      <c r="BK2312">
        <v>13</v>
      </c>
      <c r="BL2312">
        <v>462.47</v>
      </c>
      <c r="BM2312">
        <v>69.37</v>
      </c>
      <c r="BN2312">
        <v>531.84</v>
      </c>
      <c r="BO2312">
        <v>531.84</v>
      </c>
      <c r="BQ2312" t="s">
        <v>361</v>
      </c>
      <c r="BR2312" t="s">
        <v>84</v>
      </c>
      <c r="BS2312" s="3">
        <v>45855</v>
      </c>
      <c r="BT2312" s="4">
        <v>0.39583333333333331</v>
      </c>
      <c r="BU2312" t="s">
        <v>2741</v>
      </c>
      <c r="BV2312" t="s">
        <v>98</v>
      </c>
      <c r="BY2312">
        <v>48400</v>
      </c>
      <c r="BZ2312" t="s">
        <v>89</v>
      </c>
      <c r="CA2312" t="s">
        <v>423</v>
      </c>
      <c r="CC2312" t="s">
        <v>169</v>
      </c>
      <c r="CD2312">
        <v>6001</v>
      </c>
      <c r="CE2312" t="s">
        <v>2742</v>
      </c>
      <c r="CF2312" s="3">
        <v>45855</v>
      </c>
      <c r="CI2312">
        <v>1</v>
      </c>
      <c r="CJ2312">
        <v>1</v>
      </c>
      <c r="CK2312">
        <v>21</v>
      </c>
      <c r="CL2312" t="s">
        <v>86</v>
      </c>
    </row>
    <row r="2313" spans="1:91" x14ac:dyDescent="0.3">
      <c r="A2313" t="s">
        <v>72</v>
      </c>
      <c r="B2313" t="s">
        <v>73</v>
      </c>
      <c r="C2313" t="s">
        <v>74</v>
      </c>
      <c r="E2313" t="str">
        <f>"080066609632"</f>
        <v>080066609632</v>
      </c>
      <c r="F2313" s="3">
        <v>45854</v>
      </c>
      <c r="G2313">
        <v>202604</v>
      </c>
      <c r="H2313" t="s">
        <v>75</v>
      </c>
      <c r="I2313" t="s">
        <v>76</v>
      </c>
      <c r="J2313" t="s">
        <v>77</v>
      </c>
      <c r="K2313" t="s">
        <v>78</v>
      </c>
      <c r="L2313" t="s">
        <v>168</v>
      </c>
      <c r="M2313" t="s">
        <v>169</v>
      </c>
      <c r="N2313" t="s">
        <v>360</v>
      </c>
      <c r="O2313" t="s">
        <v>82</v>
      </c>
      <c r="P2313" t="str">
        <f>"4170049163                    "</f>
        <v xml:space="preserve">4170049163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22.6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71.2</v>
      </c>
      <c r="BM2313">
        <v>10.68</v>
      </c>
      <c r="BN2313">
        <v>81.88</v>
      </c>
      <c r="BO2313">
        <v>81.88</v>
      </c>
      <c r="BQ2313" t="s">
        <v>361</v>
      </c>
      <c r="BR2313" t="s">
        <v>84</v>
      </c>
      <c r="BS2313" s="3">
        <v>45855</v>
      </c>
      <c r="BT2313" s="4">
        <v>0.39583333333333331</v>
      </c>
      <c r="BU2313" t="s">
        <v>1439</v>
      </c>
      <c r="BV2313" t="s">
        <v>98</v>
      </c>
      <c r="BY2313">
        <v>1200</v>
      </c>
      <c r="BZ2313" t="s">
        <v>89</v>
      </c>
      <c r="CA2313" t="s">
        <v>423</v>
      </c>
      <c r="CC2313" t="s">
        <v>169</v>
      </c>
      <c r="CD2313">
        <v>6001</v>
      </c>
      <c r="CE2313" t="s">
        <v>239</v>
      </c>
      <c r="CF2313" s="3">
        <v>45855</v>
      </c>
      <c r="CI2313">
        <v>1</v>
      </c>
      <c r="CJ2313">
        <v>1</v>
      </c>
      <c r="CK2313">
        <v>21</v>
      </c>
      <c r="CL2313" t="s">
        <v>86</v>
      </c>
    </row>
    <row r="2314" spans="1:91" x14ac:dyDescent="0.3">
      <c r="A2314" t="s">
        <v>72</v>
      </c>
      <c r="B2314" t="s">
        <v>73</v>
      </c>
      <c r="C2314" t="s">
        <v>74</v>
      </c>
      <c r="E2314" t="str">
        <f>"080066609664"</f>
        <v>080066609664</v>
      </c>
      <c r="F2314" s="3">
        <v>45854</v>
      </c>
      <c r="G2314">
        <v>202604</v>
      </c>
      <c r="H2314" t="s">
        <v>75</v>
      </c>
      <c r="I2314" t="s">
        <v>76</v>
      </c>
      <c r="J2314" t="s">
        <v>77</v>
      </c>
      <c r="K2314" t="s">
        <v>78</v>
      </c>
      <c r="L2314" t="s">
        <v>221</v>
      </c>
      <c r="M2314" t="s">
        <v>222</v>
      </c>
      <c r="N2314" t="s">
        <v>223</v>
      </c>
      <c r="O2314" t="s">
        <v>82</v>
      </c>
      <c r="P2314" t="str">
        <f>"4170049162                    "</f>
        <v xml:space="preserve">4170049162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83.33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3</v>
      </c>
      <c r="BJ2314">
        <v>3.8</v>
      </c>
      <c r="BK2314">
        <v>4</v>
      </c>
      <c r="BL2314">
        <v>262.52999999999997</v>
      </c>
      <c r="BM2314">
        <v>39.380000000000003</v>
      </c>
      <c r="BN2314">
        <v>301.91000000000003</v>
      </c>
      <c r="BO2314">
        <v>301.91000000000003</v>
      </c>
      <c r="BQ2314" t="s">
        <v>224</v>
      </c>
      <c r="BR2314" t="s">
        <v>84</v>
      </c>
      <c r="BS2314" s="3">
        <v>45855</v>
      </c>
      <c r="BT2314" s="4">
        <v>0.375</v>
      </c>
      <c r="BU2314" t="s">
        <v>225</v>
      </c>
      <c r="BV2314" t="s">
        <v>98</v>
      </c>
      <c r="BY2314">
        <v>18792</v>
      </c>
      <c r="BZ2314" t="s">
        <v>89</v>
      </c>
      <c r="CC2314" t="s">
        <v>222</v>
      </c>
      <c r="CD2314">
        <v>2740</v>
      </c>
      <c r="CE2314" t="s">
        <v>91</v>
      </c>
      <c r="CF2314" s="3">
        <v>45856</v>
      </c>
      <c r="CI2314">
        <v>1</v>
      </c>
      <c r="CJ2314">
        <v>1</v>
      </c>
      <c r="CK2314">
        <v>23</v>
      </c>
      <c r="CL2314" t="s">
        <v>86</v>
      </c>
    </row>
    <row r="2315" spans="1:91" x14ac:dyDescent="0.3">
      <c r="A2315" t="s">
        <v>72</v>
      </c>
      <c r="B2315" t="s">
        <v>73</v>
      </c>
      <c r="C2315" t="s">
        <v>74</v>
      </c>
      <c r="E2315" t="str">
        <f>"080066609702"</f>
        <v>080066609702</v>
      </c>
      <c r="F2315" s="3">
        <v>45854</v>
      </c>
      <c r="G2315">
        <v>202604</v>
      </c>
      <c r="H2315" t="s">
        <v>75</v>
      </c>
      <c r="I2315" t="s">
        <v>76</v>
      </c>
      <c r="J2315" t="s">
        <v>77</v>
      </c>
      <c r="K2315" t="s">
        <v>78</v>
      </c>
      <c r="L2315" t="s">
        <v>168</v>
      </c>
      <c r="M2315" t="s">
        <v>169</v>
      </c>
      <c r="N2315" t="s">
        <v>206</v>
      </c>
      <c r="O2315" t="s">
        <v>82</v>
      </c>
      <c r="P2315" t="str">
        <f>"4170049166                    "</f>
        <v xml:space="preserve">4170049166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56.47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5</v>
      </c>
      <c r="BJ2315">
        <v>3.4</v>
      </c>
      <c r="BK2315">
        <v>5</v>
      </c>
      <c r="BL2315">
        <v>177.91</v>
      </c>
      <c r="BM2315">
        <v>26.69</v>
      </c>
      <c r="BN2315">
        <v>204.6</v>
      </c>
      <c r="BO2315">
        <v>204.6</v>
      </c>
      <c r="BQ2315" t="s">
        <v>207</v>
      </c>
      <c r="BR2315" t="s">
        <v>84</v>
      </c>
      <c r="BS2315" s="3">
        <v>45855</v>
      </c>
      <c r="BT2315" s="4">
        <v>0.42708333333333331</v>
      </c>
      <c r="BU2315" t="s">
        <v>208</v>
      </c>
      <c r="BV2315" t="s">
        <v>98</v>
      </c>
      <c r="BY2315">
        <v>16965</v>
      </c>
      <c r="BZ2315" t="s">
        <v>89</v>
      </c>
      <c r="CA2315" t="s">
        <v>196</v>
      </c>
      <c r="CC2315" t="s">
        <v>169</v>
      </c>
      <c r="CD2315">
        <v>6001</v>
      </c>
      <c r="CE2315" t="s">
        <v>117</v>
      </c>
      <c r="CF2315" s="3">
        <v>45855</v>
      </c>
      <c r="CI2315">
        <v>1</v>
      </c>
      <c r="CJ2315">
        <v>1</v>
      </c>
      <c r="CK2315">
        <v>21</v>
      </c>
      <c r="CL2315" t="s">
        <v>86</v>
      </c>
    </row>
    <row r="2316" spans="1:91" x14ac:dyDescent="0.3">
      <c r="A2316" t="s">
        <v>72</v>
      </c>
      <c r="B2316" t="s">
        <v>73</v>
      </c>
      <c r="C2316" t="s">
        <v>74</v>
      </c>
      <c r="E2316" t="str">
        <f>"080066610161"</f>
        <v>080066610161</v>
      </c>
      <c r="F2316" s="3">
        <v>45854</v>
      </c>
      <c r="G2316">
        <v>202604</v>
      </c>
      <c r="H2316" t="s">
        <v>75</v>
      </c>
      <c r="I2316" t="s">
        <v>76</v>
      </c>
      <c r="J2316" t="s">
        <v>77</v>
      </c>
      <c r="K2316" t="s">
        <v>78</v>
      </c>
      <c r="L2316" t="s">
        <v>168</v>
      </c>
      <c r="M2316" t="s">
        <v>169</v>
      </c>
      <c r="N2316" t="s">
        <v>412</v>
      </c>
      <c r="O2316" t="s">
        <v>82</v>
      </c>
      <c r="P2316" t="str">
        <f>"4170049176                    "</f>
        <v xml:space="preserve">4170049176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214.53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19</v>
      </c>
      <c r="BJ2316">
        <v>11</v>
      </c>
      <c r="BK2316">
        <v>19</v>
      </c>
      <c r="BL2316">
        <v>675.89</v>
      </c>
      <c r="BM2316">
        <v>101.38</v>
      </c>
      <c r="BN2316">
        <v>777.27</v>
      </c>
      <c r="BO2316">
        <v>777.27</v>
      </c>
      <c r="BQ2316" t="s">
        <v>413</v>
      </c>
      <c r="BR2316" t="s">
        <v>84</v>
      </c>
      <c r="BS2316" s="3">
        <v>45855</v>
      </c>
      <c r="BT2316" s="4">
        <v>0.37638888888888888</v>
      </c>
      <c r="BU2316" t="s">
        <v>470</v>
      </c>
      <c r="BV2316" t="s">
        <v>98</v>
      </c>
      <c r="BY2316">
        <v>55080</v>
      </c>
      <c r="BZ2316" t="s">
        <v>89</v>
      </c>
      <c r="CA2316" t="s">
        <v>415</v>
      </c>
      <c r="CC2316" t="s">
        <v>169</v>
      </c>
      <c r="CD2316">
        <v>6001</v>
      </c>
      <c r="CE2316" t="s">
        <v>91</v>
      </c>
      <c r="CF2316" s="3">
        <v>45855</v>
      </c>
      <c r="CI2316">
        <v>1</v>
      </c>
      <c r="CJ2316">
        <v>1</v>
      </c>
      <c r="CK2316">
        <v>21</v>
      </c>
      <c r="CL2316" t="s">
        <v>86</v>
      </c>
    </row>
    <row r="2317" spans="1:91" x14ac:dyDescent="0.3">
      <c r="A2317" t="s">
        <v>72</v>
      </c>
      <c r="B2317" t="s">
        <v>73</v>
      </c>
      <c r="C2317" t="s">
        <v>74</v>
      </c>
      <c r="E2317" t="str">
        <f>"080066610356"</f>
        <v>080066610356</v>
      </c>
      <c r="F2317" s="3">
        <v>45854</v>
      </c>
      <c r="G2317">
        <v>202604</v>
      </c>
      <c r="H2317" t="s">
        <v>75</v>
      </c>
      <c r="I2317" t="s">
        <v>76</v>
      </c>
      <c r="J2317" t="s">
        <v>77</v>
      </c>
      <c r="K2317" t="s">
        <v>78</v>
      </c>
      <c r="L2317" t="s">
        <v>75</v>
      </c>
      <c r="M2317" t="s">
        <v>76</v>
      </c>
      <c r="N2317" t="s">
        <v>1158</v>
      </c>
      <c r="O2317" t="s">
        <v>82</v>
      </c>
      <c r="P2317" t="str">
        <f>"4170049175                    "</f>
        <v xml:space="preserve">4170049175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17.649999999999999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0.3</v>
      </c>
      <c r="BK2317">
        <v>1</v>
      </c>
      <c r="BL2317">
        <v>55.61</v>
      </c>
      <c r="BM2317">
        <v>8.34</v>
      </c>
      <c r="BN2317">
        <v>63.95</v>
      </c>
      <c r="BO2317">
        <v>63.95</v>
      </c>
      <c r="BQ2317" t="s">
        <v>1159</v>
      </c>
      <c r="BR2317" t="s">
        <v>84</v>
      </c>
      <c r="BS2317" s="3">
        <v>45855</v>
      </c>
      <c r="BT2317" s="4">
        <v>0.40902777777777777</v>
      </c>
      <c r="BU2317" t="s">
        <v>2743</v>
      </c>
      <c r="BV2317" t="s">
        <v>98</v>
      </c>
      <c r="BY2317">
        <v>1350</v>
      </c>
      <c r="BZ2317" t="s">
        <v>89</v>
      </c>
      <c r="CA2317" t="s">
        <v>304</v>
      </c>
      <c r="CC2317" t="s">
        <v>76</v>
      </c>
      <c r="CD2317">
        <v>1619</v>
      </c>
      <c r="CE2317" t="s">
        <v>1868</v>
      </c>
      <c r="CF2317" s="3">
        <v>45855</v>
      </c>
      <c r="CI2317">
        <v>1</v>
      </c>
      <c r="CJ2317">
        <v>1</v>
      </c>
      <c r="CK2317">
        <v>22</v>
      </c>
      <c r="CL2317" t="s">
        <v>86</v>
      </c>
    </row>
    <row r="2318" spans="1:91" x14ac:dyDescent="0.3">
      <c r="A2318" t="s">
        <v>72</v>
      </c>
      <c r="B2318" t="s">
        <v>73</v>
      </c>
      <c r="C2318" t="s">
        <v>74</v>
      </c>
      <c r="E2318" t="str">
        <f>"080066610406"</f>
        <v>080066610406</v>
      </c>
      <c r="F2318" s="3">
        <v>45854</v>
      </c>
      <c r="G2318">
        <v>202604</v>
      </c>
      <c r="H2318" t="s">
        <v>75</v>
      </c>
      <c r="I2318" t="s">
        <v>76</v>
      </c>
      <c r="J2318" t="s">
        <v>77</v>
      </c>
      <c r="K2318" t="s">
        <v>78</v>
      </c>
      <c r="L2318" t="s">
        <v>151</v>
      </c>
      <c r="M2318" t="s">
        <v>152</v>
      </c>
      <c r="N2318" t="s">
        <v>2250</v>
      </c>
      <c r="O2318" t="s">
        <v>82</v>
      </c>
      <c r="P2318" t="str">
        <f>"4170049170                    "</f>
        <v xml:space="preserve">4170049170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22.6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</v>
      </c>
      <c r="BJ2318">
        <v>1.7</v>
      </c>
      <c r="BK2318">
        <v>2</v>
      </c>
      <c r="BL2318">
        <v>71.2</v>
      </c>
      <c r="BM2318">
        <v>10.68</v>
      </c>
      <c r="BN2318">
        <v>81.88</v>
      </c>
      <c r="BO2318">
        <v>81.88</v>
      </c>
      <c r="BQ2318" t="s">
        <v>2251</v>
      </c>
      <c r="BR2318" t="s">
        <v>84</v>
      </c>
      <c r="BS2318" s="3">
        <v>45855</v>
      </c>
      <c r="BT2318" s="4">
        <v>0.4284722222222222</v>
      </c>
      <c r="BU2318" t="s">
        <v>2744</v>
      </c>
      <c r="BV2318" t="s">
        <v>98</v>
      </c>
      <c r="BY2318">
        <v>8512</v>
      </c>
      <c r="BZ2318" t="s">
        <v>89</v>
      </c>
      <c r="CA2318" t="s">
        <v>518</v>
      </c>
      <c r="CC2318" t="s">
        <v>152</v>
      </c>
      <c r="CD2318" s="5" t="s">
        <v>1141</v>
      </c>
      <c r="CE2318" t="s">
        <v>117</v>
      </c>
      <c r="CF2318" s="3">
        <v>45855</v>
      </c>
      <c r="CI2318">
        <v>1</v>
      </c>
      <c r="CJ2318">
        <v>1</v>
      </c>
      <c r="CK2318">
        <v>21</v>
      </c>
      <c r="CL2318" t="s">
        <v>86</v>
      </c>
    </row>
    <row r="2319" spans="1:91" x14ac:dyDescent="0.3">
      <c r="A2319" t="s">
        <v>72</v>
      </c>
      <c r="B2319" t="s">
        <v>73</v>
      </c>
      <c r="C2319" t="s">
        <v>74</v>
      </c>
      <c r="E2319" t="str">
        <f>"080066610419"</f>
        <v>080066610419</v>
      </c>
      <c r="F2319" s="3">
        <v>45854</v>
      </c>
      <c r="G2319">
        <v>202604</v>
      </c>
      <c r="H2319" t="s">
        <v>75</v>
      </c>
      <c r="I2319" t="s">
        <v>76</v>
      </c>
      <c r="J2319" t="s">
        <v>77</v>
      </c>
      <c r="K2319" t="s">
        <v>78</v>
      </c>
      <c r="L2319" t="s">
        <v>151</v>
      </c>
      <c r="M2319" t="s">
        <v>152</v>
      </c>
      <c r="N2319" t="s">
        <v>153</v>
      </c>
      <c r="O2319" t="s">
        <v>82</v>
      </c>
      <c r="P2319" t="str">
        <f>"4170049181                    "</f>
        <v xml:space="preserve">4170049181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22.6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0.3</v>
      </c>
      <c r="BK2319">
        <v>1</v>
      </c>
      <c r="BL2319">
        <v>71.2</v>
      </c>
      <c r="BM2319">
        <v>10.68</v>
      </c>
      <c r="BN2319">
        <v>81.88</v>
      </c>
      <c r="BO2319">
        <v>81.88</v>
      </c>
      <c r="BQ2319" t="s">
        <v>154</v>
      </c>
      <c r="BR2319" t="s">
        <v>84</v>
      </c>
      <c r="BS2319" s="3">
        <v>45855</v>
      </c>
      <c r="BT2319" s="4">
        <v>0.34722222222222221</v>
      </c>
      <c r="BU2319" t="s">
        <v>155</v>
      </c>
      <c r="BV2319" t="s">
        <v>98</v>
      </c>
      <c r="BY2319">
        <v>1350</v>
      </c>
      <c r="BZ2319" t="s">
        <v>89</v>
      </c>
      <c r="CA2319" t="s">
        <v>156</v>
      </c>
      <c r="CC2319" t="s">
        <v>152</v>
      </c>
      <c r="CD2319" s="5" t="s">
        <v>157</v>
      </c>
      <c r="CE2319" t="s">
        <v>1868</v>
      </c>
      <c r="CF2319" s="3">
        <v>45855</v>
      </c>
      <c r="CI2319">
        <v>1</v>
      </c>
      <c r="CJ2319">
        <v>1</v>
      </c>
      <c r="CK2319">
        <v>21</v>
      </c>
      <c r="CL2319" t="s">
        <v>86</v>
      </c>
    </row>
    <row r="2320" spans="1:91" x14ac:dyDescent="0.3">
      <c r="A2320" t="s">
        <v>72</v>
      </c>
      <c r="B2320" t="s">
        <v>73</v>
      </c>
      <c r="C2320" t="s">
        <v>74</v>
      </c>
      <c r="E2320" t="str">
        <f>"080066610437"</f>
        <v>080066610437</v>
      </c>
      <c r="F2320" s="3">
        <v>45854</v>
      </c>
      <c r="G2320">
        <v>202604</v>
      </c>
      <c r="H2320" t="s">
        <v>75</v>
      </c>
      <c r="I2320" t="s">
        <v>76</v>
      </c>
      <c r="J2320" t="s">
        <v>77</v>
      </c>
      <c r="K2320" t="s">
        <v>78</v>
      </c>
      <c r="L2320" t="s">
        <v>151</v>
      </c>
      <c r="M2320" t="s">
        <v>152</v>
      </c>
      <c r="N2320" t="s">
        <v>1759</v>
      </c>
      <c r="O2320" t="s">
        <v>95</v>
      </c>
      <c r="P2320" t="str">
        <f>"4170049172                    "</f>
        <v xml:space="preserve">4170049172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47.31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10</v>
      </c>
      <c r="BJ2320">
        <v>16.100000000000001</v>
      </c>
      <c r="BK2320">
        <v>17</v>
      </c>
      <c r="BL2320">
        <v>154.91999999999999</v>
      </c>
      <c r="BM2320">
        <v>23.24</v>
      </c>
      <c r="BN2320">
        <v>178.16</v>
      </c>
      <c r="BO2320">
        <v>178.16</v>
      </c>
      <c r="BQ2320" t="s">
        <v>1760</v>
      </c>
      <c r="BR2320" t="s">
        <v>84</v>
      </c>
      <c r="BS2320" s="3">
        <v>45855</v>
      </c>
      <c r="BT2320" s="4">
        <v>0.3298611111111111</v>
      </c>
      <c r="BU2320" t="s">
        <v>2393</v>
      </c>
      <c r="BV2320" t="s">
        <v>98</v>
      </c>
      <c r="BY2320">
        <v>80640</v>
      </c>
      <c r="BZ2320" t="s">
        <v>99</v>
      </c>
      <c r="CA2320" t="s">
        <v>683</v>
      </c>
      <c r="CC2320" t="s">
        <v>152</v>
      </c>
      <c r="CD2320" s="5" t="s">
        <v>684</v>
      </c>
      <c r="CE2320" t="s">
        <v>117</v>
      </c>
      <c r="CF2320" s="3">
        <v>45855</v>
      </c>
      <c r="CI2320">
        <v>1</v>
      </c>
      <c r="CJ2320">
        <v>1</v>
      </c>
      <c r="CK2320">
        <v>41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"080066610484"</f>
        <v>080066610484</v>
      </c>
      <c r="F2321" s="3">
        <v>45854</v>
      </c>
      <c r="G2321">
        <v>202604</v>
      </c>
      <c r="H2321" t="s">
        <v>75</v>
      </c>
      <c r="I2321" t="s">
        <v>76</v>
      </c>
      <c r="J2321" t="s">
        <v>77</v>
      </c>
      <c r="K2321" t="s">
        <v>78</v>
      </c>
      <c r="L2321" t="s">
        <v>390</v>
      </c>
      <c r="M2321" t="s">
        <v>391</v>
      </c>
      <c r="N2321" t="s">
        <v>1940</v>
      </c>
      <c r="O2321" t="s">
        <v>311</v>
      </c>
      <c r="P2321" t="str">
        <f>"4170049174                    "</f>
        <v xml:space="preserve">4170049174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17.66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4.5</v>
      </c>
      <c r="BK2321">
        <v>5</v>
      </c>
      <c r="BL2321">
        <v>55.63</v>
      </c>
      <c r="BM2321">
        <v>8.34</v>
      </c>
      <c r="BN2321">
        <v>63.97</v>
      </c>
      <c r="BO2321">
        <v>63.97</v>
      </c>
      <c r="BQ2321" t="s">
        <v>2254</v>
      </c>
      <c r="BR2321" t="s">
        <v>84</v>
      </c>
      <c r="BS2321" s="3">
        <v>45855</v>
      </c>
      <c r="BT2321" s="4">
        <v>0.40833333333333333</v>
      </c>
      <c r="BU2321" t="s">
        <v>2745</v>
      </c>
      <c r="BV2321" t="s">
        <v>98</v>
      </c>
      <c r="BY2321">
        <v>22400</v>
      </c>
      <c r="BZ2321" t="s">
        <v>99</v>
      </c>
      <c r="CA2321" t="s">
        <v>1943</v>
      </c>
      <c r="CC2321" t="s">
        <v>391</v>
      </c>
      <c r="CD2321">
        <v>1724</v>
      </c>
      <c r="CE2321" t="s">
        <v>91</v>
      </c>
      <c r="CF2321" s="3">
        <v>45856</v>
      </c>
      <c r="CI2321">
        <v>1</v>
      </c>
      <c r="CJ2321">
        <v>1</v>
      </c>
      <c r="CK2321">
        <v>32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"080066610514"</f>
        <v>080066610514</v>
      </c>
      <c r="F2322" s="3">
        <v>45854</v>
      </c>
      <c r="G2322">
        <v>202604</v>
      </c>
      <c r="H2322" t="s">
        <v>75</v>
      </c>
      <c r="I2322" t="s">
        <v>76</v>
      </c>
      <c r="J2322" t="s">
        <v>77</v>
      </c>
      <c r="K2322" t="s">
        <v>78</v>
      </c>
      <c r="L2322" t="s">
        <v>151</v>
      </c>
      <c r="M2322" t="s">
        <v>152</v>
      </c>
      <c r="N2322" t="s">
        <v>680</v>
      </c>
      <c r="O2322" t="s">
        <v>95</v>
      </c>
      <c r="P2322" t="str">
        <f>"4170049169                    "</f>
        <v xml:space="preserve">4170049169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52.72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15</v>
      </c>
      <c r="BJ2322">
        <v>19.7</v>
      </c>
      <c r="BK2322">
        <v>20</v>
      </c>
      <c r="BL2322">
        <v>171.97</v>
      </c>
      <c r="BM2322">
        <v>25.8</v>
      </c>
      <c r="BN2322">
        <v>197.77</v>
      </c>
      <c r="BO2322">
        <v>197.77</v>
      </c>
      <c r="BQ2322" t="s">
        <v>681</v>
      </c>
      <c r="BR2322" t="s">
        <v>84</v>
      </c>
      <c r="BS2322" s="3">
        <v>45855</v>
      </c>
      <c r="BT2322" s="4">
        <v>0.3298611111111111</v>
      </c>
      <c r="BU2322" t="s">
        <v>2393</v>
      </c>
      <c r="BV2322" t="s">
        <v>98</v>
      </c>
      <c r="BY2322">
        <v>98400</v>
      </c>
      <c r="BZ2322" t="s">
        <v>99</v>
      </c>
      <c r="CA2322" t="s">
        <v>683</v>
      </c>
      <c r="CC2322" t="s">
        <v>152</v>
      </c>
      <c r="CD2322" s="5" t="s">
        <v>684</v>
      </c>
      <c r="CE2322" t="s">
        <v>117</v>
      </c>
      <c r="CF2322" s="3">
        <v>45855</v>
      </c>
      <c r="CI2322">
        <v>1</v>
      </c>
      <c r="CJ2322">
        <v>1</v>
      </c>
      <c r="CK2322">
        <v>41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"080066610543"</f>
        <v>080066610543</v>
      </c>
      <c r="F2323" s="3">
        <v>45854</v>
      </c>
      <c r="G2323">
        <v>202604</v>
      </c>
      <c r="H2323" t="s">
        <v>75</v>
      </c>
      <c r="I2323" t="s">
        <v>76</v>
      </c>
      <c r="J2323" t="s">
        <v>77</v>
      </c>
      <c r="K2323" t="s">
        <v>78</v>
      </c>
      <c r="L2323" t="s">
        <v>758</v>
      </c>
      <c r="M2323" t="s">
        <v>759</v>
      </c>
      <c r="N2323" t="s">
        <v>760</v>
      </c>
      <c r="O2323" t="s">
        <v>82</v>
      </c>
      <c r="P2323" t="str">
        <f>"4170049160                    "</f>
        <v xml:space="preserve">4170049160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142.63999999999999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7</v>
      </c>
      <c r="BJ2323">
        <v>4.8</v>
      </c>
      <c r="BK2323">
        <v>7</v>
      </c>
      <c r="BL2323">
        <v>449.4</v>
      </c>
      <c r="BM2323">
        <v>67.41</v>
      </c>
      <c r="BN2323">
        <v>516.80999999999995</v>
      </c>
      <c r="BO2323">
        <v>516.80999999999995</v>
      </c>
      <c r="BQ2323" t="s">
        <v>761</v>
      </c>
      <c r="BR2323" t="s">
        <v>84</v>
      </c>
      <c r="BS2323" s="3">
        <v>45855</v>
      </c>
      <c r="BT2323" s="4">
        <v>0.41666666666666669</v>
      </c>
      <c r="BU2323" t="s">
        <v>762</v>
      </c>
      <c r="BV2323" t="s">
        <v>98</v>
      </c>
      <c r="BY2323">
        <v>23760</v>
      </c>
      <c r="BZ2323" t="s">
        <v>89</v>
      </c>
      <c r="CA2323" t="s">
        <v>763</v>
      </c>
      <c r="CC2323" t="s">
        <v>759</v>
      </c>
      <c r="CD2323">
        <v>2531</v>
      </c>
      <c r="CE2323" t="s">
        <v>91</v>
      </c>
      <c r="CF2323" s="3">
        <v>45856</v>
      </c>
      <c r="CI2323">
        <v>1</v>
      </c>
      <c r="CJ2323">
        <v>1</v>
      </c>
      <c r="CK2323">
        <v>23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"080066610571"</f>
        <v>080066610571</v>
      </c>
      <c r="F2324" s="3">
        <v>45854</v>
      </c>
      <c r="G2324">
        <v>202604</v>
      </c>
      <c r="H2324" t="s">
        <v>75</v>
      </c>
      <c r="I2324" t="s">
        <v>76</v>
      </c>
      <c r="J2324" t="s">
        <v>77</v>
      </c>
      <c r="K2324" t="s">
        <v>78</v>
      </c>
      <c r="L2324" t="s">
        <v>168</v>
      </c>
      <c r="M2324" t="s">
        <v>169</v>
      </c>
      <c r="N2324" t="s">
        <v>420</v>
      </c>
      <c r="O2324" t="s">
        <v>82</v>
      </c>
      <c r="P2324" t="str">
        <f>"4170049180                    "</f>
        <v xml:space="preserve">4170049180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22.6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1.2</v>
      </c>
      <c r="BK2324">
        <v>1.5</v>
      </c>
      <c r="BL2324">
        <v>71.2</v>
      </c>
      <c r="BM2324">
        <v>10.68</v>
      </c>
      <c r="BN2324">
        <v>81.88</v>
      </c>
      <c r="BO2324">
        <v>81.88</v>
      </c>
      <c r="BQ2324" t="s">
        <v>421</v>
      </c>
      <c r="BR2324" t="s">
        <v>84</v>
      </c>
      <c r="BS2324" s="3">
        <v>45855</v>
      </c>
      <c r="BT2324" s="4">
        <v>0.42499999999999999</v>
      </c>
      <c r="BU2324" t="s">
        <v>917</v>
      </c>
      <c r="BV2324" t="s">
        <v>98</v>
      </c>
      <c r="BY2324">
        <v>5760</v>
      </c>
      <c r="BZ2324" t="s">
        <v>89</v>
      </c>
      <c r="CA2324" t="s">
        <v>423</v>
      </c>
      <c r="CC2324" t="s">
        <v>169</v>
      </c>
      <c r="CD2324">
        <v>6001</v>
      </c>
      <c r="CE2324" t="s">
        <v>91</v>
      </c>
      <c r="CF2324" s="3">
        <v>45855</v>
      </c>
      <c r="CI2324">
        <v>1</v>
      </c>
      <c r="CJ2324">
        <v>1</v>
      </c>
      <c r="CK2324">
        <v>21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"080066610621"</f>
        <v>080066610621</v>
      </c>
      <c r="F2325" s="3">
        <v>45854</v>
      </c>
      <c r="G2325">
        <v>202604</v>
      </c>
      <c r="H2325" t="s">
        <v>75</v>
      </c>
      <c r="I2325" t="s">
        <v>76</v>
      </c>
      <c r="J2325" t="s">
        <v>77</v>
      </c>
      <c r="K2325" t="s">
        <v>78</v>
      </c>
      <c r="L2325" t="s">
        <v>79</v>
      </c>
      <c r="M2325" t="s">
        <v>80</v>
      </c>
      <c r="N2325" t="s">
        <v>141</v>
      </c>
      <c r="O2325" t="s">
        <v>82</v>
      </c>
      <c r="P2325" t="str">
        <f>"4170049182                    "</f>
        <v xml:space="preserve">4170049182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22.6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0.3</v>
      </c>
      <c r="BK2325">
        <v>1</v>
      </c>
      <c r="BL2325">
        <v>71.2</v>
      </c>
      <c r="BM2325">
        <v>10.68</v>
      </c>
      <c r="BN2325">
        <v>81.88</v>
      </c>
      <c r="BO2325">
        <v>81.88</v>
      </c>
      <c r="BQ2325" t="s">
        <v>142</v>
      </c>
      <c r="BR2325" t="s">
        <v>84</v>
      </c>
      <c r="BS2325" s="3">
        <v>45855</v>
      </c>
      <c r="BT2325" s="4">
        <v>0.40277777777777779</v>
      </c>
      <c r="BU2325" t="s">
        <v>2437</v>
      </c>
      <c r="BV2325" t="s">
        <v>98</v>
      </c>
      <c r="BY2325">
        <v>1350</v>
      </c>
      <c r="BZ2325" t="s">
        <v>89</v>
      </c>
      <c r="CA2325" t="s">
        <v>144</v>
      </c>
      <c r="CC2325" t="s">
        <v>80</v>
      </c>
      <c r="CD2325">
        <v>7441</v>
      </c>
      <c r="CE2325" t="s">
        <v>1868</v>
      </c>
      <c r="CF2325" s="3">
        <v>45856</v>
      </c>
      <c r="CI2325">
        <v>1</v>
      </c>
      <c r="CJ2325">
        <v>1</v>
      </c>
      <c r="CK2325">
        <v>21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"080066610710"</f>
        <v>080066610710</v>
      </c>
      <c r="F2326" s="3">
        <v>45854</v>
      </c>
      <c r="G2326">
        <v>202604</v>
      </c>
      <c r="H2326" t="s">
        <v>75</v>
      </c>
      <c r="I2326" t="s">
        <v>76</v>
      </c>
      <c r="J2326" t="s">
        <v>77</v>
      </c>
      <c r="K2326" t="s">
        <v>78</v>
      </c>
      <c r="L2326" t="s">
        <v>79</v>
      </c>
      <c r="M2326" t="s">
        <v>80</v>
      </c>
      <c r="N2326" t="s">
        <v>2170</v>
      </c>
      <c r="O2326" t="s">
        <v>82</v>
      </c>
      <c r="P2326" t="str">
        <f>"4170049161                    "</f>
        <v xml:space="preserve">4170049161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56.47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5</v>
      </c>
      <c r="BJ2326">
        <v>1.1000000000000001</v>
      </c>
      <c r="BK2326">
        <v>5</v>
      </c>
      <c r="BL2326">
        <v>177.91</v>
      </c>
      <c r="BM2326">
        <v>26.69</v>
      </c>
      <c r="BN2326">
        <v>204.6</v>
      </c>
      <c r="BO2326">
        <v>204.6</v>
      </c>
      <c r="BQ2326" t="s">
        <v>2171</v>
      </c>
      <c r="BR2326" t="s">
        <v>84</v>
      </c>
      <c r="BS2326" s="3">
        <v>45855</v>
      </c>
      <c r="BT2326" s="4">
        <v>0.42986111111111114</v>
      </c>
      <c r="BU2326" t="s">
        <v>2279</v>
      </c>
      <c r="BV2326" t="s">
        <v>98</v>
      </c>
      <c r="BY2326">
        <v>5320</v>
      </c>
      <c r="BZ2326" t="s">
        <v>89</v>
      </c>
      <c r="CC2326" t="s">
        <v>80</v>
      </c>
      <c r="CD2326">
        <v>7405</v>
      </c>
      <c r="CE2326" t="s">
        <v>117</v>
      </c>
      <c r="CF2326" s="3">
        <v>45856</v>
      </c>
      <c r="CI2326">
        <v>1</v>
      </c>
      <c r="CJ2326">
        <v>1</v>
      </c>
      <c r="CK2326">
        <v>21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"080066610770"</f>
        <v>080066610770</v>
      </c>
      <c r="F2327" s="3">
        <v>45854</v>
      </c>
      <c r="G2327">
        <v>202604</v>
      </c>
      <c r="H2327" t="s">
        <v>75</v>
      </c>
      <c r="I2327" t="s">
        <v>76</v>
      </c>
      <c r="J2327" t="s">
        <v>77</v>
      </c>
      <c r="K2327" t="s">
        <v>78</v>
      </c>
      <c r="L2327" t="s">
        <v>79</v>
      </c>
      <c r="M2327" t="s">
        <v>80</v>
      </c>
      <c r="N2327" t="s">
        <v>698</v>
      </c>
      <c r="O2327" t="s">
        <v>95</v>
      </c>
      <c r="P2327" t="str">
        <f>"4170049168                    "</f>
        <v xml:space="preserve">4170049168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58.13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8</v>
      </c>
      <c r="BJ2327">
        <v>23</v>
      </c>
      <c r="BK2327">
        <v>23</v>
      </c>
      <c r="BL2327">
        <v>189.02</v>
      </c>
      <c r="BM2327">
        <v>28.35</v>
      </c>
      <c r="BN2327">
        <v>217.37</v>
      </c>
      <c r="BO2327">
        <v>217.37</v>
      </c>
      <c r="BQ2327" t="s">
        <v>699</v>
      </c>
      <c r="BR2327" t="s">
        <v>84</v>
      </c>
      <c r="BS2327" s="3">
        <v>45859</v>
      </c>
      <c r="BT2327" s="4">
        <v>0.41944444444444445</v>
      </c>
      <c r="BU2327" t="s">
        <v>558</v>
      </c>
      <c r="BV2327" t="s">
        <v>98</v>
      </c>
      <c r="BY2327">
        <v>115200</v>
      </c>
      <c r="CA2327" t="s">
        <v>289</v>
      </c>
      <c r="CC2327" t="s">
        <v>80</v>
      </c>
      <c r="CD2327">
        <v>7561</v>
      </c>
      <c r="CE2327" t="s">
        <v>145</v>
      </c>
      <c r="CF2327" s="3">
        <v>45860</v>
      </c>
      <c r="CI2327">
        <v>3</v>
      </c>
      <c r="CJ2327">
        <v>3</v>
      </c>
      <c r="CK2327">
        <v>41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"080066610779"</f>
        <v>080066610779</v>
      </c>
      <c r="F2328" s="3">
        <v>45854</v>
      </c>
      <c r="G2328">
        <v>202604</v>
      </c>
      <c r="H2328" t="s">
        <v>75</v>
      </c>
      <c r="I2328" t="s">
        <v>76</v>
      </c>
      <c r="J2328" t="s">
        <v>77</v>
      </c>
      <c r="K2328" t="s">
        <v>78</v>
      </c>
      <c r="L2328" t="s">
        <v>79</v>
      </c>
      <c r="M2328" t="s">
        <v>80</v>
      </c>
      <c r="N2328" t="s">
        <v>1083</v>
      </c>
      <c r="O2328" t="s">
        <v>82</v>
      </c>
      <c r="P2328" t="str">
        <f>"4170049183                    "</f>
        <v xml:space="preserve">4170049183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22.6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1.3</v>
      </c>
      <c r="BK2328">
        <v>2</v>
      </c>
      <c r="BL2328">
        <v>71.2</v>
      </c>
      <c r="BM2328">
        <v>10.68</v>
      </c>
      <c r="BN2328">
        <v>81.88</v>
      </c>
      <c r="BO2328">
        <v>81.88</v>
      </c>
      <c r="BQ2328" t="s">
        <v>1084</v>
      </c>
      <c r="BR2328" t="s">
        <v>84</v>
      </c>
      <c r="BS2328" s="3">
        <v>45855</v>
      </c>
      <c r="BT2328" s="4">
        <v>0.42291666666666666</v>
      </c>
      <c r="BU2328" t="s">
        <v>378</v>
      </c>
      <c r="BV2328" t="s">
        <v>98</v>
      </c>
      <c r="BY2328">
        <v>6384</v>
      </c>
      <c r="BZ2328" t="s">
        <v>89</v>
      </c>
      <c r="CA2328" t="s">
        <v>144</v>
      </c>
      <c r="CC2328" t="s">
        <v>80</v>
      </c>
      <c r="CD2328">
        <v>8001</v>
      </c>
      <c r="CE2328" t="s">
        <v>117</v>
      </c>
      <c r="CF2328" s="3">
        <v>45856</v>
      </c>
      <c r="CI2328">
        <v>1</v>
      </c>
      <c r="CJ2328">
        <v>1</v>
      </c>
      <c r="CK2328">
        <v>21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"009944473737"</f>
        <v>009944473737</v>
      </c>
      <c r="F2329" s="3">
        <v>45854</v>
      </c>
      <c r="G2329">
        <v>202604</v>
      </c>
      <c r="H2329" t="s">
        <v>79</v>
      </c>
      <c r="I2329" t="s">
        <v>80</v>
      </c>
      <c r="J2329" t="s">
        <v>2746</v>
      </c>
      <c r="K2329" t="s">
        <v>78</v>
      </c>
      <c r="L2329" t="s">
        <v>75</v>
      </c>
      <c r="M2329" t="s">
        <v>76</v>
      </c>
      <c r="N2329" t="s">
        <v>228</v>
      </c>
      <c r="O2329" t="s">
        <v>95</v>
      </c>
      <c r="P2329" t="str">
        <f>"NA                            "</f>
        <v xml:space="preserve">NA        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45.5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10.3</v>
      </c>
      <c r="BJ2329">
        <v>15.5</v>
      </c>
      <c r="BK2329">
        <v>16</v>
      </c>
      <c r="BL2329">
        <v>149.22999999999999</v>
      </c>
      <c r="BM2329">
        <v>22.38</v>
      </c>
      <c r="BN2329">
        <v>171.61</v>
      </c>
      <c r="BO2329">
        <v>171.61</v>
      </c>
      <c r="BQ2329" t="s">
        <v>2747</v>
      </c>
      <c r="BR2329" t="s">
        <v>2748</v>
      </c>
      <c r="BS2329" s="3">
        <v>45856</v>
      </c>
      <c r="BT2329" s="4">
        <v>0.5854166666666667</v>
      </c>
      <c r="BU2329" t="s">
        <v>232</v>
      </c>
      <c r="BV2329" t="s">
        <v>98</v>
      </c>
      <c r="BY2329">
        <v>77376.100000000006</v>
      </c>
      <c r="BZ2329" t="s">
        <v>99</v>
      </c>
      <c r="CA2329" t="s">
        <v>1049</v>
      </c>
      <c r="CC2329" t="s">
        <v>76</v>
      </c>
      <c r="CD2329">
        <v>1600</v>
      </c>
      <c r="CE2329" t="s">
        <v>587</v>
      </c>
      <c r="CF2329" s="3">
        <v>45857</v>
      </c>
      <c r="CI2329">
        <v>3</v>
      </c>
      <c r="CJ2329">
        <v>2</v>
      </c>
      <c r="CK2329">
        <v>41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"080066625776"</f>
        <v>080066625776</v>
      </c>
      <c r="F2330" s="3">
        <v>45855</v>
      </c>
      <c r="G2330">
        <v>202604</v>
      </c>
      <c r="H2330" t="s">
        <v>75</v>
      </c>
      <c r="I2330" t="s">
        <v>76</v>
      </c>
      <c r="J2330" t="s">
        <v>77</v>
      </c>
      <c r="K2330" t="s">
        <v>78</v>
      </c>
      <c r="L2330" t="s">
        <v>92</v>
      </c>
      <c r="M2330" t="s">
        <v>93</v>
      </c>
      <c r="N2330" t="s">
        <v>291</v>
      </c>
      <c r="O2330" t="s">
        <v>82</v>
      </c>
      <c r="P2330" t="str">
        <f>"4170049313                    "</f>
        <v xml:space="preserve">4170049313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22.6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0.9</v>
      </c>
      <c r="BK2330">
        <v>1</v>
      </c>
      <c r="BL2330">
        <v>71.2</v>
      </c>
      <c r="BM2330">
        <v>10.68</v>
      </c>
      <c r="BN2330">
        <v>81.88</v>
      </c>
      <c r="BO2330">
        <v>81.88</v>
      </c>
      <c r="BQ2330" t="s">
        <v>292</v>
      </c>
      <c r="BR2330" t="s">
        <v>84</v>
      </c>
      <c r="BS2330" s="3">
        <v>45856</v>
      </c>
      <c r="BT2330" s="4">
        <v>0.33333333333333331</v>
      </c>
      <c r="BU2330" t="s">
        <v>971</v>
      </c>
      <c r="BV2330" t="s">
        <v>98</v>
      </c>
      <c r="BY2330">
        <v>4275</v>
      </c>
      <c r="CA2330" t="s">
        <v>294</v>
      </c>
      <c r="CC2330" t="s">
        <v>93</v>
      </c>
      <c r="CD2330">
        <v>4051</v>
      </c>
      <c r="CE2330" t="s">
        <v>259</v>
      </c>
      <c r="CF2330" s="3">
        <v>45856</v>
      </c>
      <c r="CI2330">
        <v>1</v>
      </c>
      <c r="CJ2330">
        <v>1</v>
      </c>
      <c r="CK2330">
        <v>21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"080011570343"</f>
        <v>080011570343</v>
      </c>
      <c r="F2331" s="3">
        <v>45855</v>
      </c>
      <c r="G2331">
        <v>202604</v>
      </c>
      <c r="H2331" t="s">
        <v>503</v>
      </c>
      <c r="I2331" t="s">
        <v>504</v>
      </c>
      <c r="J2331" t="s">
        <v>2749</v>
      </c>
      <c r="K2331" t="s">
        <v>78</v>
      </c>
      <c r="L2331" t="s">
        <v>554</v>
      </c>
      <c r="M2331" t="s">
        <v>555</v>
      </c>
      <c r="N2331" t="s">
        <v>2750</v>
      </c>
      <c r="O2331" t="s">
        <v>82</v>
      </c>
      <c r="P2331" t="str">
        <f>"Incorrect delivery            "</f>
        <v xml:space="preserve">Incorrect delivery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22.6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0.2</v>
      </c>
      <c r="BJ2331">
        <v>0.3</v>
      </c>
      <c r="BK2331">
        <v>0.5</v>
      </c>
      <c r="BL2331">
        <v>71.2</v>
      </c>
      <c r="BM2331">
        <v>10.68</v>
      </c>
      <c r="BN2331">
        <v>81.88</v>
      </c>
      <c r="BO2331">
        <v>81.88</v>
      </c>
      <c r="BP2331" t="s">
        <v>587</v>
      </c>
      <c r="BQ2331" t="s">
        <v>2751</v>
      </c>
      <c r="BR2331" t="s">
        <v>2752</v>
      </c>
      <c r="BS2331" s="3">
        <v>45859</v>
      </c>
      <c r="BT2331" s="4">
        <v>0.38055555555555554</v>
      </c>
      <c r="BU2331" t="s">
        <v>558</v>
      </c>
      <c r="BV2331" t="s">
        <v>86</v>
      </c>
      <c r="BW2331" t="s">
        <v>395</v>
      </c>
      <c r="BX2331" t="s">
        <v>1972</v>
      </c>
      <c r="BY2331">
        <v>1538.32</v>
      </c>
      <c r="BZ2331" t="s">
        <v>89</v>
      </c>
      <c r="CA2331" t="s">
        <v>559</v>
      </c>
      <c r="CC2331" t="s">
        <v>555</v>
      </c>
      <c r="CD2331" s="5" t="s">
        <v>560</v>
      </c>
      <c r="CE2331" t="s">
        <v>233</v>
      </c>
      <c r="CF2331" s="3">
        <v>45859</v>
      </c>
      <c r="CI2331">
        <v>1</v>
      </c>
      <c r="CJ2331">
        <v>2</v>
      </c>
      <c r="CK2331">
        <v>21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"080011570369"</f>
        <v>080011570369</v>
      </c>
      <c r="F2332" s="3">
        <v>45855</v>
      </c>
      <c r="G2332">
        <v>202604</v>
      </c>
      <c r="H2332" t="s">
        <v>79</v>
      </c>
      <c r="I2332" t="s">
        <v>80</v>
      </c>
      <c r="J2332" t="s">
        <v>2753</v>
      </c>
      <c r="K2332" t="s">
        <v>78</v>
      </c>
      <c r="L2332" t="s">
        <v>329</v>
      </c>
      <c r="M2332" t="s">
        <v>330</v>
      </c>
      <c r="N2332" t="s">
        <v>2754</v>
      </c>
      <c r="O2332" t="s">
        <v>82</v>
      </c>
      <c r="P2332" t="str">
        <f>"Incorrect delivery            "</f>
        <v xml:space="preserve">Incorrect delivery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53.67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0.2</v>
      </c>
      <c r="BJ2332">
        <v>2.2000000000000002</v>
      </c>
      <c r="BK2332">
        <v>2.5</v>
      </c>
      <c r="BL2332">
        <v>169.09</v>
      </c>
      <c r="BM2332">
        <v>25.36</v>
      </c>
      <c r="BN2332">
        <v>194.45</v>
      </c>
      <c r="BO2332">
        <v>194.45</v>
      </c>
      <c r="BP2332" t="s">
        <v>587</v>
      </c>
      <c r="BQ2332" t="s">
        <v>2755</v>
      </c>
      <c r="BR2332" t="s">
        <v>976</v>
      </c>
      <c r="BS2332" s="3">
        <v>45856</v>
      </c>
      <c r="BT2332" s="4">
        <v>0.37986111111111109</v>
      </c>
      <c r="BU2332" t="s">
        <v>527</v>
      </c>
      <c r="BV2332" t="s">
        <v>98</v>
      </c>
      <c r="BY2332">
        <v>10813.11</v>
      </c>
      <c r="BZ2332" t="s">
        <v>89</v>
      </c>
      <c r="CA2332" t="s">
        <v>1153</v>
      </c>
      <c r="CC2332" t="s">
        <v>330</v>
      </c>
      <c r="CD2332">
        <v>6300</v>
      </c>
      <c r="CE2332" t="s">
        <v>2756</v>
      </c>
      <c r="CF2332" s="3">
        <v>45856</v>
      </c>
      <c r="CI2332">
        <v>2</v>
      </c>
      <c r="CJ2332">
        <v>1</v>
      </c>
      <c r="CK2332">
        <v>23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"080011570565"</f>
        <v>080011570565</v>
      </c>
      <c r="F2333" s="3">
        <v>45855</v>
      </c>
      <c r="G2333">
        <v>202604</v>
      </c>
      <c r="H2333" t="s">
        <v>305</v>
      </c>
      <c r="I2333" t="s">
        <v>306</v>
      </c>
      <c r="J2333" t="s">
        <v>2757</v>
      </c>
      <c r="K2333" t="s">
        <v>78</v>
      </c>
      <c r="L2333" t="s">
        <v>75</v>
      </c>
      <c r="M2333" t="s">
        <v>76</v>
      </c>
      <c r="N2333" t="s">
        <v>228</v>
      </c>
      <c r="O2333" t="s">
        <v>82</v>
      </c>
      <c r="P2333" t="str">
        <f>"Incorrect stock               "</f>
        <v xml:space="preserve">Incorrect stock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22.6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71.2</v>
      </c>
      <c r="BM2333">
        <v>10.68</v>
      </c>
      <c r="BN2333">
        <v>81.88</v>
      </c>
      <c r="BO2333">
        <v>81.88</v>
      </c>
      <c r="BP2333" t="s">
        <v>587</v>
      </c>
      <c r="BQ2333" t="s">
        <v>230</v>
      </c>
      <c r="BR2333" t="s">
        <v>2758</v>
      </c>
      <c r="BS2333" s="3">
        <v>45856</v>
      </c>
      <c r="BT2333" s="4">
        <v>0.57916666666666672</v>
      </c>
      <c r="BU2333" t="s">
        <v>232</v>
      </c>
      <c r="BV2333" t="s">
        <v>86</v>
      </c>
      <c r="BY2333">
        <v>1200</v>
      </c>
      <c r="BZ2333" t="s">
        <v>89</v>
      </c>
      <c r="CA2333" t="s">
        <v>1049</v>
      </c>
      <c r="CC2333" t="s">
        <v>76</v>
      </c>
      <c r="CD2333">
        <v>1619</v>
      </c>
      <c r="CE2333" t="s">
        <v>233</v>
      </c>
      <c r="CF2333" s="3">
        <v>45857</v>
      </c>
      <c r="CI2333">
        <v>1</v>
      </c>
      <c r="CJ2333">
        <v>1</v>
      </c>
      <c r="CK2333">
        <v>21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"080066622892"</f>
        <v>080066622892</v>
      </c>
      <c r="F2334" s="3">
        <v>45855</v>
      </c>
      <c r="G2334">
        <v>202604</v>
      </c>
      <c r="H2334" t="s">
        <v>75</v>
      </c>
      <c r="I2334" t="s">
        <v>76</v>
      </c>
      <c r="J2334" t="s">
        <v>77</v>
      </c>
      <c r="K2334" t="s">
        <v>78</v>
      </c>
      <c r="L2334" t="s">
        <v>92</v>
      </c>
      <c r="M2334" t="s">
        <v>93</v>
      </c>
      <c r="N2334" t="s">
        <v>291</v>
      </c>
      <c r="O2334" t="s">
        <v>82</v>
      </c>
      <c r="P2334" t="str">
        <f>"4170049203                    "</f>
        <v xml:space="preserve">4170049203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22.6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71.2</v>
      </c>
      <c r="BM2334">
        <v>10.68</v>
      </c>
      <c r="BN2334">
        <v>81.88</v>
      </c>
      <c r="BO2334">
        <v>81.88</v>
      </c>
      <c r="BQ2334" t="s">
        <v>292</v>
      </c>
      <c r="BR2334" t="s">
        <v>84</v>
      </c>
      <c r="BS2334" s="3">
        <v>45856</v>
      </c>
      <c r="BT2334" s="4">
        <v>0.33333333333333331</v>
      </c>
      <c r="BU2334" t="s">
        <v>971</v>
      </c>
      <c r="BV2334" t="s">
        <v>98</v>
      </c>
      <c r="BY2334">
        <v>1200</v>
      </c>
      <c r="CA2334" t="s">
        <v>294</v>
      </c>
      <c r="CC2334" t="s">
        <v>93</v>
      </c>
      <c r="CD2334">
        <v>4051</v>
      </c>
      <c r="CE2334" t="s">
        <v>121</v>
      </c>
      <c r="CF2334" s="3">
        <v>45856</v>
      </c>
      <c r="CI2334">
        <v>1</v>
      </c>
      <c r="CJ2334">
        <v>1</v>
      </c>
      <c r="CK2334">
        <v>21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"080066622975"</f>
        <v>080066622975</v>
      </c>
      <c r="F2335" s="3">
        <v>45855</v>
      </c>
      <c r="G2335">
        <v>202604</v>
      </c>
      <c r="H2335" t="s">
        <v>75</v>
      </c>
      <c r="I2335" t="s">
        <v>76</v>
      </c>
      <c r="J2335" t="s">
        <v>77</v>
      </c>
      <c r="K2335" t="s">
        <v>78</v>
      </c>
      <c r="L2335" t="s">
        <v>452</v>
      </c>
      <c r="M2335" t="s">
        <v>453</v>
      </c>
      <c r="N2335" t="s">
        <v>1192</v>
      </c>
      <c r="O2335" t="s">
        <v>82</v>
      </c>
      <c r="P2335" t="str">
        <f>"4170049210                    "</f>
        <v xml:space="preserve">4170049210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17.649999999999999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55.61</v>
      </c>
      <c r="BM2335">
        <v>8.34</v>
      </c>
      <c r="BN2335">
        <v>63.95</v>
      </c>
      <c r="BO2335">
        <v>63.95</v>
      </c>
      <c r="BQ2335" t="s">
        <v>1193</v>
      </c>
      <c r="BR2335" t="s">
        <v>84</v>
      </c>
      <c r="BS2335" s="3">
        <v>45856</v>
      </c>
      <c r="BT2335" s="4">
        <v>0.43472222222222223</v>
      </c>
      <c r="BU2335" t="s">
        <v>2759</v>
      </c>
      <c r="BV2335" t="s">
        <v>98</v>
      </c>
      <c r="BY2335">
        <v>1200</v>
      </c>
      <c r="CA2335" t="s">
        <v>1541</v>
      </c>
      <c r="CC2335" t="s">
        <v>453</v>
      </c>
      <c r="CD2335">
        <v>1559</v>
      </c>
      <c r="CE2335" t="s">
        <v>121</v>
      </c>
      <c r="CF2335" s="3">
        <v>45856</v>
      </c>
      <c r="CI2335">
        <v>1</v>
      </c>
      <c r="CJ2335">
        <v>1</v>
      </c>
      <c r="CK2335">
        <v>22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"080066623012"</f>
        <v>080066623012</v>
      </c>
      <c r="F2336" s="3">
        <v>45855</v>
      </c>
      <c r="G2336">
        <v>202604</v>
      </c>
      <c r="H2336" t="s">
        <v>75</v>
      </c>
      <c r="I2336" t="s">
        <v>76</v>
      </c>
      <c r="J2336" t="s">
        <v>77</v>
      </c>
      <c r="K2336" t="s">
        <v>78</v>
      </c>
      <c r="L2336" t="s">
        <v>452</v>
      </c>
      <c r="M2336" t="s">
        <v>453</v>
      </c>
      <c r="N2336" t="s">
        <v>1192</v>
      </c>
      <c r="O2336" t="s">
        <v>82</v>
      </c>
      <c r="P2336" t="str">
        <f>"4170049223                    "</f>
        <v xml:space="preserve">4170049223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17.649999999999999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55.61</v>
      </c>
      <c r="BM2336">
        <v>8.34</v>
      </c>
      <c r="BN2336">
        <v>63.95</v>
      </c>
      <c r="BO2336">
        <v>63.95</v>
      </c>
      <c r="BQ2336" t="s">
        <v>1193</v>
      </c>
      <c r="BR2336" t="s">
        <v>84</v>
      </c>
      <c r="BS2336" s="3">
        <v>45856</v>
      </c>
      <c r="BT2336" s="4">
        <v>0.43472222222222223</v>
      </c>
      <c r="BU2336" t="s">
        <v>2759</v>
      </c>
      <c r="BV2336" t="s">
        <v>98</v>
      </c>
      <c r="BY2336">
        <v>1200</v>
      </c>
      <c r="CA2336" t="s">
        <v>1541</v>
      </c>
      <c r="CC2336" t="s">
        <v>453</v>
      </c>
      <c r="CD2336">
        <v>1559</v>
      </c>
      <c r="CE2336" t="s">
        <v>121</v>
      </c>
      <c r="CF2336" s="3">
        <v>45856</v>
      </c>
      <c r="CI2336">
        <v>1</v>
      </c>
      <c r="CJ2336">
        <v>1</v>
      </c>
      <c r="CK2336">
        <v>22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"080066623369"</f>
        <v>080066623369</v>
      </c>
      <c r="F2337" s="3">
        <v>45855</v>
      </c>
      <c r="G2337">
        <v>202604</v>
      </c>
      <c r="H2337" t="s">
        <v>75</v>
      </c>
      <c r="I2337" t="s">
        <v>76</v>
      </c>
      <c r="J2337" t="s">
        <v>77</v>
      </c>
      <c r="K2337" t="s">
        <v>78</v>
      </c>
      <c r="L2337" t="s">
        <v>980</v>
      </c>
      <c r="M2337" t="s">
        <v>981</v>
      </c>
      <c r="N2337" t="s">
        <v>982</v>
      </c>
      <c r="O2337" t="s">
        <v>82</v>
      </c>
      <c r="P2337" t="str">
        <f>"4170049212                    "</f>
        <v xml:space="preserve">4170049212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22.6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1.1000000000000001</v>
      </c>
      <c r="BK2337">
        <v>1.5</v>
      </c>
      <c r="BL2337">
        <v>71.2</v>
      </c>
      <c r="BM2337">
        <v>10.68</v>
      </c>
      <c r="BN2337">
        <v>81.88</v>
      </c>
      <c r="BO2337">
        <v>81.88</v>
      </c>
      <c r="BQ2337" t="s">
        <v>983</v>
      </c>
      <c r="BR2337" t="s">
        <v>84</v>
      </c>
      <c r="BS2337" s="3">
        <v>45856</v>
      </c>
      <c r="BT2337" s="4">
        <v>0.52152777777777781</v>
      </c>
      <c r="BU2337" t="s">
        <v>1378</v>
      </c>
      <c r="BV2337" t="s">
        <v>98</v>
      </c>
      <c r="BY2337">
        <v>5320</v>
      </c>
      <c r="CA2337" t="s">
        <v>985</v>
      </c>
      <c r="CC2337" t="s">
        <v>981</v>
      </c>
      <c r="CD2337">
        <v>6529</v>
      </c>
      <c r="CE2337" t="s">
        <v>145</v>
      </c>
      <c r="CF2337" s="3">
        <v>45859</v>
      </c>
      <c r="CI2337">
        <v>1</v>
      </c>
      <c r="CJ2337">
        <v>1</v>
      </c>
      <c r="CK2337">
        <v>21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"080066623412"</f>
        <v>080066623412</v>
      </c>
      <c r="F2338" s="3">
        <v>45855</v>
      </c>
      <c r="G2338">
        <v>202604</v>
      </c>
      <c r="H2338" t="s">
        <v>75</v>
      </c>
      <c r="I2338" t="s">
        <v>76</v>
      </c>
      <c r="J2338" t="s">
        <v>77</v>
      </c>
      <c r="K2338" t="s">
        <v>78</v>
      </c>
      <c r="L2338" t="s">
        <v>452</v>
      </c>
      <c r="M2338" t="s">
        <v>453</v>
      </c>
      <c r="N2338" t="s">
        <v>1192</v>
      </c>
      <c r="O2338" t="s">
        <v>82</v>
      </c>
      <c r="P2338" t="str">
        <f>"4170049211                    "</f>
        <v xml:space="preserve">4170049211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17.649999999999999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55.61</v>
      </c>
      <c r="BM2338">
        <v>8.34</v>
      </c>
      <c r="BN2338">
        <v>63.95</v>
      </c>
      <c r="BO2338">
        <v>63.95</v>
      </c>
      <c r="BQ2338" t="s">
        <v>1193</v>
      </c>
      <c r="BR2338" t="s">
        <v>84</v>
      </c>
      <c r="BS2338" s="3">
        <v>45856</v>
      </c>
      <c r="BT2338" s="4">
        <v>0.42499999999999999</v>
      </c>
      <c r="BU2338" t="s">
        <v>2759</v>
      </c>
      <c r="BV2338" t="s">
        <v>98</v>
      </c>
      <c r="BY2338">
        <v>1200</v>
      </c>
      <c r="CA2338" t="s">
        <v>1541</v>
      </c>
      <c r="CC2338" t="s">
        <v>453</v>
      </c>
      <c r="CD2338">
        <v>1559</v>
      </c>
      <c r="CE2338" t="s">
        <v>121</v>
      </c>
      <c r="CF2338" s="3">
        <v>45856</v>
      </c>
      <c r="CI2338">
        <v>1</v>
      </c>
      <c r="CJ2338">
        <v>1</v>
      </c>
      <c r="CK2338">
        <v>22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"080066623465"</f>
        <v>080066623465</v>
      </c>
      <c r="F2339" s="3">
        <v>45855</v>
      </c>
      <c r="G2339">
        <v>202604</v>
      </c>
      <c r="H2339" t="s">
        <v>75</v>
      </c>
      <c r="I2339" t="s">
        <v>76</v>
      </c>
      <c r="J2339" t="s">
        <v>77</v>
      </c>
      <c r="K2339" t="s">
        <v>78</v>
      </c>
      <c r="L2339" t="s">
        <v>79</v>
      </c>
      <c r="M2339" t="s">
        <v>80</v>
      </c>
      <c r="N2339" t="s">
        <v>1980</v>
      </c>
      <c r="O2339" t="s">
        <v>82</v>
      </c>
      <c r="P2339" t="str">
        <f>"4170049191                    "</f>
        <v xml:space="preserve">4170049191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22.6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16.739999999999998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87.94</v>
      </c>
      <c r="BM2339">
        <v>13.19</v>
      </c>
      <c r="BN2339">
        <v>101.13</v>
      </c>
      <c r="BO2339">
        <v>101.13</v>
      </c>
      <c r="BQ2339" t="s">
        <v>1981</v>
      </c>
      <c r="BR2339" t="s">
        <v>84</v>
      </c>
      <c r="BS2339" s="3">
        <v>45856</v>
      </c>
      <c r="BT2339" s="4">
        <v>0.38194444444444442</v>
      </c>
      <c r="BU2339" t="s">
        <v>1982</v>
      </c>
      <c r="BV2339" t="s">
        <v>98</v>
      </c>
      <c r="BY2339">
        <v>1200</v>
      </c>
      <c r="BZ2339" t="s">
        <v>30</v>
      </c>
      <c r="CA2339" t="s">
        <v>692</v>
      </c>
      <c r="CC2339" t="s">
        <v>80</v>
      </c>
      <c r="CD2339">
        <v>7781</v>
      </c>
      <c r="CE2339" t="s">
        <v>121</v>
      </c>
      <c r="CF2339" s="3">
        <v>45859</v>
      </c>
      <c r="CI2339">
        <v>1</v>
      </c>
      <c r="CJ2339">
        <v>1</v>
      </c>
      <c r="CK2339">
        <v>21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"080066623510"</f>
        <v>080066623510</v>
      </c>
      <c r="F2340" s="3">
        <v>45855</v>
      </c>
      <c r="G2340">
        <v>202604</v>
      </c>
      <c r="H2340" t="s">
        <v>75</v>
      </c>
      <c r="I2340" t="s">
        <v>76</v>
      </c>
      <c r="J2340" t="s">
        <v>77</v>
      </c>
      <c r="K2340" t="s">
        <v>78</v>
      </c>
      <c r="L2340" t="s">
        <v>79</v>
      </c>
      <c r="M2340" t="s">
        <v>80</v>
      </c>
      <c r="N2340" t="s">
        <v>2760</v>
      </c>
      <c r="O2340" t="s">
        <v>82</v>
      </c>
      <c r="P2340" t="str">
        <f>"4170049213                    "</f>
        <v xml:space="preserve">4170049213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22.6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71.2</v>
      </c>
      <c r="BM2340">
        <v>10.68</v>
      </c>
      <c r="BN2340">
        <v>81.88</v>
      </c>
      <c r="BO2340">
        <v>81.88</v>
      </c>
      <c r="BQ2340" t="s">
        <v>2761</v>
      </c>
      <c r="BR2340" t="s">
        <v>84</v>
      </c>
      <c r="BS2340" s="3">
        <v>45856</v>
      </c>
      <c r="BT2340" s="4">
        <v>0.42638888888888887</v>
      </c>
      <c r="BU2340" t="s">
        <v>2762</v>
      </c>
      <c r="BV2340" t="s">
        <v>98</v>
      </c>
      <c r="BY2340">
        <v>1200</v>
      </c>
      <c r="CA2340" t="s">
        <v>289</v>
      </c>
      <c r="CC2340" t="s">
        <v>80</v>
      </c>
      <c r="CD2340">
        <v>7561</v>
      </c>
      <c r="CE2340" t="s">
        <v>121</v>
      </c>
      <c r="CF2340" s="3">
        <v>45859</v>
      </c>
      <c r="CI2340">
        <v>1</v>
      </c>
      <c r="CJ2340">
        <v>1</v>
      </c>
      <c r="CK2340">
        <v>21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"080066624126"</f>
        <v>080066624126</v>
      </c>
      <c r="F2341" s="3">
        <v>45855</v>
      </c>
      <c r="G2341">
        <v>202604</v>
      </c>
      <c r="H2341" t="s">
        <v>75</v>
      </c>
      <c r="I2341" t="s">
        <v>76</v>
      </c>
      <c r="J2341" t="s">
        <v>77</v>
      </c>
      <c r="K2341" t="s">
        <v>78</v>
      </c>
      <c r="L2341" t="s">
        <v>168</v>
      </c>
      <c r="M2341" t="s">
        <v>169</v>
      </c>
      <c r="N2341" t="s">
        <v>412</v>
      </c>
      <c r="O2341" t="s">
        <v>82</v>
      </c>
      <c r="P2341" t="str">
        <f>"4170049264                    "</f>
        <v xml:space="preserve">4170049264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33.89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</v>
      </c>
      <c r="BJ2341">
        <v>0.9</v>
      </c>
      <c r="BK2341">
        <v>3</v>
      </c>
      <c r="BL2341">
        <v>106.77</v>
      </c>
      <c r="BM2341">
        <v>16.02</v>
      </c>
      <c r="BN2341">
        <v>122.79</v>
      </c>
      <c r="BO2341">
        <v>122.79</v>
      </c>
      <c r="BQ2341" t="s">
        <v>413</v>
      </c>
      <c r="BR2341" t="s">
        <v>84</v>
      </c>
      <c r="BS2341" s="3">
        <v>45856</v>
      </c>
      <c r="BT2341" s="4">
        <v>0.38055555555555554</v>
      </c>
      <c r="BU2341" t="s">
        <v>470</v>
      </c>
      <c r="BV2341" t="s">
        <v>98</v>
      </c>
      <c r="BY2341">
        <v>4560</v>
      </c>
      <c r="CA2341" t="s">
        <v>415</v>
      </c>
      <c r="CC2341" t="s">
        <v>169</v>
      </c>
      <c r="CD2341">
        <v>6001</v>
      </c>
      <c r="CE2341" t="s">
        <v>145</v>
      </c>
      <c r="CF2341" s="3">
        <v>45856</v>
      </c>
      <c r="CI2341">
        <v>1</v>
      </c>
      <c r="CJ2341">
        <v>1</v>
      </c>
      <c r="CK2341">
        <v>21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"080066624128"</f>
        <v>080066624128</v>
      </c>
      <c r="F2342" s="3">
        <v>45855</v>
      </c>
      <c r="G2342">
        <v>202604</v>
      </c>
      <c r="H2342" t="s">
        <v>75</v>
      </c>
      <c r="I2342" t="s">
        <v>76</v>
      </c>
      <c r="J2342" t="s">
        <v>77</v>
      </c>
      <c r="K2342" t="s">
        <v>78</v>
      </c>
      <c r="L2342" t="s">
        <v>240</v>
      </c>
      <c r="M2342" t="s">
        <v>241</v>
      </c>
      <c r="N2342" t="s">
        <v>2575</v>
      </c>
      <c r="O2342" t="s">
        <v>82</v>
      </c>
      <c r="P2342" t="str">
        <f>"4170049319                    "</f>
        <v xml:space="preserve">4170049319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17.649999999999999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0.3</v>
      </c>
      <c r="BK2342">
        <v>1</v>
      </c>
      <c r="BL2342">
        <v>55.61</v>
      </c>
      <c r="BM2342">
        <v>8.34</v>
      </c>
      <c r="BN2342">
        <v>63.95</v>
      </c>
      <c r="BO2342">
        <v>63.95</v>
      </c>
      <c r="BQ2342" t="s">
        <v>2576</v>
      </c>
      <c r="BR2342" t="s">
        <v>84</v>
      </c>
      <c r="BS2342" s="3">
        <v>45856</v>
      </c>
      <c r="BT2342" s="4">
        <v>0.38541666666666669</v>
      </c>
      <c r="BU2342" t="s">
        <v>2763</v>
      </c>
      <c r="BV2342" t="s">
        <v>98</v>
      </c>
      <c r="BY2342">
        <v>1350</v>
      </c>
      <c r="CA2342" t="s">
        <v>245</v>
      </c>
      <c r="CC2342" t="s">
        <v>241</v>
      </c>
      <c r="CD2342">
        <v>2190</v>
      </c>
      <c r="CE2342" t="s">
        <v>158</v>
      </c>
      <c r="CF2342" s="3">
        <v>45856</v>
      </c>
      <c r="CI2342">
        <v>1</v>
      </c>
      <c r="CJ2342">
        <v>1</v>
      </c>
      <c r="CK2342">
        <v>22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"080066624154"</f>
        <v>080066624154</v>
      </c>
      <c r="F2343" s="3">
        <v>45855</v>
      </c>
      <c r="G2343">
        <v>202604</v>
      </c>
      <c r="H2343" t="s">
        <v>75</v>
      </c>
      <c r="I2343" t="s">
        <v>76</v>
      </c>
      <c r="J2343" t="s">
        <v>77</v>
      </c>
      <c r="K2343" t="s">
        <v>78</v>
      </c>
      <c r="L2343" t="s">
        <v>79</v>
      </c>
      <c r="M2343" t="s">
        <v>80</v>
      </c>
      <c r="N2343" t="s">
        <v>2170</v>
      </c>
      <c r="O2343" t="s">
        <v>82</v>
      </c>
      <c r="P2343" t="str">
        <f>"4170049272                    "</f>
        <v xml:space="preserve">4170049272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22.6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0.3</v>
      </c>
      <c r="BK2343">
        <v>1</v>
      </c>
      <c r="BL2343">
        <v>71.2</v>
      </c>
      <c r="BM2343">
        <v>10.68</v>
      </c>
      <c r="BN2343">
        <v>81.88</v>
      </c>
      <c r="BO2343">
        <v>81.88</v>
      </c>
      <c r="BQ2343" t="s">
        <v>2171</v>
      </c>
      <c r="BR2343" t="s">
        <v>84</v>
      </c>
      <c r="BS2343" s="3">
        <v>45856</v>
      </c>
      <c r="BT2343" s="4">
        <v>0.42708333333333331</v>
      </c>
      <c r="BU2343" t="s">
        <v>2313</v>
      </c>
      <c r="BV2343" t="s">
        <v>98</v>
      </c>
      <c r="BY2343">
        <v>1350</v>
      </c>
      <c r="CA2343" t="s">
        <v>658</v>
      </c>
      <c r="CC2343" t="s">
        <v>80</v>
      </c>
      <c r="CD2343">
        <v>7405</v>
      </c>
      <c r="CE2343" t="s">
        <v>158</v>
      </c>
      <c r="CF2343" s="3">
        <v>45859</v>
      </c>
      <c r="CI2343">
        <v>1</v>
      </c>
      <c r="CJ2343">
        <v>1</v>
      </c>
      <c r="CK2343">
        <v>21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"080066624240"</f>
        <v>080066624240</v>
      </c>
      <c r="F2344" s="3">
        <v>45855</v>
      </c>
      <c r="G2344">
        <v>202604</v>
      </c>
      <c r="H2344" t="s">
        <v>75</v>
      </c>
      <c r="I2344" t="s">
        <v>76</v>
      </c>
      <c r="J2344" t="s">
        <v>77</v>
      </c>
      <c r="K2344" t="s">
        <v>78</v>
      </c>
      <c r="L2344" t="s">
        <v>92</v>
      </c>
      <c r="M2344" t="s">
        <v>93</v>
      </c>
      <c r="N2344" t="s">
        <v>291</v>
      </c>
      <c r="O2344" t="s">
        <v>82</v>
      </c>
      <c r="P2344" t="str">
        <f>"4170049202                    "</f>
        <v xml:space="preserve">4170049202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45.18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4</v>
      </c>
      <c r="BJ2344">
        <v>1.1000000000000001</v>
      </c>
      <c r="BK2344">
        <v>4</v>
      </c>
      <c r="BL2344">
        <v>142.34</v>
      </c>
      <c r="BM2344">
        <v>21.35</v>
      </c>
      <c r="BN2344">
        <v>163.69</v>
      </c>
      <c r="BO2344">
        <v>163.69</v>
      </c>
      <c r="BQ2344" t="s">
        <v>292</v>
      </c>
      <c r="BR2344" t="s">
        <v>84</v>
      </c>
      <c r="BS2344" s="3">
        <v>45856</v>
      </c>
      <c r="BT2344" s="4">
        <v>0.33333333333333331</v>
      </c>
      <c r="BU2344" t="s">
        <v>971</v>
      </c>
      <c r="BV2344" t="s">
        <v>98</v>
      </c>
      <c r="BY2344">
        <v>5320</v>
      </c>
      <c r="CA2344" t="s">
        <v>294</v>
      </c>
      <c r="CC2344" t="s">
        <v>93</v>
      </c>
      <c r="CD2344">
        <v>4051</v>
      </c>
      <c r="CE2344" t="s">
        <v>145</v>
      </c>
      <c r="CF2344" s="3">
        <v>45856</v>
      </c>
      <c r="CI2344">
        <v>1</v>
      </c>
      <c r="CJ2344">
        <v>1</v>
      </c>
      <c r="CK2344">
        <v>21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"080066624248"</f>
        <v>080066624248</v>
      </c>
      <c r="F2345" s="3">
        <v>45855</v>
      </c>
      <c r="G2345">
        <v>202604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2764</v>
      </c>
      <c r="O2345" t="s">
        <v>82</v>
      </c>
      <c r="P2345" t="str">
        <f>"4170049261                    "</f>
        <v xml:space="preserve">4170049261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17.649999999999999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0.3</v>
      </c>
      <c r="BK2345">
        <v>1</v>
      </c>
      <c r="BL2345">
        <v>55.61</v>
      </c>
      <c r="BM2345">
        <v>8.34</v>
      </c>
      <c r="BN2345">
        <v>63.95</v>
      </c>
      <c r="BO2345">
        <v>63.95</v>
      </c>
      <c r="BQ2345" t="s">
        <v>2765</v>
      </c>
      <c r="BR2345" t="s">
        <v>84</v>
      </c>
      <c r="BS2345" s="3">
        <v>45856</v>
      </c>
      <c r="BT2345" s="4">
        <v>0.63194444444444442</v>
      </c>
      <c r="BU2345" t="s">
        <v>1326</v>
      </c>
      <c r="BV2345" t="s">
        <v>86</v>
      </c>
      <c r="BY2345">
        <v>1350</v>
      </c>
      <c r="CA2345" t="s">
        <v>1049</v>
      </c>
      <c r="CC2345" t="s">
        <v>76</v>
      </c>
      <c r="CD2345">
        <v>1601</v>
      </c>
      <c r="CE2345" t="s">
        <v>158</v>
      </c>
      <c r="CF2345" s="3">
        <v>45857</v>
      </c>
      <c r="CI2345">
        <v>1</v>
      </c>
      <c r="CJ2345">
        <v>1</v>
      </c>
      <c r="CK2345">
        <v>22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"080066624286"</f>
        <v>080066624286</v>
      </c>
      <c r="F2346" s="3">
        <v>45855</v>
      </c>
      <c r="G2346">
        <v>202604</v>
      </c>
      <c r="H2346" t="s">
        <v>75</v>
      </c>
      <c r="I2346" t="s">
        <v>76</v>
      </c>
      <c r="J2346" t="s">
        <v>77</v>
      </c>
      <c r="K2346" t="s">
        <v>78</v>
      </c>
      <c r="L2346" t="s">
        <v>92</v>
      </c>
      <c r="M2346" t="s">
        <v>93</v>
      </c>
      <c r="N2346" t="s">
        <v>334</v>
      </c>
      <c r="O2346" t="s">
        <v>82</v>
      </c>
      <c r="P2346" t="str">
        <f>"4170049194                    "</f>
        <v xml:space="preserve">4170049194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22.6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1.1000000000000001</v>
      </c>
      <c r="BK2346">
        <v>1.5</v>
      </c>
      <c r="BL2346">
        <v>71.2</v>
      </c>
      <c r="BM2346">
        <v>10.68</v>
      </c>
      <c r="BN2346">
        <v>81.88</v>
      </c>
      <c r="BO2346">
        <v>81.88</v>
      </c>
      <c r="BQ2346" t="s">
        <v>335</v>
      </c>
      <c r="BR2346" t="s">
        <v>84</v>
      </c>
      <c r="BS2346" s="3">
        <v>45856</v>
      </c>
      <c r="BT2346" s="4">
        <v>0.4548611111111111</v>
      </c>
      <c r="BU2346" t="s">
        <v>1365</v>
      </c>
      <c r="BV2346" t="s">
        <v>86</v>
      </c>
      <c r="BW2346" t="s">
        <v>194</v>
      </c>
      <c r="BX2346" t="s">
        <v>739</v>
      </c>
      <c r="BY2346">
        <v>5320</v>
      </c>
      <c r="CA2346" t="s">
        <v>337</v>
      </c>
      <c r="CC2346" t="s">
        <v>93</v>
      </c>
      <c r="CD2346">
        <v>4052</v>
      </c>
      <c r="CE2346" t="s">
        <v>145</v>
      </c>
      <c r="CF2346" s="3">
        <v>45856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"080066624354"</f>
        <v>080066624354</v>
      </c>
      <c r="F2347" s="3">
        <v>45855</v>
      </c>
      <c r="G2347">
        <v>202604</v>
      </c>
      <c r="H2347" t="s">
        <v>75</v>
      </c>
      <c r="I2347" t="s">
        <v>76</v>
      </c>
      <c r="J2347" t="s">
        <v>77</v>
      </c>
      <c r="K2347" t="s">
        <v>78</v>
      </c>
      <c r="L2347" t="s">
        <v>277</v>
      </c>
      <c r="M2347" t="s">
        <v>278</v>
      </c>
      <c r="N2347" t="s">
        <v>918</v>
      </c>
      <c r="O2347" t="s">
        <v>82</v>
      </c>
      <c r="P2347" t="str">
        <f>"4170049200                    "</f>
        <v xml:space="preserve">4170049200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22.6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0.3</v>
      </c>
      <c r="BK2347">
        <v>1</v>
      </c>
      <c r="BL2347">
        <v>71.2</v>
      </c>
      <c r="BM2347">
        <v>10.68</v>
      </c>
      <c r="BN2347">
        <v>81.88</v>
      </c>
      <c r="BO2347">
        <v>81.88</v>
      </c>
      <c r="BQ2347" t="s">
        <v>919</v>
      </c>
      <c r="BR2347" t="s">
        <v>84</v>
      </c>
      <c r="BS2347" s="3">
        <v>45856</v>
      </c>
      <c r="BT2347" s="4">
        <v>0.36944444444444446</v>
      </c>
      <c r="BU2347" t="s">
        <v>2766</v>
      </c>
      <c r="BV2347" t="s">
        <v>98</v>
      </c>
      <c r="BY2347">
        <v>1350</v>
      </c>
      <c r="CA2347" t="s">
        <v>282</v>
      </c>
      <c r="CC2347" t="s">
        <v>278</v>
      </c>
      <c r="CD2347">
        <v>6229</v>
      </c>
      <c r="CE2347" t="s">
        <v>158</v>
      </c>
      <c r="CF2347" s="3">
        <v>45856</v>
      </c>
      <c r="CI2347">
        <v>1</v>
      </c>
      <c r="CJ2347">
        <v>1</v>
      </c>
      <c r="CK2347">
        <v>21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"080066624374"</f>
        <v>080066624374</v>
      </c>
      <c r="F2348" s="3">
        <v>45855</v>
      </c>
      <c r="G2348">
        <v>202604</v>
      </c>
      <c r="H2348" t="s">
        <v>75</v>
      </c>
      <c r="I2348" t="s">
        <v>76</v>
      </c>
      <c r="J2348" t="s">
        <v>77</v>
      </c>
      <c r="K2348" t="s">
        <v>78</v>
      </c>
      <c r="L2348" t="s">
        <v>102</v>
      </c>
      <c r="M2348" t="s">
        <v>103</v>
      </c>
      <c r="N2348" t="s">
        <v>1643</v>
      </c>
      <c r="O2348" t="s">
        <v>82</v>
      </c>
      <c r="P2348" t="str">
        <f>"4170049239                    "</f>
        <v xml:space="preserve">4170049239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47.26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3</v>
      </c>
      <c r="BJ2348">
        <v>1.7</v>
      </c>
      <c r="BK2348">
        <v>3</v>
      </c>
      <c r="BL2348">
        <v>148.88999999999999</v>
      </c>
      <c r="BM2348">
        <v>22.33</v>
      </c>
      <c r="BN2348">
        <v>171.22</v>
      </c>
      <c r="BO2348">
        <v>171.22</v>
      </c>
      <c r="BQ2348" t="s">
        <v>1644</v>
      </c>
      <c r="BR2348" t="s">
        <v>84</v>
      </c>
      <c r="BS2348" s="3">
        <v>45856</v>
      </c>
      <c r="BT2348" s="4">
        <v>0.34305555555555556</v>
      </c>
      <c r="BU2348" t="s">
        <v>2669</v>
      </c>
      <c r="BV2348" t="s">
        <v>98</v>
      </c>
      <c r="BY2348">
        <v>8512</v>
      </c>
      <c r="CA2348" t="s">
        <v>109</v>
      </c>
      <c r="CC2348" t="s">
        <v>103</v>
      </c>
      <c r="CD2348">
        <v>1748</v>
      </c>
      <c r="CE2348" t="s">
        <v>145</v>
      </c>
      <c r="CF2348" s="3">
        <v>45856</v>
      </c>
      <c r="CI2348">
        <v>1</v>
      </c>
      <c r="CJ2348">
        <v>1</v>
      </c>
      <c r="CK2348">
        <v>24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"080066624392"</f>
        <v>080066624392</v>
      </c>
      <c r="F2349" s="3">
        <v>45855</v>
      </c>
      <c r="G2349">
        <v>202604</v>
      </c>
      <c r="H2349" t="s">
        <v>75</v>
      </c>
      <c r="I2349" t="s">
        <v>76</v>
      </c>
      <c r="J2349" t="s">
        <v>77</v>
      </c>
      <c r="K2349" t="s">
        <v>78</v>
      </c>
      <c r="L2349" t="s">
        <v>1400</v>
      </c>
      <c r="M2349" t="s">
        <v>1401</v>
      </c>
      <c r="N2349" t="s">
        <v>606</v>
      </c>
      <c r="O2349" t="s">
        <v>82</v>
      </c>
      <c r="P2349" t="str">
        <f>"4170049195                    "</f>
        <v xml:space="preserve">4170049195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43.78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0.3</v>
      </c>
      <c r="BK2349">
        <v>1</v>
      </c>
      <c r="BL2349">
        <v>137.94</v>
      </c>
      <c r="BM2349">
        <v>20.69</v>
      </c>
      <c r="BN2349">
        <v>158.63</v>
      </c>
      <c r="BO2349">
        <v>158.63</v>
      </c>
      <c r="BQ2349" t="s">
        <v>1403</v>
      </c>
      <c r="BR2349" t="s">
        <v>84</v>
      </c>
      <c r="BS2349" s="3">
        <v>45856</v>
      </c>
      <c r="BT2349" s="4">
        <v>0.68055555555555558</v>
      </c>
      <c r="BU2349" t="s">
        <v>2767</v>
      </c>
      <c r="BV2349" t="s">
        <v>98</v>
      </c>
      <c r="BY2349">
        <v>1350</v>
      </c>
      <c r="BZ2349" t="s">
        <v>89</v>
      </c>
      <c r="CA2349" t="s">
        <v>1405</v>
      </c>
      <c r="CC2349" t="s">
        <v>1401</v>
      </c>
      <c r="CD2349">
        <v>4449</v>
      </c>
      <c r="CE2349" t="s">
        <v>1868</v>
      </c>
      <c r="CF2349" s="3">
        <v>45857</v>
      </c>
      <c r="CI2349">
        <v>1</v>
      </c>
      <c r="CJ2349">
        <v>1</v>
      </c>
      <c r="CK2349">
        <v>23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"080066624418"</f>
        <v>080066624418</v>
      </c>
      <c r="F2350" s="3">
        <v>45855</v>
      </c>
      <c r="G2350">
        <v>202604</v>
      </c>
      <c r="H2350" t="s">
        <v>75</v>
      </c>
      <c r="I2350" t="s">
        <v>76</v>
      </c>
      <c r="J2350" t="s">
        <v>77</v>
      </c>
      <c r="K2350" t="s">
        <v>78</v>
      </c>
      <c r="L2350" t="s">
        <v>452</v>
      </c>
      <c r="M2350" t="s">
        <v>453</v>
      </c>
      <c r="N2350" t="s">
        <v>968</v>
      </c>
      <c r="O2350" t="s">
        <v>82</v>
      </c>
      <c r="P2350" t="str">
        <f>"4170049219                    "</f>
        <v xml:space="preserve">4170049219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17.649999999999999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1.1000000000000001</v>
      </c>
      <c r="BK2350">
        <v>2</v>
      </c>
      <c r="BL2350">
        <v>55.61</v>
      </c>
      <c r="BM2350">
        <v>8.34</v>
      </c>
      <c r="BN2350">
        <v>63.95</v>
      </c>
      <c r="BO2350">
        <v>63.95</v>
      </c>
      <c r="BQ2350" t="s">
        <v>1098</v>
      </c>
      <c r="BR2350" t="s">
        <v>84</v>
      </c>
      <c r="BS2350" s="3">
        <v>45856</v>
      </c>
      <c r="BT2350" s="4">
        <v>0.48194444444444445</v>
      </c>
      <c r="BU2350" t="s">
        <v>2768</v>
      </c>
      <c r="BV2350" t="s">
        <v>98</v>
      </c>
      <c r="BY2350">
        <v>5460</v>
      </c>
      <c r="BZ2350" t="s">
        <v>89</v>
      </c>
      <c r="CA2350" t="s">
        <v>1541</v>
      </c>
      <c r="CC2350" t="s">
        <v>453</v>
      </c>
      <c r="CD2350">
        <v>1559</v>
      </c>
      <c r="CE2350" t="s">
        <v>91</v>
      </c>
      <c r="CF2350" s="3">
        <v>45856</v>
      </c>
      <c r="CI2350">
        <v>1</v>
      </c>
      <c r="CJ2350">
        <v>1</v>
      </c>
      <c r="CK2350">
        <v>22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"080066624489"</f>
        <v>080066624489</v>
      </c>
      <c r="F2351" s="3">
        <v>45855</v>
      </c>
      <c r="G2351">
        <v>202604</v>
      </c>
      <c r="H2351" t="s">
        <v>75</v>
      </c>
      <c r="I2351" t="s">
        <v>76</v>
      </c>
      <c r="J2351" t="s">
        <v>77</v>
      </c>
      <c r="K2351" t="s">
        <v>78</v>
      </c>
      <c r="L2351" t="s">
        <v>135</v>
      </c>
      <c r="M2351" t="s">
        <v>136</v>
      </c>
      <c r="N2351" t="s">
        <v>2769</v>
      </c>
      <c r="O2351" t="s">
        <v>82</v>
      </c>
      <c r="P2351" t="str">
        <f>"4170049316                    "</f>
        <v xml:space="preserve">4170049316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22.6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16.739999999999998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0.3</v>
      </c>
      <c r="BK2351">
        <v>1</v>
      </c>
      <c r="BL2351">
        <v>87.94</v>
      </c>
      <c r="BM2351">
        <v>13.19</v>
      </c>
      <c r="BN2351">
        <v>101.13</v>
      </c>
      <c r="BO2351">
        <v>101.13</v>
      </c>
      <c r="BQ2351" t="s">
        <v>2770</v>
      </c>
      <c r="BR2351" t="s">
        <v>84</v>
      </c>
      <c r="BS2351" s="3">
        <v>45856</v>
      </c>
      <c r="BT2351" s="4">
        <v>0.41666666666666669</v>
      </c>
      <c r="BU2351" t="s">
        <v>2771</v>
      </c>
      <c r="BV2351" t="s">
        <v>98</v>
      </c>
      <c r="BY2351">
        <v>1350</v>
      </c>
      <c r="BZ2351" t="s">
        <v>30</v>
      </c>
      <c r="CA2351" t="s">
        <v>140</v>
      </c>
      <c r="CC2351" t="s">
        <v>136</v>
      </c>
      <c r="CD2351">
        <v>3699</v>
      </c>
      <c r="CE2351" t="s">
        <v>158</v>
      </c>
      <c r="CF2351" s="3">
        <v>45856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"080066624518"</f>
        <v>080066624518</v>
      </c>
      <c r="F2352" s="3">
        <v>45855</v>
      </c>
      <c r="G2352">
        <v>202604</v>
      </c>
      <c r="H2352" t="s">
        <v>75</v>
      </c>
      <c r="I2352" t="s">
        <v>76</v>
      </c>
      <c r="J2352" t="s">
        <v>77</v>
      </c>
      <c r="K2352" t="s">
        <v>78</v>
      </c>
      <c r="L2352" t="s">
        <v>79</v>
      </c>
      <c r="M2352" t="s">
        <v>80</v>
      </c>
      <c r="N2352" t="s">
        <v>286</v>
      </c>
      <c r="O2352" t="s">
        <v>82</v>
      </c>
      <c r="P2352" t="str">
        <f>"4170049251                    "</f>
        <v xml:space="preserve">4170049251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22.6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0.3</v>
      </c>
      <c r="BK2352">
        <v>1</v>
      </c>
      <c r="BL2352">
        <v>71.2</v>
      </c>
      <c r="BM2352">
        <v>10.68</v>
      </c>
      <c r="BN2352">
        <v>81.88</v>
      </c>
      <c r="BO2352">
        <v>81.88</v>
      </c>
      <c r="BQ2352" t="s">
        <v>287</v>
      </c>
      <c r="BR2352" t="s">
        <v>84</v>
      </c>
      <c r="BS2352" s="3">
        <v>45856</v>
      </c>
      <c r="BT2352" s="4">
        <v>0.41249999999999998</v>
      </c>
      <c r="BU2352" t="s">
        <v>2772</v>
      </c>
      <c r="BV2352" t="s">
        <v>98</v>
      </c>
      <c r="BY2352">
        <v>1350</v>
      </c>
      <c r="CA2352" t="s">
        <v>934</v>
      </c>
      <c r="CC2352" t="s">
        <v>80</v>
      </c>
      <c r="CD2352">
        <v>7530</v>
      </c>
      <c r="CE2352" t="s">
        <v>158</v>
      </c>
      <c r="CF2352" s="3">
        <v>45859</v>
      </c>
      <c r="CI2352">
        <v>1</v>
      </c>
      <c r="CJ2352">
        <v>1</v>
      </c>
      <c r="CK2352">
        <v>21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"080066624578"</f>
        <v>080066624578</v>
      </c>
      <c r="F2353" s="3">
        <v>45855</v>
      </c>
      <c r="G2353">
        <v>202604</v>
      </c>
      <c r="H2353" t="s">
        <v>75</v>
      </c>
      <c r="I2353" t="s">
        <v>76</v>
      </c>
      <c r="J2353" t="s">
        <v>77</v>
      </c>
      <c r="K2353" t="s">
        <v>78</v>
      </c>
      <c r="L2353" t="s">
        <v>79</v>
      </c>
      <c r="M2353" t="s">
        <v>80</v>
      </c>
      <c r="N2353" t="s">
        <v>188</v>
      </c>
      <c r="O2353" t="s">
        <v>82</v>
      </c>
      <c r="P2353" t="str">
        <f>"4170049244                    "</f>
        <v xml:space="preserve">4170049244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22.6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0.3</v>
      </c>
      <c r="BK2353">
        <v>1</v>
      </c>
      <c r="BL2353">
        <v>71.2</v>
      </c>
      <c r="BM2353">
        <v>10.68</v>
      </c>
      <c r="BN2353">
        <v>81.88</v>
      </c>
      <c r="BO2353">
        <v>81.88</v>
      </c>
      <c r="BQ2353" t="s">
        <v>189</v>
      </c>
      <c r="BR2353" t="s">
        <v>84</v>
      </c>
      <c r="BS2353" s="3">
        <v>45856</v>
      </c>
      <c r="BT2353" s="4">
        <v>0.34236111111111112</v>
      </c>
      <c r="BU2353" t="s">
        <v>1216</v>
      </c>
      <c r="BV2353" t="s">
        <v>98</v>
      </c>
      <c r="BY2353">
        <v>1350</v>
      </c>
      <c r="CA2353" t="s">
        <v>144</v>
      </c>
      <c r="CC2353" t="s">
        <v>80</v>
      </c>
      <c r="CD2353">
        <v>7441</v>
      </c>
      <c r="CE2353" t="s">
        <v>158</v>
      </c>
      <c r="CF2353" s="3">
        <v>45859</v>
      </c>
      <c r="CI2353">
        <v>1</v>
      </c>
      <c r="CJ2353">
        <v>1</v>
      </c>
      <c r="CK2353">
        <v>21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"080066624692"</f>
        <v>080066624692</v>
      </c>
      <c r="F2354" s="3">
        <v>45855</v>
      </c>
      <c r="G2354">
        <v>202604</v>
      </c>
      <c r="H2354" t="s">
        <v>75</v>
      </c>
      <c r="I2354" t="s">
        <v>76</v>
      </c>
      <c r="J2354" t="s">
        <v>77</v>
      </c>
      <c r="K2354" t="s">
        <v>78</v>
      </c>
      <c r="L2354" t="s">
        <v>92</v>
      </c>
      <c r="M2354" t="s">
        <v>93</v>
      </c>
      <c r="N2354" t="s">
        <v>334</v>
      </c>
      <c r="O2354" t="s">
        <v>82</v>
      </c>
      <c r="P2354" t="str">
        <f>"4170049317                    "</f>
        <v xml:space="preserve">4170049317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71.2</v>
      </c>
      <c r="BM2354">
        <v>10.68</v>
      </c>
      <c r="BN2354">
        <v>81.88</v>
      </c>
      <c r="BO2354">
        <v>81.88</v>
      </c>
      <c r="BQ2354" t="s">
        <v>335</v>
      </c>
      <c r="BR2354" t="s">
        <v>84</v>
      </c>
      <c r="BS2354" s="3">
        <v>45856</v>
      </c>
      <c r="BT2354" s="4">
        <v>0.4548611111111111</v>
      </c>
      <c r="BU2354" t="s">
        <v>1365</v>
      </c>
      <c r="BV2354" t="s">
        <v>86</v>
      </c>
      <c r="BW2354" t="s">
        <v>194</v>
      </c>
      <c r="BX2354" t="s">
        <v>739</v>
      </c>
      <c r="BY2354">
        <v>1200</v>
      </c>
      <c r="CA2354" t="s">
        <v>337</v>
      </c>
      <c r="CC2354" t="s">
        <v>93</v>
      </c>
      <c r="CD2354">
        <v>4052</v>
      </c>
      <c r="CE2354" t="s">
        <v>121</v>
      </c>
      <c r="CF2354" s="3">
        <v>45856</v>
      </c>
      <c r="CI2354">
        <v>1</v>
      </c>
      <c r="CJ2354">
        <v>1</v>
      </c>
      <c r="CK2354">
        <v>21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"080066624715"</f>
        <v>080066624715</v>
      </c>
      <c r="F2355" s="3">
        <v>45855</v>
      </c>
      <c r="G2355">
        <v>202604</v>
      </c>
      <c r="H2355" t="s">
        <v>75</v>
      </c>
      <c r="I2355" t="s">
        <v>76</v>
      </c>
      <c r="J2355" t="s">
        <v>77</v>
      </c>
      <c r="K2355" t="s">
        <v>78</v>
      </c>
      <c r="L2355" t="s">
        <v>79</v>
      </c>
      <c r="M2355" t="s">
        <v>80</v>
      </c>
      <c r="N2355" t="s">
        <v>286</v>
      </c>
      <c r="O2355" t="s">
        <v>82</v>
      </c>
      <c r="P2355" t="str">
        <f>"4170049320                    "</f>
        <v xml:space="preserve">4170049320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22.6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71.2</v>
      </c>
      <c r="BM2355">
        <v>10.68</v>
      </c>
      <c r="BN2355">
        <v>81.88</v>
      </c>
      <c r="BO2355">
        <v>81.88</v>
      </c>
      <c r="BQ2355" t="s">
        <v>287</v>
      </c>
      <c r="BR2355" t="s">
        <v>84</v>
      </c>
      <c r="BS2355" s="3">
        <v>45856</v>
      </c>
      <c r="BT2355" s="4">
        <v>0.32430555555555557</v>
      </c>
      <c r="BU2355" t="s">
        <v>288</v>
      </c>
      <c r="BV2355" t="s">
        <v>98</v>
      </c>
      <c r="BY2355">
        <v>1200</v>
      </c>
      <c r="CA2355" t="s">
        <v>289</v>
      </c>
      <c r="CC2355" t="s">
        <v>80</v>
      </c>
      <c r="CD2355">
        <v>7530</v>
      </c>
      <c r="CE2355" t="s">
        <v>2773</v>
      </c>
      <c r="CF2355" s="3">
        <v>45859</v>
      </c>
      <c r="CI2355">
        <v>1</v>
      </c>
      <c r="CJ2355">
        <v>1</v>
      </c>
      <c r="CK2355">
        <v>21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"080066624745"</f>
        <v>080066624745</v>
      </c>
      <c r="F2356" s="3">
        <v>45855</v>
      </c>
      <c r="G2356">
        <v>202604</v>
      </c>
      <c r="H2356" t="s">
        <v>75</v>
      </c>
      <c r="I2356" t="s">
        <v>76</v>
      </c>
      <c r="J2356" t="s">
        <v>77</v>
      </c>
      <c r="K2356" t="s">
        <v>78</v>
      </c>
      <c r="L2356" t="s">
        <v>79</v>
      </c>
      <c r="M2356" t="s">
        <v>80</v>
      </c>
      <c r="N2356" t="s">
        <v>2774</v>
      </c>
      <c r="O2356" t="s">
        <v>82</v>
      </c>
      <c r="P2356" t="str">
        <f>"4170049312                    "</f>
        <v xml:space="preserve">4170049312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22.6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71.2</v>
      </c>
      <c r="BM2356">
        <v>10.68</v>
      </c>
      <c r="BN2356">
        <v>81.88</v>
      </c>
      <c r="BO2356">
        <v>81.88</v>
      </c>
      <c r="BQ2356" t="s">
        <v>2775</v>
      </c>
      <c r="BR2356" t="s">
        <v>84</v>
      </c>
      <c r="BS2356" s="3">
        <v>45856</v>
      </c>
      <c r="BT2356" s="4">
        <v>0.43611111111111112</v>
      </c>
      <c r="BU2356" t="s">
        <v>1600</v>
      </c>
      <c r="BV2356" t="s">
        <v>98</v>
      </c>
      <c r="BY2356">
        <v>1200</v>
      </c>
      <c r="CA2356" t="s">
        <v>733</v>
      </c>
      <c r="CC2356" t="s">
        <v>80</v>
      </c>
      <c r="CD2356">
        <v>7499</v>
      </c>
      <c r="CE2356" t="s">
        <v>121</v>
      </c>
      <c r="CF2356" s="3">
        <v>45859</v>
      </c>
      <c r="CI2356">
        <v>1</v>
      </c>
      <c r="CJ2356">
        <v>1</v>
      </c>
      <c r="CK2356">
        <v>21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"080066624770"</f>
        <v>080066624770</v>
      </c>
      <c r="F2357" s="3">
        <v>45855</v>
      </c>
      <c r="G2357">
        <v>202604</v>
      </c>
      <c r="H2357" t="s">
        <v>75</v>
      </c>
      <c r="I2357" t="s">
        <v>76</v>
      </c>
      <c r="J2357" t="s">
        <v>77</v>
      </c>
      <c r="K2357" t="s">
        <v>78</v>
      </c>
      <c r="L2357" t="s">
        <v>146</v>
      </c>
      <c r="M2357" t="s">
        <v>146</v>
      </c>
      <c r="N2357" t="s">
        <v>986</v>
      </c>
      <c r="O2357" t="s">
        <v>82</v>
      </c>
      <c r="P2357" t="str">
        <f>"4170049306                    "</f>
        <v xml:space="preserve">4170049306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43.78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137.94</v>
      </c>
      <c r="BM2357">
        <v>20.69</v>
      </c>
      <c r="BN2357">
        <v>158.63</v>
      </c>
      <c r="BO2357">
        <v>158.63</v>
      </c>
      <c r="BQ2357" t="s">
        <v>987</v>
      </c>
      <c r="BR2357" t="s">
        <v>84</v>
      </c>
      <c r="BS2357" s="3">
        <v>45856</v>
      </c>
      <c r="BT2357" s="4">
        <v>0.5180555555555556</v>
      </c>
      <c r="BU2357" t="s">
        <v>1115</v>
      </c>
      <c r="BV2357" t="s">
        <v>98</v>
      </c>
      <c r="BY2357">
        <v>1200</v>
      </c>
      <c r="CA2357" t="s">
        <v>150</v>
      </c>
      <c r="CC2357" t="s">
        <v>146</v>
      </c>
      <c r="CD2357">
        <v>7646</v>
      </c>
      <c r="CE2357" t="s">
        <v>121</v>
      </c>
      <c r="CF2357" s="3">
        <v>45859</v>
      </c>
      <c r="CI2357">
        <v>1</v>
      </c>
      <c r="CJ2357">
        <v>1</v>
      </c>
      <c r="CK2357">
        <v>23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"080066624799"</f>
        <v>080066624799</v>
      </c>
      <c r="F2358" s="3">
        <v>45855</v>
      </c>
      <c r="G2358">
        <v>202604</v>
      </c>
      <c r="H2358" t="s">
        <v>75</v>
      </c>
      <c r="I2358" t="s">
        <v>76</v>
      </c>
      <c r="J2358" t="s">
        <v>77</v>
      </c>
      <c r="K2358" t="s">
        <v>78</v>
      </c>
      <c r="L2358" t="s">
        <v>92</v>
      </c>
      <c r="M2358" t="s">
        <v>93</v>
      </c>
      <c r="N2358" t="s">
        <v>749</v>
      </c>
      <c r="O2358" t="s">
        <v>82</v>
      </c>
      <c r="P2358" t="str">
        <f>"4170049230                    "</f>
        <v xml:space="preserve">4170049230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22.6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71.2</v>
      </c>
      <c r="BM2358">
        <v>10.68</v>
      </c>
      <c r="BN2358">
        <v>81.88</v>
      </c>
      <c r="BO2358">
        <v>81.88</v>
      </c>
      <c r="BQ2358" t="s">
        <v>750</v>
      </c>
      <c r="BR2358" t="s">
        <v>84</v>
      </c>
      <c r="BS2358" s="3">
        <v>45856</v>
      </c>
      <c r="BT2358" s="4">
        <v>0.37708333333333333</v>
      </c>
      <c r="BU2358" t="s">
        <v>751</v>
      </c>
      <c r="BV2358" t="s">
        <v>98</v>
      </c>
      <c r="BY2358">
        <v>1200</v>
      </c>
      <c r="CA2358" t="s">
        <v>491</v>
      </c>
      <c r="CC2358" t="s">
        <v>93</v>
      </c>
      <c r="CD2358">
        <v>4001</v>
      </c>
      <c r="CE2358" t="s">
        <v>110</v>
      </c>
      <c r="CF2358" s="3">
        <v>45857</v>
      </c>
      <c r="CI2358">
        <v>1</v>
      </c>
      <c r="CJ2358">
        <v>1</v>
      </c>
      <c r="CK2358">
        <v>21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"080066624832"</f>
        <v>080066624832</v>
      </c>
      <c r="F2359" s="3">
        <v>45855</v>
      </c>
      <c r="G2359">
        <v>202604</v>
      </c>
      <c r="H2359" t="s">
        <v>75</v>
      </c>
      <c r="I2359" t="s">
        <v>76</v>
      </c>
      <c r="J2359" t="s">
        <v>77</v>
      </c>
      <c r="K2359" t="s">
        <v>78</v>
      </c>
      <c r="L2359" t="s">
        <v>92</v>
      </c>
      <c r="M2359" t="s">
        <v>93</v>
      </c>
      <c r="N2359" t="s">
        <v>291</v>
      </c>
      <c r="O2359" t="s">
        <v>82</v>
      </c>
      <c r="P2359" t="str">
        <f>"4170049206                    "</f>
        <v xml:space="preserve">4170049206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22.6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71.2</v>
      </c>
      <c r="BM2359">
        <v>10.68</v>
      </c>
      <c r="BN2359">
        <v>81.88</v>
      </c>
      <c r="BO2359">
        <v>81.88</v>
      </c>
      <c r="BQ2359" t="s">
        <v>292</v>
      </c>
      <c r="BR2359" t="s">
        <v>84</v>
      </c>
      <c r="BS2359" s="3">
        <v>45856</v>
      </c>
      <c r="BT2359" s="4">
        <v>0.33333333333333331</v>
      </c>
      <c r="BU2359" t="s">
        <v>971</v>
      </c>
      <c r="BV2359" t="s">
        <v>98</v>
      </c>
      <c r="BY2359">
        <v>1200</v>
      </c>
      <c r="CA2359" t="s">
        <v>294</v>
      </c>
      <c r="CC2359" t="s">
        <v>93</v>
      </c>
      <c r="CD2359">
        <v>4051</v>
      </c>
      <c r="CE2359" t="s">
        <v>110</v>
      </c>
      <c r="CF2359" s="3">
        <v>45856</v>
      </c>
      <c r="CI2359">
        <v>1</v>
      </c>
      <c r="CJ2359">
        <v>1</v>
      </c>
      <c r="CK2359">
        <v>21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"080066624989"</f>
        <v>080066624989</v>
      </c>
      <c r="F2360" s="3">
        <v>45855</v>
      </c>
      <c r="G2360">
        <v>202604</v>
      </c>
      <c r="H2360" t="s">
        <v>75</v>
      </c>
      <c r="I2360" t="s">
        <v>76</v>
      </c>
      <c r="J2360" t="s">
        <v>77</v>
      </c>
      <c r="K2360" t="s">
        <v>78</v>
      </c>
      <c r="L2360" t="s">
        <v>197</v>
      </c>
      <c r="M2360" t="s">
        <v>198</v>
      </c>
      <c r="N2360" t="s">
        <v>2776</v>
      </c>
      <c r="O2360" t="s">
        <v>95</v>
      </c>
      <c r="P2360" t="str">
        <f>"4170049197                    "</f>
        <v xml:space="preserve">4170049197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33.72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7</v>
      </c>
      <c r="BJ2360">
        <v>2.7</v>
      </c>
      <c r="BK2360">
        <v>7</v>
      </c>
      <c r="BL2360">
        <v>112.11</v>
      </c>
      <c r="BM2360">
        <v>16.82</v>
      </c>
      <c r="BN2360">
        <v>128.93</v>
      </c>
      <c r="BO2360">
        <v>128.93</v>
      </c>
      <c r="BQ2360" t="s">
        <v>2777</v>
      </c>
      <c r="BR2360" t="s">
        <v>84</v>
      </c>
      <c r="BS2360" s="3">
        <v>45856</v>
      </c>
      <c r="BT2360" s="4">
        <v>0.43055555555555558</v>
      </c>
      <c r="BU2360" t="s">
        <v>2593</v>
      </c>
      <c r="BV2360" t="s">
        <v>98</v>
      </c>
      <c r="BY2360">
        <v>13300</v>
      </c>
      <c r="CA2360" t="s">
        <v>893</v>
      </c>
      <c r="CC2360" t="s">
        <v>198</v>
      </c>
      <c r="CD2360">
        <v>1401</v>
      </c>
      <c r="CE2360" t="s">
        <v>1203</v>
      </c>
      <c r="CF2360" s="3">
        <v>45856</v>
      </c>
      <c r="CI2360">
        <v>1</v>
      </c>
      <c r="CJ2360">
        <v>1</v>
      </c>
      <c r="CK2360">
        <v>42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"080066625009"</f>
        <v>080066625009</v>
      </c>
      <c r="F2361" s="3">
        <v>45855</v>
      </c>
      <c r="G2361">
        <v>202604</v>
      </c>
      <c r="H2361" t="s">
        <v>75</v>
      </c>
      <c r="I2361" t="s">
        <v>76</v>
      </c>
      <c r="J2361" t="s">
        <v>77</v>
      </c>
      <c r="K2361" t="s">
        <v>78</v>
      </c>
      <c r="L2361" t="s">
        <v>79</v>
      </c>
      <c r="M2361" t="s">
        <v>80</v>
      </c>
      <c r="N2361" t="s">
        <v>141</v>
      </c>
      <c r="O2361" t="s">
        <v>82</v>
      </c>
      <c r="P2361" t="str">
        <f>"4170049281                    "</f>
        <v xml:space="preserve">4170049281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39.53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3.4</v>
      </c>
      <c r="BK2361">
        <v>3.5</v>
      </c>
      <c r="BL2361">
        <v>124.55</v>
      </c>
      <c r="BM2361">
        <v>18.68</v>
      </c>
      <c r="BN2361">
        <v>143.22999999999999</v>
      </c>
      <c r="BO2361">
        <v>143.22999999999999</v>
      </c>
      <c r="BQ2361" t="s">
        <v>142</v>
      </c>
      <c r="BR2361" t="s">
        <v>84</v>
      </c>
      <c r="BS2361" s="3">
        <v>45856</v>
      </c>
      <c r="BT2361" s="4">
        <v>0.38750000000000001</v>
      </c>
      <c r="BU2361" t="s">
        <v>143</v>
      </c>
      <c r="BV2361" t="s">
        <v>98</v>
      </c>
      <c r="BY2361">
        <v>16965</v>
      </c>
      <c r="CA2361" t="s">
        <v>144</v>
      </c>
      <c r="CC2361" t="s">
        <v>80</v>
      </c>
      <c r="CD2361">
        <v>7441</v>
      </c>
      <c r="CE2361" t="s">
        <v>145</v>
      </c>
      <c r="CF2361" s="3">
        <v>45859</v>
      </c>
      <c r="CI2361">
        <v>1</v>
      </c>
      <c r="CJ2361">
        <v>1</v>
      </c>
      <c r="CK2361">
        <v>21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"080066625083"</f>
        <v>080066625083</v>
      </c>
      <c r="F2362" s="3">
        <v>45855</v>
      </c>
      <c r="G2362">
        <v>202604</v>
      </c>
      <c r="H2362" t="s">
        <v>75</v>
      </c>
      <c r="I2362" t="s">
        <v>76</v>
      </c>
      <c r="J2362" t="s">
        <v>77</v>
      </c>
      <c r="K2362" t="s">
        <v>78</v>
      </c>
      <c r="L2362" t="s">
        <v>151</v>
      </c>
      <c r="M2362" t="s">
        <v>152</v>
      </c>
      <c r="N2362" t="s">
        <v>500</v>
      </c>
      <c r="O2362" t="s">
        <v>95</v>
      </c>
      <c r="P2362" t="str">
        <f>"4170049286                    "</f>
        <v xml:space="preserve">4170049286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43.7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6</v>
      </c>
      <c r="BJ2362">
        <v>3.5</v>
      </c>
      <c r="BK2362">
        <v>6</v>
      </c>
      <c r="BL2362">
        <v>143.55000000000001</v>
      </c>
      <c r="BM2362">
        <v>21.53</v>
      </c>
      <c r="BN2362">
        <v>165.08</v>
      </c>
      <c r="BO2362">
        <v>165.08</v>
      </c>
      <c r="BQ2362" t="s">
        <v>501</v>
      </c>
      <c r="BR2362" t="s">
        <v>84</v>
      </c>
      <c r="BS2362" s="3">
        <v>45856</v>
      </c>
      <c r="BT2362" s="4">
        <v>0.39861111111111114</v>
      </c>
      <c r="BU2362" t="s">
        <v>561</v>
      </c>
      <c r="BV2362" t="s">
        <v>98</v>
      </c>
      <c r="BY2362">
        <v>17340</v>
      </c>
      <c r="BZ2362" t="s">
        <v>99</v>
      </c>
      <c r="CA2362" t="s">
        <v>388</v>
      </c>
      <c r="CC2362" t="s">
        <v>152</v>
      </c>
      <c r="CD2362" s="5" t="s">
        <v>157</v>
      </c>
      <c r="CE2362" t="s">
        <v>91</v>
      </c>
      <c r="CF2362" s="3">
        <v>45856</v>
      </c>
      <c r="CI2362">
        <v>1</v>
      </c>
      <c r="CJ2362">
        <v>1</v>
      </c>
      <c r="CK2362">
        <v>41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"080066625117"</f>
        <v>080066625117</v>
      </c>
      <c r="F2363" s="3">
        <v>45855</v>
      </c>
      <c r="G2363">
        <v>202604</v>
      </c>
      <c r="H2363" t="s">
        <v>75</v>
      </c>
      <c r="I2363" t="s">
        <v>76</v>
      </c>
      <c r="J2363" t="s">
        <v>77</v>
      </c>
      <c r="K2363" t="s">
        <v>78</v>
      </c>
      <c r="L2363" t="s">
        <v>122</v>
      </c>
      <c r="M2363" t="s">
        <v>123</v>
      </c>
      <c r="N2363" t="s">
        <v>2340</v>
      </c>
      <c r="O2363" t="s">
        <v>82</v>
      </c>
      <c r="P2363" t="str">
        <f>"4170049236                    "</f>
        <v xml:space="preserve">4170049236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50.82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2</v>
      </c>
      <c r="BJ2363">
        <v>4.3</v>
      </c>
      <c r="BK2363">
        <v>4.5</v>
      </c>
      <c r="BL2363">
        <v>160.12</v>
      </c>
      <c r="BM2363">
        <v>24.02</v>
      </c>
      <c r="BN2363">
        <v>184.14</v>
      </c>
      <c r="BO2363">
        <v>184.14</v>
      </c>
      <c r="BQ2363" t="s">
        <v>2341</v>
      </c>
      <c r="BR2363" t="s">
        <v>84</v>
      </c>
      <c r="BS2363" s="3">
        <v>45856</v>
      </c>
      <c r="BT2363" s="4">
        <v>0.41666666666666669</v>
      </c>
      <c r="BU2363" t="s">
        <v>1178</v>
      </c>
      <c r="BV2363" t="s">
        <v>98</v>
      </c>
      <c r="BY2363">
        <v>21489</v>
      </c>
      <c r="BZ2363" t="s">
        <v>89</v>
      </c>
      <c r="CA2363" t="s">
        <v>187</v>
      </c>
      <c r="CC2363" t="s">
        <v>123</v>
      </c>
      <c r="CD2363">
        <v>3610</v>
      </c>
      <c r="CE2363" t="s">
        <v>117</v>
      </c>
      <c r="CF2363" s="3">
        <v>45856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"080066625165"</f>
        <v>080066625165</v>
      </c>
      <c r="F2364" s="3">
        <v>45855</v>
      </c>
      <c r="G2364">
        <v>202604</v>
      </c>
      <c r="H2364" t="s">
        <v>75</v>
      </c>
      <c r="I2364" t="s">
        <v>76</v>
      </c>
      <c r="J2364" t="s">
        <v>77</v>
      </c>
      <c r="K2364" t="s">
        <v>78</v>
      </c>
      <c r="L2364" t="s">
        <v>197</v>
      </c>
      <c r="M2364" t="s">
        <v>198</v>
      </c>
      <c r="N2364" t="s">
        <v>2778</v>
      </c>
      <c r="O2364" t="s">
        <v>311</v>
      </c>
      <c r="P2364" t="str">
        <f>"4170049274                    "</f>
        <v xml:space="preserve">4170049274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17.66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2</v>
      </c>
      <c r="BI2364">
        <v>8</v>
      </c>
      <c r="BJ2364">
        <v>6.8</v>
      </c>
      <c r="BK2364">
        <v>8</v>
      </c>
      <c r="BL2364">
        <v>55.63</v>
      </c>
      <c r="BM2364">
        <v>8.34</v>
      </c>
      <c r="BN2364">
        <v>63.97</v>
      </c>
      <c r="BO2364">
        <v>63.97</v>
      </c>
      <c r="BQ2364" t="s">
        <v>2779</v>
      </c>
      <c r="BR2364" t="s">
        <v>84</v>
      </c>
      <c r="BS2364" s="3">
        <v>45856</v>
      </c>
      <c r="BT2364" s="4">
        <v>0.37569444444444444</v>
      </c>
      <c r="BU2364" t="s">
        <v>2780</v>
      </c>
      <c r="BV2364" t="s">
        <v>98</v>
      </c>
      <c r="BY2364">
        <v>16965</v>
      </c>
      <c r="BZ2364" t="s">
        <v>99</v>
      </c>
      <c r="CA2364" t="s">
        <v>1799</v>
      </c>
      <c r="CC2364" t="s">
        <v>198</v>
      </c>
      <c r="CD2364">
        <v>1401</v>
      </c>
      <c r="CE2364" t="s">
        <v>1468</v>
      </c>
      <c r="CF2364" s="3">
        <v>45856</v>
      </c>
      <c r="CI2364">
        <v>1</v>
      </c>
      <c r="CJ2364">
        <v>1</v>
      </c>
      <c r="CK2364">
        <v>32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"080066625209"</f>
        <v>080066625209</v>
      </c>
      <c r="F2365" s="3">
        <v>45855</v>
      </c>
      <c r="G2365">
        <v>202604</v>
      </c>
      <c r="H2365" t="s">
        <v>75</v>
      </c>
      <c r="I2365" t="s">
        <v>76</v>
      </c>
      <c r="J2365" t="s">
        <v>77</v>
      </c>
      <c r="K2365" t="s">
        <v>78</v>
      </c>
      <c r="L2365" t="s">
        <v>122</v>
      </c>
      <c r="M2365" t="s">
        <v>123</v>
      </c>
      <c r="N2365" t="s">
        <v>283</v>
      </c>
      <c r="O2365" t="s">
        <v>82</v>
      </c>
      <c r="P2365" t="str">
        <f>"4170049224                    "</f>
        <v xml:space="preserve">4170049224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33.89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3</v>
      </c>
      <c r="BJ2365">
        <v>1.7</v>
      </c>
      <c r="BK2365">
        <v>3</v>
      </c>
      <c r="BL2365">
        <v>106.77</v>
      </c>
      <c r="BM2365">
        <v>16.02</v>
      </c>
      <c r="BN2365">
        <v>122.79</v>
      </c>
      <c r="BO2365">
        <v>122.79</v>
      </c>
      <c r="BQ2365" t="s">
        <v>284</v>
      </c>
      <c r="BR2365" t="s">
        <v>84</v>
      </c>
      <c r="BS2365" s="3">
        <v>45856</v>
      </c>
      <c r="BT2365" s="4">
        <v>0.39513888888888887</v>
      </c>
      <c r="BU2365" t="s">
        <v>285</v>
      </c>
      <c r="BV2365" t="s">
        <v>98</v>
      </c>
      <c r="BY2365">
        <v>8512</v>
      </c>
      <c r="BZ2365" t="s">
        <v>89</v>
      </c>
      <c r="CA2365" t="s">
        <v>187</v>
      </c>
      <c r="CC2365" t="s">
        <v>123</v>
      </c>
      <c r="CD2365">
        <v>3608</v>
      </c>
      <c r="CE2365" t="s">
        <v>117</v>
      </c>
      <c r="CF2365" s="3">
        <v>45856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"080066625258"</f>
        <v>080066625258</v>
      </c>
      <c r="F2366" s="3">
        <v>45855</v>
      </c>
      <c r="G2366">
        <v>202604</v>
      </c>
      <c r="H2366" t="s">
        <v>75</v>
      </c>
      <c r="I2366" t="s">
        <v>76</v>
      </c>
      <c r="J2366" t="s">
        <v>77</v>
      </c>
      <c r="K2366" t="s">
        <v>78</v>
      </c>
      <c r="L2366" t="s">
        <v>174</v>
      </c>
      <c r="M2366" t="s">
        <v>175</v>
      </c>
      <c r="N2366" t="s">
        <v>2644</v>
      </c>
      <c r="O2366" t="s">
        <v>82</v>
      </c>
      <c r="P2366" t="str">
        <f>"4170049289                    "</f>
        <v xml:space="preserve">4170049289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22.6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0.9</v>
      </c>
      <c r="BK2366">
        <v>1</v>
      </c>
      <c r="BL2366">
        <v>71.2</v>
      </c>
      <c r="BM2366">
        <v>10.68</v>
      </c>
      <c r="BN2366">
        <v>81.88</v>
      </c>
      <c r="BO2366">
        <v>81.88</v>
      </c>
      <c r="BQ2366" t="s">
        <v>2645</v>
      </c>
      <c r="BR2366" t="s">
        <v>84</v>
      </c>
      <c r="BS2366" s="3">
        <v>45856</v>
      </c>
      <c r="BT2366" s="4">
        <v>0.40972222222222221</v>
      </c>
      <c r="BU2366" t="s">
        <v>2781</v>
      </c>
      <c r="BV2366" t="s">
        <v>98</v>
      </c>
      <c r="BY2366">
        <v>4275</v>
      </c>
      <c r="BZ2366" t="s">
        <v>89</v>
      </c>
      <c r="CA2366" t="s">
        <v>173</v>
      </c>
      <c r="CC2366" t="s">
        <v>175</v>
      </c>
      <c r="CD2366">
        <v>6220</v>
      </c>
      <c r="CE2366" t="s">
        <v>117</v>
      </c>
      <c r="CF2366" s="3">
        <v>45856</v>
      </c>
      <c r="CI2366">
        <v>1</v>
      </c>
      <c r="CJ2366">
        <v>1</v>
      </c>
      <c r="CK2366">
        <v>21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"080066625500"</f>
        <v>080066625500</v>
      </c>
      <c r="F2367" s="3">
        <v>45855</v>
      </c>
      <c r="G2367">
        <v>202604</v>
      </c>
      <c r="H2367" t="s">
        <v>75</v>
      </c>
      <c r="I2367" t="s">
        <v>76</v>
      </c>
      <c r="J2367" t="s">
        <v>77</v>
      </c>
      <c r="K2367" t="s">
        <v>78</v>
      </c>
      <c r="L2367" t="s">
        <v>168</v>
      </c>
      <c r="M2367" t="s">
        <v>169</v>
      </c>
      <c r="N2367" t="s">
        <v>924</v>
      </c>
      <c r="O2367" t="s">
        <v>82</v>
      </c>
      <c r="P2367" t="str">
        <f>"4170049273                    "</f>
        <v xml:space="preserve">4170049273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22.6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0.3</v>
      </c>
      <c r="BK2367">
        <v>1</v>
      </c>
      <c r="BL2367">
        <v>71.2</v>
      </c>
      <c r="BM2367">
        <v>10.68</v>
      </c>
      <c r="BN2367">
        <v>81.88</v>
      </c>
      <c r="BO2367">
        <v>81.88</v>
      </c>
      <c r="BQ2367" t="s">
        <v>925</v>
      </c>
      <c r="BR2367" t="s">
        <v>84</v>
      </c>
      <c r="BS2367" s="3">
        <v>45856</v>
      </c>
      <c r="BT2367" s="4">
        <v>0.42291666666666666</v>
      </c>
      <c r="BU2367" t="s">
        <v>1424</v>
      </c>
      <c r="BV2367" t="s">
        <v>98</v>
      </c>
      <c r="BY2367">
        <v>1350</v>
      </c>
      <c r="CA2367" t="s">
        <v>196</v>
      </c>
      <c r="CC2367" t="s">
        <v>169</v>
      </c>
      <c r="CD2367">
        <v>6056</v>
      </c>
      <c r="CE2367" t="s">
        <v>158</v>
      </c>
      <c r="CF2367" s="3">
        <v>45856</v>
      </c>
      <c r="CI2367">
        <v>1</v>
      </c>
      <c r="CJ2367">
        <v>1</v>
      </c>
      <c r="CK2367">
        <v>21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"080066625542"</f>
        <v>080066625542</v>
      </c>
      <c r="F2368" s="3">
        <v>45855</v>
      </c>
      <c r="G2368">
        <v>202604</v>
      </c>
      <c r="H2368" t="s">
        <v>75</v>
      </c>
      <c r="I2368" t="s">
        <v>76</v>
      </c>
      <c r="J2368" t="s">
        <v>77</v>
      </c>
      <c r="K2368" t="s">
        <v>78</v>
      </c>
      <c r="L2368" t="s">
        <v>79</v>
      </c>
      <c r="M2368" t="s">
        <v>80</v>
      </c>
      <c r="N2368" t="s">
        <v>931</v>
      </c>
      <c r="O2368" t="s">
        <v>82</v>
      </c>
      <c r="P2368" t="str">
        <f>"4170049185                    "</f>
        <v xml:space="preserve">4170049185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22.6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0.3</v>
      </c>
      <c r="BK2368">
        <v>1</v>
      </c>
      <c r="BL2368">
        <v>71.2</v>
      </c>
      <c r="BM2368">
        <v>10.68</v>
      </c>
      <c r="BN2368">
        <v>81.88</v>
      </c>
      <c r="BO2368">
        <v>81.88</v>
      </c>
      <c r="BQ2368" t="s">
        <v>932</v>
      </c>
      <c r="BR2368" t="s">
        <v>84</v>
      </c>
      <c r="BS2368" s="3">
        <v>45856</v>
      </c>
      <c r="BT2368" s="4">
        <v>0.37777777777777777</v>
      </c>
      <c r="BU2368" t="s">
        <v>2500</v>
      </c>
      <c r="BV2368" t="s">
        <v>98</v>
      </c>
      <c r="BY2368">
        <v>1350</v>
      </c>
      <c r="CA2368" t="s">
        <v>934</v>
      </c>
      <c r="CC2368" t="s">
        <v>80</v>
      </c>
      <c r="CD2368">
        <v>7535</v>
      </c>
      <c r="CE2368" t="s">
        <v>158</v>
      </c>
      <c r="CF2368" s="3">
        <v>45859</v>
      </c>
      <c r="CI2368">
        <v>1</v>
      </c>
      <c r="CJ2368">
        <v>1</v>
      </c>
      <c r="CK2368">
        <v>21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"080066625622"</f>
        <v>080066625622</v>
      </c>
      <c r="F2369" s="3">
        <v>45855</v>
      </c>
      <c r="G2369">
        <v>202604</v>
      </c>
      <c r="H2369" t="s">
        <v>75</v>
      </c>
      <c r="I2369" t="s">
        <v>76</v>
      </c>
      <c r="J2369" t="s">
        <v>77</v>
      </c>
      <c r="K2369" t="s">
        <v>78</v>
      </c>
      <c r="L2369" t="s">
        <v>295</v>
      </c>
      <c r="M2369" t="s">
        <v>296</v>
      </c>
      <c r="N2369" t="s">
        <v>1262</v>
      </c>
      <c r="O2369" t="s">
        <v>82</v>
      </c>
      <c r="P2369" t="str">
        <f>"4170049284                    "</f>
        <v xml:space="preserve">4170049284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17.649999999999999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0.3</v>
      </c>
      <c r="BK2369">
        <v>1</v>
      </c>
      <c r="BL2369">
        <v>55.61</v>
      </c>
      <c r="BM2369">
        <v>8.34</v>
      </c>
      <c r="BN2369">
        <v>63.95</v>
      </c>
      <c r="BO2369">
        <v>63.95</v>
      </c>
      <c r="BQ2369" t="s">
        <v>1263</v>
      </c>
      <c r="BR2369" t="s">
        <v>84</v>
      </c>
      <c r="BS2369" s="3">
        <v>45856</v>
      </c>
      <c r="BT2369" s="4">
        <v>0.39513888888888887</v>
      </c>
      <c r="BU2369" t="s">
        <v>2556</v>
      </c>
      <c r="BV2369" t="s">
        <v>98</v>
      </c>
      <c r="BY2369">
        <v>1350</v>
      </c>
      <c r="CA2369" t="s">
        <v>2782</v>
      </c>
      <c r="CC2369" t="s">
        <v>296</v>
      </c>
      <c r="CD2369">
        <v>1459</v>
      </c>
      <c r="CE2369" t="s">
        <v>158</v>
      </c>
      <c r="CF2369" s="3">
        <v>45856</v>
      </c>
      <c r="CI2369">
        <v>1</v>
      </c>
      <c r="CJ2369">
        <v>1</v>
      </c>
      <c r="CK2369">
        <v>22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"080066625668"</f>
        <v>080066625668</v>
      </c>
      <c r="F2370" s="3">
        <v>45855</v>
      </c>
      <c r="G2370">
        <v>202604</v>
      </c>
      <c r="H2370" t="s">
        <v>75</v>
      </c>
      <c r="I2370" t="s">
        <v>76</v>
      </c>
      <c r="J2370" t="s">
        <v>77</v>
      </c>
      <c r="K2370" t="s">
        <v>78</v>
      </c>
      <c r="L2370" t="s">
        <v>305</v>
      </c>
      <c r="M2370" t="s">
        <v>306</v>
      </c>
      <c r="N2370" t="s">
        <v>640</v>
      </c>
      <c r="O2370" t="s">
        <v>82</v>
      </c>
      <c r="P2370" t="str">
        <f>"4170049234                    "</f>
        <v xml:space="preserve">4170049234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22.6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0.3</v>
      </c>
      <c r="BK2370">
        <v>1</v>
      </c>
      <c r="BL2370">
        <v>71.2</v>
      </c>
      <c r="BM2370">
        <v>10.68</v>
      </c>
      <c r="BN2370">
        <v>81.88</v>
      </c>
      <c r="BO2370">
        <v>81.88</v>
      </c>
      <c r="BQ2370" t="s">
        <v>641</v>
      </c>
      <c r="BR2370" t="s">
        <v>84</v>
      </c>
      <c r="BS2370" s="3">
        <v>45856</v>
      </c>
      <c r="BT2370" s="4">
        <v>0.43611111111111112</v>
      </c>
      <c r="BU2370" t="s">
        <v>1544</v>
      </c>
      <c r="BV2370" t="s">
        <v>98</v>
      </c>
      <c r="BY2370">
        <v>1350</v>
      </c>
      <c r="CA2370" t="s">
        <v>310</v>
      </c>
      <c r="CC2370" t="s">
        <v>306</v>
      </c>
      <c r="CD2370">
        <v>5201</v>
      </c>
      <c r="CE2370" t="s">
        <v>158</v>
      </c>
      <c r="CF2370" s="3">
        <v>45856</v>
      </c>
      <c r="CI2370">
        <v>1</v>
      </c>
      <c r="CJ2370">
        <v>1</v>
      </c>
      <c r="CK2370">
        <v>21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"080066625689"</f>
        <v>080066625689</v>
      </c>
      <c r="F2371" s="3">
        <v>45855</v>
      </c>
      <c r="G2371">
        <v>202604</v>
      </c>
      <c r="H2371" t="s">
        <v>75</v>
      </c>
      <c r="I2371" t="s">
        <v>76</v>
      </c>
      <c r="J2371" t="s">
        <v>77</v>
      </c>
      <c r="K2371" t="s">
        <v>78</v>
      </c>
      <c r="L2371" t="s">
        <v>75</v>
      </c>
      <c r="M2371" t="s">
        <v>76</v>
      </c>
      <c r="N2371" t="s">
        <v>562</v>
      </c>
      <c r="O2371" t="s">
        <v>311</v>
      </c>
      <c r="P2371" t="str">
        <f>"4170049318                    "</f>
        <v xml:space="preserve">4170049318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17.66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5</v>
      </c>
      <c r="BJ2371">
        <v>4.0999999999999996</v>
      </c>
      <c r="BK2371">
        <v>5</v>
      </c>
      <c r="BL2371">
        <v>55.63</v>
      </c>
      <c r="BM2371">
        <v>8.34</v>
      </c>
      <c r="BN2371">
        <v>63.97</v>
      </c>
      <c r="BO2371">
        <v>63.97</v>
      </c>
      <c r="BQ2371" t="s">
        <v>563</v>
      </c>
      <c r="BR2371" t="s">
        <v>84</v>
      </c>
      <c r="BS2371" s="3">
        <v>45856</v>
      </c>
      <c r="BT2371" s="4">
        <v>0.46180555555555558</v>
      </c>
      <c r="BU2371" t="s">
        <v>2783</v>
      </c>
      <c r="BV2371" t="s">
        <v>98</v>
      </c>
      <c r="BY2371">
        <v>20416</v>
      </c>
      <c r="CA2371" t="s">
        <v>1183</v>
      </c>
      <c r="CC2371" t="s">
        <v>76</v>
      </c>
      <c r="CD2371">
        <v>1619</v>
      </c>
      <c r="CE2371" t="s">
        <v>91</v>
      </c>
      <c r="CF2371" s="3">
        <v>45856</v>
      </c>
      <c r="CI2371">
        <v>1</v>
      </c>
      <c r="CJ2371">
        <v>1</v>
      </c>
      <c r="CK2371">
        <v>32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"080066625710"</f>
        <v>080066625710</v>
      </c>
      <c r="F2372" s="3">
        <v>45855</v>
      </c>
      <c r="G2372">
        <v>202604</v>
      </c>
      <c r="H2372" t="s">
        <v>75</v>
      </c>
      <c r="I2372" t="s">
        <v>76</v>
      </c>
      <c r="J2372" t="s">
        <v>77</v>
      </c>
      <c r="K2372" t="s">
        <v>78</v>
      </c>
      <c r="L2372" t="s">
        <v>168</v>
      </c>
      <c r="M2372" t="s">
        <v>169</v>
      </c>
      <c r="N2372" t="s">
        <v>412</v>
      </c>
      <c r="O2372" t="s">
        <v>82</v>
      </c>
      <c r="P2372" t="str">
        <f>"4170049193                    "</f>
        <v xml:space="preserve">4170049193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22.6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0.3</v>
      </c>
      <c r="BK2372">
        <v>1</v>
      </c>
      <c r="BL2372">
        <v>71.2</v>
      </c>
      <c r="BM2372">
        <v>10.68</v>
      </c>
      <c r="BN2372">
        <v>81.88</v>
      </c>
      <c r="BO2372">
        <v>81.88</v>
      </c>
      <c r="BQ2372" t="s">
        <v>413</v>
      </c>
      <c r="BR2372" t="s">
        <v>84</v>
      </c>
      <c r="BS2372" s="3">
        <v>45856</v>
      </c>
      <c r="BT2372" s="4">
        <v>0.38263888888888886</v>
      </c>
      <c r="BU2372" t="s">
        <v>470</v>
      </c>
      <c r="BV2372" t="s">
        <v>98</v>
      </c>
      <c r="BY2372">
        <v>1350</v>
      </c>
      <c r="CA2372" t="s">
        <v>415</v>
      </c>
      <c r="CC2372" t="s">
        <v>169</v>
      </c>
      <c r="CD2372">
        <v>6001</v>
      </c>
      <c r="CE2372" t="s">
        <v>158</v>
      </c>
      <c r="CF2372" s="3">
        <v>45856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"080066625748"</f>
        <v>080066625748</v>
      </c>
      <c r="F2373" s="3">
        <v>45855</v>
      </c>
      <c r="G2373">
        <v>202604</v>
      </c>
      <c r="H2373" t="s">
        <v>75</v>
      </c>
      <c r="I2373" t="s">
        <v>76</v>
      </c>
      <c r="J2373" t="s">
        <v>77</v>
      </c>
      <c r="K2373" t="s">
        <v>78</v>
      </c>
      <c r="L2373" t="s">
        <v>75</v>
      </c>
      <c r="M2373" t="s">
        <v>76</v>
      </c>
      <c r="N2373" t="s">
        <v>118</v>
      </c>
      <c r="O2373" t="s">
        <v>82</v>
      </c>
      <c r="P2373" t="str">
        <f>"4170049315                    "</f>
        <v xml:space="preserve">4170049315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17.649999999999999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0.3</v>
      </c>
      <c r="BK2373">
        <v>1</v>
      </c>
      <c r="BL2373">
        <v>55.61</v>
      </c>
      <c r="BM2373">
        <v>8.34</v>
      </c>
      <c r="BN2373">
        <v>63.95</v>
      </c>
      <c r="BO2373">
        <v>63.95</v>
      </c>
      <c r="BQ2373" t="s">
        <v>119</v>
      </c>
      <c r="BR2373" t="s">
        <v>84</v>
      </c>
      <c r="BS2373" s="3">
        <v>45856</v>
      </c>
      <c r="BT2373" s="4">
        <v>0.32013888888888886</v>
      </c>
      <c r="BU2373" t="s">
        <v>2216</v>
      </c>
      <c r="BV2373" t="s">
        <v>98</v>
      </c>
      <c r="BY2373">
        <v>1350</v>
      </c>
      <c r="CC2373" t="s">
        <v>76</v>
      </c>
      <c r="CD2373">
        <v>1600</v>
      </c>
      <c r="CE2373" t="s">
        <v>158</v>
      </c>
      <c r="CF2373" s="3">
        <v>45856</v>
      </c>
      <c r="CI2373">
        <v>1</v>
      </c>
      <c r="CJ2373">
        <v>1</v>
      </c>
      <c r="CK2373">
        <v>22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"080066625833"</f>
        <v>080066625833</v>
      </c>
      <c r="F2374" s="3">
        <v>45855</v>
      </c>
      <c r="G2374">
        <v>202604</v>
      </c>
      <c r="H2374" t="s">
        <v>75</v>
      </c>
      <c r="I2374" t="s">
        <v>76</v>
      </c>
      <c r="J2374" t="s">
        <v>77</v>
      </c>
      <c r="K2374" t="s">
        <v>78</v>
      </c>
      <c r="L2374" t="s">
        <v>168</v>
      </c>
      <c r="M2374" t="s">
        <v>169</v>
      </c>
      <c r="N2374" t="s">
        <v>2784</v>
      </c>
      <c r="O2374" t="s">
        <v>82</v>
      </c>
      <c r="P2374" t="str">
        <f>"4170049189                    "</f>
        <v xml:space="preserve">4170049189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56.47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5</v>
      </c>
      <c r="BJ2374">
        <v>1.7</v>
      </c>
      <c r="BK2374">
        <v>5</v>
      </c>
      <c r="BL2374">
        <v>177.91</v>
      </c>
      <c r="BM2374">
        <v>26.69</v>
      </c>
      <c r="BN2374">
        <v>204.6</v>
      </c>
      <c r="BO2374">
        <v>204.6</v>
      </c>
      <c r="BQ2374" t="s">
        <v>2785</v>
      </c>
      <c r="BR2374" t="s">
        <v>84</v>
      </c>
      <c r="BS2374" s="3">
        <v>45856</v>
      </c>
      <c r="BT2374" s="4">
        <v>0.38680555555555557</v>
      </c>
      <c r="BU2374" t="s">
        <v>2786</v>
      </c>
      <c r="BV2374" t="s">
        <v>98</v>
      </c>
      <c r="BY2374">
        <v>8512</v>
      </c>
      <c r="CA2374" t="s">
        <v>173</v>
      </c>
      <c r="CC2374" t="s">
        <v>169</v>
      </c>
      <c r="CD2374">
        <v>6001</v>
      </c>
      <c r="CE2374" t="s">
        <v>145</v>
      </c>
      <c r="CF2374" s="3">
        <v>45856</v>
      </c>
      <c r="CI2374">
        <v>1</v>
      </c>
      <c r="CJ2374">
        <v>1</v>
      </c>
      <c r="CK2374">
        <v>21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"080066625861"</f>
        <v>080066625861</v>
      </c>
      <c r="F2375" s="3">
        <v>45855</v>
      </c>
      <c r="G2375">
        <v>202604</v>
      </c>
      <c r="H2375" t="s">
        <v>75</v>
      </c>
      <c r="I2375" t="s">
        <v>76</v>
      </c>
      <c r="J2375" t="s">
        <v>77</v>
      </c>
      <c r="K2375" t="s">
        <v>78</v>
      </c>
      <c r="L2375" t="s">
        <v>151</v>
      </c>
      <c r="M2375" t="s">
        <v>152</v>
      </c>
      <c r="N2375" t="s">
        <v>500</v>
      </c>
      <c r="O2375" t="s">
        <v>82</v>
      </c>
      <c r="P2375" t="str">
        <f>"4170049232                    "</f>
        <v xml:space="preserve">4170049232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22.6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0.9</v>
      </c>
      <c r="BK2375">
        <v>1</v>
      </c>
      <c r="BL2375">
        <v>71.2</v>
      </c>
      <c r="BM2375">
        <v>10.68</v>
      </c>
      <c r="BN2375">
        <v>81.88</v>
      </c>
      <c r="BO2375">
        <v>81.88</v>
      </c>
      <c r="BQ2375" t="s">
        <v>501</v>
      </c>
      <c r="BR2375" t="s">
        <v>84</v>
      </c>
      <c r="BS2375" s="3">
        <v>45856</v>
      </c>
      <c r="BT2375" s="4">
        <v>0.39791666666666664</v>
      </c>
      <c r="BU2375" t="s">
        <v>561</v>
      </c>
      <c r="BV2375" t="s">
        <v>98</v>
      </c>
      <c r="BY2375">
        <v>4275</v>
      </c>
      <c r="CA2375" t="s">
        <v>388</v>
      </c>
      <c r="CC2375" t="s">
        <v>152</v>
      </c>
      <c r="CD2375" s="5" t="s">
        <v>157</v>
      </c>
      <c r="CE2375" t="s">
        <v>259</v>
      </c>
      <c r="CF2375" s="3">
        <v>45856</v>
      </c>
      <c r="CI2375">
        <v>1</v>
      </c>
      <c r="CJ2375">
        <v>1</v>
      </c>
      <c r="CK2375">
        <v>21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"080066625889"</f>
        <v>080066625889</v>
      </c>
      <c r="F2376" s="3">
        <v>45855</v>
      </c>
      <c r="G2376">
        <v>202604</v>
      </c>
      <c r="H2376" t="s">
        <v>75</v>
      </c>
      <c r="I2376" t="s">
        <v>76</v>
      </c>
      <c r="J2376" t="s">
        <v>77</v>
      </c>
      <c r="K2376" t="s">
        <v>78</v>
      </c>
      <c r="L2376" t="s">
        <v>1447</v>
      </c>
      <c r="M2376" t="s">
        <v>1448</v>
      </c>
      <c r="N2376" t="s">
        <v>1449</v>
      </c>
      <c r="O2376" t="s">
        <v>82</v>
      </c>
      <c r="P2376" t="str">
        <f>"4170049209                    "</f>
        <v xml:space="preserve">4170049209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43.78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1.5</v>
      </c>
      <c r="BK2376">
        <v>1.5</v>
      </c>
      <c r="BL2376">
        <v>137.94</v>
      </c>
      <c r="BM2376">
        <v>20.69</v>
      </c>
      <c r="BN2376">
        <v>158.63</v>
      </c>
      <c r="BO2376">
        <v>158.63</v>
      </c>
      <c r="BQ2376" t="s">
        <v>1450</v>
      </c>
      <c r="BR2376" t="s">
        <v>84</v>
      </c>
      <c r="BS2376" s="3">
        <v>45856</v>
      </c>
      <c r="BT2376" s="4">
        <v>0.61111111111111116</v>
      </c>
      <c r="BU2376" t="s">
        <v>2787</v>
      </c>
      <c r="BV2376" t="s">
        <v>98</v>
      </c>
      <c r="BY2376">
        <v>7392</v>
      </c>
      <c r="CA2376" t="s">
        <v>1452</v>
      </c>
      <c r="CC2376" t="s">
        <v>1448</v>
      </c>
      <c r="CD2376">
        <v>2380</v>
      </c>
      <c r="CE2376" t="s">
        <v>91</v>
      </c>
      <c r="CF2376" s="3">
        <v>45859</v>
      </c>
      <c r="CI2376">
        <v>1</v>
      </c>
      <c r="CJ2376">
        <v>1</v>
      </c>
      <c r="CK2376">
        <v>23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"080066625925"</f>
        <v>080066625925</v>
      </c>
      <c r="F2377" s="3">
        <v>45855</v>
      </c>
      <c r="G2377">
        <v>202604</v>
      </c>
      <c r="H2377" t="s">
        <v>75</v>
      </c>
      <c r="I2377" t="s">
        <v>76</v>
      </c>
      <c r="J2377" t="s">
        <v>77</v>
      </c>
      <c r="K2377" t="s">
        <v>78</v>
      </c>
      <c r="L2377" t="s">
        <v>168</v>
      </c>
      <c r="M2377" t="s">
        <v>169</v>
      </c>
      <c r="N2377" t="s">
        <v>412</v>
      </c>
      <c r="O2377" t="s">
        <v>82</v>
      </c>
      <c r="P2377" t="str">
        <f>"4170049280                    "</f>
        <v xml:space="preserve">4170049280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135.5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12</v>
      </c>
      <c r="BJ2377">
        <v>7.4</v>
      </c>
      <c r="BK2377">
        <v>12</v>
      </c>
      <c r="BL2377">
        <v>426.9</v>
      </c>
      <c r="BM2377">
        <v>64.040000000000006</v>
      </c>
      <c r="BN2377">
        <v>490.94</v>
      </c>
      <c r="BO2377">
        <v>490.94</v>
      </c>
      <c r="BQ2377" t="s">
        <v>413</v>
      </c>
      <c r="BR2377" t="s">
        <v>84</v>
      </c>
      <c r="BS2377" s="3">
        <v>45856</v>
      </c>
      <c r="BT2377" s="4">
        <v>0.38055555555555554</v>
      </c>
      <c r="BU2377" t="s">
        <v>470</v>
      </c>
      <c r="BV2377" t="s">
        <v>98</v>
      </c>
      <c r="BY2377">
        <v>36822</v>
      </c>
      <c r="CA2377" t="s">
        <v>415</v>
      </c>
      <c r="CC2377" t="s">
        <v>169</v>
      </c>
      <c r="CD2377">
        <v>6001</v>
      </c>
      <c r="CE2377" t="s">
        <v>145</v>
      </c>
      <c r="CF2377" s="3">
        <v>45856</v>
      </c>
      <c r="CI2377">
        <v>1</v>
      </c>
      <c r="CJ2377">
        <v>1</v>
      </c>
      <c r="CK2377">
        <v>21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"080066625967"</f>
        <v>080066625967</v>
      </c>
      <c r="F2378" s="3">
        <v>45855</v>
      </c>
      <c r="G2378">
        <v>202604</v>
      </c>
      <c r="H2378" t="s">
        <v>75</v>
      </c>
      <c r="I2378" t="s">
        <v>76</v>
      </c>
      <c r="J2378" t="s">
        <v>77</v>
      </c>
      <c r="K2378" t="s">
        <v>78</v>
      </c>
      <c r="L2378" t="s">
        <v>168</v>
      </c>
      <c r="M2378" t="s">
        <v>169</v>
      </c>
      <c r="N2378" t="s">
        <v>202</v>
      </c>
      <c r="O2378" t="s">
        <v>82</v>
      </c>
      <c r="P2378" t="str">
        <f>"4170049297                    "</f>
        <v xml:space="preserve">4170049297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22.6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0.3</v>
      </c>
      <c r="BK2378">
        <v>1</v>
      </c>
      <c r="BL2378">
        <v>71.2</v>
      </c>
      <c r="BM2378">
        <v>10.68</v>
      </c>
      <c r="BN2378">
        <v>81.88</v>
      </c>
      <c r="BO2378">
        <v>81.88</v>
      </c>
      <c r="BQ2378" t="s">
        <v>203</v>
      </c>
      <c r="BR2378" t="s">
        <v>84</v>
      </c>
      <c r="BS2378" s="3">
        <v>45856</v>
      </c>
      <c r="BT2378" s="4">
        <v>0.37777777777777777</v>
      </c>
      <c r="BU2378" t="s">
        <v>204</v>
      </c>
      <c r="BV2378" t="s">
        <v>98</v>
      </c>
      <c r="BY2378">
        <v>1350</v>
      </c>
      <c r="CA2378" t="s">
        <v>205</v>
      </c>
      <c r="CC2378" t="s">
        <v>169</v>
      </c>
      <c r="CD2378">
        <v>6001</v>
      </c>
      <c r="CE2378" t="s">
        <v>158</v>
      </c>
      <c r="CF2378" s="3">
        <v>45856</v>
      </c>
      <c r="CI2378">
        <v>1</v>
      </c>
      <c r="CJ2378">
        <v>1</v>
      </c>
      <c r="CK2378">
        <v>21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"080066625970"</f>
        <v>080066625970</v>
      </c>
      <c r="F2379" s="3">
        <v>45855</v>
      </c>
      <c r="G2379">
        <v>202604</v>
      </c>
      <c r="H2379" t="s">
        <v>75</v>
      </c>
      <c r="I2379" t="s">
        <v>76</v>
      </c>
      <c r="J2379" t="s">
        <v>77</v>
      </c>
      <c r="K2379" t="s">
        <v>78</v>
      </c>
      <c r="L2379" t="s">
        <v>580</v>
      </c>
      <c r="M2379" t="s">
        <v>581</v>
      </c>
      <c r="N2379" t="s">
        <v>582</v>
      </c>
      <c r="O2379" t="s">
        <v>82</v>
      </c>
      <c r="P2379" t="str">
        <f>"4170049269                    "</f>
        <v xml:space="preserve">4170049269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22.6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1.7</v>
      </c>
      <c r="BK2379">
        <v>2</v>
      </c>
      <c r="BL2379">
        <v>71.2</v>
      </c>
      <c r="BM2379">
        <v>10.68</v>
      </c>
      <c r="BN2379">
        <v>81.88</v>
      </c>
      <c r="BO2379">
        <v>81.88</v>
      </c>
      <c r="BQ2379" t="s">
        <v>583</v>
      </c>
      <c r="BR2379" t="s">
        <v>84</v>
      </c>
      <c r="BS2379" s="3">
        <v>45856</v>
      </c>
      <c r="BT2379" s="4">
        <v>0.36458333333333331</v>
      </c>
      <c r="BU2379" t="s">
        <v>584</v>
      </c>
      <c r="BV2379" t="s">
        <v>98</v>
      </c>
      <c r="BY2379">
        <v>8512</v>
      </c>
      <c r="CA2379" t="s">
        <v>585</v>
      </c>
      <c r="CC2379" t="s">
        <v>581</v>
      </c>
      <c r="CD2379">
        <v>4302</v>
      </c>
      <c r="CE2379" t="s">
        <v>145</v>
      </c>
      <c r="CF2379" s="3">
        <v>45856</v>
      </c>
      <c r="CI2379">
        <v>1</v>
      </c>
      <c r="CJ2379">
        <v>1</v>
      </c>
      <c r="CK2379">
        <v>21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"080066626007"</f>
        <v>080066626007</v>
      </c>
      <c r="F2380" s="3">
        <v>45855</v>
      </c>
      <c r="G2380">
        <v>202604</v>
      </c>
      <c r="H2380" t="s">
        <v>75</v>
      </c>
      <c r="I2380" t="s">
        <v>76</v>
      </c>
      <c r="J2380" t="s">
        <v>77</v>
      </c>
      <c r="K2380" t="s">
        <v>78</v>
      </c>
      <c r="L2380" t="s">
        <v>240</v>
      </c>
      <c r="M2380" t="s">
        <v>241</v>
      </c>
      <c r="N2380" t="s">
        <v>1703</v>
      </c>
      <c r="O2380" t="s">
        <v>82</v>
      </c>
      <c r="P2380" t="str">
        <f>"4170049309                    "</f>
        <v xml:space="preserve">4170049309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22.6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16.739999999999998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0.3</v>
      </c>
      <c r="BK2380">
        <v>1</v>
      </c>
      <c r="BL2380">
        <v>87.94</v>
      </c>
      <c r="BM2380">
        <v>13.19</v>
      </c>
      <c r="BN2380">
        <v>101.13</v>
      </c>
      <c r="BO2380">
        <v>101.13</v>
      </c>
      <c r="BQ2380" t="s">
        <v>1704</v>
      </c>
      <c r="BR2380" t="s">
        <v>84</v>
      </c>
      <c r="BS2380" s="3">
        <v>45856</v>
      </c>
      <c r="BT2380" s="4">
        <v>0.51180555555555551</v>
      </c>
      <c r="BU2380" t="s">
        <v>2788</v>
      </c>
      <c r="BV2380" t="s">
        <v>98</v>
      </c>
      <c r="BY2380">
        <v>1350</v>
      </c>
      <c r="BZ2380" t="s">
        <v>30</v>
      </c>
      <c r="CA2380" t="s">
        <v>2789</v>
      </c>
      <c r="CC2380" t="s">
        <v>241</v>
      </c>
      <c r="CD2380">
        <v>1821</v>
      </c>
      <c r="CE2380" t="s">
        <v>158</v>
      </c>
      <c r="CF2380" s="3">
        <v>45859</v>
      </c>
      <c r="CI2380">
        <v>0</v>
      </c>
      <c r="CJ2380">
        <v>0</v>
      </c>
      <c r="CK2380">
        <v>21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"080066626023"</f>
        <v>080066626023</v>
      </c>
      <c r="F2381" s="3">
        <v>45855</v>
      </c>
      <c r="G2381">
        <v>202604</v>
      </c>
      <c r="H2381" t="s">
        <v>75</v>
      </c>
      <c r="I2381" t="s">
        <v>76</v>
      </c>
      <c r="J2381" t="s">
        <v>77</v>
      </c>
      <c r="K2381" t="s">
        <v>78</v>
      </c>
      <c r="L2381" t="s">
        <v>295</v>
      </c>
      <c r="M2381" t="s">
        <v>296</v>
      </c>
      <c r="N2381" t="s">
        <v>2790</v>
      </c>
      <c r="O2381" t="s">
        <v>82</v>
      </c>
      <c r="P2381" t="str">
        <f>"4170049283                    "</f>
        <v xml:space="preserve">4170049283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17.649999999999999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1.1000000000000001</v>
      </c>
      <c r="BK2381">
        <v>2</v>
      </c>
      <c r="BL2381">
        <v>55.61</v>
      </c>
      <c r="BM2381">
        <v>8.34</v>
      </c>
      <c r="BN2381">
        <v>63.95</v>
      </c>
      <c r="BO2381">
        <v>63.95</v>
      </c>
      <c r="BQ2381" t="s">
        <v>2791</v>
      </c>
      <c r="BR2381" t="s">
        <v>84</v>
      </c>
      <c r="BS2381" s="3">
        <v>45856</v>
      </c>
      <c r="BT2381" s="4">
        <v>0.41875000000000001</v>
      </c>
      <c r="BU2381" t="s">
        <v>2792</v>
      </c>
      <c r="BV2381" t="s">
        <v>98</v>
      </c>
      <c r="BY2381">
        <v>5320</v>
      </c>
      <c r="CA2381" t="s">
        <v>529</v>
      </c>
      <c r="CC2381" t="s">
        <v>296</v>
      </c>
      <c r="CD2381">
        <v>1459</v>
      </c>
      <c r="CE2381" t="s">
        <v>145</v>
      </c>
      <c r="CF2381" s="3">
        <v>45857</v>
      </c>
      <c r="CI2381">
        <v>1</v>
      </c>
      <c r="CJ2381">
        <v>1</v>
      </c>
      <c r="CK2381">
        <v>22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"080066626069"</f>
        <v>080066626069</v>
      </c>
      <c r="F2382" s="3">
        <v>45855</v>
      </c>
      <c r="G2382">
        <v>202604</v>
      </c>
      <c r="H2382" t="s">
        <v>75</v>
      </c>
      <c r="I2382" t="s">
        <v>76</v>
      </c>
      <c r="J2382" t="s">
        <v>77</v>
      </c>
      <c r="K2382" t="s">
        <v>78</v>
      </c>
      <c r="L2382" t="s">
        <v>75</v>
      </c>
      <c r="M2382" t="s">
        <v>76</v>
      </c>
      <c r="N2382" t="s">
        <v>809</v>
      </c>
      <c r="O2382" t="s">
        <v>82</v>
      </c>
      <c r="P2382" t="str">
        <f>"4170049186                    "</f>
        <v xml:space="preserve">4170049186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17.649999999999999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1.7</v>
      </c>
      <c r="BK2382">
        <v>2</v>
      </c>
      <c r="BL2382">
        <v>55.61</v>
      </c>
      <c r="BM2382">
        <v>8.34</v>
      </c>
      <c r="BN2382">
        <v>63.95</v>
      </c>
      <c r="BO2382">
        <v>63.95</v>
      </c>
      <c r="BQ2382" t="s">
        <v>810</v>
      </c>
      <c r="BR2382" t="s">
        <v>84</v>
      </c>
      <c r="BS2382" s="3">
        <v>45856</v>
      </c>
      <c r="BT2382" s="4">
        <v>0.36458333333333331</v>
      </c>
      <c r="BU2382" t="s">
        <v>882</v>
      </c>
      <c r="BV2382" t="s">
        <v>98</v>
      </c>
      <c r="BY2382">
        <v>8512</v>
      </c>
      <c r="CA2382" t="s">
        <v>883</v>
      </c>
      <c r="CC2382" t="s">
        <v>76</v>
      </c>
      <c r="CD2382">
        <v>1666</v>
      </c>
      <c r="CE2382" t="s">
        <v>145</v>
      </c>
      <c r="CF2382" s="3">
        <v>45857</v>
      </c>
      <c r="CI2382">
        <v>1</v>
      </c>
      <c r="CJ2382">
        <v>1</v>
      </c>
      <c r="CK2382">
        <v>22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"080066626071"</f>
        <v>080066626071</v>
      </c>
      <c r="F2383" s="3">
        <v>45855</v>
      </c>
      <c r="G2383">
        <v>202604</v>
      </c>
      <c r="H2383" t="s">
        <v>75</v>
      </c>
      <c r="I2383" t="s">
        <v>76</v>
      </c>
      <c r="J2383" t="s">
        <v>77</v>
      </c>
      <c r="K2383" t="s">
        <v>78</v>
      </c>
      <c r="L2383" t="s">
        <v>452</v>
      </c>
      <c r="M2383" t="s">
        <v>453</v>
      </c>
      <c r="N2383" t="s">
        <v>1192</v>
      </c>
      <c r="O2383" t="s">
        <v>82</v>
      </c>
      <c r="P2383" t="str">
        <f>"4170049220                    "</f>
        <v xml:space="preserve">4170049220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17.649999999999999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0.3</v>
      </c>
      <c r="BK2383">
        <v>1</v>
      </c>
      <c r="BL2383">
        <v>55.61</v>
      </c>
      <c r="BM2383">
        <v>8.34</v>
      </c>
      <c r="BN2383">
        <v>63.95</v>
      </c>
      <c r="BO2383">
        <v>63.95</v>
      </c>
      <c r="BQ2383" t="s">
        <v>1193</v>
      </c>
      <c r="BR2383" t="s">
        <v>84</v>
      </c>
      <c r="BS2383" s="3">
        <v>45856</v>
      </c>
      <c r="BT2383" s="4">
        <v>0.43472222222222223</v>
      </c>
      <c r="BU2383" t="s">
        <v>2759</v>
      </c>
      <c r="BV2383" t="s">
        <v>98</v>
      </c>
      <c r="BY2383">
        <v>1350</v>
      </c>
      <c r="CA2383" t="s">
        <v>1541</v>
      </c>
      <c r="CC2383" t="s">
        <v>453</v>
      </c>
      <c r="CD2383">
        <v>1559</v>
      </c>
      <c r="CE2383" t="s">
        <v>158</v>
      </c>
      <c r="CF2383" s="3">
        <v>45856</v>
      </c>
      <c r="CI2383">
        <v>1</v>
      </c>
      <c r="CJ2383">
        <v>1</v>
      </c>
      <c r="CK2383">
        <v>22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"080066626115"</f>
        <v>080066626115</v>
      </c>
      <c r="F2384" s="3">
        <v>45855</v>
      </c>
      <c r="G2384">
        <v>202604</v>
      </c>
      <c r="H2384" t="s">
        <v>75</v>
      </c>
      <c r="I2384" t="s">
        <v>76</v>
      </c>
      <c r="J2384" t="s">
        <v>77</v>
      </c>
      <c r="K2384" t="s">
        <v>78</v>
      </c>
      <c r="L2384" t="s">
        <v>92</v>
      </c>
      <c r="M2384" t="s">
        <v>93</v>
      </c>
      <c r="N2384" t="s">
        <v>749</v>
      </c>
      <c r="O2384" t="s">
        <v>82</v>
      </c>
      <c r="P2384" t="str">
        <f>"4170049229                    "</f>
        <v xml:space="preserve">4170049229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33.89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2.9</v>
      </c>
      <c r="BK2384">
        <v>3</v>
      </c>
      <c r="BL2384">
        <v>106.77</v>
      </c>
      <c r="BM2384">
        <v>16.02</v>
      </c>
      <c r="BN2384">
        <v>122.79</v>
      </c>
      <c r="BO2384">
        <v>122.79</v>
      </c>
      <c r="BQ2384" t="s">
        <v>750</v>
      </c>
      <c r="BR2384" t="s">
        <v>84</v>
      </c>
      <c r="BS2384" s="3">
        <v>45856</v>
      </c>
      <c r="BT2384" s="4">
        <v>0.37708333333333333</v>
      </c>
      <c r="BU2384" t="s">
        <v>751</v>
      </c>
      <c r="BV2384" t="s">
        <v>98</v>
      </c>
      <c r="BY2384">
        <v>14504</v>
      </c>
      <c r="CA2384" t="s">
        <v>491</v>
      </c>
      <c r="CC2384" t="s">
        <v>93</v>
      </c>
      <c r="CD2384">
        <v>4001</v>
      </c>
      <c r="CE2384" t="s">
        <v>91</v>
      </c>
      <c r="CF2384" s="3">
        <v>45857</v>
      </c>
      <c r="CI2384">
        <v>1</v>
      </c>
      <c r="CJ2384">
        <v>1</v>
      </c>
      <c r="CK2384">
        <v>21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"080066626136"</f>
        <v>080066626136</v>
      </c>
      <c r="F2385" s="3">
        <v>45855</v>
      </c>
      <c r="G2385">
        <v>202604</v>
      </c>
      <c r="H2385" t="s">
        <v>75</v>
      </c>
      <c r="I2385" t="s">
        <v>76</v>
      </c>
      <c r="J2385" t="s">
        <v>77</v>
      </c>
      <c r="K2385" t="s">
        <v>78</v>
      </c>
      <c r="L2385" t="s">
        <v>197</v>
      </c>
      <c r="M2385" t="s">
        <v>198</v>
      </c>
      <c r="N2385" t="s">
        <v>2776</v>
      </c>
      <c r="O2385" t="s">
        <v>82</v>
      </c>
      <c r="P2385" t="str">
        <f>"4170049196                    "</f>
        <v xml:space="preserve">4170049196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17.649999999999999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0.3</v>
      </c>
      <c r="BK2385">
        <v>1</v>
      </c>
      <c r="BL2385">
        <v>55.61</v>
      </c>
      <c r="BM2385">
        <v>8.34</v>
      </c>
      <c r="BN2385">
        <v>63.95</v>
      </c>
      <c r="BO2385">
        <v>63.95</v>
      </c>
      <c r="BQ2385" t="s">
        <v>2777</v>
      </c>
      <c r="BR2385" t="s">
        <v>84</v>
      </c>
      <c r="BS2385" s="3">
        <v>45856</v>
      </c>
      <c r="BT2385" s="4">
        <v>0.43055555555555558</v>
      </c>
      <c r="BU2385" t="s">
        <v>2593</v>
      </c>
      <c r="BV2385" t="s">
        <v>98</v>
      </c>
      <c r="BY2385">
        <v>1350</v>
      </c>
      <c r="CC2385" t="s">
        <v>198</v>
      </c>
      <c r="CD2385">
        <v>1401</v>
      </c>
      <c r="CE2385" t="s">
        <v>158</v>
      </c>
      <c r="CF2385" s="3">
        <v>45856</v>
      </c>
      <c r="CI2385">
        <v>1</v>
      </c>
      <c r="CJ2385">
        <v>1</v>
      </c>
      <c r="CK2385">
        <v>22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"080066626164"</f>
        <v>080066626164</v>
      </c>
      <c r="F2386" s="3">
        <v>45855</v>
      </c>
      <c r="G2386">
        <v>202604</v>
      </c>
      <c r="H2386" t="s">
        <v>75</v>
      </c>
      <c r="I2386" t="s">
        <v>76</v>
      </c>
      <c r="J2386" t="s">
        <v>77</v>
      </c>
      <c r="K2386" t="s">
        <v>78</v>
      </c>
      <c r="L2386" t="s">
        <v>168</v>
      </c>
      <c r="M2386" t="s">
        <v>169</v>
      </c>
      <c r="N2386" t="s">
        <v>202</v>
      </c>
      <c r="O2386" t="s">
        <v>82</v>
      </c>
      <c r="P2386" t="str">
        <f>"4170049238                    "</f>
        <v xml:space="preserve">4170049238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84.7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4</v>
      </c>
      <c r="BJ2386">
        <v>7.1</v>
      </c>
      <c r="BK2386">
        <v>7.5</v>
      </c>
      <c r="BL2386">
        <v>266.83999999999997</v>
      </c>
      <c r="BM2386">
        <v>40.03</v>
      </c>
      <c r="BN2386">
        <v>306.87</v>
      </c>
      <c r="BO2386">
        <v>306.87</v>
      </c>
      <c r="BQ2386" t="s">
        <v>203</v>
      </c>
      <c r="BR2386" t="s">
        <v>84</v>
      </c>
      <c r="BS2386" s="3">
        <v>45856</v>
      </c>
      <c r="BT2386" s="4">
        <v>0.37777777777777777</v>
      </c>
      <c r="BU2386" t="s">
        <v>204</v>
      </c>
      <c r="BV2386" t="s">
        <v>98</v>
      </c>
      <c r="BY2386">
        <v>35568</v>
      </c>
      <c r="CA2386" t="s">
        <v>205</v>
      </c>
      <c r="CC2386" t="s">
        <v>169</v>
      </c>
      <c r="CD2386">
        <v>6001</v>
      </c>
      <c r="CE2386" t="s">
        <v>91</v>
      </c>
      <c r="CF2386" s="3">
        <v>45856</v>
      </c>
      <c r="CI2386">
        <v>1</v>
      </c>
      <c r="CJ2386">
        <v>1</v>
      </c>
      <c r="CK2386">
        <v>21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"080066626177"</f>
        <v>080066626177</v>
      </c>
      <c r="F2387" s="3">
        <v>45855</v>
      </c>
      <c r="G2387">
        <v>202604</v>
      </c>
      <c r="H2387" t="s">
        <v>75</v>
      </c>
      <c r="I2387" t="s">
        <v>76</v>
      </c>
      <c r="J2387" t="s">
        <v>77</v>
      </c>
      <c r="K2387" t="s">
        <v>78</v>
      </c>
      <c r="L2387" t="s">
        <v>168</v>
      </c>
      <c r="M2387" t="s">
        <v>169</v>
      </c>
      <c r="N2387" t="s">
        <v>206</v>
      </c>
      <c r="O2387" t="s">
        <v>82</v>
      </c>
      <c r="P2387" t="str">
        <f>"4170049310                    "</f>
        <v xml:space="preserve">4170049310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22.6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0.3</v>
      </c>
      <c r="BK2387">
        <v>1</v>
      </c>
      <c r="BL2387">
        <v>71.2</v>
      </c>
      <c r="BM2387">
        <v>10.68</v>
      </c>
      <c r="BN2387">
        <v>81.88</v>
      </c>
      <c r="BO2387">
        <v>81.88</v>
      </c>
      <c r="BQ2387" t="s">
        <v>207</v>
      </c>
      <c r="BR2387" t="s">
        <v>84</v>
      </c>
      <c r="BS2387" s="3">
        <v>45856</v>
      </c>
      <c r="BT2387" s="4">
        <v>0.4</v>
      </c>
      <c r="BU2387" t="s">
        <v>290</v>
      </c>
      <c r="BV2387" t="s">
        <v>98</v>
      </c>
      <c r="BY2387">
        <v>1350</v>
      </c>
      <c r="CA2387" t="s">
        <v>196</v>
      </c>
      <c r="CC2387" t="s">
        <v>169</v>
      </c>
      <c r="CD2387">
        <v>6001</v>
      </c>
      <c r="CE2387" t="s">
        <v>158</v>
      </c>
      <c r="CF2387" s="3">
        <v>45856</v>
      </c>
      <c r="CI2387">
        <v>1</v>
      </c>
      <c r="CJ2387">
        <v>1</v>
      </c>
      <c r="CK2387">
        <v>21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"080066626218"</f>
        <v>080066626218</v>
      </c>
      <c r="F2388" s="3">
        <v>45855</v>
      </c>
      <c r="G2388">
        <v>202604</v>
      </c>
      <c r="H2388" t="s">
        <v>75</v>
      </c>
      <c r="I2388" t="s">
        <v>76</v>
      </c>
      <c r="J2388" t="s">
        <v>77</v>
      </c>
      <c r="K2388" t="s">
        <v>78</v>
      </c>
      <c r="L2388" t="s">
        <v>329</v>
      </c>
      <c r="M2388" t="s">
        <v>330</v>
      </c>
      <c r="N2388" t="s">
        <v>331</v>
      </c>
      <c r="O2388" t="s">
        <v>82</v>
      </c>
      <c r="P2388" t="str">
        <f>"4170049303                    "</f>
        <v xml:space="preserve">4170049303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43.78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0.3</v>
      </c>
      <c r="BK2388">
        <v>1</v>
      </c>
      <c r="BL2388">
        <v>137.94</v>
      </c>
      <c r="BM2388">
        <v>20.69</v>
      </c>
      <c r="BN2388">
        <v>158.63</v>
      </c>
      <c r="BO2388">
        <v>158.63</v>
      </c>
      <c r="BQ2388" t="s">
        <v>332</v>
      </c>
      <c r="BR2388" t="s">
        <v>84</v>
      </c>
      <c r="BS2388" s="3">
        <v>45856</v>
      </c>
      <c r="BT2388" s="4">
        <v>0.375</v>
      </c>
      <c r="BU2388" t="s">
        <v>2793</v>
      </c>
      <c r="BV2388" t="s">
        <v>98</v>
      </c>
      <c r="BY2388">
        <v>1350</v>
      </c>
      <c r="CA2388" t="s">
        <v>1153</v>
      </c>
      <c r="CC2388" t="s">
        <v>330</v>
      </c>
      <c r="CD2388">
        <v>6300</v>
      </c>
      <c r="CE2388" t="s">
        <v>158</v>
      </c>
      <c r="CF2388" s="3">
        <v>45856</v>
      </c>
      <c r="CI2388">
        <v>2</v>
      </c>
      <c r="CJ2388">
        <v>1</v>
      </c>
      <c r="CK2388">
        <v>23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"080066626251"</f>
        <v>080066626251</v>
      </c>
      <c r="F2389" s="3">
        <v>45855</v>
      </c>
      <c r="G2389">
        <v>202604</v>
      </c>
      <c r="H2389" t="s">
        <v>75</v>
      </c>
      <c r="I2389" t="s">
        <v>76</v>
      </c>
      <c r="J2389" t="s">
        <v>77</v>
      </c>
      <c r="K2389" t="s">
        <v>78</v>
      </c>
      <c r="L2389" t="s">
        <v>168</v>
      </c>
      <c r="M2389" t="s">
        <v>169</v>
      </c>
      <c r="N2389" t="s">
        <v>420</v>
      </c>
      <c r="O2389" t="s">
        <v>82</v>
      </c>
      <c r="P2389" t="str">
        <f>"4170049249                    "</f>
        <v xml:space="preserve">4170049249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22.6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0.3</v>
      </c>
      <c r="BK2389">
        <v>1</v>
      </c>
      <c r="BL2389">
        <v>71.2</v>
      </c>
      <c r="BM2389">
        <v>10.68</v>
      </c>
      <c r="BN2389">
        <v>81.88</v>
      </c>
      <c r="BO2389">
        <v>81.88</v>
      </c>
      <c r="BQ2389" t="s">
        <v>421</v>
      </c>
      <c r="BR2389" t="s">
        <v>84</v>
      </c>
      <c r="BS2389" s="3">
        <v>45856</v>
      </c>
      <c r="BT2389" s="4">
        <v>0.38958333333333334</v>
      </c>
      <c r="BU2389" t="s">
        <v>2794</v>
      </c>
      <c r="BV2389" t="s">
        <v>98</v>
      </c>
      <c r="BY2389">
        <v>1350</v>
      </c>
      <c r="BZ2389" t="s">
        <v>89</v>
      </c>
      <c r="CA2389" t="s">
        <v>423</v>
      </c>
      <c r="CC2389" t="s">
        <v>169</v>
      </c>
      <c r="CD2389">
        <v>6001</v>
      </c>
      <c r="CE2389" t="s">
        <v>1868</v>
      </c>
      <c r="CF2389" s="3">
        <v>45856</v>
      </c>
      <c r="CI2389">
        <v>1</v>
      </c>
      <c r="CJ2389">
        <v>1</v>
      </c>
      <c r="CK2389">
        <v>21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"080066626324"</f>
        <v>080066626324</v>
      </c>
      <c r="F2390" s="3">
        <v>45855</v>
      </c>
      <c r="G2390">
        <v>202604</v>
      </c>
      <c r="H2390" t="s">
        <v>75</v>
      </c>
      <c r="I2390" t="s">
        <v>76</v>
      </c>
      <c r="J2390" t="s">
        <v>77</v>
      </c>
      <c r="K2390" t="s">
        <v>78</v>
      </c>
      <c r="L2390" t="s">
        <v>168</v>
      </c>
      <c r="M2390" t="s">
        <v>169</v>
      </c>
      <c r="N2390" t="s">
        <v>202</v>
      </c>
      <c r="O2390" t="s">
        <v>82</v>
      </c>
      <c r="P2390" t="str">
        <f>"4170049296                    "</f>
        <v xml:space="preserve">4170049296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22.6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0.3</v>
      </c>
      <c r="BK2390">
        <v>1</v>
      </c>
      <c r="BL2390">
        <v>71.2</v>
      </c>
      <c r="BM2390">
        <v>10.68</v>
      </c>
      <c r="BN2390">
        <v>81.88</v>
      </c>
      <c r="BO2390">
        <v>81.88</v>
      </c>
      <c r="BQ2390" t="s">
        <v>203</v>
      </c>
      <c r="BR2390" t="s">
        <v>84</v>
      </c>
      <c r="BS2390" s="3">
        <v>45856</v>
      </c>
      <c r="BT2390" s="4">
        <v>0.37708333333333333</v>
      </c>
      <c r="BU2390" t="s">
        <v>204</v>
      </c>
      <c r="BV2390" t="s">
        <v>98</v>
      </c>
      <c r="BY2390">
        <v>1350</v>
      </c>
      <c r="CA2390" t="s">
        <v>205</v>
      </c>
      <c r="CC2390" t="s">
        <v>169</v>
      </c>
      <c r="CD2390">
        <v>6001</v>
      </c>
      <c r="CE2390" t="s">
        <v>158</v>
      </c>
      <c r="CF2390" s="3">
        <v>45856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"080066626343"</f>
        <v>080066626343</v>
      </c>
      <c r="F2391" s="3">
        <v>45855</v>
      </c>
      <c r="G2391">
        <v>202604</v>
      </c>
      <c r="H2391" t="s">
        <v>75</v>
      </c>
      <c r="I2391" t="s">
        <v>76</v>
      </c>
      <c r="J2391" t="s">
        <v>77</v>
      </c>
      <c r="K2391" t="s">
        <v>78</v>
      </c>
      <c r="L2391" t="s">
        <v>79</v>
      </c>
      <c r="M2391" t="s">
        <v>80</v>
      </c>
      <c r="N2391" t="s">
        <v>1996</v>
      </c>
      <c r="O2391" t="s">
        <v>82</v>
      </c>
      <c r="P2391" t="str">
        <f>"4170049305                    "</f>
        <v xml:space="preserve">4170049305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22.6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71.2</v>
      </c>
      <c r="BM2391">
        <v>10.68</v>
      </c>
      <c r="BN2391">
        <v>81.88</v>
      </c>
      <c r="BO2391">
        <v>81.88</v>
      </c>
      <c r="BQ2391" t="s">
        <v>1997</v>
      </c>
      <c r="BR2391" t="s">
        <v>84</v>
      </c>
      <c r="BS2391" s="3">
        <v>45856</v>
      </c>
      <c r="BT2391" s="4">
        <v>0.42708333333333331</v>
      </c>
      <c r="BU2391" t="s">
        <v>2313</v>
      </c>
      <c r="BV2391" t="s">
        <v>98</v>
      </c>
      <c r="BY2391">
        <v>1200</v>
      </c>
      <c r="CA2391" t="s">
        <v>658</v>
      </c>
      <c r="CC2391" t="s">
        <v>80</v>
      </c>
      <c r="CD2391">
        <v>7405</v>
      </c>
      <c r="CE2391" t="s">
        <v>121</v>
      </c>
      <c r="CF2391" s="3">
        <v>45859</v>
      </c>
      <c r="CI2391">
        <v>1</v>
      </c>
      <c r="CJ2391">
        <v>1</v>
      </c>
      <c r="CK2391">
        <v>21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"080066626377"</f>
        <v>080066626377</v>
      </c>
      <c r="F2392" s="3">
        <v>45855</v>
      </c>
      <c r="G2392">
        <v>202604</v>
      </c>
      <c r="H2392" t="s">
        <v>75</v>
      </c>
      <c r="I2392" t="s">
        <v>76</v>
      </c>
      <c r="J2392" t="s">
        <v>77</v>
      </c>
      <c r="K2392" t="s">
        <v>78</v>
      </c>
      <c r="L2392" t="s">
        <v>197</v>
      </c>
      <c r="M2392" t="s">
        <v>198</v>
      </c>
      <c r="N2392" t="s">
        <v>315</v>
      </c>
      <c r="O2392" t="s">
        <v>82</v>
      </c>
      <c r="P2392" t="str">
        <f>"4170049235                    "</f>
        <v xml:space="preserve">4170049235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17.649999999999999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0.3</v>
      </c>
      <c r="BK2392">
        <v>1</v>
      </c>
      <c r="BL2392">
        <v>55.61</v>
      </c>
      <c r="BM2392">
        <v>8.34</v>
      </c>
      <c r="BN2392">
        <v>63.95</v>
      </c>
      <c r="BO2392">
        <v>63.95</v>
      </c>
      <c r="BQ2392" t="s">
        <v>316</v>
      </c>
      <c r="BR2392" t="s">
        <v>84</v>
      </c>
      <c r="BS2392" s="3">
        <v>45856</v>
      </c>
      <c r="BT2392" s="4">
        <v>0.39444444444444443</v>
      </c>
      <c r="BU2392" t="s">
        <v>1097</v>
      </c>
      <c r="BV2392" t="s">
        <v>98</v>
      </c>
      <c r="BY2392">
        <v>1350</v>
      </c>
      <c r="CA2392" t="s">
        <v>1058</v>
      </c>
      <c r="CC2392" t="s">
        <v>198</v>
      </c>
      <c r="CD2392">
        <v>1401</v>
      </c>
      <c r="CE2392" t="s">
        <v>158</v>
      </c>
      <c r="CF2392" s="3">
        <v>45857</v>
      </c>
      <c r="CI2392">
        <v>1</v>
      </c>
      <c r="CJ2392">
        <v>1</v>
      </c>
      <c r="CK2392">
        <v>22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"080066626387"</f>
        <v>080066626387</v>
      </c>
      <c r="F2393" s="3">
        <v>45855</v>
      </c>
      <c r="G2393">
        <v>202604</v>
      </c>
      <c r="H2393" t="s">
        <v>75</v>
      </c>
      <c r="I2393" t="s">
        <v>76</v>
      </c>
      <c r="J2393" t="s">
        <v>77</v>
      </c>
      <c r="K2393" t="s">
        <v>78</v>
      </c>
      <c r="L2393" t="s">
        <v>75</v>
      </c>
      <c r="M2393" t="s">
        <v>76</v>
      </c>
      <c r="N2393" t="s">
        <v>701</v>
      </c>
      <c r="O2393" t="s">
        <v>82</v>
      </c>
      <c r="P2393" t="str">
        <f>"4170049254                    "</f>
        <v xml:space="preserve">4170049254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17.649999999999999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55.61</v>
      </c>
      <c r="BM2393">
        <v>8.34</v>
      </c>
      <c r="BN2393">
        <v>63.95</v>
      </c>
      <c r="BO2393">
        <v>63.95</v>
      </c>
      <c r="BQ2393" t="s">
        <v>702</v>
      </c>
      <c r="BR2393" t="s">
        <v>84</v>
      </c>
      <c r="BS2393" s="3">
        <v>45856</v>
      </c>
      <c r="BT2393" s="4">
        <v>0.3659722222222222</v>
      </c>
      <c r="BU2393" t="s">
        <v>703</v>
      </c>
      <c r="BV2393" t="s">
        <v>98</v>
      </c>
      <c r="BY2393">
        <v>1200</v>
      </c>
      <c r="CA2393" t="s">
        <v>617</v>
      </c>
      <c r="CC2393" t="s">
        <v>76</v>
      </c>
      <c r="CD2393">
        <v>1645</v>
      </c>
      <c r="CE2393" t="s">
        <v>121</v>
      </c>
      <c r="CF2393" s="3">
        <v>45857</v>
      </c>
      <c r="CI2393">
        <v>1</v>
      </c>
      <c r="CJ2393">
        <v>1</v>
      </c>
      <c r="CK2393">
        <v>22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"080066626418"</f>
        <v>080066626418</v>
      </c>
      <c r="F2394" s="3">
        <v>45855</v>
      </c>
      <c r="G2394">
        <v>202604</v>
      </c>
      <c r="H2394" t="s">
        <v>75</v>
      </c>
      <c r="I2394" t="s">
        <v>76</v>
      </c>
      <c r="J2394" t="s">
        <v>77</v>
      </c>
      <c r="K2394" t="s">
        <v>78</v>
      </c>
      <c r="L2394" t="s">
        <v>295</v>
      </c>
      <c r="M2394" t="s">
        <v>296</v>
      </c>
      <c r="N2394" t="s">
        <v>2094</v>
      </c>
      <c r="O2394" t="s">
        <v>82</v>
      </c>
      <c r="P2394" t="str">
        <f>"4170049311                    "</f>
        <v xml:space="preserve">4170049311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17.649999999999999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55.61</v>
      </c>
      <c r="BM2394">
        <v>8.34</v>
      </c>
      <c r="BN2394">
        <v>63.95</v>
      </c>
      <c r="BO2394">
        <v>63.95</v>
      </c>
      <c r="BQ2394" t="s">
        <v>2095</v>
      </c>
      <c r="BR2394" t="s">
        <v>84</v>
      </c>
      <c r="BS2394" s="3">
        <v>45856</v>
      </c>
      <c r="BT2394" s="4">
        <v>0.3</v>
      </c>
      <c r="BU2394" t="s">
        <v>2680</v>
      </c>
      <c r="BV2394" t="s">
        <v>98</v>
      </c>
      <c r="BY2394">
        <v>1200</v>
      </c>
      <c r="CA2394" t="s">
        <v>300</v>
      </c>
      <c r="CC2394" t="s">
        <v>296</v>
      </c>
      <c r="CD2394">
        <v>1459</v>
      </c>
      <c r="CE2394" t="s">
        <v>121</v>
      </c>
      <c r="CF2394" s="3">
        <v>45856</v>
      </c>
      <c r="CI2394">
        <v>1</v>
      </c>
      <c r="CJ2394">
        <v>1</v>
      </c>
      <c r="CK2394">
        <v>22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"080066626430"</f>
        <v>080066626430</v>
      </c>
      <c r="F2395" s="3">
        <v>45855</v>
      </c>
      <c r="G2395">
        <v>202604</v>
      </c>
      <c r="H2395" t="s">
        <v>75</v>
      </c>
      <c r="I2395" t="s">
        <v>76</v>
      </c>
      <c r="J2395" t="s">
        <v>77</v>
      </c>
      <c r="K2395" t="s">
        <v>78</v>
      </c>
      <c r="L2395" t="s">
        <v>197</v>
      </c>
      <c r="M2395" t="s">
        <v>198</v>
      </c>
      <c r="N2395" t="s">
        <v>1209</v>
      </c>
      <c r="O2395" t="s">
        <v>82</v>
      </c>
      <c r="P2395" t="str">
        <f>"4170049270                    "</f>
        <v xml:space="preserve">4170049270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17.649999999999999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0.3</v>
      </c>
      <c r="BK2395">
        <v>1</v>
      </c>
      <c r="BL2395">
        <v>55.61</v>
      </c>
      <c r="BM2395">
        <v>8.34</v>
      </c>
      <c r="BN2395">
        <v>63.95</v>
      </c>
      <c r="BO2395">
        <v>63.95</v>
      </c>
      <c r="BQ2395" t="s">
        <v>1210</v>
      </c>
      <c r="BR2395" t="s">
        <v>84</v>
      </c>
      <c r="BS2395" s="3">
        <v>45856</v>
      </c>
      <c r="BT2395" s="4">
        <v>0.4375</v>
      </c>
      <c r="BU2395" t="s">
        <v>2264</v>
      </c>
      <c r="BV2395" t="s">
        <v>98</v>
      </c>
      <c r="BY2395">
        <v>1350</v>
      </c>
      <c r="CA2395" t="s">
        <v>1799</v>
      </c>
      <c r="CC2395" t="s">
        <v>198</v>
      </c>
      <c r="CD2395">
        <v>1406</v>
      </c>
      <c r="CE2395" t="s">
        <v>158</v>
      </c>
      <c r="CF2395" s="3">
        <v>45856</v>
      </c>
      <c r="CI2395">
        <v>1</v>
      </c>
      <c r="CJ2395">
        <v>1</v>
      </c>
      <c r="CK2395">
        <v>22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"080066626443"</f>
        <v>080066626443</v>
      </c>
      <c r="F2396" s="3">
        <v>45855</v>
      </c>
      <c r="G2396">
        <v>202604</v>
      </c>
      <c r="H2396" t="s">
        <v>75</v>
      </c>
      <c r="I2396" t="s">
        <v>76</v>
      </c>
      <c r="J2396" t="s">
        <v>77</v>
      </c>
      <c r="K2396" t="s">
        <v>78</v>
      </c>
      <c r="L2396" t="s">
        <v>168</v>
      </c>
      <c r="M2396" t="s">
        <v>169</v>
      </c>
      <c r="N2396" t="s">
        <v>206</v>
      </c>
      <c r="O2396" t="s">
        <v>82</v>
      </c>
      <c r="P2396" t="str">
        <f>"4170049291                    "</f>
        <v xml:space="preserve">4170049291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22.6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71.2</v>
      </c>
      <c r="BM2396">
        <v>10.68</v>
      </c>
      <c r="BN2396">
        <v>81.88</v>
      </c>
      <c r="BO2396">
        <v>81.88</v>
      </c>
      <c r="BQ2396" t="s">
        <v>207</v>
      </c>
      <c r="BR2396" t="s">
        <v>84</v>
      </c>
      <c r="BS2396" s="3">
        <v>45856</v>
      </c>
      <c r="BT2396" s="4">
        <v>0.4</v>
      </c>
      <c r="BU2396" t="s">
        <v>290</v>
      </c>
      <c r="BV2396" t="s">
        <v>98</v>
      </c>
      <c r="BY2396">
        <v>1200</v>
      </c>
      <c r="CA2396" t="s">
        <v>196</v>
      </c>
      <c r="CC2396" t="s">
        <v>169</v>
      </c>
      <c r="CD2396">
        <v>6001</v>
      </c>
      <c r="CE2396" t="s">
        <v>121</v>
      </c>
      <c r="CF2396" s="3">
        <v>45856</v>
      </c>
      <c r="CI2396">
        <v>1</v>
      </c>
      <c r="CJ2396">
        <v>1</v>
      </c>
      <c r="CK2396">
        <v>21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"080066626480"</f>
        <v>080066626480</v>
      </c>
      <c r="F2397" s="3">
        <v>45855</v>
      </c>
      <c r="G2397">
        <v>202604</v>
      </c>
      <c r="H2397" t="s">
        <v>75</v>
      </c>
      <c r="I2397" t="s">
        <v>76</v>
      </c>
      <c r="J2397" t="s">
        <v>77</v>
      </c>
      <c r="K2397" t="s">
        <v>78</v>
      </c>
      <c r="L2397" t="s">
        <v>128</v>
      </c>
      <c r="M2397" t="s">
        <v>129</v>
      </c>
      <c r="N2397" t="s">
        <v>2038</v>
      </c>
      <c r="O2397" t="s">
        <v>82</v>
      </c>
      <c r="P2397" t="str">
        <f>"4170049276                    "</f>
        <v xml:space="preserve">4170049276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43.78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0.3</v>
      </c>
      <c r="BK2397">
        <v>1</v>
      </c>
      <c r="BL2397">
        <v>137.94</v>
      </c>
      <c r="BM2397">
        <v>20.69</v>
      </c>
      <c r="BN2397">
        <v>158.63</v>
      </c>
      <c r="BO2397">
        <v>158.63</v>
      </c>
      <c r="BQ2397" t="s">
        <v>2039</v>
      </c>
      <c r="BR2397" t="s">
        <v>84</v>
      </c>
      <c r="BS2397" s="3">
        <v>45856</v>
      </c>
      <c r="BT2397" s="4">
        <v>0.42083333333333334</v>
      </c>
      <c r="BU2397" t="s">
        <v>2795</v>
      </c>
      <c r="BV2397" t="s">
        <v>98</v>
      </c>
      <c r="BY2397">
        <v>1350</v>
      </c>
      <c r="CA2397" t="s">
        <v>2284</v>
      </c>
      <c r="CC2397" t="s">
        <v>129</v>
      </c>
      <c r="CD2397" s="5" t="s">
        <v>134</v>
      </c>
      <c r="CE2397" t="s">
        <v>158</v>
      </c>
      <c r="CF2397" s="3">
        <v>45859</v>
      </c>
      <c r="CI2397">
        <v>1</v>
      </c>
      <c r="CJ2397">
        <v>1</v>
      </c>
      <c r="CK2397">
        <v>23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"080066626513"</f>
        <v>080066626513</v>
      </c>
      <c r="F2398" s="3">
        <v>45855</v>
      </c>
      <c r="G2398">
        <v>202604</v>
      </c>
      <c r="H2398" t="s">
        <v>75</v>
      </c>
      <c r="I2398" t="s">
        <v>76</v>
      </c>
      <c r="J2398" t="s">
        <v>77</v>
      </c>
      <c r="K2398" t="s">
        <v>78</v>
      </c>
      <c r="L2398" t="s">
        <v>1370</v>
      </c>
      <c r="M2398" t="s">
        <v>1371</v>
      </c>
      <c r="N2398" t="s">
        <v>2796</v>
      </c>
      <c r="O2398" t="s">
        <v>82</v>
      </c>
      <c r="P2398" t="str">
        <f>"4170049278                    "</f>
        <v xml:space="preserve">4170049278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43.78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137.94</v>
      </c>
      <c r="BM2398">
        <v>20.69</v>
      </c>
      <c r="BN2398">
        <v>158.63</v>
      </c>
      <c r="BO2398">
        <v>158.63</v>
      </c>
      <c r="BQ2398" t="s">
        <v>2797</v>
      </c>
      <c r="BR2398" t="s">
        <v>84</v>
      </c>
      <c r="BS2398" s="3">
        <v>45859</v>
      </c>
      <c r="BT2398" s="4">
        <v>0.41180555555555554</v>
      </c>
      <c r="BU2398" t="s">
        <v>1483</v>
      </c>
      <c r="BV2398" t="s">
        <v>86</v>
      </c>
      <c r="BW2398" t="s">
        <v>818</v>
      </c>
      <c r="BX2398" t="s">
        <v>819</v>
      </c>
      <c r="BY2398">
        <v>1200</v>
      </c>
      <c r="CA2398" t="s">
        <v>2798</v>
      </c>
      <c r="CC2398" t="s">
        <v>1371</v>
      </c>
      <c r="CD2398" s="5" t="s">
        <v>1376</v>
      </c>
      <c r="CE2398" t="s">
        <v>121</v>
      </c>
      <c r="CF2398" s="3">
        <v>45860</v>
      </c>
      <c r="CI2398">
        <v>1</v>
      </c>
      <c r="CJ2398">
        <v>2</v>
      </c>
      <c r="CK2398">
        <v>23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"080066626556"</f>
        <v>080066626556</v>
      </c>
      <c r="F2399" s="3">
        <v>45855</v>
      </c>
      <c r="G2399">
        <v>202604</v>
      </c>
      <c r="H2399" t="s">
        <v>75</v>
      </c>
      <c r="I2399" t="s">
        <v>76</v>
      </c>
      <c r="J2399" t="s">
        <v>77</v>
      </c>
      <c r="K2399" t="s">
        <v>78</v>
      </c>
      <c r="L2399" t="s">
        <v>122</v>
      </c>
      <c r="M2399" t="s">
        <v>123</v>
      </c>
      <c r="N2399" t="s">
        <v>2340</v>
      </c>
      <c r="O2399" t="s">
        <v>82</v>
      </c>
      <c r="P2399" t="str">
        <f>"4170049233                    "</f>
        <v xml:space="preserve">4170049233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22.6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</v>
      </c>
      <c r="BJ2399">
        <v>1.7</v>
      </c>
      <c r="BK2399">
        <v>2</v>
      </c>
      <c r="BL2399">
        <v>71.2</v>
      </c>
      <c r="BM2399">
        <v>10.68</v>
      </c>
      <c r="BN2399">
        <v>81.88</v>
      </c>
      <c r="BO2399">
        <v>81.88</v>
      </c>
      <c r="BQ2399" t="s">
        <v>2341</v>
      </c>
      <c r="BR2399" t="s">
        <v>84</v>
      </c>
      <c r="BS2399" s="3">
        <v>45856</v>
      </c>
      <c r="BT2399" s="4">
        <v>0.41666666666666669</v>
      </c>
      <c r="BU2399" t="s">
        <v>1178</v>
      </c>
      <c r="BV2399" t="s">
        <v>98</v>
      </c>
      <c r="BY2399">
        <v>8512</v>
      </c>
      <c r="CA2399" t="s">
        <v>187</v>
      </c>
      <c r="CC2399" t="s">
        <v>123</v>
      </c>
      <c r="CD2399">
        <v>3610</v>
      </c>
      <c r="CE2399" t="s">
        <v>145</v>
      </c>
      <c r="CF2399" s="3">
        <v>45856</v>
      </c>
      <c r="CI2399">
        <v>1</v>
      </c>
      <c r="CJ2399">
        <v>1</v>
      </c>
      <c r="CK2399">
        <v>21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"080066626746"</f>
        <v>080066626746</v>
      </c>
      <c r="F2400" s="3">
        <v>45855</v>
      </c>
      <c r="G2400">
        <v>202604</v>
      </c>
      <c r="H2400" t="s">
        <v>75</v>
      </c>
      <c r="I2400" t="s">
        <v>76</v>
      </c>
      <c r="J2400" t="s">
        <v>77</v>
      </c>
      <c r="K2400" t="s">
        <v>78</v>
      </c>
      <c r="L2400" t="s">
        <v>122</v>
      </c>
      <c r="M2400" t="s">
        <v>123</v>
      </c>
      <c r="N2400" t="s">
        <v>972</v>
      </c>
      <c r="O2400" t="s">
        <v>82</v>
      </c>
      <c r="P2400" t="str">
        <f>"4170049243                    "</f>
        <v xml:space="preserve">4170049243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22.6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1.7</v>
      </c>
      <c r="BK2400">
        <v>2</v>
      </c>
      <c r="BL2400">
        <v>71.2</v>
      </c>
      <c r="BM2400">
        <v>10.68</v>
      </c>
      <c r="BN2400">
        <v>81.88</v>
      </c>
      <c r="BO2400">
        <v>81.88</v>
      </c>
      <c r="BQ2400" t="s">
        <v>973</v>
      </c>
      <c r="BR2400" t="s">
        <v>84</v>
      </c>
      <c r="BS2400" s="3">
        <v>45856</v>
      </c>
      <c r="BT2400" s="4">
        <v>0.39791666666666664</v>
      </c>
      <c r="BU2400" t="s">
        <v>2799</v>
      </c>
      <c r="BV2400" t="s">
        <v>98</v>
      </c>
      <c r="BY2400">
        <v>8550</v>
      </c>
      <c r="CA2400" t="s">
        <v>166</v>
      </c>
      <c r="CC2400" t="s">
        <v>123</v>
      </c>
      <c r="CD2400">
        <v>3610</v>
      </c>
      <c r="CE2400" t="s">
        <v>145</v>
      </c>
      <c r="CF2400" s="3">
        <v>45857</v>
      </c>
      <c r="CI2400">
        <v>1</v>
      </c>
      <c r="CJ2400">
        <v>1</v>
      </c>
      <c r="CK2400">
        <v>21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"080066626770"</f>
        <v>080066626770</v>
      </c>
      <c r="F2401" s="3">
        <v>45855</v>
      </c>
      <c r="G2401">
        <v>202604</v>
      </c>
      <c r="H2401" t="s">
        <v>75</v>
      </c>
      <c r="I2401" t="s">
        <v>76</v>
      </c>
      <c r="J2401" t="s">
        <v>77</v>
      </c>
      <c r="K2401" t="s">
        <v>78</v>
      </c>
      <c r="L2401" t="s">
        <v>79</v>
      </c>
      <c r="M2401" t="s">
        <v>80</v>
      </c>
      <c r="N2401" t="s">
        <v>576</v>
      </c>
      <c r="O2401" t="s">
        <v>82</v>
      </c>
      <c r="P2401" t="str">
        <f>"4170049215                    "</f>
        <v xml:space="preserve">4170049215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22.6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1.7</v>
      </c>
      <c r="BK2401">
        <v>2</v>
      </c>
      <c r="BL2401">
        <v>71.2</v>
      </c>
      <c r="BM2401">
        <v>10.68</v>
      </c>
      <c r="BN2401">
        <v>81.88</v>
      </c>
      <c r="BO2401">
        <v>81.88</v>
      </c>
      <c r="BQ2401" t="s">
        <v>577</v>
      </c>
      <c r="BR2401" t="s">
        <v>84</v>
      </c>
      <c r="BS2401" s="3">
        <v>45856</v>
      </c>
      <c r="BT2401" s="4">
        <v>0.43472222222222223</v>
      </c>
      <c r="BU2401" t="s">
        <v>1092</v>
      </c>
      <c r="BV2401" t="s">
        <v>98</v>
      </c>
      <c r="BY2401">
        <v>8512</v>
      </c>
      <c r="CA2401" t="s">
        <v>579</v>
      </c>
      <c r="CC2401" t="s">
        <v>80</v>
      </c>
      <c r="CD2401">
        <v>7480</v>
      </c>
      <c r="CE2401" t="s">
        <v>145</v>
      </c>
      <c r="CF2401" s="3">
        <v>45859</v>
      </c>
      <c r="CI2401">
        <v>1</v>
      </c>
      <c r="CJ2401">
        <v>1</v>
      </c>
      <c r="CK2401">
        <v>21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"080066626810"</f>
        <v>080066626810</v>
      </c>
      <c r="F2402" s="3">
        <v>45855</v>
      </c>
      <c r="G2402">
        <v>202604</v>
      </c>
      <c r="H2402" t="s">
        <v>75</v>
      </c>
      <c r="I2402" t="s">
        <v>76</v>
      </c>
      <c r="J2402" t="s">
        <v>77</v>
      </c>
      <c r="K2402" t="s">
        <v>78</v>
      </c>
      <c r="L2402" t="s">
        <v>554</v>
      </c>
      <c r="M2402" t="s">
        <v>555</v>
      </c>
      <c r="N2402" t="s">
        <v>556</v>
      </c>
      <c r="O2402" t="s">
        <v>82</v>
      </c>
      <c r="P2402" t="str">
        <f>"4170049253                    "</f>
        <v xml:space="preserve">4170049253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39.53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3.4</v>
      </c>
      <c r="BK2402">
        <v>3.5</v>
      </c>
      <c r="BL2402">
        <v>124.55</v>
      </c>
      <c r="BM2402">
        <v>18.68</v>
      </c>
      <c r="BN2402">
        <v>143.22999999999999</v>
      </c>
      <c r="BO2402">
        <v>143.22999999999999</v>
      </c>
      <c r="BQ2402" t="s">
        <v>557</v>
      </c>
      <c r="BR2402" t="s">
        <v>84</v>
      </c>
      <c r="BS2402" s="3">
        <v>45856</v>
      </c>
      <c r="BT2402" s="4">
        <v>0.41319444444444442</v>
      </c>
      <c r="BU2402" t="s">
        <v>1810</v>
      </c>
      <c r="BV2402" t="s">
        <v>98</v>
      </c>
      <c r="BY2402">
        <v>16965</v>
      </c>
      <c r="CA2402" t="s">
        <v>559</v>
      </c>
      <c r="CC2402" t="s">
        <v>555</v>
      </c>
      <c r="CD2402" s="5" t="s">
        <v>560</v>
      </c>
      <c r="CE2402" t="s">
        <v>145</v>
      </c>
      <c r="CF2402" s="3">
        <v>45856</v>
      </c>
      <c r="CI2402">
        <v>1</v>
      </c>
      <c r="CJ2402">
        <v>1</v>
      </c>
      <c r="CK2402">
        <v>21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"080066626852"</f>
        <v>080066626852</v>
      </c>
      <c r="F2403" s="3">
        <v>45855</v>
      </c>
      <c r="G2403">
        <v>202604</v>
      </c>
      <c r="H2403" t="s">
        <v>75</v>
      </c>
      <c r="I2403" t="s">
        <v>76</v>
      </c>
      <c r="J2403" t="s">
        <v>77</v>
      </c>
      <c r="K2403" t="s">
        <v>78</v>
      </c>
      <c r="L2403" t="s">
        <v>79</v>
      </c>
      <c r="M2403" t="s">
        <v>80</v>
      </c>
      <c r="N2403" t="s">
        <v>188</v>
      </c>
      <c r="O2403" t="s">
        <v>82</v>
      </c>
      <c r="P2403" t="str">
        <f>"4170049279                    "</f>
        <v xml:space="preserve">4170049279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56.47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5</v>
      </c>
      <c r="BJ2403">
        <v>3.8</v>
      </c>
      <c r="BK2403">
        <v>5</v>
      </c>
      <c r="BL2403">
        <v>177.91</v>
      </c>
      <c r="BM2403">
        <v>26.69</v>
      </c>
      <c r="BN2403">
        <v>204.6</v>
      </c>
      <c r="BO2403">
        <v>204.6</v>
      </c>
      <c r="BQ2403" t="s">
        <v>189</v>
      </c>
      <c r="BR2403" t="s">
        <v>84</v>
      </c>
      <c r="BS2403" s="3">
        <v>45856</v>
      </c>
      <c r="BT2403" s="4">
        <v>0.34236111111111112</v>
      </c>
      <c r="BU2403" t="s">
        <v>1216</v>
      </c>
      <c r="BV2403" t="s">
        <v>98</v>
      </c>
      <c r="BY2403">
        <v>19227</v>
      </c>
      <c r="CA2403" t="s">
        <v>144</v>
      </c>
      <c r="CC2403" t="s">
        <v>80</v>
      </c>
      <c r="CD2403">
        <v>7441</v>
      </c>
      <c r="CE2403" t="s">
        <v>145</v>
      </c>
      <c r="CF2403" s="3">
        <v>45859</v>
      </c>
      <c r="CI2403">
        <v>1</v>
      </c>
      <c r="CJ2403">
        <v>1</v>
      </c>
      <c r="CK2403">
        <v>21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"080066627319"</f>
        <v>080066627319</v>
      </c>
      <c r="F2404" s="3">
        <v>45855</v>
      </c>
      <c r="G2404">
        <v>202604</v>
      </c>
      <c r="H2404" t="s">
        <v>75</v>
      </c>
      <c r="I2404" t="s">
        <v>76</v>
      </c>
      <c r="J2404" t="s">
        <v>77</v>
      </c>
      <c r="K2404" t="s">
        <v>78</v>
      </c>
      <c r="L2404" t="s">
        <v>79</v>
      </c>
      <c r="M2404" t="s">
        <v>80</v>
      </c>
      <c r="N2404" t="s">
        <v>625</v>
      </c>
      <c r="O2404" t="s">
        <v>82</v>
      </c>
      <c r="P2404" t="str">
        <f>"4170049323                    "</f>
        <v xml:space="preserve">4170049323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22.6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0.3</v>
      </c>
      <c r="BK2404">
        <v>1</v>
      </c>
      <c r="BL2404">
        <v>71.2</v>
      </c>
      <c r="BM2404">
        <v>10.68</v>
      </c>
      <c r="BN2404">
        <v>81.88</v>
      </c>
      <c r="BO2404">
        <v>81.88</v>
      </c>
      <c r="BQ2404" t="s">
        <v>626</v>
      </c>
      <c r="BR2404" t="s">
        <v>84</v>
      </c>
      <c r="BS2404" s="3">
        <v>45856</v>
      </c>
      <c r="BT2404" s="4">
        <v>0.40763888888888888</v>
      </c>
      <c r="BU2404" t="s">
        <v>2800</v>
      </c>
      <c r="BV2404" t="s">
        <v>98</v>
      </c>
      <c r="BY2404">
        <v>1350</v>
      </c>
      <c r="CA2404" t="s">
        <v>579</v>
      </c>
      <c r="CC2404" t="s">
        <v>80</v>
      </c>
      <c r="CD2404">
        <v>7480</v>
      </c>
      <c r="CE2404" t="s">
        <v>158</v>
      </c>
      <c r="CF2404" s="3">
        <v>45859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"080066627351"</f>
        <v>080066627351</v>
      </c>
      <c r="F2405" s="3">
        <v>45855</v>
      </c>
      <c r="G2405">
        <v>202604</v>
      </c>
      <c r="H2405" t="s">
        <v>75</v>
      </c>
      <c r="I2405" t="s">
        <v>76</v>
      </c>
      <c r="J2405" t="s">
        <v>77</v>
      </c>
      <c r="K2405" t="s">
        <v>78</v>
      </c>
      <c r="L2405" t="s">
        <v>151</v>
      </c>
      <c r="M2405" t="s">
        <v>152</v>
      </c>
      <c r="N2405" t="s">
        <v>2250</v>
      </c>
      <c r="O2405" t="s">
        <v>82</v>
      </c>
      <c r="P2405" t="str">
        <f>"4170049302                    "</f>
        <v xml:space="preserve">4170049302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22.6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0.3</v>
      </c>
      <c r="BK2405">
        <v>1</v>
      </c>
      <c r="BL2405">
        <v>71.2</v>
      </c>
      <c r="BM2405">
        <v>10.68</v>
      </c>
      <c r="BN2405">
        <v>81.88</v>
      </c>
      <c r="BO2405">
        <v>81.88</v>
      </c>
      <c r="BQ2405" t="s">
        <v>2251</v>
      </c>
      <c r="BR2405" t="s">
        <v>84</v>
      </c>
      <c r="BS2405" s="3">
        <v>45859</v>
      </c>
      <c r="BT2405" s="4">
        <v>0.42569444444444443</v>
      </c>
      <c r="BU2405" t="s">
        <v>2801</v>
      </c>
      <c r="BV2405" t="s">
        <v>86</v>
      </c>
      <c r="BW2405" t="s">
        <v>395</v>
      </c>
      <c r="BX2405" t="s">
        <v>905</v>
      </c>
      <c r="BY2405">
        <v>1350</v>
      </c>
      <c r="CA2405" t="s">
        <v>518</v>
      </c>
      <c r="CC2405" t="s">
        <v>152</v>
      </c>
      <c r="CD2405" s="5" t="s">
        <v>1141</v>
      </c>
      <c r="CE2405" t="s">
        <v>158</v>
      </c>
      <c r="CF2405" s="3">
        <v>45859</v>
      </c>
      <c r="CI2405">
        <v>1</v>
      </c>
      <c r="CJ2405">
        <v>2</v>
      </c>
      <c r="CK2405">
        <v>21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"080066627376"</f>
        <v>080066627376</v>
      </c>
      <c r="F2406" s="3">
        <v>45855</v>
      </c>
      <c r="G2406">
        <v>202604</v>
      </c>
      <c r="H2406" t="s">
        <v>75</v>
      </c>
      <c r="I2406" t="s">
        <v>76</v>
      </c>
      <c r="J2406" t="s">
        <v>77</v>
      </c>
      <c r="K2406" t="s">
        <v>78</v>
      </c>
      <c r="L2406" t="s">
        <v>168</v>
      </c>
      <c r="M2406" t="s">
        <v>169</v>
      </c>
      <c r="N2406" t="s">
        <v>360</v>
      </c>
      <c r="O2406" t="s">
        <v>82</v>
      </c>
      <c r="P2406" t="str">
        <f>"4170049308                    "</f>
        <v xml:space="preserve">4170049308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22.6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0.3</v>
      </c>
      <c r="BK2406">
        <v>1</v>
      </c>
      <c r="BL2406">
        <v>71.2</v>
      </c>
      <c r="BM2406">
        <v>10.68</v>
      </c>
      <c r="BN2406">
        <v>81.88</v>
      </c>
      <c r="BO2406">
        <v>81.88</v>
      </c>
      <c r="BQ2406" t="s">
        <v>361</v>
      </c>
      <c r="BR2406" t="s">
        <v>84</v>
      </c>
      <c r="BS2406" s="3">
        <v>45856</v>
      </c>
      <c r="BT2406" s="4">
        <v>0.37222222222222223</v>
      </c>
      <c r="BU2406" t="s">
        <v>1439</v>
      </c>
      <c r="BV2406" t="s">
        <v>98</v>
      </c>
      <c r="BY2406">
        <v>1350</v>
      </c>
      <c r="BZ2406" t="s">
        <v>89</v>
      </c>
      <c r="CA2406" t="s">
        <v>423</v>
      </c>
      <c r="CC2406" t="s">
        <v>169</v>
      </c>
      <c r="CD2406">
        <v>6001</v>
      </c>
      <c r="CE2406" t="s">
        <v>1868</v>
      </c>
      <c r="CF2406" s="3">
        <v>45856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"080066627403"</f>
        <v>080066627403</v>
      </c>
      <c r="F2407" s="3">
        <v>45855</v>
      </c>
      <c r="G2407">
        <v>202604</v>
      </c>
      <c r="H2407" t="s">
        <v>75</v>
      </c>
      <c r="I2407" t="s">
        <v>76</v>
      </c>
      <c r="J2407" t="s">
        <v>77</v>
      </c>
      <c r="K2407" t="s">
        <v>78</v>
      </c>
      <c r="L2407" t="s">
        <v>168</v>
      </c>
      <c r="M2407" t="s">
        <v>169</v>
      </c>
      <c r="N2407" t="s">
        <v>206</v>
      </c>
      <c r="O2407" t="s">
        <v>82</v>
      </c>
      <c r="P2407" t="str">
        <f>"4170049299                    "</f>
        <v xml:space="preserve">4170049299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22.6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0.3</v>
      </c>
      <c r="BK2407">
        <v>1</v>
      </c>
      <c r="BL2407">
        <v>71.2</v>
      </c>
      <c r="BM2407">
        <v>10.68</v>
      </c>
      <c r="BN2407">
        <v>81.88</v>
      </c>
      <c r="BO2407">
        <v>81.88</v>
      </c>
      <c r="BQ2407" t="s">
        <v>207</v>
      </c>
      <c r="BR2407" t="s">
        <v>84</v>
      </c>
      <c r="BS2407" s="3">
        <v>45856</v>
      </c>
      <c r="BT2407" s="4">
        <v>0.4</v>
      </c>
      <c r="BU2407" t="s">
        <v>290</v>
      </c>
      <c r="BV2407" t="s">
        <v>98</v>
      </c>
      <c r="BY2407">
        <v>1350</v>
      </c>
      <c r="CA2407" t="s">
        <v>196</v>
      </c>
      <c r="CC2407" t="s">
        <v>169</v>
      </c>
      <c r="CD2407">
        <v>6001</v>
      </c>
      <c r="CE2407" t="s">
        <v>158</v>
      </c>
      <c r="CF2407" s="3">
        <v>45856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"080066627415"</f>
        <v>080066627415</v>
      </c>
      <c r="F2408" s="3">
        <v>45855</v>
      </c>
      <c r="G2408">
        <v>202604</v>
      </c>
      <c r="H2408" t="s">
        <v>75</v>
      </c>
      <c r="I2408" t="s">
        <v>76</v>
      </c>
      <c r="J2408" t="s">
        <v>77</v>
      </c>
      <c r="K2408" t="s">
        <v>78</v>
      </c>
      <c r="L2408" t="s">
        <v>240</v>
      </c>
      <c r="M2408" t="s">
        <v>241</v>
      </c>
      <c r="N2408" t="s">
        <v>242</v>
      </c>
      <c r="O2408" t="s">
        <v>311</v>
      </c>
      <c r="P2408" t="str">
        <f>"4170049258                    "</f>
        <v xml:space="preserve">4170049258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17.66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2</v>
      </c>
      <c r="BI2408">
        <v>6</v>
      </c>
      <c r="BJ2408">
        <v>6.8</v>
      </c>
      <c r="BK2408">
        <v>7</v>
      </c>
      <c r="BL2408">
        <v>55.63</v>
      </c>
      <c r="BM2408">
        <v>8.34</v>
      </c>
      <c r="BN2408">
        <v>63.97</v>
      </c>
      <c r="BO2408">
        <v>63.97</v>
      </c>
      <c r="BQ2408" t="s">
        <v>243</v>
      </c>
      <c r="BR2408" t="s">
        <v>84</v>
      </c>
      <c r="BS2408" s="3">
        <v>45856</v>
      </c>
      <c r="BT2408" s="4">
        <v>0.35416666666666669</v>
      </c>
      <c r="BU2408" t="s">
        <v>244</v>
      </c>
      <c r="BV2408" t="s">
        <v>98</v>
      </c>
      <c r="BY2408">
        <v>16965</v>
      </c>
      <c r="CA2408" t="s">
        <v>245</v>
      </c>
      <c r="CC2408" t="s">
        <v>241</v>
      </c>
      <c r="CD2408">
        <v>2091</v>
      </c>
      <c r="CE2408" t="s">
        <v>2802</v>
      </c>
      <c r="CF2408" s="3">
        <v>45856</v>
      </c>
      <c r="CI2408">
        <v>1</v>
      </c>
      <c r="CJ2408">
        <v>1</v>
      </c>
      <c r="CK2408">
        <v>32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"080066627460"</f>
        <v>080066627460</v>
      </c>
      <c r="F2409" s="3">
        <v>45855</v>
      </c>
      <c r="G2409">
        <v>202604</v>
      </c>
      <c r="H2409" t="s">
        <v>75</v>
      </c>
      <c r="I2409" t="s">
        <v>76</v>
      </c>
      <c r="J2409" t="s">
        <v>77</v>
      </c>
      <c r="K2409" t="s">
        <v>78</v>
      </c>
      <c r="L2409" t="s">
        <v>452</v>
      </c>
      <c r="M2409" t="s">
        <v>453</v>
      </c>
      <c r="N2409" t="s">
        <v>1192</v>
      </c>
      <c r="O2409" t="s">
        <v>82</v>
      </c>
      <c r="P2409" t="str">
        <f>"4170049221                    "</f>
        <v xml:space="preserve">4170049221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17.649999999999999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0.3</v>
      </c>
      <c r="BK2409">
        <v>1</v>
      </c>
      <c r="BL2409">
        <v>55.61</v>
      </c>
      <c r="BM2409">
        <v>8.34</v>
      </c>
      <c r="BN2409">
        <v>63.95</v>
      </c>
      <c r="BO2409">
        <v>63.95</v>
      </c>
      <c r="BQ2409" t="s">
        <v>1193</v>
      </c>
      <c r="BR2409" t="s">
        <v>84</v>
      </c>
      <c r="BS2409" s="3">
        <v>45856</v>
      </c>
      <c r="BT2409" s="4">
        <v>0.43472222222222223</v>
      </c>
      <c r="BU2409" t="s">
        <v>2759</v>
      </c>
      <c r="BV2409" t="s">
        <v>98</v>
      </c>
      <c r="BY2409">
        <v>1350</v>
      </c>
      <c r="CA2409" t="s">
        <v>1541</v>
      </c>
      <c r="CC2409" t="s">
        <v>453</v>
      </c>
      <c r="CD2409">
        <v>1559</v>
      </c>
      <c r="CE2409" t="s">
        <v>158</v>
      </c>
      <c r="CF2409" s="3">
        <v>45856</v>
      </c>
      <c r="CI2409">
        <v>1</v>
      </c>
      <c r="CJ2409">
        <v>1</v>
      </c>
      <c r="CK2409">
        <v>22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"080066627490"</f>
        <v>080066627490</v>
      </c>
      <c r="F2410" s="3">
        <v>45855</v>
      </c>
      <c r="G2410">
        <v>202604</v>
      </c>
      <c r="H2410" t="s">
        <v>75</v>
      </c>
      <c r="I2410" t="s">
        <v>76</v>
      </c>
      <c r="J2410" t="s">
        <v>77</v>
      </c>
      <c r="K2410" t="s">
        <v>78</v>
      </c>
      <c r="L2410" t="s">
        <v>277</v>
      </c>
      <c r="M2410" t="s">
        <v>278</v>
      </c>
      <c r="N2410" t="s">
        <v>279</v>
      </c>
      <c r="O2410" t="s">
        <v>82</v>
      </c>
      <c r="P2410" t="str">
        <f>"4170049259                    "</f>
        <v xml:space="preserve">4170049259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22.6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0.3</v>
      </c>
      <c r="BK2410">
        <v>1</v>
      </c>
      <c r="BL2410">
        <v>71.2</v>
      </c>
      <c r="BM2410">
        <v>10.68</v>
      </c>
      <c r="BN2410">
        <v>81.88</v>
      </c>
      <c r="BO2410">
        <v>81.88</v>
      </c>
      <c r="BQ2410" t="s">
        <v>280</v>
      </c>
      <c r="BR2410" t="s">
        <v>84</v>
      </c>
      <c r="BS2410" s="3">
        <v>45856</v>
      </c>
      <c r="BT2410" s="4">
        <v>0.33333333333333331</v>
      </c>
      <c r="BU2410" t="s">
        <v>172</v>
      </c>
      <c r="BV2410" t="s">
        <v>98</v>
      </c>
      <c r="BY2410">
        <v>1350</v>
      </c>
      <c r="CA2410" t="s">
        <v>282</v>
      </c>
      <c r="CC2410" t="s">
        <v>278</v>
      </c>
      <c r="CD2410">
        <v>6230</v>
      </c>
      <c r="CE2410" t="s">
        <v>158</v>
      </c>
      <c r="CF2410" s="3">
        <v>45856</v>
      </c>
      <c r="CI2410">
        <v>1</v>
      </c>
      <c r="CJ2410">
        <v>1</v>
      </c>
      <c r="CK2410">
        <v>21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"080066627506"</f>
        <v>080066627506</v>
      </c>
      <c r="F2411" s="3">
        <v>45855</v>
      </c>
      <c r="G2411">
        <v>202604</v>
      </c>
      <c r="H2411" t="s">
        <v>75</v>
      </c>
      <c r="I2411" t="s">
        <v>76</v>
      </c>
      <c r="J2411" t="s">
        <v>77</v>
      </c>
      <c r="K2411" t="s">
        <v>78</v>
      </c>
      <c r="L2411" t="s">
        <v>240</v>
      </c>
      <c r="M2411" t="s">
        <v>241</v>
      </c>
      <c r="N2411" t="s">
        <v>2803</v>
      </c>
      <c r="O2411" t="s">
        <v>82</v>
      </c>
      <c r="P2411" t="str">
        <f>"4170049214                    "</f>
        <v xml:space="preserve">4170049214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17.649999999999999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</v>
      </c>
      <c r="BJ2411">
        <v>3.7</v>
      </c>
      <c r="BK2411">
        <v>4</v>
      </c>
      <c r="BL2411">
        <v>55.61</v>
      </c>
      <c r="BM2411">
        <v>8.34</v>
      </c>
      <c r="BN2411">
        <v>63.95</v>
      </c>
      <c r="BO2411">
        <v>63.95</v>
      </c>
      <c r="BQ2411" t="s">
        <v>2804</v>
      </c>
      <c r="BR2411" t="s">
        <v>84</v>
      </c>
      <c r="BS2411" s="3">
        <v>45860</v>
      </c>
      <c r="BT2411" s="4">
        <v>0.61250000000000004</v>
      </c>
      <c r="BU2411" t="s">
        <v>534</v>
      </c>
      <c r="BV2411" t="s">
        <v>86</v>
      </c>
      <c r="BY2411">
        <v>18620</v>
      </c>
      <c r="CA2411" t="s">
        <v>535</v>
      </c>
      <c r="CC2411" t="s">
        <v>241</v>
      </c>
      <c r="CD2411">
        <v>2191</v>
      </c>
      <c r="CE2411" t="s">
        <v>91</v>
      </c>
      <c r="CI2411">
        <v>1</v>
      </c>
      <c r="CJ2411">
        <v>3</v>
      </c>
      <c r="CK2411">
        <v>22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"080066627526"</f>
        <v>080066627526</v>
      </c>
      <c r="F2412" s="3">
        <v>45855</v>
      </c>
      <c r="G2412">
        <v>202604</v>
      </c>
      <c r="H2412" t="s">
        <v>75</v>
      </c>
      <c r="I2412" t="s">
        <v>76</v>
      </c>
      <c r="J2412" t="s">
        <v>77</v>
      </c>
      <c r="K2412" t="s">
        <v>78</v>
      </c>
      <c r="L2412" t="s">
        <v>75</v>
      </c>
      <c r="M2412" t="s">
        <v>76</v>
      </c>
      <c r="N2412" t="s">
        <v>701</v>
      </c>
      <c r="O2412" t="s">
        <v>82</v>
      </c>
      <c r="P2412" t="str">
        <f>"4170049271                    "</f>
        <v xml:space="preserve">4170049271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17.649999999999999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0.3</v>
      </c>
      <c r="BK2412">
        <v>1</v>
      </c>
      <c r="BL2412">
        <v>55.61</v>
      </c>
      <c r="BM2412">
        <v>8.34</v>
      </c>
      <c r="BN2412">
        <v>63.95</v>
      </c>
      <c r="BO2412">
        <v>63.95</v>
      </c>
      <c r="BQ2412" t="s">
        <v>702</v>
      </c>
      <c r="BR2412" t="s">
        <v>84</v>
      </c>
      <c r="BS2412" s="3">
        <v>45856</v>
      </c>
      <c r="BT2412" s="4">
        <v>0.36666666666666664</v>
      </c>
      <c r="BU2412" t="s">
        <v>703</v>
      </c>
      <c r="BV2412" t="s">
        <v>98</v>
      </c>
      <c r="BY2412">
        <v>1350</v>
      </c>
      <c r="CA2412" t="s">
        <v>617</v>
      </c>
      <c r="CC2412" t="s">
        <v>76</v>
      </c>
      <c r="CD2412">
        <v>1645</v>
      </c>
      <c r="CE2412" t="s">
        <v>158</v>
      </c>
      <c r="CF2412" s="3">
        <v>45857</v>
      </c>
      <c r="CI2412">
        <v>1</v>
      </c>
      <c r="CJ2412">
        <v>1</v>
      </c>
      <c r="CK2412">
        <v>22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"080066627547"</f>
        <v>080066627547</v>
      </c>
      <c r="F2413" s="3">
        <v>45855</v>
      </c>
      <c r="G2413">
        <v>202604</v>
      </c>
      <c r="H2413" t="s">
        <v>75</v>
      </c>
      <c r="I2413" t="s">
        <v>76</v>
      </c>
      <c r="J2413" t="s">
        <v>77</v>
      </c>
      <c r="K2413" t="s">
        <v>78</v>
      </c>
      <c r="L2413" t="s">
        <v>92</v>
      </c>
      <c r="M2413" t="s">
        <v>93</v>
      </c>
      <c r="N2413" t="s">
        <v>749</v>
      </c>
      <c r="O2413" t="s">
        <v>82</v>
      </c>
      <c r="P2413" t="str">
        <f>"4170049322                    "</f>
        <v xml:space="preserve">4170049322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22.6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1.7</v>
      </c>
      <c r="BK2413">
        <v>2</v>
      </c>
      <c r="BL2413">
        <v>71.2</v>
      </c>
      <c r="BM2413">
        <v>10.68</v>
      </c>
      <c r="BN2413">
        <v>81.88</v>
      </c>
      <c r="BO2413">
        <v>81.88</v>
      </c>
      <c r="BQ2413" t="s">
        <v>750</v>
      </c>
      <c r="BR2413" t="s">
        <v>84</v>
      </c>
      <c r="BS2413" s="3">
        <v>45856</v>
      </c>
      <c r="BT2413" s="4">
        <v>0.37708333333333333</v>
      </c>
      <c r="BU2413" t="s">
        <v>751</v>
      </c>
      <c r="BV2413" t="s">
        <v>98</v>
      </c>
      <c r="BY2413">
        <v>8512</v>
      </c>
      <c r="CA2413" t="s">
        <v>491</v>
      </c>
      <c r="CC2413" t="s">
        <v>93</v>
      </c>
      <c r="CD2413">
        <v>4001</v>
      </c>
      <c r="CE2413" t="s">
        <v>145</v>
      </c>
      <c r="CF2413" s="3">
        <v>45857</v>
      </c>
      <c r="CI2413">
        <v>1</v>
      </c>
      <c r="CJ2413">
        <v>1</v>
      </c>
      <c r="CK2413">
        <v>21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"080066627573"</f>
        <v>080066627573</v>
      </c>
      <c r="F2414" s="3">
        <v>45855</v>
      </c>
      <c r="G2414">
        <v>202604</v>
      </c>
      <c r="H2414" t="s">
        <v>75</v>
      </c>
      <c r="I2414" t="s">
        <v>76</v>
      </c>
      <c r="J2414" t="s">
        <v>77</v>
      </c>
      <c r="K2414" t="s">
        <v>78</v>
      </c>
      <c r="L2414" t="s">
        <v>452</v>
      </c>
      <c r="M2414" t="s">
        <v>453</v>
      </c>
      <c r="N2414" t="s">
        <v>1192</v>
      </c>
      <c r="O2414" t="s">
        <v>82</v>
      </c>
      <c r="P2414" t="str">
        <f>"4170049225                    "</f>
        <v xml:space="preserve">4170049225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17.649999999999999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0.3</v>
      </c>
      <c r="BK2414">
        <v>1</v>
      </c>
      <c r="BL2414">
        <v>55.61</v>
      </c>
      <c r="BM2414">
        <v>8.34</v>
      </c>
      <c r="BN2414">
        <v>63.95</v>
      </c>
      <c r="BO2414">
        <v>63.95</v>
      </c>
      <c r="BQ2414" t="s">
        <v>1193</v>
      </c>
      <c r="BR2414" t="s">
        <v>84</v>
      </c>
      <c r="BS2414" s="3">
        <v>45856</v>
      </c>
      <c r="BT2414" s="4">
        <v>0.43472222222222223</v>
      </c>
      <c r="BU2414" t="s">
        <v>2759</v>
      </c>
      <c r="BV2414" t="s">
        <v>98</v>
      </c>
      <c r="BY2414">
        <v>1350</v>
      </c>
      <c r="CA2414" t="s">
        <v>1541</v>
      </c>
      <c r="CC2414" t="s">
        <v>453</v>
      </c>
      <c r="CD2414">
        <v>1559</v>
      </c>
      <c r="CE2414" t="s">
        <v>158</v>
      </c>
      <c r="CF2414" s="3">
        <v>45856</v>
      </c>
      <c r="CI2414">
        <v>1</v>
      </c>
      <c r="CJ2414">
        <v>1</v>
      </c>
      <c r="CK2414">
        <v>22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"080066627588"</f>
        <v>080066627588</v>
      </c>
      <c r="F2415" s="3">
        <v>45855</v>
      </c>
      <c r="G2415">
        <v>202604</v>
      </c>
      <c r="H2415" t="s">
        <v>75</v>
      </c>
      <c r="I2415" t="s">
        <v>76</v>
      </c>
      <c r="J2415" t="s">
        <v>77</v>
      </c>
      <c r="K2415" t="s">
        <v>78</v>
      </c>
      <c r="L2415" t="s">
        <v>79</v>
      </c>
      <c r="M2415" t="s">
        <v>80</v>
      </c>
      <c r="N2415" t="s">
        <v>188</v>
      </c>
      <c r="O2415" t="s">
        <v>82</v>
      </c>
      <c r="P2415" t="str">
        <f>"4170049205                    "</f>
        <v xml:space="preserve">4170049205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95.99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5</v>
      </c>
      <c r="BJ2415">
        <v>8.3000000000000007</v>
      </c>
      <c r="BK2415">
        <v>8.5</v>
      </c>
      <c r="BL2415">
        <v>302.41000000000003</v>
      </c>
      <c r="BM2415">
        <v>45.36</v>
      </c>
      <c r="BN2415">
        <v>347.77</v>
      </c>
      <c r="BO2415">
        <v>347.77</v>
      </c>
      <c r="BQ2415" t="s">
        <v>189</v>
      </c>
      <c r="BR2415" t="s">
        <v>84</v>
      </c>
      <c r="BS2415" s="3">
        <v>45859</v>
      </c>
      <c r="BT2415" s="4">
        <v>0.3611111111111111</v>
      </c>
      <c r="BU2415" t="s">
        <v>1362</v>
      </c>
      <c r="BV2415" t="s">
        <v>86</v>
      </c>
      <c r="BW2415" t="s">
        <v>87</v>
      </c>
      <c r="BX2415" t="s">
        <v>1185</v>
      </c>
      <c r="BY2415">
        <v>41344</v>
      </c>
      <c r="CC2415" t="s">
        <v>80</v>
      </c>
      <c r="CD2415">
        <v>7441</v>
      </c>
      <c r="CE2415" t="s">
        <v>91</v>
      </c>
      <c r="CF2415" s="3">
        <v>45860</v>
      </c>
      <c r="CI2415">
        <v>1</v>
      </c>
      <c r="CJ2415">
        <v>2</v>
      </c>
      <c r="CK2415">
        <v>21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"080066627631"</f>
        <v>080066627631</v>
      </c>
      <c r="F2416" s="3">
        <v>45855</v>
      </c>
      <c r="G2416">
        <v>202604</v>
      </c>
      <c r="H2416" t="s">
        <v>75</v>
      </c>
      <c r="I2416" t="s">
        <v>76</v>
      </c>
      <c r="J2416" t="s">
        <v>77</v>
      </c>
      <c r="K2416" t="s">
        <v>78</v>
      </c>
      <c r="L2416" t="s">
        <v>390</v>
      </c>
      <c r="M2416" t="s">
        <v>391</v>
      </c>
      <c r="N2416" t="s">
        <v>2805</v>
      </c>
      <c r="O2416" t="s">
        <v>82</v>
      </c>
      <c r="P2416" t="str">
        <f>"4170049218                    "</f>
        <v xml:space="preserve">4170049218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17.649999999999999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</v>
      </c>
      <c r="BJ2416">
        <v>6.7</v>
      </c>
      <c r="BK2416">
        <v>7</v>
      </c>
      <c r="BL2416">
        <v>55.61</v>
      </c>
      <c r="BM2416">
        <v>8.34</v>
      </c>
      <c r="BN2416">
        <v>63.95</v>
      </c>
      <c r="BO2416">
        <v>63.95</v>
      </c>
      <c r="BQ2416" t="s">
        <v>2806</v>
      </c>
      <c r="BR2416" t="s">
        <v>84</v>
      </c>
      <c r="BS2416" s="3">
        <v>45856</v>
      </c>
      <c r="BT2416" s="4">
        <v>0.40277777777777779</v>
      </c>
      <c r="BU2416" t="s">
        <v>2807</v>
      </c>
      <c r="BV2416" t="s">
        <v>98</v>
      </c>
      <c r="BY2416">
        <v>33592</v>
      </c>
      <c r="CA2416" t="s">
        <v>1943</v>
      </c>
      <c r="CC2416" t="s">
        <v>391</v>
      </c>
      <c r="CD2416">
        <v>1724</v>
      </c>
      <c r="CE2416" t="s">
        <v>91</v>
      </c>
      <c r="CF2416" s="3">
        <v>45856</v>
      </c>
      <c r="CI2416">
        <v>1</v>
      </c>
      <c r="CJ2416">
        <v>1</v>
      </c>
      <c r="CK2416">
        <v>22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"080066627661"</f>
        <v>080066627661</v>
      </c>
      <c r="F2417" s="3">
        <v>45855</v>
      </c>
      <c r="G2417">
        <v>202604</v>
      </c>
      <c r="H2417" t="s">
        <v>75</v>
      </c>
      <c r="I2417" t="s">
        <v>76</v>
      </c>
      <c r="J2417" t="s">
        <v>77</v>
      </c>
      <c r="K2417" t="s">
        <v>78</v>
      </c>
      <c r="L2417" t="s">
        <v>135</v>
      </c>
      <c r="M2417" t="s">
        <v>136</v>
      </c>
      <c r="N2417" t="s">
        <v>379</v>
      </c>
      <c r="O2417" t="s">
        <v>82</v>
      </c>
      <c r="P2417" t="str">
        <f>"4170049292                    "</f>
        <v xml:space="preserve">4170049292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45.18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4</v>
      </c>
      <c r="BJ2417">
        <v>2.2999999999999998</v>
      </c>
      <c r="BK2417">
        <v>4</v>
      </c>
      <c r="BL2417">
        <v>142.34</v>
      </c>
      <c r="BM2417">
        <v>21.35</v>
      </c>
      <c r="BN2417">
        <v>163.69</v>
      </c>
      <c r="BO2417">
        <v>163.69</v>
      </c>
      <c r="BQ2417" t="s">
        <v>380</v>
      </c>
      <c r="BR2417" t="s">
        <v>84</v>
      </c>
      <c r="BS2417" s="3">
        <v>45856</v>
      </c>
      <c r="BT2417" s="4">
        <v>0.41666666666666669</v>
      </c>
      <c r="BU2417" t="s">
        <v>1701</v>
      </c>
      <c r="BV2417" t="s">
        <v>98</v>
      </c>
      <c r="BY2417">
        <v>11704</v>
      </c>
      <c r="CA2417" t="s">
        <v>382</v>
      </c>
      <c r="CC2417" t="s">
        <v>136</v>
      </c>
      <c r="CD2417">
        <v>3212</v>
      </c>
      <c r="CE2417" t="s">
        <v>145</v>
      </c>
      <c r="CF2417" s="3">
        <v>45856</v>
      </c>
      <c r="CI2417">
        <v>2</v>
      </c>
      <c r="CJ2417">
        <v>1</v>
      </c>
      <c r="CK2417">
        <v>21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"080066627662"</f>
        <v>080066627662</v>
      </c>
      <c r="F2418" s="3">
        <v>45855</v>
      </c>
      <c r="G2418">
        <v>202604</v>
      </c>
      <c r="H2418" t="s">
        <v>75</v>
      </c>
      <c r="I2418" t="s">
        <v>76</v>
      </c>
      <c r="J2418" t="s">
        <v>77</v>
      </c>
      <c r="K2418" t="s">
        <v>78</v>
      </c>
      <c r="L2418" t="s">
        <v>75</v>
      </c>
      <c r="M2418" t="s">
        <v>76</v>
      </c>
      <c r="N2418" t="s">
        <v>701</v>
      </c>
      <c r="O2418" t="s">
        <v>82</v>
      </c>
      <c r="P2418" t="str">
        <f>"4170049226                    "</f>
        <v xml:space="preserve">4170049226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17.649999999999999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0.3</v>
      </c>
      <c r="BK2418">
        <v>1</v>
      </c>
      <c r="BL2418">
        <v>55.61</v>
      </c>
      <c r="BM2418">
        <v>8.34</v>
      </c>
      <c r="BN2418">
        <v>63.95</v>
      </c>
      <c r="BO2418">
        <v>63.95</v>
      </c>
      <c r="BQ2418" t="s">
        <v>702</v>
      </c>
      <c r="BR2418" t="s">
        <v>84</v>
      </c>
      <c r="BS2418" s="3">
        <v>45856</v>
      </c>
      <c r="BT2418" s="4">
        <v>0.3659722222222222</v>
      </c>
      <c r="BU2418" t="s">
        <v>703</v>
      </c>
      <c r="BV2418" t="s">
        <v>98</v>
      </c>
      <c r="BY2418">
        <v>1350</v>
      </c>
      <c r="CA2418" t="s">
        <v>617</v>
      </c>
      <c r="CC2418" t="s">
        <v>76</v>
      </c>
      <c r="CD2418">
        <v>1645</v>
      </c>
      <c r="CE2418" t="s">
        <v>158</v>
      </c>
      <c r="CF2418" s="3">
        <v>45857</v>
      </c>
      <c r="CI2418">
        <v>1</v>
      </c>
      <c r="CJ2418">
        <v>1</v>
      </c>
      <c r="CK2418">
        <v>22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"080066627731"</f>
        <v>080066627731</v>
      </c>
      <c r="F2419" s="3">
        <v>45855</v>
      </c>
      <c r="G2419">
        <v>202604</v>
      </c>
      <c r="H2419" t="s">
        <v>75</v>
      </c>
      <c r="I2419" t="s">
        <v>76</v>
      </c>
      <c r="J2419" t="s">
        <v>77</v>
      </c>
      <c r="K2419" t="s">
        <v>78</v>
      </c>
      <c r="L2419" t="s">
        <v>305</v>
      </c>
      <c r="M2419" t="s">
        <v>306</v>
      </c>
      <c r="N2419" t="s">
        <v>1320</v>
      </c>
      <c r="O2419" t="s">
        <v>82</v>
      </c>
      <c r="P2419" t="str">
        <f>"4170049228                    "</f>
        <v xml:space="preserve">4170049228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22.6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0.3</v>
      </c>
      <c r="BK2419">
        <v>1</v>
      </c>
      <c r="BL2419">
        <v>71.2</v>
      </c>
      <c r="BM2419">
        <v>10.68</v>
      </c>
      <c r="BN2419">
        <v>81.88</v>
      </c>
      <c r="BO2419">
        <v>81.88</v>
      </c>
      <c r="BQ2419" t="s">
        <v>308</v>
      </c>
      <c r="BR2419" t="s">
        <v>84</v>
      </c>
      <c r="BS2419" s="3">
        <v>45856</v>
      </c>
      <c r="BT2419" s="4">
        <v>0.46666666666666667</v>
      </c>
      <c r="BU2419" t="s">
        <v>1676</v>
      </c>
      <c r="BV2419" t="s">
        <v>86</v>
      </c>
      <c r="BY2419">
        <v>1350</v>
      </c>
      <c r="CA2419" t="s">
        <v>310</v>
      </c>
      <c r="CC2419" t="s">
        <v>306</v>
      </c>
      <c r="CD2419">
        <v>5201</v>
      </c>
      <c r="CE2419" t="s">
        <v>158</v>
      </c>
      <c r="CF2419" s="3">
        <v>45856</v>
      </c>
      <c r="CI2419">
        <v>1</v>
      </c>
      <c r="CJ2419">
        <v>1</v>
      </c>
      <c r="CK2419">
        <v>21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"080066627729"</f>
        <v>080066627729</v>
      </c>
      <c r="F2420" s="3">
        <v>45855</v>
      </c>
      <c r="G2420">
        <v>202604</v>
      </c>
      <c r="H2420" t="s">
        <v>75</v>
      </c>
      <c r="I2420" t="s">
        <v>76</v>
      </c>
      <c r="J2420" t="s">
        <v>77</v>
      </c>
      <c r="K2420" t="s">
        <v>78</v>
      </c>
      <c r="L2420" t="s">
        <v>92</v>
      </c>
      <c r="M2420" t="s">
        <v>93</v>
      </c>
      <c r="N2420" t="s">
        <v>339</v>
      </c>
      <c r="O2420" t="s">
        <v>82</v>
      </c>
      <c r="P2420" t="str">
        <f>"4170049246                    "</f>
        <v xml:space="preserve">4170049246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56.47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5</v>
      </c>
      <c r="BJ2420">
        <v>1.8</v>
      </c>
      <c r="BK2420">
        <v>5</v>
      </c>
      <c r="BL2420">
        <v>177.91</v>
      </c>
      <c r="BM2420">
        <v>26.69</v>
      </c>
      <c r="BN2420">
        <v>204.6</v>
      </c>
      <c r="BO2420">
        <v>204.6</v>
      </c>
      <c r="BQ2420" t="s">
        <v>340</v>
      </c>
      <c r="BR2420" t="s">
        <v>84</v>
      </c>
      <c r="BS2420" s="3">
        <v>45856</v>
      </c>
      <c r="BT2420" s="4">
        <v>0.58402777777777781</v>
      </c>
      <c r="BU2420" t="s">
        <v>2808</v>
      </c>
      <c r="BV2420" t="s">
        <v>86</v>
      </c>
      <c r="BW2420" t="s">
        <v>194</v>
      </c>
      <c r="BX2420" t="s">
        <v>739</v>
      </c>
      <c r="BY2420">
        <v>9044</v>
      </c>
      <c r="CA2420" t="s">
        <v>337</v>
      </c>
      <c r="CC2420" t="s">
        <v>93</v>
      </c>
      <c r="CD2420">
        <v>4052</v>
      </c>
      <c r="CE2420" t="s">
        <v>145</v>
      </c>
      <c r="CF2420" s="3">
        <v>45856</v>
      </c>
      <c r="CI2420">
        <v>1</v>
      </c>
      <c r="CJ2420">
        <v>1</v>
      </c>
      <c r="CK2420">
        <v>21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"080066627762"</f>
        <v>080066627762</v>
      </c>
      <c r="F2421" s="3">
        <v>45855</v>
      </c>
      <c r="G2421">
        <v>202604</v>
      </c>
      <c r="H2421" t="s">
        <v>75</v>
      </c>
      <c r="I2421" t="s">
        <v>76</v>
      </c>
      <c r="J2421" t="s">
        <v>77</v>
      </c>
      <c r="K2421" t="s">
        <v>78</v>
      </c>
      <c r="L2421" t="s">
        <v>79</v>
      </c>
      <c r="M2421" t="s">
        <v>80</v>
      </c>
      <c r="N2421" t="s">
        <v>141</v>
      </c>
      <c r="O2421" t="s">
        <v>82</v>
      </c>
      <c r="P2421" t="str">
        <f>"4170049231                    "</f>
        <v xml:space="preserve">4170049231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22.6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0.3</v>
      </c>
      <c r="BK2421">
        <v>1</v>
      </c>
      <c r="BL2421">
        <v>71.2</v>
      </c>
      <c r="BM2421">
        <v>10.68</v>
      </c>
      <c r="BN2421">
        <v>81.88</v>
      </c>
      <c r="BO2421">
        <v>81.88</v>
      </c>
      <c r="BQ2421" t="s">
        <v>142</v>
      </c>
      <c r="BR2421" t="s">
        <v>84</v>
      </c>
      <c r="BS2421" s="3">
        <v>45856</v>
      </c>
      <c r="BT2421" s="4">
        <v>0.38750000000000001</v>
      </c>
      <c r="BU2421" t="s">
        <v>143</v>
      </c>
      <c r="BV2421" t="s">
        <v>98</v>
      </c>
      <c r="BY2421">
        <v>1350</v>
      </c>
      <c r="CA2421" t="s">
        <v>144</v>
      </c>
      <c r="CC2421" t="s">
        <v>80</v>
      </c>
      <c r="CD2421">
        <v>7441</v>
      </c>
      <c r="CE2421" t="s">
        <v>158</v>
      </c>
      <c r="CF2421" s="3">
        <v>45859</v>
      </c>
      <c r="CI2421">
        <v>1</v>
      </c>
      <c r="CJ2421">
        <v>1</v>
      </c>
      <c r="CK2421">
        <v>21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"080066627768"</f>
        <v>080066627768</v>
      </c>
      <c r="F2422" s="3">
        <v>45855</v>
      </c>
      <c r="G2422">
        <v>202604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809</v>
      </c>
      <c r="O2422" t="s">
        <v>82</v>
      </c>
      <c r="P2422" t="str">
        <f>"4170049252                    "</f>
        <v xml:space="preserve">4170049252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17.649999999999999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3</v>
      </c>
      <c r="BJ2422">
        <v>1.7</v>
      </c>
      <c r="BK2422">
        <v>3</v>
      </c>
      <c r="BL2422">
        <v>55.61</v>
      </c>
      <c r="BM2422">
        <v>8.34</v>
      </c>
      <c r="BN2422">
        <v>63.95</v>
      </c>
      <c r="BO2422">
        <v>63.95</v>
      </c>
      <c r="BQ2422" t="s">
        <v>810</v>
      </c>
      <c r="BR2422" t="s">
        <v>84</v>
      </c>
      <c r="BS2422" s="3">
        <v>45856</v>
      </c>
      <c r="BT2422" s="4">
        <v>0.36319444444444443</v>
      </c>
      <c r="BU2422" t="s">
        <v>882</v>
      </c>
      <c r="BV2422" t="s">
        <v>98</v>
      </c>
      <c r="BY2422">
        <v>8512</v>
      </c>
      <c r="CA2422" t="s">
        <v>883</v>
      </c>
      <c r="CC2422" t="s">
        <v>76</v>
      </c>
      <c r="CD2422">
        <v>1666</v>
      </c>
      <c r="CE2422" t="s">
        <v>145</v>
      </c>
      <c r="CF2422" s="3">
        <v>45857</v>
      </c>
      <c r="CI2422">
        <v>1</v>
      </c>
      <c r="CJ2422">
        <v>1</v>
      </c>
      <c r="CK2422">
        <v>22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"080066627785"</f>
        <v>080066627785</v>
      </c>
      <c r="F2423" s="3">
        <v>45855</v>
      </c>
      <c r="G2423">
        <v>202604</v>
      </c>
      <c r="H2423" t="s">
        <v>75</v>
      </c>
      <c r="I2423" t="s">
        <v>76</v>
      </c>
      <c r="J2423" t="s">
        <v>77</v>
      </c>
      <c r="K2423" t="s">
        <v>78</v>
      </c>
      <c r="L2423" t="s">
        <v>168</v>
      </c>
      <c r="M2423" t="s">
        <v>169</v>
      </c>
      <c r="N2423" t="s">
        <v>2525</v>
      </c>
      <c r="O2423" t="s">
        <v>82</v>
      </c>
      <c r="P2423" t="str">
        <f>"4170049304                    "</f>
        <v xml:space="preserve">4170049304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22.6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1.1000000000000001</v>
      </c>
      <c r="BK2423">
        <v>1.5</v>
      </c>
      <c r="BL2423">
        <v>71.2</v>
      </c>
      <c r="BM2423">
        <v>10.68</v>
      </c>
      <c r="BN2423">
        <v>81.88</v>
      </c>
      <c r="BO2423">
        <v>81.88</v>
      </c>
      <c r="BQ2423" t="s">
        <v>2526</v>
      </c>
      <c r="BR2423" t="s">
        <v>84</v>
      </c>
      <c r="BS2423" s="3">
        <v>45856</v>
      </c>
      <c r="BT2423" s="4">
        <v>0.4236111111111111</v>
      </c>
      <c r="BU2423" t="s">
        <v>2809</v>
      </c>
      <c r="BV2423" t="s">
        <v>98</v>
      </c>
      <c r="BY2423">
        <v>5320</v>
      </c>
      <c r="CA2423" t="s">
        <v>2528</v>
      </c>
      <c r="CC2423" t="s">
        <v>169</v>
      </c>
      <c r="CD2423">
        <v>6001</v>
      </c>
      <c r="CE2423" t="s">
        <v>145</v>
      </c>
      <c r="CF2423" s="3">
        <v>45856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"080066627787"</f>
        <v>080066627787</v>
      </c>
      <c r="F2424" s="3">
        <v>45855</v>
      </c>
      <c r="G2424">
        <v>202604</v>
      </c>
      <c r="H2424" t="s">
        <v>75</v>
      </c>
      <c r="I2424" t="s">
        <v>76</v>
      </c>
      <c r="J2424" t="s">
        <v>77</v>
      </c>
      <c r="K2424" t="s">
        <v>78</v>
      </c>
      <c r="L2424" t="s">
        <v>135</v>
      </c>
      <c r="M2424" t="s">
        <v>136</v>
      </c>
      <c r="N2424" t="s">
        <v>1924</v>
      </c>
      <c r="O2424" t="s">
        <v>82</v>
      </c>
      <c r="P2424" t="str">
        <f>"4170049217                    "</f>
        <v xml:space="preserve">4170049217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22.6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0.3</v>
      </c>
      <c r="BK2424">
        <v>1</v>
      </c>
      <c r="BL2424">
        <v>71.2</v>
      </c>
      <c r="BM2424">
        <v>10.68</v>
      </c>
      <c r="BN2424">
        <v>81.88</v>
      </c>
      <c r="BO2424">
        <v>81.88</v>
      </c>
      <c r="BQ2424" t="s">
        <v>1925</v>
      </c>
      <c r="BR2424" t="s">
        <v>84</v>
      </c>
      <c r="BS2424" s="3">
        <v>45856</v>
      </c>
      <c r="BT2424" s="4">
        <v>0.41666666666666669</v>
      </c>
      <c r="BU2424" t="s">
        <v>2236</v>
      </c>
      <c r="BV2424" t="s">
        <v>98</v>
      </c>
      <c r="BY2424">
        <v>1350</v>
      </c>
      <c r="CA2424" t="s">
        <v>349</v>
      </c>
      <c r="CC2424" t="s">
        <v>136</v>
      </c>
      <c r="CD2424">
        <v>3201</v>
      </c>
      <c r="CE2424" t="s">
        <v>158</v>
      </c>
      <c r="CF2424" s="3">
        <v>45856</v>
      </c>
      <c r="CI2424">
        <v>1</v>
      </c>
      <c r="CJ2424">
        <v>1</v>
      </c>
      <c r="CK2424">
        <v>21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"080066627818"</f>
        <v>080066627818</v>
      </c>
      <c r="F2425" s="3">
        <v>45855</v>
      </c>
      <c r="G2425">
        <v>202604</v>
      </c>
      <c r="H2425" t="s">
        <v>75</v>
      </c>
      <c r="I2425" t="s">
        <v>76</v>
      </c>
      <c r="J2425" t="s">
        <v>77</v>
      </c>
      <c r="K2425" t="s">
        <v>78</v>
      </c>
      <c r="L2425" t="s">
        <v>580</v>
      </c>
      <c r="M2425" t="s">
        <v>581</v>
      </c>
      <c r="N2425" t="s">
        <v>582</v>
      </c>
      <c r="O2425" t="s">
        <v>82</v>
      </c>
      <c r="P2425" t="str">
        <f>"4170049294                    "</f>
        <v xml:space="preserve">4170049294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22.6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1.1000000000000001</v>
      </c>
      <c r="BK2425">
        <v>1.5</v>
      </c>
      <c r="BL2425">
        <v>71.2</v>
      </c>
      <c r="BM2425">
        <v>10.68</v>
      </c>
      <c r="BN2425">
        <v>81.88</v>
      </c>
      <c r="BO2425">
        <v>81.88</v>
      </c>
      <c r="BQ2425" t="s">
        <v>583</v>
      </c>
      <c r="BR2425" t="s">
        <v>84</v>
      </c>
      <c r="BS2425" s="3">
        <v>45856</v>
      </c>
      <c r="BT2425" s="4">
        <v>0.36875000000000002</v>
      </c>
      <c r="BU2425" t="s">
        <v>584</v>
      </c>
      <c r="BV2425" t="s">
        <v>98</v>
      </c>
      <c r="BY2425">
        <v>5320</v>
      </c>
      <c r="CA2425" t="s">
        <v>585</v>
      </c>
      <c r="CC2425" t="s">
        <v>581</v>
      </c>
      <c r="CD2425">
        <v>4302</v>
      </c>
      <c r="CE2425" t="s">
        <v>145</v>
      </c>
      <c r="CF2425" s="3">
        <v>45856</v>
      </c>
      <c r="CI2425">
        <v>1</v>
      </c>
      <c r="CJ2425">
        <v>1</v>
      </c>
      <c r="CK2425">
        <v>21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"080066627828"</f>
        <v>080066627828</v>
      </c>
      <c r="F2426" s="3">
        <v>45855</v>
      </c>
      <c r="G2426">
        <v>202604</v>
      </c>
      <c r="H2426" t="s">
        <v>75</v>
      </c>
      <c r="I2426" t="s">
        <v>76</v>
      </c>
      <c r="J2426" t="s">
        <v>77</v>
      </c>
      <c r="K2426" t="s">
        <v>78</v>
      </c>
      <c r="L2426" t="s">
        <v>452</v>
      </c>
      <c r="M2426" t="s">
        <v>453</v>
      </c>
      <c r="N2426" t="s">
        <v>1192</v>
      </c>
      <c r="O2426" t="s">
        <v>82</v>
      </c>
      <c r="P2426" t="str">
        <f>"4170049222                    "</f>
        <v xml:space="preserve">4170049222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17.649999999999999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1.9</v>
      </c>
      <c r="BK2426">
        <v>2</v>
      </c>
      <c r="BL2426">
        <v>55.61</v>
      </c>
      <c r="BM2426">
        <v>8.34</v>
      </c>
      <c r="BN2426">
        <v>63.95</v>
      </c>
      <c r="BO2426">
        <v>63.95</v>
      </c>
      <c r="BQ2426" t="s">
        <v>1193</v>
      </c>
      <c r="BR2426" t="s">
        <v>84</v>
      </c>
      <c r="BS2426" s="3">
        <v>45856</v>
      </c>
      <c r="BT2426" s="4">
        <v>0.43472222222222223</v>
      </c>
      <c r="BU2426" t="s">
        <v>2759</v>
      </c>
      <c r="BV2426" t="s">
        <v>98</v>
      </c>
      <c r="BY2426">
        <v>9600</v>
      </c>
      <c r="CA2426" t="s">
        <v>1541</v>
      </c>
      <c r="CC2426" t="s">
        <v>453</v>
      </c>
      <c r="CD2426">
        <v>1559</v>
      </c>
      <c r="CE2426" t="s">
        <v>145</v>
      </c>
      <c r="CF2426" s="3">
        <v>45856</v>
      </c>
      <c r="CI2426">
        <v>1</v>
      </c>
      <c r="CJ2426">
        <v>1</v>
      </c>
      <c r="CK2426">
        <v>22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"080066627844"</f>
        <v>080066627844</v>
      </c>
      <c r="F2427" s="3">
        <v>45855</v>
      </c>
      <c r="G2427">
        <v>202604</v>
      </c>
      <c r="H2427" t="s">
        <v>75</v>
      </c>
      <c r="I2427" t="s">
        <v>76</v>
      </c>
      <c r="J2427" t="s">
        <v>77</v>
      </c>
      <c r="K2427" t="s">
        <v>78</v>
      </c>
      <c r="L2427" t="s">
        <v>305</v>
      </c>
      <c r="M2427" t="s">
        <v>306</v>
      </c>
      <c r="N2427" t="s">
        <v>640</v>
      </c>
      <c r="O2427" t="s">
        <v>82</v>
      </c>
      <c r="P2427" t="str">
        <f>"4170049201                    "</f>
        <v xml:space="preserve">4170049201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101.63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6</v>
      </c>
      <c r="BJ2427">
        <v>8.9</v>
      </c>
      <c r="BK2427">
        <v>9</v>
      </c>
      <c r="BL2427">
        <v>320.19</v>
      </c>
      <c r="BM2427">
        <v>48.03</v>
      </c>
      <c r="BN2427">
        <v>368.22</v>
      </c>
      <c r="BO2427">
        <v>368.22</v>
      </c>
      <c r="BQ2427" t="s">
        <v>641</v>
      </c>
      <c r="BR2427" t="s">
        <v>84</v>
      </c>
      <c r="BS2427" s="3">
        <v>45856</v>
      </c>
      <c r="BT2427" s="4">
        <v>0.42916666666666664</v>
      </c>
      <c r="BU2427" t="s">
        <v>1544</v>
      </c>
      <c r="BV2427" t="s">
        <v>98</v>
      </c>
      <c r="BY2427">
        <v>44640</v>
      </c>
      <c r="CA2427" t="s">
        <v>310</v>
      </c>
      <c r="CC2427" t="s">
        <v>306</v>
      </c>
      <c r="CD2427">
        <v>5201</v>
      </c>
      <c r="CE2427" t="s">
        <v>145</v>
      </c>
      <c r="CF2427" s="3">
        <v>45856</v>
      </c>
      <c r="CI2427">
        <v>1</v>
      </c>
      <c r="CJ2427">
        <v>1</v>
      </c>
      <c r="CK2427">
        <v>21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"080066627873"</f>
        <v>080066627873</v>
      </c>
      <c r="F2428" s="3">
        <v>45855</v>
      </c>
      <c r="G2428">
        <v>202604</v>
      </c>
      <c r="H2428" t="s">
        <v>75</v>
      </c>
      <c r="I2428" t="s">
        <v>76</v>
      </c>
      <c r="J2428" t="s">
        <v>77</v>
      </c>
      <c r="K2428" t="s">
        <v>78</v>
      </c>
      <c r="L2428" t="s">
        <v>295</v>
      </c>
      <c r="M2428" t="s">
        <v>296</v>
      </c>
      <c r="N2428" t="s">
        <v>2810</v>
      </c>
      <c r="O2428" t="s">
        <v>82</v>
      </c>
      <c r="P2428" t="str">
        <f>"4170049324                    "</f>
        <v xml:space="preserve">4170049324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17.649999999999999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3.4</v>
      </c>
      <c r="BK2428">
        <v>4</v>
      </c>
      <c r="BL2428">
        <v>55.61</v>
      </c>
      <c r="BM2428">
        <v>8.34</v>
      </c>
      <c r="BN2428">
        <v>63.95</v>
      </c>
      <c r="BO2428">
        <v>63.95</v>
      </c>
      <c r="BQ2428" t="s">
        <v>2811</v>
      </c>
      <c r="BR2428" t="s">
        <v>84</v>
      </c>
      <c r="BS2428" s="3">
        <v>45856</v>
      </c>
      <c r="BT2428" s="4">
        <v>0.41458333333333336</v>
      </c>
      <c r="BU2428" t="s">
        <v>2812</v>
      </c>
      <c r="BV2428" t="s">
        <v>98</v>
      </c>
      <c r="BY2428">
        <v>16965</v>
      </c>
      <c r="CA2428" t="s">
        <v>529</v>
      </c>
      <c r="CC2428" t="s">
        <v>296</v>
      </c>
      <c r="CD2428">
        <v>1459</v>
      </c>
      <c r="CE2428" t="s">
        <v>145</v>
      </c>
      <c r="CF2428" s="3">
        <v>45857</v>
      </c>
      <c r="CI2428">
        <v>1</v>
      </c>
      <c r="CJ2428">
        <v>1</v>
      </c>
      <c r="CK2428">
        <v>22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"080066627883"</f>
        <v>080066627883</v>
      </c>
      <c r="F2429" s="3">
        <v>45855</v>
      </c>
      <c r="G2429">
        <v>202604</v>
      </c>
      <c r="H2429" t="s">
        <v>75</v>
      </c>
      <c r="I2429" t="s">
        <v>76</v>
      </c>
      <c r="J2429" t="s">
        <v>77</v>
      </c>
      <c r="K2429" t="s">
        <v>78</v>
      </c>
      <c r="L2429" t="s">
        <v>79</v>
      </c>
      <c r="M2429" t="s">
        <v>80</v>
      </c>
      <c r="N2429" t="s">
        <v>1561</v>
      </c>
      <c r="O2429" t="s">
        <v>82</v>
      </c>
      <c r="P2429" t="str">
        <f>"4170049321                    "</f>
        <v xml:space="preserve">4170049321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22.6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1.7</v>
      </c>
      <c r="BK2429">
        <v>2</v>
      </c>
      <c r="BL2429">
        <v>71.2</v>
      </c>
      <c r="BM2429">
        <v>10.68</v>
      </c>
      <c r="BN2429">
        <v>81.88</v>
      </c>
      <c r="BO2429">
        <v>81.88</v>
      </c>
      <c r="BQ2429" t="s">
        <v>1562</v>
      </c>
      <c r="BR2429" t="s">
        <v>84</v>
      </c>
      <c r="BS2429" s="3">
        <v>45856</v>
      </c>
      <c r="BT2429" s="4">
        <v>0.51249999999999996</v>
      </c>
      <c r="BU2429" t="s">
        <v>2554</v>
      </c>
      <c r="BV2429" t="s">
        <v>98</v>
      </c>
      <c r="BY2429">
        <v>8512</v>
      </c>
      <c r="CA2429" t="s">
        <v>2289</v>
      </c>
      <c r="CC2429" t="s">
        <v>80</v>
      </c>
      <c r="CD2429">
        <v>7975</v>
      </c>
      <c r="CE2429" t="s">
        <v>145</v>
      </c>
      <c r="CF2429" s="3">
        <v>45859</v>
      </c>
      <c r="CI2429">
        <v>1</v>
      </c>
      <c r="CJ2429">
        <v>1</v>
      </c>
      <c r="CK2429">
        <v>21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"080066627905"</f>
        <v>080066627905</v>
      </c>
      <c r="F2430" s="3">
        <v>45855</v>
      </c>
      <c r="G2430">
        <v>202604</v>
      </c>
      <c r="H2430" t="s">
        <v>75</v>
      </c>
      <c r="I2430" t="s">
        <v>76</v>
      </c>
      <c r="J2430" t="s">
        <v>77</v>
      </c>
      <c r="K2430" t="s">
        <v>78</v>
      </c>
      <c r="L2430" t="s">
        <v>146</v>
      </c>
      <c r="M2430" t="s">
        <v>146</v>
      </c>
      <c r="N2430" t="s">
        <v>1268</v>
      </c>
      <c r="O2430" t="s">
        <v>82</v>
      </c>
      <c r="P2430" t="str">
        <f>"4170049314                    "</f>
        <v xml:space="preserve">4170049314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43.78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2</v>
      </c>
      <c r="BJ2430">
        <v>0.6</v>
      </c>
      <c r="BK2430">
        <v>2</v>
      </c>
      <c r="BL2430">
        <v>137.94</v>
      </c>
      <c r="BM2430">
        <v>20.69</v>
      </c>
      <c r="BN2430">
        <v>158.63</v>
      </c>
      <c r="BO2430">
        <v>158.63</v>
      </c>
      <c r="BQ2430" t="s">
        <v>1269</v>
      </c>
      <c r="BR2430" t="s">
        <v>84</v>
      </c>
      <c r="BS2430" s="3">
        <v>45856</v>
      </c>
      <c r="BT2430" s="4">
        <v>0.375</v>
      </c>
      <c r="BU2430" t="s">
        <v>2813</v>
      </c>
      <c r="BV2430" t="s">
        <v>98</v>
      </c>
      <c r="BY2430">
        <v>3192</v>
      </c>
      <c r="CA2430" t="s">
        <v>150</v>
      </c>
      <c r="CC2430" t="s">
        <v>146</v>
      </c>
      <c r="CD2430">
        <v>7646</v>
      </c>
      <c r="CE2430" t="s">
        <v>145</v>
      </c>
      <c r="CF2430" s="3">
        <v>45859</v>
      </c>
      <c r="CI2430">
        <v>1</v>
      </c>
      <c r="CJ2430">
        <v>1</v>
      </c>
      <c r="CK2430">
        <v>23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"080066627921"</f>
        <v>080066627921</v>
      </c>
      <c r="F2431" s="3">
        <v>45855</v>
      </c>
      <c r="G2431">
        <v>202604</v>
      </c>
      <c r="H2431" t="s">
        <v>75</v>
      </c>
      <c r="I2431" t="s">
        <v>76</v>
      </c>
      <c r="J2431" t="s">
        <v>77</v>
      </c>
      <c r="K2431" t="s">
        <v>78</v>
      </c>
      <c r="L2431" t="s">
        <v>240</v>
      </c>
      <c r="M2431" t="s">
        <v>241</v>
      </c>
      <c r="N2431" t="s">
        <v>1341</v>
      </c>
      <c r="O2431" t="s">
        <v>82</v>
      </c>
      <c r="P2431" t="str">
        <f>"4170049298                    "</f>
        <v xml:space="preserve">4170049298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17.649999999999999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0.9</v>
      </c>
      <c r="BK2431">
        <v>3</v>
      </c>
      <c r="BL2431">
        <v>55.61</v>
      </c>
      <c r="BM2431">
        <v>8.34</v>
      </c>
      <c r="BN2431">
        <v>63.95</v>
      </c>
      <c r="BO2431">
        <v>63.95</v>
      </c>
      <c r="BQ2431" t="s">
        <v>1342</v>
      </c>
      <c r="BR2431" t="s">
        <v>84</v>
      </c>
      <c r="BS2431" s="3">
        <v>45856</v>
      </c>
      <c r="BT2431" s="4">
        <v>0.47847222222222224</v>
      </c>
      <c r="BU2431" t="s">
        <v>1343</v>
      </c>
      <c r="BV2431" t="s">
        <v>86</v>
      </c>
      <c r="BY2431">
        <v>4275</v>
      </c>
      <c r="CA2431" t="s">
        <v>1344</v>
      </c>
      <c r="CC2431" t="s">
        <v>241</v>
      </c>
      <c r="CD2431">
        <v>2169</v>
      </c>
      <c r="CE2431" t="s">
        <v>259</v>
      </c>
      <c r="CF2431" s="3">
        <v>45857</v>
      </c>
      <c r="CI2431">
        <v>1</v>
      </c>
      <c r="CJ2431">
        <v>1</v>
      </c>
      <c r="CK2431">
        <v>22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"080066627940"</f>
        <v>080066627940</v>
      </c>
      <c r="F2432" s="3">
        <v>45855</v>
      </c>
      <c r="G2432">
        <v>202604</v>
      </c>
      <c r="H2432" t="s">
        <v>75</v>
      </c>
      <c r="I2432" t="s">
        <v>76</v>
      </c>
      <c r="J2432" t="s">
        <v>77</v>
      </c>
      <c r="K2432" t="s">
        <v>78</v>
      </c>
      <c r="L2432" t="s">
        <v>530</v>
      </c>
      <c r="M2432" t="s">
        <v>531</v>
      </c>
      <c r="N2432" t="s">
        <v>532</v>
      </c>
      <c r="O2432" t="s">
        <v>82</v>
      </c>
      <c r="P2432" t="str">
        <f>"4170049268                    "</f>
        <v xml:space="preserve">4170049268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17.649999999999999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</v>
      </c>
      <c r="BJ2432">
        <v>0.9</v>
      </c>
      <c r="BK2432">
        <v>2</v>
      </c>
      <c r="BL2432">
        <v>55.61</v>
      </c>
      <c r="BM2432">
        <v>8.34</v>
      </c>
      <c r="BN2432">
        <v>63.95</v>
      </c>
      <c r="BO2432">
        <v>63.95</v>
      </c>
      <c r="BQ2432" t="s">
        <v>533</v>
      </c>
      <c r="BR2432" t="s">
        <v>84</v>
      </c>
      <c r="BS2432" s="3">
        <v>45856</v>
      </c>
      <c r="BT2432" s="4">
        <v>0.37916666666666665</v>
      </c>
      <c r="BU2432" t="s">
        <v>2814</v>
      </c>
      <c r="BV2432" t="s">
        <v>98</v>
      </c>
      <c r="BY2432">
        <v>4275</v>
      </c>
      <c r="CA2432" t="s">
        <v>2815</v>
      </c>
      <c r="CC2432" t="s">
        <v>531</v>
      </c>
      <c r="CD2432">
        <v>1540</v>
      </c>
      <c r="CE2432" t="s">
        <v>145</v>
      </c>
      <c r="CF2432" s="3">
        <v>45856</v>
      </c>
      <c r="CI2432">
        <v>1</v>
      </c>
      <c r="CJ2432">
        <v>1</v>
      </c>
      <c r="CK2432">
        <v>22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"080066628007"</f>
        <v>080066628007</v>
      </c>
      <c r="F2433" s="3">
        <v>45855</v>
      </c>
      <c r="G2433">
        <v>202604</v>
      </c>
      <c r="H2433" t="s">
        <v>75</v>
      </c>
      <c r="I2433" t="s">
        <v>76</v>
      </c>
      <c r="J2433" t="s">
        <v>77</v>
      </c>
      <c r="K2433" t="s">
        <v>78</v>
      </c>
      <c r="L2433" t="s">
        <v>168</v>
      </c>
      <c r="M2433" t="s">
        <v>169</v>
      </c>
      <c r="N2433" t="s">
        <v>202</v>
      </c>
      <c r="O2433" t="s">
        <v>82</v>
      </c>
      <c r="P2433" t="str">
        <f>"4170049290                    "</f>
        <v xml:space="preserve">4170049290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45.18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4</v>
      </c>
      <c r="BJ2433">
        <v>2</v>
      </c>
      <c r="BK2433">
        <v>4</v>
      </c>
      <c r="BL2433">
        <v>142.34</v>
      </c>
      <c r="BM2433">
        <v>21.35</v>
      </c>
      <c r="BN2433">
        <v>163.69</v>
      </c>
      <c r="BO2433">
        <v>163.69</v>
      </c>
      <c r="BQ2433" t="s">
        <v>203</v>
      </c>
      <c r="BR2433" t="s">
        <v>84</v>
      </c>
      <c r="BS2433" s="3">
        <v>45856</v>
      </c>
      <c r="BT2433" s="4">
        <v>0.37708333333333333</v>
      </c>
      <c r="BU2433" t="s">
        <v>204</v>
      </c>
      <c r="BV2433" t="s">
        <v>98</v>
      </c>
      <c r="BY2433">
        <v>10240</v>
      </c>
      <c r="CA2433" t="s">
        <v>205</v>
      </c>
      <c r="CC2433" t="s">
        <v>169</v>
      </c>
      <c r="CD2433">
        <v>6001</v>
      </c>
      <c r="CE2433" t="s">
        <v>91</v>
      </c>
      <c r="CF2433" s="3">
        <v>45856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"080066628034"</f>
        <v>080066628034</v>
      </c>
      <c r="F2434" s="3">
        <v>45855</v>
      </c>
      <c r="G2434">
        <v>202604</v>
      </c>
      <c r="H2434" t="s">
        <v>75</v>
      </c>
      <c r="I2434" t="s">
        <v>76</v>
      </c>
      <c r="J2434" t="s">
        <v>77</v>
      </c>
      <c r="K2434" t="s">
        <v>78</v>
      </c>
      <c r="L2434" t="s">
        <v>1762</v>
      </c>
      <c r="M2434" t="s">
        <v>1763</v>
      </c>
      <c r="N2434" t="s">
        <v>1764</v>
      </c>
      <c r="O2434" t="s">
        <v>82</v>
      </c>
      <c r="P2434" t="str">
        <f>"4170049256                    "</f>
        <v xml:space="preserve">4170049256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73.44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3</v>
      </c>
      <c r="BJ2434">
        <v>3.4</v>
      </c>
      <c r="BK2434">
        <v>3.5</v>
      </c>
      <c r="BL2434">
        <v>231.38</v>
      </c>
      <c r="BM2434">
        <v>34.71</v>
      </c>
      <c r="BN2434">
        <v>266.08999999999997</v>
      </c>
      <c r="BO2434">
        <v>266.08999999999997</v>
      </c>
      <c r="BQ2434" t="s">
        <v>1765</v>
      </c>
      <c r="BR2434" t="s">
        <v>84</v>
      </c>
      <c r="BS2434" s="3">
        <v>45856</v>
      </c>
      <c r="BT2434" s="4">
        <v>0.6333333333333333</v>
      </c>
      <c r="BU2434" t="s">
        <v>2816</v>
      </c>
      <c r="BV2434" t="s">
        <v>98</v>
      </c>
      <c r="BY2434">
        <v>16965</v>
      </c>
      <c r="CA2434" t="s">
        <v>2817</v>
      </c>
      <c r="CC2434" t="s">
        <v>1763</v>
      </c>
      <c r="CD2434">
        <v>1389</v>
      </c>
      <c r="CE2434" t="s">
        <v>145</v>
      </c>
      <c r="CF2434" s="3">
        <v>45856</v>
      </c>
      <c r="CI2434">
        <v>1</v>
      </c>
      <c r="CJ2434">
        <v>1</v>
      </c>
      <c r="CK2434">
        <v>23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"080066628052"</f>
        <v>080066628052</v>
      </c>
      <c r="F2435" s="3">
        <v>45855</v>
      </c>
      <c r="G2435">
        <v>202604</v>
      </c>
      <c r="H2435" t="s">
        <v>75</v>
      </c>
      <c r="I2435" t="s">
        <v>76</v>
      </c>
      <c r="J2435" t="s">
        <v>77</v>
      </c>
      <c r="K2435" t="s">
        <v>78</v>
      </c>
      <c r="L2435" t="s">
        <v>1128</v>
      </c>
      <c r="M2435" t="s">
        <v>1129</v>
      </c>
      <c r="N2435" t="s">
        <v>2083</v>
      </c>
      <c r="O2435" t="s">
        <v>82</v>
      </c>
      <c r="P2435" t="str">
        <f>"4170049301                    "</f>
        <v xml:space="preserve">4170049301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22.6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1.1000000000000001</v>
      </c>
      <c r="BK2435">
        <v>1.5</v>
      </c>
      <c r="BL2435">
        <v>71.2</v>
      </c>
      <c r="BM2435">
        <v>10.68</v>
      </c>
      <c r="BN2435">
        <v>81.88</v>
      </c>
      <c r="BO2435">
        <v>81.88</v>
      </c>
      <c r="BQ2435" t="s">
        <v>2084</v>
      </c>
      <c r="BR2435" t="s">
        <v>84</v>
      </c>
      <c r="BS2435" s="3">
        <v>45856</v>
      </c>
      <c r="BT2435" s="4">
        <v>0.33750000000000002</v>
      </c>
      <c r="BU2435" t="s">
        <v>2818</v>
      </c>
      <c r="BV2435" t="s">
        <v>98</v>
      </c>
      <c r="BY2435">
        <v>5320</v>
      </c>
      <c r="CA2435" t="s">
        <v>1133</v>
      </c>
      <c r="CC2435" t="s">
        <v>1129</v>
      </c>
      <c r="CD2435">
        <v>7600</v>
      </c>
      <c r="CE2435" t="s">
        <v>110</v>
      </c>
      <c r="CF2435" s="3">
        <v>45859</v>
      </c>
      <c r="CI2435">
        <v>1</v>
      </c>
      <c r="CJ2435">
        <v>1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"080066628072"</f>
        <v>080066628072</v>
      </c>
      <c r="F2436" s="3">
        <v>45855</v>
      </c>
      <c r="G2436">
        <v>202604</v>
      </c>
      <c r="H2436" t="s">
        <v>75</v>
      </c>
      <c r="I2436" t="s">
        <v>76</v>
      </c>
      <c r="J2436" t="s">
        <v>77</v>
      </c>
      <c r="K2436" t="s">
        <v>78</v>
      </c>
      <c r="L2436" t="s">
        <v>221</v>
      </c>
      <c r="M2436" t="s">
        <v>222</v>
      </c>
      <c r="N2436" t="s">
        <v>223</v>
      </c>
      <c r="O2436" t="s">
        <v>82</v>
      </c>
      <c r="P2436" t="str">
        <f>"4170049199                    "</f>
        <v xml:space="preserve">4170049199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63.56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3</v>
      </c>
      <c r="BJ2436">
        <v>2.1</v>
      </c>
      <c r="BK2436">
        <v>3</v>
      </c>
      <c r="BL2436">
        <v>200.24</v>
      </c>
      <c r="BM2436">
        <v>30.04</v>
      </c>
      <c r="BN2436">
        <v>230.28</v>
      </c>
      <c r="BO2436">
        <v>230.28</v>
      </c>
      <c r="BQ2436" t="s">
        <v>224</v>
      </c>
      <c r="BR2436" t="s">
        <v>84</v>
      </c>
      <c r="BS2436" s="3">
        <v>45856</v>
      </c>
      <c r="BT2436" s="4">
        <v>0.47916666666666669</v>
      </c>
      <c r="BU2436" t="s">
        <v>1707</v>
      </c>
      <c r="BV2436" t="s">
        <v>98</v>
      </c>
      <c r="BY2436">
        <v>10640</v>
      </c>
      <c r="CC2436" t="s">
        <v>222</v>
      </c>
      <c r="CD2436">
        <v>2740</v>
      </c>
      <c r="CE2436" t="s">
        <v>110</v>
      </c>
      <c r="CF2436" s="3">
        <v>45859</v>
      </c>
      <c r="CI2436">
        <v>1</v>
      </c>
      <c r="CJ2436">
        <v>1</v>
      </c>
      <c r="CK2436">
        <v>23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"080066628096"</f>
        <v>080066628096</v>
      </c>
      <c r="F2437" s="3">
        <v>45855</v>
      </c>
      <c r="G2437">
        <v>202604</v>
      </c>
      <c r="H2437" t="s">
        <v>75</v>
      </c>
      <c r="I2437" t="s">
        <v>76</v>
      </c>
      <c r="J2437" t="s">
        <v>77</v>
      </c>
      <c r="K2437" t="s">
        <v>78</v>
      </c>
      <c r="L2437" t="s">
        <v>2819</v>
      </c>
      <c r="M2437" t="s">
        <v>2820</v>
      </c>
      <c r="N2437" t="s">
        <v>2821</v>
      </c>
      <c r="O2437" t="s">
        <v>82</v>
      </c>
      <c r="P2437" t="str">
        <f>"4170049245                    "</f>
        <v xml:space="preserve">4170049245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43.78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1.1000000000000001</v>
      </c>
      <c r="BK2437">
        <v>2</v>
      </c>
      <c r="BL2437">
        <v>137.94</v>
      </c>
      <c r="BM2437">
        <v>20.69</v>
      </c>
      <c r="BN2437">
        <v>158.63</v>
      </c>
      <c r="BO2437">
        <v>158.63</v>
      </c>
      <c r="BQ2437" t="s">
        <v>2822</v>
      </c>
      <c r="BR2437" t="s">
        <v>84</v>
      </c>
      <c r="BS2437" s="3">
        <v>45859</v>
      </c>
      <c r="BT2437" s="4">
        <v>0.47361111111111109</v>
      </c>
      <c r="BU2437" t="s">
        <v>2823</v>
      </c>
      <c r="BV2437" t="s">
        <v>98</v>
      </c>
      <c r="BY2437">
        <v>5320</v>
      </c>
      <c r="CC2437" t="s">
        <v>2820</v>
      </c>
      <c r="CD2437">
        <v>6740</v>
      </c>
      <c r="CE2437" t="s">
        <v>110</v>
      </c>
      <c r="CF2437" s="3">
        <v>45863</v>
      </c>
      <c r="CI2437">
        <v>2</v>
      </c>
      <c r="CJ2437">
        <v>2</v>
      </c>
      <c r="CK2437">
        <v>23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"080066628115"</f>
        <v>080066628115</v>
      </c>
      <c r="F2438" s="3">
        <v>45855</v>
      </c>
      <c r="G2438">
        <v>202604</v>
      </c>
      <c r="H2438" t="s">
        <v>75</v>
      </c>
      <c r="I2438" t="s">
        <v>76</v>
      </c>
      <c r="J2438" t="s">
        <v>77</v>
      </c>
      <c r="K2438" t="s">
        <v>78</v>
      </c>
      <c r="L2438" t="s">
        <v>168</v>
      </c>
      <c r="M2438" t="s">
        <v>169</v>
      </c>
      <c r="N2438" t="s">
        <v>342</v>
      </c>
      <c r="O2438" t="s">
        <v>82</v>
      </c>
      <c r="P2438" t="str">
        <f>"4170049265                    "</f>
        <v xml:space="preserve">4170049265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22.6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0.9</v>
      </c>
      <c r="BK2438">
        <v>1</v>
      </c>
      <c r="BL2438">
        <v>71.2</v>
      </c>
      <c r="BM2438">
        <v>10.68</v>
      </c>
      <c r="BN2438">
        <v>81.88</v>
      </c>
      <c r="BO2438">
        <v>81.88</v>
      </c>
      <c r="BQ2438" t="s">
        <v>343</v>
      </c>
      <c r="BR2438" t="s">
        <v>84</v>
      </c>
      <c r="BS2438" s="3">
        <v>45856</v>
      </c>
      <c r="BT2438" s="4">
        <v>0.41458333333333336</v>
      </c>
      <c r="BU2438" t="s">
        <v>2824</v>
      </c>
      <c r="BV2438" t="s">
        <v>98</v>
      </c>
      <c r="BY2438">
        <v>4275</v>
      </c>
      <c r="CA2438" t="s">
        <v>345</v>
      </c>
      <c r="CC2438" t="s">
        <v>169</v>
      </c>
      <c r="CD2438">
        <v>6000</v>
      </c>
      <c r="CE2438" t="s">
        <v>110</v>
      </c>
      <c r="CF2438" s="3">
        <v>45856</v>
      </c>
      <c r="CI2438">
        <v>1</v>
      </c>
      <c r="CJ2438">
        <v>1</v>
      </c>
      <c r="CK2438">
        <v>21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"080066628173"</f>
        <v>080066628173</v>
      </c>
      <c r="F2439" s="3">
        <v>45855</v>
      </c>
      <c r="G2439">
        <v>202604</v>
      </c>
      <c r="H2439" t="s">
        <v>75</v>
      </c>
      <c r="I2439" t="s">
        <v>76</v>
      </c>
      <c r="J2439" t="s">
        <v>77</v>
      </c>
      <c r="K2439" t="s">
        <v>78</v>
      </c>
      <c r="L2439" t="s">
        <v>135</v>
      </c>
      <c r="M2439" t="s">
        <v>136</v>
      </c>
      <c r="N2439" t="s">
        <v>2825</v>
      </c>
      <c r="O2439" t="s">
        <v>82</v>
      </c>
      <c r="P2439" t="str">
        <f>"4170049255                    "</f>
        <v xml:space="preserve">4170049255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0.3</v>
      </c>
      <c r="BK2439">
        <v>1</v>
      </c>
      <c r="BL2439">
        <v>71.2</v>
      </c>
      <c r="BM2439">
        <v>10.68</v>
      </c>
      <c r="BN2439">
        <v>81.88</v>
      </c>
      <c r="BO2439">
        <v>81.88</v>
      </c>
      <c r="BQ2439" t="s">
        <v>2826</v>
      </c>
      <c r="BR2439" t="s">
        <v>84</v>
      </c>
      <c r="BS2439" s="3">
        <v>45856</v>
      </c>
      <c r="BT2439" s="4">
        <v>0.41666666666666669</v>
      </c>
      <c r="BU2439" t="s">
        <v>2827</v>
      </c>
      <c r="BV2439" t="s">
        <v>98</v>
      </c>
      <c r="BY2439">
        <v>1350</v>
      </c>
      <c r="CA2439" t="s">
        <v>349</v>
      </c>
      <c r="CC2439" t="s">
        <v>136</v>
      </c>
      <c r="CD2439">
        <v>3201</v>
      </c>
      <c r="CE2439" t="s">
        <v>158</v>
      </c>
      <c r="CF2439" s="3">
        <v>45856</v>
      </c>
      <c r="CI2439">
        <v>5</v>
      </c>
      <c r="CJ2439">
        <v>1</v>
      </c>
      <c r="CK2439">
        <v>21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"080066628221"</f>
        <v>080066628221</v>
      </c>
      <c r="F2440" s="3">
        <v>45855</v>
      </c>
      <c r="G2440">
        <v>202604</v>
      </c>
      <c r="H2440" t="s">
        <v>75</v>
      </c>
      <c r="I2440" t="s">
        <v>76</v>
      </c>
      <c r="J2440" t="s">
        <v>77</v>
      </c>
      <c r="K2440" t="s">
        <v>78</v>
      </c>
      <c r="L2440" t="s">
        <v>295</v>
      </c>
      <c r="M2440" t="s">
        <v>296</v>
      </c>
      <c r="N2440" t="s">
        <v>297</v>
      </c>
      <c r="O2440" t="s">
        <v>82</v>
      </c>
      <c r="P2440" t="str">
        <f>"4170049295                    "</f>
        <v xml:space="preserve">4170049295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17.649999999999999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0.3</v>
      </c>
      <c r="BK2440">
        <v>1</v>
      </c>
      <c r="BL2440">
        <v>55.61</v>
      </c>
      <c r="BM2440">
        <v>8.34</v>
      </c>
      <c r="BN2440">
        <v>63.95</v>
      </c>
      <c r="BO2440">
        <v>63.95</v>
      </c>
      <c r="BQ2440" t="s">
        <v>298</v>
      </c>
      <c r="BR2440" t="s">
        <v>84</v>
      </c>
      <c r="BS2440" s="3">
        <v>45856</v>
      </c>
      <c r="BT2440" s="4">
        <v>0.34305555555555556</v>
      </c>
      <c r="BU2440" t="s">
        <v>299</v>
      </c>
      <c r="BV2440" t="s">
        <v>98</v>
      </c>
      <c r="BY2440">
        <v>1350</v>
      </c>
      <c r="CA2440" t="s">
        <v>300</v>
      </c>
      <c r="CC2440" t="s">
        <v>296</v>
      </c>
      <c r="CD2440">
        <v>1459</v>
      </c>
      <c r="CE2440" t="s">
        <v>158</v>
      </c>
      <c r="CF2440" s="3">
        <v>45856</v>
      </c>
      <c r="CI2440">
        <v>1</v>
      </c>
      <c r="CJ2440">
        <v>1</v>
      </c>
      <c r="CK2440">
        <v>22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"080066628262"</f>
        <v>080066628262</v>
      </c>
      <c r="F2441" s="3">
        <v>45855</v>
      </c>
      <c r="G2441">
        <v>202604</v>
      </c>
      <c r="H2441" t="s">
        <v>75</v>
      </c>
      <c r="I2441" t="s">
        <v>76</v>
      </c>
      <c r="J2441" t="s">
        <v>77</v>
      </c>
      <c r="K2441" t="s">
        <v>78</v>
      </c>
      <c r="L2441" t="s">
        <v>146</v>
      </c>
      <c r="M2441" t="s">
        <v>146</v>
      </c>
      <c r="N2441" t="s">
        <v>986</v>
      </c>
      <c r="O2441" t="s">
        <v>82</v>
      </c>
      <c r="P2441" t="str">
        <f>"4170049285                    "</f>
        <v xml:space="preserve">4170049285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43.78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0.3</v>
      </c>
      <c r="BK2441">
        <v>1</v>
      </c>
      <c r="BL2441">
        <v>137.94</v>
      </c>
      <c r="BM2441">
        <v>20.69</v>
      </c>
      <c r="BN2441">
        <v>158.63</v>
      </c>
      <c r="BO2441">
        <v>158.63</v>
      </c>
      <c r="BQ2441" t="s">
        <v>987</v>
      </c>
      <c r="BR2441" t="s">
        <v>84</v>
      </c>
      <c r="BS2441" s="3">
        <v>45856</v>
      </c>
      <c r="BT2441" s="4">
        <v>0.5180555555555556</v>
      </c>
      <c r="BU2441" t="s">
        <v>1115</v>
      </c>
      <c r="BV2441" t="s">
        <v>98</v>
      </c>
      <c r="BY2441">
        <v>1350</v>
      </c>
      <c r="CA2441" t="s">
        <v>150</v>
      </c>
      <c r="CC2441" t="s">
        <v>146</v>
      </c>
      <c r="CD2441">
        <v>7646</v>
      </c>
      <c r="CE2441" t="s">
        <v>158</v>
      </c>
      <c r="CF2441" s="3">
        <v>45859</v>
      </c>
      <c r="CI2441">
        <v>1</v>
      </c>
      <c r="CJ2441">
        <v>1</v>
      </c>
      <c r="CK2441">
        <v>23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"080066628286"</f>
        <v>080066628286</v>
      </c>
      <c r="F2442" s="3">
        <v>45855</v>
      </c>
      <c r="G2442">
        <v>202604</v>
      </c>
      <c r="H2442" t="s">
        <v>75</v>
      </c>
      <c r="I2442" t="s">
        <v>76</v>
      </c>
      <c r="J2442" t="s">
        <v>77</v>
      </c>
      <c r="K2442" t="s">
        <v>78</v>
      </c>
      <c r="L2442" t="s">
        <v>102</v>
      </c>
      <c r="M2442" t="s">
        <v>103</v>
      </c>
      <c r="N2442" t="s">
        <v>104</v>
      </c>
      <c r="O2442" t="s">
        <v>82</v>
      </c>
      <c r="P2442" t="str">
        <f>"4170049277                    "</f>
        <v xml:space="preserve">4170049277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31.78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0.3</v>
      </c>
      <c r="BK2442">
        <v>1</v>
      </c>
      <c r="BL2442">
        <v>100.13</v>
      </c>
      <c r="BM2442">
        <v>15.02</v>
      </c>
      <c r="BN2442">
        <v>115.15</v>
      </c>
      <c r="BO2442">
        <v>115.15</v>
      </c>
      <c r="BQ2442" t="s">
        <v>833</v>
      </c>
      <c r="BR2442" t="s">
        <v>84</v>
      </c>
      <c r="BS2442" s="3">
        <v>45856</v>
      </c>
      <c r="BT2442" s="4">
        <v>0.3527777777777778</v>
      </c>
      <c r="BU2442" t="s">
        <v>564</v>
      </c>
      <c r="BV2442" t="s">
        <v>98</v>
      </c>
      <c r="BY2442">
        <v>1350</v>
      </c>
      <c r="CA2442" t="s">
        <v>109</v>
      </c>
      <c r="CC2442" t="s">
        <v>103</v>
      </c>
      <c r="CD2442">
        <v>1748</v>
      </c>
      <c r="CE2442" t="s">
        <v>158</v>
      </c>
      <c r="CF2442" s="3">
        <v>45856</v>
      </c>
      <c r="CI2442">
        <v>1</v>
      </c>
      <c r="CJ2442">
        <v>1</v>
      </c>
      <c r="CK2442">
        <v>24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"080066628306"</f>
        <v>080066628306</v>
      </c>
      <c r="F2443" s="3">
        <v>45855</v>
      </c>
      <c r="G2443">
        <v>202604</v>
      </c>
      <c r="H2443" t="s">
        <v>75</v>
      </c>
      <c r="I2443" t="s">
        <v>76</v>
      </c>
      <c r="J2443" t="s">
        <v>77</v>
      </c>
      <c r="K2443" t="s">
        <v>78</v>
      </c>
      <c r="L2443" t="s">
        <v>168</v>
      </c>
      <c r="M2443" t="s">
        <v>169</v>
      </c>
      <c r="N2443" t="s">
        <v>206</v>
      </c>
      <c r="O2443" t="s">
        <v>82</v>
      </c>
      <c r="P2443" t="str">
        <f>"4170049260                    "</f>
        <v xml:space="preserve">4170049260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22.6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0.3</v>
      </c>
      <c r="BK2443">
        <v>1</v>
      </c>
      <c r="BL2443">
        <v>71.2</v>
      </c>
      <c r="BM2443">
        <v>10.68</v>
      </c>
      <c r="BN2443">
        <v>81.88</v>
      </c>
      <c r="BO2443">
        <v>81.88</v>
      </c>
      <c r="BQ2443" t="s">
        <v>207</v>
      </c>
      <c r="BR2443" t="s">
        <v>84</v>
      </c>
      <c r="BS2443" s="3">
        <v>45856</v>
      </c>
      <c r="BT2443" s="4">
        <v>0.4</v>
      </c>
      <c r="BU2443" t="s">
        <v>290</v>
      </c>
      <c r="BV2443" t="s">
        <v>98</v>
      </c>
      <c r="BY2443">
        <v>1350</v>
      </c>
      <c r="CA2443" t="s">
        <v>196</v>
      </c>
      <c r="CC2443" t="s">
        <v>169</v>
      </c>
      <c r="CD2443">
        <v>6001</v>
      </c>
      <c r="CE2443" t="s">
        <v>158</v>
      </c>
      <c r="CF2443" s="3">
        <v>45856</v>
      </c>
      <c r="CI2443">
        <v>1</v>
      </c>
      <c r="CJ2443">
        <v>1</v>
      </c>
      <c r="CK2443">
        <v>21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"080066628323"</f>
        <v>080066628323</v>
      </c>
      <c r="F2444" s="3">
        <v>45855</v>
      </c>
      <c r="G2444">
        <v>202604</v>
      </c>
      <c r="H2444" t="s">
        <v>75</v>
      </c>
      <c r="I2444" t="s">
        <v>76</v>
      </c>
      <c r="J2444" t="s">
        <v>77</v>
      </c>
      <c r="K2444" t="s">
        <v>78</v>
      </c>
      <c r="L2444" t="s">
        <v>197</v>
      </c>
      <c r="M2444" t="s">
        <v>198</v>
      </c>
      <c r="N2444" t="s">
        <v>2828</v>
      </c>
      <c r="O2444" t="s">
        <v>82</v>
      </c>
      <c r="P2444" t="str">
        <f>"4170049262                    "</f>
        <v xml:space="preserve">4170049262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17.649999999999999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0.3</v>
      </c>
      <c r="BK2444">
        <v>1</v>
      </c>
      <c r="BL2444">
        <v>55.61</v>
      </c>
      <c r="BM2444">
        <v>8.34</v>
      </c>
      <c r="BN2444">
        <v>63.95</v>
      </c>
      <c r="BO2444">
        <v>63.95</v>
      </c>
      <c r="BQ2444" t="s">
        <v>2829</v>
      </c>
      <c r="BR2444" t="s">
        <v>84</v>
      </c>
      <c r="BS2444" s="3">
        <v>45856</v>
      </c>
      <c r="BT2444" s="4">
        <v>0.3923611111111111</v>
      </c>
      <c r="BU2444" t="s">
        <v>2830</v>
      </c>
      <c r="BV2444" t="s">
        <v>98</v>
      </c>
      <c r="BY2444">
        <v>1350</v>
      </c>
      <c r="CA2444" t="s">
        <v>451</v>
      </c>
      <c r="CC2444" t="s">
        <v>198</v>
      </c>
      <c r="CD2444">
        <v>1401</v>
      </c>
      <c r="CE2444" t="s">
        <v>158</v>
      </c>
      <c r="CF2444" s="3">
        <v>45856</v>
      </c>
      <c r="CI2444">
        <v>1</v>
      </c>
      <c r="CJ2444">
        <v>1</v>
      </c>
      <c r="CK2444">
        <v>22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"080066628496"</f>
        <v>080066628496</v>
      </c>
      <c r="F2445" s="3">
        <v>45855</v>
      </c>
      <c r="G2445">
        <v>202604</v>
      </c>
      <c r="H2445" t="s">
        <v>75</v>
      </c>
      <c r="I2445" t="s">
        <v>76</v>
      </c>
      <c r="J2445" t="s">
        <v>77</v>
      </c>
      <c r="K2445" t="s">
        <v>78</v>
      </c>
      <c r="L2445" t="s">
        <v>554</v>
      </c>
      <c r="M2445" t="s">
        <v>555</v>
      </c>
      <c r="N2445" t="s">
        <v>2831</v>
      </c>
      <c r="O2445" t="s">
        <v>82</v>
      </c>
      <c r="P2445" t="str">
        <f>"4170049333                    "</f>
        <v xml:space="preserve">4170049333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22.6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71.2</v>
      </c>
      <c r="BM2445">
        <v>10.68</v>
      </c>
      <c r="BN2445">
        <v>81.88</v>
      </c>
      <c r="BO2445">
        <v>81.88</v>
      </c>
      <c r="BQ2445" t="s">
        <v>2832</v>
      </c>
      <c r="BR2445" t="s">
        <v>84</v>
      </c>
      <c r="BS2445" s="3">
        <v>45856</v>
      </c>
      <c r="BT2445" s="4">
        <v>0.36388888888888887</v>
      </c>
      <c r="BU2445" t="s">
        <v>2833</v>
      </c>
      <c r="BV2445" t="s">
        <v>98</v>
      </c>
      <c r="BY2445">
        <v>1200</v>
      </c>
      <c r="CA2445" t="s">
        <v>2834</v>
      </c>
      <c r="CC2445" t="s">
        <v>555</v>
      </c>
      <c r="CD2445" s="5" t="s">
        <v>560</v>
      </c>
      <c r="CE2445" t="s">
        <v>121</v>
      </c>
      <c r="CF2445" s="3">
        <v>45856</v>
      </c>
      <c r="CI2445">
        <v>1</v>
      </c>
      <c r="CJ2445">
        <v>1</v>
      </c>
      <c r="CK2445">
        <v>21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"080066628516"</f>
        <v>080066628516</v>
      </c>
      <c r="F2446" s="3">
        <v>45855</v>
      </c>
      <c r="G2446">
        <v>202604</v>
      </c>
      <c r="H2446" t="s">
        <v>75</v>
      </c>
      <c r="I2446" t="s">
        <v>76</v>
      </c>
      <c r="J2446" t="s">
        <v>77</v>
      </c>
      <c r="K2446" t="s">
        <v>78</v>
      </c>
      <c r="L2446" t="s">
        <v>151</v>
      </c>
      <c r="M2446" t="s">
        <v>152</v>
      </c>
      <c r="N2446" t="s">
        <v>1568</v>
      </c>
      <c r="O2446" t="s">
        <v>82</v>
      </c>
      <c r="P2446" t="str">
        <f>"4170049332                    "</f>
        <v xml:space="preserve">4170049332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22.6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71.2</v>
      </c>
      <c r="BM2446">
        <v>10.68</v>
      </c>
      <c r="BN2446">
        <v>81.88</v>
      </c>
      <c r="BO2446">
        <v>81.88</v>
      </c>
      <c r="BQ2446" t="s">
        <v>1569</v>
      </c>
      <c r="BR2446" t="s">
        <v>84</v>
      </c>
      <c r="BS2446" s="3">
        <v>45856</v>
      </c>
      <c r="BT2446" s="4">
        <v>0.33888888888888891</v>
      </c>
      <c r="BU2446" t="s">
        <v>1570</v>
      </c>
      <c r="BV2446" t="s">
        <v>98</v>
      </c>
      <c r="BY2446">
        <v>1200</v>
      </c>
      <c r="CA2446" t="s">
        <v>906</v>
      </c>
      <c r="CC2446" t="s">
        <v>152</v>
      </c>
      <c r="CD2446" s="5" t="s">
        <v>907</v>
      </c>
      <c r="CE2446" t="s">
        <v>121</v>
      </c>
      <c r="CF2446" s="3">
        <v>45856</v>
      </c>
      <c r="CI2446">
        <v>1</v>
      </c>
      <c r="CJ2446">
        <v>1</v>
      </c>
      <c r="CK2446">
        <v>21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"080066628531"</f>
        <v>080066628531</v>
      </c>
      <c r="F2447" s="3">
        <v>45855</v>
      </c>
      <c r="G2447">
        <v>202604</v>
      </c>
      <c r="H2447" t="s">
        <v>75</v>
      </c>
      <c r="I2447" t="s">
        <v>76</v>
      </c>
      <c r="J2447" t="s">
        <v>77</v>
      </c>
      <c r="K2447" t="s">
        <v>78</v>
      </c>
      <c r="L2447" t="s">
        <v>758</v>
      </c>
      <c r="M2447" t="s">
        <v>759</v>
      </c>
      <c r="N2447" t="s">
        <v>760</v>
      </c>
      <c r="O2447" t="s">
        <v>82</v>
      </c>
      <c r="P2447" t="str">
        <f>"4170049267                    "</f>
        <v xml:space="preserve">4170049267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93.21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3</v>
      </c>
      <c r="BJ2447">
        <v>4.5</v>
      </c>
      <c r="BK2447">
        <v>4.5</v>
      </c>
      <c r="BL2447">
        <v>293.67</v>
      </c>
      <c r="BM2447">
        <v>44.05</v>
      </c>
      <c r="BN2447">
        <v>337.72</v>
      </c>
      <c r="BO2447">
        <v>337.72</v>
      </c>
      <c r="BQ2447" t="s">
        <v>761</v>
      </c>
      <c r="BR2447" t="s">
        <v>84</v>
      </c>
      <c r="BS2447" s="3">
        <v>45856</v>
      </c>
      <c r="BT2447" s="4">
        <v>0.41666666666666669</v>
      </c>
      <c r="BU2447" t="s">
        <v>2835</v>
      </c>
      <c r="BV2447" t="s">
        <v>98</v>
      </c>
      <c r="BY2447">
        <v>22620</v>
      </c>
      <c r="CA2447" t="s">
        <v>763</v>
      </c>
      <c r="CC2447" t="s">
        <v>759</v>
      </c>
      <c r="CD2447">
        <v>2531</v>
      </c>
      <c r="CE2447" t="s">
        <v>145</v>
      </c>
      <c r="CF2447" s="3">
        <v>45857</v>
      </c>
      <c r="CI2447">
        <v>1</v>
      </c>
      <c r="CJ2447">
        <v>1</v>
      </c>
      <c r="CK2447">
        <v>23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"080066628564"</f>
        <v>080066628564</v>
      </c>
      <c r="F2448" s="3">
        <v>45855</v>
      </c>
      <c r="G2448">
        <v>202604</v>
      </c>
      <c r="H2448" t="s">
        <v>75</v>
      </c>
      <c r="I2448" t="s">
        <v>76</v>
      </c>
      <c r="J2448" t="s">
        <v>77</v>
      </c>
      <c r="K2448" t="s">
        <v>78</v>
      </c>
      <c r="L2448" t="s">
        <v>1000</v>
      </c>
      <c r="M2448" t="s">
        <v>1001</v>
      </c>
      <c r="N2448" t="s">
        <v>1002</v>
      </c>
      <c r="O2448" t="s">
        <v>82</v>
      </c>
      <c r="P2448" t="str">
        <f>"4170049338                    "</f>
        <v xml:space="preserve">4170049338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31.78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1.9</v>
      </c>
      <c r="BK2448">
        <v>2</v>
      </c>
      <c r="BL2448">
        <v>100.13</v>
      </c>
      <c r="BM2448">
        <v>15.02</v>
      </c>
      <c r="BN2448">
        <v>115.15</v>
      </c>
      <c r="BO2448">
        <v>115.15</v>
      </c>
      <c r="BQ2448" t="s">
        <v>1003</v>
      </c>
      <c r="BR2448" t="s">
        <v>84</v>
      </c>
      <c r="BS2448" s="3">
        <v>45856</v>
      </c>
      <c r="BT2448" s="4">
        <v>0.35625000000000001</v>
      </c>
      <c r="BU2448" t="s">
        <v>1004</v>
      </c>
      <c r="BV2448" t="s">
        <v>98</v>
      </c>
      <c r="BY2448">
        <v>9600</v>
      </c>
      <c r="CA2448" t="s">
        <v>1005</v>
      </c>
      <c r="CC2448" t="s">
        <v>1001</v>
      </c>
      <c r="CD2448">
        <v>2410</v>
      </c>
      <c r="CE2448" t="s">
        <v>145</v>
      </c>
      <c r="CF2448" s="3">
        <v>45856</v>
      </c>
      <c r="CI2448">
        <v>1</v>
      </c>
      <c r="CJ2448">
        <v>1</v>
      </c>
      <c r="CK2448">
        <v>24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"080066628619"</f>
        <v>080066628619</v>
      </c>
      <c r="F2449" s="3">
        <v>45855</v>
      </c>
      <c r="G2449">
        <v>202604</v>
      </c>
      <c r="H2449" t="s">
        <v>75</v>
      </c>
      <c r="I2449" t="s">
        <v>76</v>
      </c>
      <c r="J2449" t="s">
        <v>77</v>
      </c>
      <c r="K2449" t="s">
        <v>78</v>
      </c>
      <c r="L2449" t="s">
        <v>305</v>
      </c>
      <c r="M2449" t="s">
        <v>306</v>
      </c>
      <c r="N2449" t="s">
        <v>1154</v>
      </c>
      <c r="O2449" t="s">
        <v>82</v>
      </c>
      <c r="P2449" t="str">
        <f>"4170049187                    "</f>
        <v xml:space="preserve">4170049187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33.89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1.7</v>
      </c>
      <c r="BK2449">
        <v>3</v>
      </c>
      <c r="BL2449">
        <v>106.77</v>
      </c>
      <c r="BM2449">
        <v>16.02</v>
      </c>
      <c r="BN2449">
        <v>122.79</v>
      </c>
      <c r="BO2449">
        <v>122.79</v>
      </c>
      <c r="BQ2449" t="s">
        <v>1155</v>
      </c>
      <c r="BR2449" t="s">
        <v>84</v>
      </c>
      <c r="BS2449" s="3">
        <v>45856</v>
      </c>
      <c r="BT2449" s="4">
        <v>0.61875000000000002</v>
      </c>
      <c r="BU2449" t="s">
        <v>1156</v>
      </c>
      <c r="BV2449" t="s">
        <v>86</v>
      </c>
      <c r="BY2449">
        <v>8512</v>
      </c>
      <c r="CA2449" t="s">
        <v>1157</v>
      </c>
      <c r="CC2449" t="s">
        <v>306</v>
      </c>
      <c r="CD2449">
        <v>5201</v>
      </c>
      <c r="CE2449" t="s">
        <v>145</v>
      </c>
      <c r="CF2449" s="3">
        <v>45856</v>
      </c>
      <c r="CI2449">
        <v>1</v>
      </c>
      <c r="CJ2449">
        <v>1</v>
      </c>
      <c r="CK2449">
        <v>21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"080066628694"</f>
        <v>080066628694</v>
      </c>
      <c r="F2450" s="3">
        <v>45855</v>
      </c>
      <c r="G2450">
        <v>202604</v>
      </c>
      <c r="H2450" t="s">
        <v>75</v>
      </c>
      <c r="I2450" t="s">
        <v>76</v>
      </c>
      <c r="J2450" t="s">
        <v>77</v>
      </c>
      <c r="K2450" t="s">
        <v>78</v>
      </c>
      <c r="L2450" t="s">
        <v>79</v>
      </c>
      <c r="M2450" t="s">
        <v>80</v>
      </c>
      <c r="N2450" t="s">
        <v>931</v>
      </c>
      <c r="O2450" t="s">
        <v>82</v>
      </c>
      <c r="P2450" t="str">
        <f>"4170049293                    "</f>
        <v xml:space="preserve">4170049293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22.6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1.7</v>
      </c>
      <c r="BK2450">
        <v>2</v>
      </c>
      <c r="BL2450">
        <v>71.2</v>
      </c>
      <c r="BM2450">
        <v>10.68</v>
      </c>
      <c r="BN2450">
        <v>81.88</v>
      </c>
      <c r="BO2450">
        <v>81.88</v>
      </c>
      <c r="BQ2450" t="s">
        <v>932</v>
      </c>
      <c r="BR2450" t="s">
        <v>84</v>
      </c>
      <c r="BS2450" s="3">
        <v>45856</v>
      </c>
      <c r="BT2450" s="4">
        <v>0.37777777777777777</v>
      </c>
      <c r="BU2450" t="s">
        <v>2500</v>
      </c>
      <c r="BV2450" t="s">
        <v>98</v>
      </c>
      <c r="BY2450">
        <v>8512</v>
      </c>
      <c r="CA2450" t="s">
        <v>934</v>
      </c>
      <c r="CC2450" t="s">
        <v>80</v>
      </c>
      <c r="CD2450">
        <v>7535</v>
      </c>
      <c r="CE2450" t="s">
        <v>145</v>
      </c>
      <c r="CF2450" s="3">
        <v>45859</v>
      </c>
      <c r="CI2450">
        <v>1</v>
      </c>
      <c r="CJ2450">
        <v>1</v>
      </c>
      <c r="CK2450">
        <v>21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"080066630195"</f>
        <v>080066630195</v>
      </c>
      <c r="F2451" s="3">
        <v>45855</v>
      </c>
      <c r="G2451">
        <v>202604</v>
      </c>
      <c r="H2451" t="s">
        <v>75</v>
      </c>
      <c r="I2451" t="s">
        <v>76</v>
      </c>
      <c r="J2451" t="s">
        <v>77</v>
      </c>
      <c r="K2451" t="s">
        <v>78</v>
      </c>
      <c r="L2451" t="s">
        <v>168</v>
      </c>
      <c r="M2451" t="s">
        <v>169</v>
      </c>
      <c r="N2451" t="s">
        <v>206</v>
      </c>
      <c r="O2451" t="s">
        <v>82</v>
      </c>
      <c r="P2451" t="str">
        <f>"4170049250                    "</f>
        <v xml:space="preserve">4170049250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22.6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</v>
      </c>
      <c r="BJ2451">
        <v>1.7</v>
      </c>
      <c r="BK2451">
        <v>2</v>
      </c>
      <c r="BL2451">
        <v>71.2</v>
      </c>
      <c r="BM2451">
        <v>10.68</v>
      </c>
      <c r="BN2451">
        <v>81.88</v>
      </c>
      <c r="BO2451">
        <v>81.88</v>
      </c>
      <c r="BQ2451" t="s">
        <v>207</v>
      </c>
      <c r="BR2451" t="s">
        <v>84</v>
      </c>
      <c r="BS2451" s="3">
        <v>45856</v>
      </c>
      <c r="BT2451" s="4">
        <v>0.4</v>
      </c>
      <c r="BU2451" t="s">
        <v>290</v>
      </c>
      <c r="BV2451" t="s">
        <v>98</v>
      </c>
      <c r="BY2451">
        <v>8512</v>
      </c>
      <c r="CA2451" t="s">
        <v>196</v>
      </c>
      <c r="CC2451" t="s">
        <v>169</v>
      </c>
      <c r="CD2451">
        <v>6001</v>
      </c>
      <c r="CE2451" t="s">
        <v>145</v>
      </c>
      <c r="CF2451" s="3">
        <v>45856</v>
      </c>
      <c r="CI2451">
        <v>1</v>
      </c>
      <c r="CJ2451">
        <v>1</v>
      </c>
      <c r="CK2451">
        <v>21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"080066630230"</f>
        <v>080066630230</v>
      </c>
      <c r="F2452" s="3">
        <v>45855</v>
      </c>
      <c r="G2452">
        <v>202604</v>
      </c>
      <c r="H2452" t="s">
        <v>75</v>
      </c>
      <c r="I2452" t="s">
        <v>76</v>
      </c>
      <c r="J2452" t="s">
        <v>77</v>
      </c>
      <c r="K2452" t="s">
        <v>78</v>
      </c>
      <c r="L2452" t="s">
        <v>92</v>
      </c>
      <c r="M2452" t="s">
        <v>93</v>
      </c>
      <c r="N2452" t="s">
        <v>291</v>
      </c>
      <c r="O2452" t="s">
        <v>82</v>
      </c>
      <c r="P2452" t="str">
        <f>"4170049331                    "</f>
        <v xml:space="preserve">4170049331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22.6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1.1000000000000001</v>
      </c>
      <c r="BK2452">
        <v>1.5</v>
      </c>
      <c r="BL2452">
        <v>71.2</v>
      </c>
      <c r="BM2452">
        <v>10.68</v>
      </c>
      <c r="BN2452">
        <v>81.88</v>
      </c>
      <c r="BO2452">
        <v>81.88</v>
      </c>
      <c r="BQ2452" t="s">
        <v>292</v>
      </c>
      <c r="BR2452" t="s">
        <v>84</v>
      </c>
      <c r="BS2452" s="3">
        <v>45856</v>
      </c>
      <c r="BT2452" s="4">
        <v>0.33333333333333331</v>
      </c>
      <c r="BU2452" t="s">
        <v>971</v>
      </c>
      <c r="BV2452" t="s">
        <v>98</v>
      </c>
      <c r="BY2452">
        <v>5320</v>
      </c>
      <c r="BZ2452" t="s">
        <v>89</v>
      </c>
      <c r="CA2452" t="s">
        <v>294</v>
      </c>
      <c r="CC2452" t="s">
        <v>93</v>
      </c>
      <c r="CD2452">
        <v>4051</v>
      </c>
      <c r="CE2452" t="s">
        <v>117</v>
      </c>
      <c r="CF2452" s="3">
        <v>45856</v>
      </c>
      <c r="CI2452">
        <v>1</v>
      </c>
      <c r="CJ2452">
        <v>1</v>
      </c>
      <c r="CK2452">
        <v>21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"080066630249"</f>
        <v>080066630249</v>
      </c>
      <c r="F2453" s="3">
        <v>45855</v>
      </c>
      <c r="G2453">
        <v>202604</v>
      </c>
      <c r="H2453" t="s">
        <v>75</v>
      </c>
      <c r="I2453" t="s">
        <v>76</v>
      </c>
      <c r="J2453" t="s">
        <v>77</v>
      </c>
      <c r="K2453" t="s">
        <v>78</v>
      </c>
      <c r="L2453" t="s">
        <v>168</v>
      </c>
      <c r="M2453" t="s">
        <v>169</v>
      </c>
      <c r="N2453" t="s">
        <v>206</v>
      </c>
      <c r="O2453" t="s">
        <v>82</v>
      </c>
      <c r="P2453" t="str">
        <f>"4170049282                    "</f>
        <v xml:space="preserve">4170049282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22.6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1.1000000000000001</v>
      </c>
      <c r="BK2453">
        <v>1.5</v>
      </c>
      <c r="BL2453">
        <v>71.2</v>
      </c>
      <c r="BM2453">
        <v>10.68</v>
      </c>
      <c r="BN2453">
        <v>81.88</v>
      </c>
      <c r="BO2453">
        <v>81.88</v>
      </c>
      <c r="BQ2453" t="s">
        <v>207</v>
      </c>
      <c r="BR2453" t="s">
        <v>84</v>
      </c>
      <c r="BS2453" s="3">
        <v>45856</v>
      </c>
      <c r="BT2453" s="4">
        <v>0.4</v>
      </c>
      <c r="BU2453" t="s">
        <v>290</v>
      </c>
      <c r="BV2453" t="s">
        <v>98</v>
      </c>
      <c r="BY2453">
        <v>5320</v>
      </c>
      <c r="BZ2453" t="s">
        <v>89</v>
      </c>
      <c r="CA2453" t="s">
        <v>196</v>
      </c>
      <c r="CC2453" t="s">
        <v>169</v>
      </c>
      <c r="CD2453">
        <v>6001</v>
      </c>
      <c r="CE2453" t="s">
        <v>117</v>
      </c>
      <c r="CF2453" s="3">
        <v>45856</v>
      </c>
      <c r="CI2453">
        <v>1</v>
      </c>
      <c r="CJ2453">
        <v>1</v>
      </c>
      <c r="CK2453">
        <v>21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"080066630335"</f>
        <v>080066630335</v>
      </c>
      <c r="F2454" s="3">
        <v>45855</v>
      </c>
      <c r="G2454">
        <v>202604</v>
      </c>
      <c r="H2454" t="s">
        <v>75</v>
      </c>
      <c r="I2454" t="s">
        <v>76</v>
      </c>
      <c r="J2454" t="s">
        <v>77</v>
      </c>
      <c r="K2454" t="s">
        <v>78</v>
      </c>
      <c r="L2454" t="s">
        <v>151</v>
      </c>
      <c r="M2454" t="s">
        <v>152</v>
      </c>
      <c r="N2454" t="s">
        <v>500</v>
      </c>
      <c r="O2454" t="s">
        <v>82</v>
      </c>
      <c r="P2454" t="str">
        <f>"4170049335                    "</f>
        <v xml:space="preserve">4170049335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22.6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1.1000000000000001</v>
      </c>
      <c r="BK2454">
        <v>1.5</v>
      </c>
      <c r="BL2454">
        <v>71.2</v>
      </c>
      <c r="BM2454">
        <v>10.68</v>
      </c>
      <c r="BN2454">
        <v>81.88</v>
      </c>
      <c r="BO2454">
        <v>81.88</v>
      </c>
      <c r="BQ2454" t="s">
        <v>501</v>
      </c>
      <c r="BR2454" t="s">
        <v>84</v>
      </c>
      <c r="BS2454" s="3">
        <v>45856</v>
      </c>
      <c r="BT2454" s="4">
        <v>0.41249999999999998</v>
      </c>
      <c r="BU2454" t="s">
        <v>561</v>
      </c>
      <c r="BV2454" t="s">
        <v>98</v>
      </c>
      <c r="BY2454">
        <v>5320</v>
      </c>
      <c r="CA2454" t="s">
        <v>388</v>
      </c>
      <c r="CC2454" t="s">
        <v>152</v>
      </c>
      <c r="CD2454" s="5" t="s">
        <v>157</v>
      </c>
      <c r="CE2454" t="s">
        <v>145</v>
      </c>
      <c r="CF2454" s="3">
        <v>45856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"080066630385"</f>
        <v>080066630385</v>
      </c>
      <c r="F2455" s="3">
        <v>45855</v>
      </c>
      <c r="G2455">
        <v>202604</v>
      </c>
      <c r="H2455" t="s">
        <v>75</v>
      </c>
      <c r="I2455" t="s">
        <v>76</v>
      </c>
      <c r="J2455" t="s">
        <v>77</v>
      </c>
      <c r="K2455" t="s">
        <v>78</v>
      </c>
      <c r="L2455" t="s">
        <v>79</v>
      </c>
      <c r="M2455" t="s">
        <v>80</v>
      </c>
      <c r="N2455" t="s">
        <v>1101</v>
      </c>
      <c r="O2455" t="s">
        <v>82</v>
      </c>
      <c r="P2455" t="str">
        <f>"4170049328                    "</f>
        <v xml:space="preserve">4170049328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22.6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1.1000000000000001</v>
      </c>
      <c r="BK2455">
        <v>1.5</v>
      </c>
      <c r="BL2455">
        <v>71.2</v>
      </c>
      <c r="BM2455">
        <v>10.68</v>
      </c>
      <c r="BN2455">
        <v>81.88</v>
      </c>
      <c r="BO2455">
        <v>81.88</v>
      </c>
      <c r="BQ2455" t="s">
        <v>1102</v>
      </c>
      <c r="BR2455" t="s">
        <v>84</v>
      </c>
      <c r="BS2455" s="3">
        <v>45856</v>
      </c>
      <c r="BT2455" s="4">
        <v>0.33680555555555558</v>
      </c>
      <c r="BU2455" t="s">
        <v>2071</v>
      </c>
      <c r="BV2455" t="s">
        <v>98</v>
      </c>
      <c r="BY2455">
        <v>5320</v>
      </c>
      <c r="CA2455" t="s">
        <v>289</v>
      </c>
      <c r="CC2455" t="s">
        <v>80</v>
      </c>
      <c r="CD2455">
        <v>7530</v>
      </c>
      <c r="CE2455" t="s">
        <v>145</v>
      </c>
      <c r="CF2455" s="3">
        <v>45859</v>
      </c>
      <c r="CI2455">
        <v>1</v>
      </c>
      <c r="CJ2455">
        <v>1</v>
      </c>
      <c r="CK2455">
        <v>21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"080066630403"</f>
        <v>080066630403</v>
      </c>
      <c r="F2456" s="3">
        <v>45855</v>
      </c>
      <c r="G2456">
        <v>202604</v>
      </c>
      <c r="H2456" t="s">
        <v>75</v>
      </c>
      <c r="I2456" t="s">
        <v>76</v>
      </c>
      <c r="J2456" t="s">
        <v>77</v>
      </c>
      <c r="K2456" t="s">
        <v>78</v>
      </c>
      <c r="L2456" t="s">
        <v>79</v>
      </c>
      <c r="M2456" t="s">
        <v>80</v>
      </c>
      <c r="N2456" t="s">
        <v>1101</v>
      </c>
      <c r="O2456" t="s">
        <v>82</v>
      </c>
      <c r="P2456" t="str">
        <f>"4170049330                    "</f>
        <v xml:space="preserve">4170049330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22.6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0.3</v>
      </c>
      <c r="BK2456">
        <v>1</v>
      </c>
      <c r="BL2456">
        <v>71.2</v>
      </c>
      <c r="BM2456">
        <v>10.68</v>
      </c>
      <c r="BN2456">
        <v>81.88</v>
      </c>
      <c r="BO2456">
        <v>81.88</v>
      </c>
      <c r="BQ2456" t="s">
        <v>1102</v>
      </c>
      <c r="BR2456" t="s">
        <v>84</v>
      </c>
      <c r="BS2456" s="3">
        <v>45856</v>
      </c>
      <c r="BT2456" s="4">
        <v>0.33680555555555558</v>
      </c>
      <c r="BU2456" t="s">
        <v>2071</v>
      </c>
      <c r="BV2456" t="s">
        <v>98</v>
      </c>
      <c r="BY2456">
        <v>1350</v>
      </c>
      <c r="CA2456" t="s">
        <v>289</v>
      </c>
      <c r="CC2456" t="s">
        <v>80</v>
      </c>
      <c r="CD2456">
        <v>7530</v>
      </c>
      <c r="CE2456" t="s">
        <v>158</v>
      </c>
      <c r="CF2456" s="3">
        <v>45859</v>
      </c>
      <c r="CI2456">
        <v>1</v>
      </c>
      <c r="CJ2456">
        <v>1</v>
      </c>
      <c r="CK2456">
        <v>21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"080066630433"</f>
        <v>080066630433</v>
      </c>
      <c r="F2457" s="3">
        <v>45855</v>
      </c>
      <c r="G2457">
        <v>202604</v>
      </c>
      <c r="H2457" t="s">
        <v>75</v>
      </c>
      <c r="I2457" t="s">
        <v>76</v>
      </c>
      <c r="J2457" t="s">
        <v>77</v>
      </c>
      <c r="K2457" t="s">
        <v>78</v>
      </c>
      <c r="L2457" t="s">
        <v>135</v>
      </c>
      <c r="M2457" t="s">
        <v>136</v>
      </c>
      <c r="N2457" t="s">
        <v>416</v>
      </c>
      <c r="O2457" t="s">
        <v>82</v>
      </c>
      <c r="P2457" t="str">
        <f>"4170049287                    "</f>
        <v xml:space="preserve">4170049287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45.18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4</v>
      </c>
      <c r="BJ2457">
        <v>1.6</v>
      </c>
      <c r="BK2457">
        <v>4</v>
      </c>
      <c r="BL2457">
        <v>142.34</v>
      </c>
      <c r="BM2457">
        <v>21.35</v>
      </c>
      <c r="BN2457">
        <v>163.69</v>
      </c>
      <c r="BO2457">
        <v>163.69</v>
      </c>
      <c r="BQ2457" t="s">
        <v>417</v>
      </c>
      <c r="BR2457" t="s">
        <v>84</v>
      </c>
      <c r="BS2457" s="3">
        <v>45856</v>
      </c>
      <c r="BT2457" s="4">
        <v>0.41666666666666669</v>
      </c>
      <c r="BU2457" t="s">
        <v>650</v>
      </c>
      <c r="BV2457" t="s">
        <v>98</v>
      </c>
      <c r="BY2457">
        <v>7840</v>
      </c>
      <c r="CC2457" t="s">
        <v>136</v>
      </c>
      <c r="CD2457">
        <v>3201</v>
      </c>
      <c r="CE2457" t="s">
        <v>91</v>
      </c>
      <c r="CF2457" s="3">
        <v>45856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"080066630441"</f>
        <v>080066630441</v>
      </c>
      <c r="F2458" s="3">
        <v>45855</v>
      </c>
      <c r="G2458">
        <v>202604</v>
      </c>
      <c r="H2458" t="s">
        <v>75</v>
      </c>
      <c r="I2458" t="s">
        <v>76</v>
      </c>
      <c r="J2458" t="s">
        <v>77</v>
      </c>
      <c r="K2458" t="s">
        <v>78</v>
      </c>
      <c r="L2458" t="s">
        <v>758</v>
      </c>
      <c r="M2458" t="s">
        <v>759</v>
      </c>
      <c r="N2458" t="s">
        <v>760</v>
      </c>
      <c r="O2458" t="s">
        <v>82</v>
      </c>
      <c r="P2458" t="str">
        <f>"4170049329                    "</f>
        <v xml:space="preserve">4170049329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43.78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0.3</v>
      </c>
      <c r="BK2458">
        <v>1</v>
      </c>
      <c r="BL2458">
        <v>137.94</v>
      </c>
      <c r="BM2458">
        <v>20.69</v>
      </c>
      <c r="BN2458">
        <v>158.63</v>
      </c>
      <c r="BO2458">
        <v>158.63</v>
      </c>
      <c r="BQ2458" t="s">
        <v>761</v>
      </c>
      <c r="BR2458" t="s">
        <v>84</v>
      </c>
      <c r="BS2458" s="3">
        <v>45856</v>
      </c>
      <c r="BT2458" s="4">
        <v>0.41666666666666669</v>
      </c>
      <c r="BU2458" t="s">
        <v>2578</v>
      </c>
      <c r="BV2458" t="s">
        <v>98</v>
      </c>
      <c r="BY2458">
        <v>1350</v>
      </c>
      <c r="CA2458" t="s">
        <v>763</v>
      </c>
      <c r="CC2458" t="s">
        <v>759</v>
      </c>
      <c r="CD2458">
        <v>2531</v>
      </c>
      <c r="CE2458" t="s">
        <v>158</v>
      </c>
      <c r="CF2458" s="3">
        <v>45857</v>
      </c>
      <c r="CI2458">
        <v>1</v>
      </c>
      <c r="CJ2458">
        <v>1</v>
      </c>
      <c r="CK2458">
        <v>23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"080066630467"</f>
        <v>080066630467</v>
      </c>
      <c r="F2459" s="3">
        <v>45855</v>
      </c>
      <c r="G2459">
        <v>202604</v>
      </c>
      <c r="H2459" t="s">
        <v>75</v>
      </c>
      <c r="I2459" t="s">
        <v>76</v>
      </c>
      <c r="J2459" t="s">
        <v>77</v>
      </c>
      <c r="K2459" t="s">
        <v>78</v>
      </c>
      <c r="L2459" t="s">
        <v>670</v>
      </c>
      <c r="M2459" t="s">
        <v>671</v>
      </c>
      <c r="N2459" t="s">
        <v>1609</v>
      </c>
      <c r="O2459" t="s">
        <v>311</v>
      </c>
      <c r="P2459" t="str">
        <f>"4170049300                    "</f>
        <v xml:space="preserve">4170049300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17.66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5</v>
      </c>
      <c r="BJ2459">
        <v>2.9</v>
      </c>
      <c r="BK2459">
        <v>5</v>
      </c>
      <c r="BL2459">
        <v>55.63</v>
      </c>
      <c r="BM2459">
        <v>8.34</v>
      </c>
      <c r="BN2459">
        <v>63.97</v>
      </c>
      <c r="BO2459">
        <v>63.97</v>
      </c>
      <c r="BQ2459" t="s">
        <v>1610</v>
      </c>
      <c r="BR2459" t="s">
        <v>84</v>
      </c>
      <c r="BS2459" s="3">
        <v>45856</v>
      </c>
      <c r="BT2459" s="4">
        <v>0.42708333333333331</v>
      </c>
      <c r="BU2459" t="s">
        <v>1611</v>
      </c>
      <c r="BV2459" t="s">
        <v>98</v>
      </c>
      <c r="BY2459">
        <v>14336</v>
      </c>
      <c r="CA2459" t="s">
        <v>676</v>
      </c>
      <c r="CC2459" t="s">
        <v>671</v>
      </c>
      <c r="CD2459">
        <v>2163</v>
      </c>
      <c r="CE2459" t="s">
        <v>91</v>
      </c>
      <c r="CF2459" s="3">
        <v>45857</v>
      </c>
      <c r="CI2459">
        <v>1</v>
      </c>
      <c r="CJ2459">
        <v>1</v>
      </c>
      <c r="CK2459">
        <v>32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"080066630477"</f>
        <v>080066630477</v>
      </c>
      <c r="F2460" s="3">
        <v>45855</v>
      </c>
      <c r="G2460">
        <v>202604</v>
      </c>
      <c r="H2460" t="s">
        <v>75</v>
      </c>
      <c r="I2460" t="s">
        <v>76</v>
      </c>
      <c r="J2460" t="s">
        <v>77</v>
      </c>
      <c r="K2460" t="s">
        <v>78</v>
      </c>
      <c r="L2460" t="s">
        <v>92</v>
      </c>
      <c r="M2460" t="s">
        <v>93</v>
      </c>
      <c r="N2460" t="s">
        <v>334</v>
      </c>
      <c r="O2460" t="s">
        <v>82</v>
      </c>
      <c r="P2460" t="str">
        <f>"4170049344                    "</f>
        <v xml:space="preserve">4170049344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22.6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0.3</v>
      </c>
      <c r="BK2460">
        <v>1</v>
      </c>
      <c r="BL2460">
        <v>71.2</v>
      </c>
      <c r="BM2460">
        <v>10.68</v>
      </c>
      <c r="BN2460">
        <v>81.88</v>
      </c>
      <c r="BO2460">
        <v>81.88</v>
      </c>
      <c r="BQ2460" t="s">
        <v>335</v>
      </c>
      <c r="BR2460" t="s">
        <v>84</v>
      </c>
      <c r="BS2460" s="3">
        <v>45856</v>
      </c>
      <c r="BT2460" s="4">
        <v>0.4548611111111111</v>
      </c>
      <c r="BU2460" t="s">
        <v>1365</v>
      </c>
      <c r="BV2460" t="s">
        <v>86</v>
      </c>
      <c r="BW2460" t="s">
        <v>194</v>
      </c>
      <c r="BX2460" t="s">
        <v>739</v>
      </c>
      <c r="BY2460">
        <v>1350</v>
      </c>
      <c r="CA2460" t="s">
        <v>337</v>
      </c>
      <c r="CC2460" t="s">
        <v>93</v>
      </c>
      <c r="CD2460">
        <v>4052</v>
      </c>
      <c r="CE2460" t="s">
        <v>158</v>
      </c>
      <c r="CF2460" s="3">
        <v>45856</v>
      </c>
      <c r="CI2460">
        <v>1</v>
      </c>
      <c r="CJ2460">
        <v>1</v>
      </c>
      <c r="CK2460">
        <v>21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"080066630517"</f>
        <v>080066630517</v>
      </c>
      <c r="F2461" s="3">
        <v>45855</v>
      </c>
      <c r="G2461">
        <v>202604</v>
      </c>
      <c r="H2461" t="s">
        <v>75</v>
      </c>
      <c r="I2461" t="s">
        <v>76</v>
      </c>
      <c r="J2461" t="s">
        <v>77</v>
      </c>
      <c r="K2461" t="s">
        <v>78</v>
      </c>
      <c r="L2461" t="s">
        <v>151</v>
      </c>
      <c r="M2461" t="s">
        <v>152</v>
      </c>
      <c r="N2461" t="s">
        <v>153</v>
      </c>
      <c r="O2461" t="s">
        <v>82</v>
      </c>
      <c r="P2461" t="str">
        <f>"4170049266                    "</f>
        <v xml:space="preserve">4170049266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22.6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0.3</v>
      </c>
      <c r="BK2461">
        <v>1</v>
      </c>
      <c r="BL2461">
        <v>71.2</v>
      </c>
      <c r="BM2461">
        <v>10.68</v>
      </c>
      <c r="BN2461">
        <v>81.88</v>
      </c>
      <c r="BO2461">
        <v>81.88</v>
      </c>
      <c r="BQ2461" t="s">
        <v>154</v>
      </c>
      <c r="BR2461" t="s">
        <v>84</v>
      </c>
      <c r="BS2461" s="3">
        <v>45856</v>
      </c>
      <c r="BT2461" s="4">
        <v>0.34513888888888888</v>
      </c>
      <c r="BU2461" t="s">
        <v>1297</v>
      </c>
      <c r="BV2461" t="s">
        <v>98</v>
      </c>
      <c r="BY2461">
        <v>1350</v>
      </c>
      <c r="CA2461" t="s">
        <v>156</v>
      </c>
      <c r="CC2461" t="s">
        <v>152</v>
      </c>
      <c r="CD2461" s="5" t="s">
        <v>157</v>
      </c>
      <c r="CE2461" t="s">
        <v>158</v>
      </c>
      <c r="CF2461" s="3">
        <v>45856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"080066630560"</f>
        <v>080066630560</v>
      </c>
      <c r="F2462" s="3">
        <v>45855</v>
      </c>
      <c r="G2462">
        <v>202604</v>
      </c>
      <c r="H2462" t="s">
        <v>75</v>
      </c>
      <c r="I2462" t="s">
        <v>76</v>
      </c>
      <c r="J2462" t="s">
        <v>77</v>
      </c>
      <c r="K2462" t="s">
        <v>78</v>
      </c>
      <c r="L2462" t="s">
        <v>75</v>
      </c>
      <c r="M2462" t="s">
        <v>76</v>
      </c>
      <c r="N2462" t="s">
        <v>118</v>
      </c>
      <c r="O2462" t="s">
        <v>82</v>
      </c>
      <c r="P2462" t="str">
        <f>"4170049343                    "</f>
        <v xml:space="preserve">4170049343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17.649999999999999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0.3</v>
      </c>
      <c r="BK2462">
        <v>1</v>
      </c>
      <c r="BL2462">
        <v>55.61</v>
      </c>
      <c r="BM2462">
        <v>8.34</v>
      </c>
      <c r="BN2462">
        <v>63.95</v>
      </c>
      <c r="BO2462">
        <v>63.95</v>
      </c>
      <c r="BQ2462" t="s">
        <v>119</v>
      </c>
      <c r="BR2462" t="s">
        <v>84</v>
      </c>
      <c r="BS2462" s="3">
        <v>45856</v>
      </c>
      <c r="BT2462" s="4">
        <v>0.32083333333333336</v>
      </c>
      <c r="BU2462" t="s">
        <v>2836</v>
      </c>
      <c r="BV2462" t="s">
        <v>98</v>
      </c>
      <c r="BY2462">
        <v>1350</v>
      </c>
      <c r="CC2462" t="s">
        <v>76</v>
      </c>
      <c r="CD2462">
        <v>1600</v>
      </c>
      <c r="CE2462" t="s">
        <v>158</v>
      </c>
      <c r="CF2462" s="3">
        <v>45856</v>
      </c>
      <c r="CI2462">
        <v>1</v>
      </c>
      <c r="CJ2462">
        <v>1</v>
      </c>
      <c r="CK2462">
        <v>22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"080066630613"</f>
        <v>080066630613</v>
      </c>
      <c r="F2463" s="3">
        <v>45855</v>
      </c>
      <c r="G2463">
        <v>202604</v>
      </c>
      <c r="H2463" t="s">
        <v>75</v>
      </c>
      <c r="I2463" t="s">
        <v>76</v>
      </c>
      <c r="J2463" t="s">
        <v>77</v>
      </c>
      <c r="K2463" t="s">
        <v>78</v>
      </c>
      <c r="L2463" t="s">
        <v>758</v>
      </c>
      <c r="M2463" t="s">
        <v>759</v>
      </c>
      <c r="N2463" t="s">
        <v>760</v>
      </c>
      <c r="O2463" t="s">
        <v>82</v>
      </c>
      <c r="P2463" t="str">
        <f>"4170049342                    "</f>
        <v xml:space="preserve">4170049342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43.78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0.3</v>
      </c>
      <c r="BK2463">
        <v>1</v>
      </c>
      <c r="BL2463">
        <v>137.94</v>
      </c>
      <c r="BM2463">
        <v>20.69</v>
      </c>
      <c r="BN2463">
        <v>158.63</v>
      </c>
      <c r="BO2463">
        <v>158.63</v>
      </c>
      <c r="BQ2463" t="s">
        <v>761</v>
      </c>
      <c r="BR2463" t="s">
        <v>84</v>
      </c>
      <c r="BS2463" s="3">
        <v>45856</v>
      </c>
      <c r="BT2463" s="4">
        <v>0.41666666666666669</v>
      </c>
      <c r="BU2463" t="s">
        <v>2578</v>
      </c>
      <c r="BV2463" t="s">
        <v>98</v>
      </c>
      <c r="BY2463">
        <v>1350</v>
      </c>
      <c r="CA2463" t="s">
        <v>763</v>
      </c>
      <c r="CC2463" t="s">
        <v>759</v>
      </c>
      <c r="CD2463">
        <v>2531</v>
      </c>
      <c r="CE2463" t="s">
        <v>158</v>
      </c>
      <c r="CF2463" s="3">
        <v>45857</v>
      </c>
      <c r="CI2463">
        <v>1</v>
      </c>
      <c r="CJ2463">
        <v>1</v>
      </c>
      <c r="CK2463">
        <v>23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"080066630747"</f>
        <v>080066630747</v>
      </c>
      <c r="F2464" s="3">
        <v>45855</v>
      </c>
      <c r="G2464">
        <v>202604</v>
      </c>
      <c r="H2464" t="s">
        <v>75</v>
      </c>
      <c r="I2464" t="s">
        <v>76</v>
      </c>
      <c r="J2464" t="s">
        <v>77</v>
      </c>
      <c r="K2464" t="s">
        <v>78</v>
      </c>
      <c r="L2464" t="s">
        <v>79</v>
      </c>
      <c r="M2464" t="s">
        <v>80</v>
      </c>
      <c r="N2464" t="s">
        <v>141</v>
      </c>
      <c r="O2464" t="s">
        <v>82</v>
      </c>
      <c r="P2464" t="str">
        <f>"4170049275                    "</f>
        <v xml:space="preserve">4170049275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28.24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2</v>
      </c>
      <c r="BJ2464">
        <v>2.2000000000000002</v>
      </c>
      <c r="BK2464">
        <v>2.5</v>
      </c>
      <c r="BL2464">
        <v>88.98</v>
      </c>
      <c r="BM2464">
        <v>13.35</v>
      </c>
      <c r="BN2464">
        <v>102.33</v>
      </c>
      <c r="BO2464">
        <v>102.33</v>
      </c>
      <c r="BQ2464" t="s">
        <v>142</v>
      </c>
      <c r="BR2464" t="s">
        <v>84</v>
      </c>
      <c r="BS2464" s="3">
        <v>45856</v>
      </c>
      <c r="BT2464" s="4">
        <v>0.38750000000000001</v>
      </c>
      <c r="BU2464" t="s">
        <v>143</v>
      </c>
      <c r="BV2464" t="s">
        <v>98</v>
      </c>
      <c r="BY2464">
        <v>11008</v>
      </c>
      <c r="CA2464" t="s">
        <v>144</v>
      </c>
      <c r="CC2464" t="s">
        <v>80</v>
      </c>
      <c r="CD2464">
        <v>7441</v>
      </c>
      <c r="CE2464" t="s">
        <v>91</v>
      </c>
      <c r="CF2464" s="3">
        <v>45859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"080066630977"</f>
        <v>080066630977</v>
      </c>
      <c r="F2465" s="3">
        <v>45855</v>
      </c>
      <c r="G2465">
        <v>202604</v>
      </c>
      <c r="H2465" t="s">
        <v>75</v>
      </c>
      <c r="I2465" t="s">
        <v>76</v>
      </c>
      <c r="J2465" t="s">
        <v>77</v>
      </c>
      <c r="K2465" t="s">
        <v>78</v>
      </c>
      <c r="L2465" t="s">
        <v>168</v>
      </c>
      <c r="M2465" t="s">
        <v>169</v>
      </c>
      <c r="N2465" t="s">
        <v>1252</v>
      </c>
      <c r="O2465" t="s">
        <v>95</v>
      </c>
      <c r="P2465" t="str">
        <f>"4170049204                    "</f>
        <v xml:space="preserve">4170049204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76.180000000000007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30</v>
      </c>
      <c r="BJ2465">
        <v>32.799999999999997</v>
      </c>
      <c r="BK2465">
        <v>33</v>
      </c>
      <c r="BL2465">
        <v>245.87</v>
      </c>
      <c r="BM2465">
        <v>36.880000000000003</v>
      </c>
      <c r="BN2465">
        <v>282.75</v>
      </c>
      <c r="BO2465">
        <v>282.75</v>
      </c>
      <c r="BQ2465" t="s">
        <v>1545</v>
      </c>
      <c r="BR2465" t="s">
        <v>84</v>
      </c>
      <c r="BS2465" s="3">
        <v>45859</v>
      </c>
      <c r="BT2465" s="4">
        <v>0.75624999999999998</v>
      </c>
      <c r="BU2465" t="s">
        <v>459</v>
      </c>
      <c r="BV2465" t="s">
        <v>98</v>
      </c>
      <c r="BY2465">
        <v>163856</v>
      </c>
      <c r="CA2465" t="s">
        <v>2707</v>
      </c>
      <c r="CC2465" t="s">
        <v>169</v>
      </c>
      <c r="CD2465">
        <v>6045</v>
      </c>
      <c r="CE2465" t="s">
        <v>91</v>
      </c>
      <c r="CF2465" s="3">
        <v>45859</v>
      </c>
      <c r="CI2465">
        <v>3</v>
      </c>
      <c r="CJ2465">
        <v>2</v>
      </c>
      <c r="CK2465">
        <v>41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"080066631139"</f>
        <v>080066631139</v>
      </c>
      <c r="F2466" s="3">
        <v>45855</v>
      </c>
      <c r="G2466">
        <v>202604</v>
      </c>
      <c r="H2466" t="s">
        <v>75</v>
      </c>
      <c r="I2466" t="s">
        <v>76</v>
      </c>
      <c r="J2466" t="s">
        <v>77</v>
      </c>
      <c r="K2466" t="s">
        <v>78</v>
      </c>
      <c r="L2466" t="s">
        <v>168</v>
      </c>
      <c r="M2466" t="s">
        <v>169</v>
      </c>
      <c r="N2466" t="s">
        <v>412</v>
      </c>
      <c r="O2466" t="s">
        <v>82</v>
      </c>
      <c r="P2466" t="str">
        <f>"4170049352                    "</f>
        <v xml:space="preserve">4170049352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22.6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1.9</v>
      </c>
      <c r="BK2466">
        <v>2</v>
      </c>
      <c r="BL2466">
        <v>71.2</v>
      </c>
      <c r="BM2466">
        <v>10.68</v>
      </c>
      <c r="BN2466">
        <v>81.88</v>
      </c>
      <c r="BO2466">
        <v>81.88</v>
      </c>
      <c r="BQ2466" t="s">
        <v>413</v>
      </c>
      <c r="BR2466" t="s">
        <v>84</v>
      </c>
      <c r="BS2466" s="3">
        <v>45856</v>
      </c>
      <c r="BT2466" s="4">
        <v>0.38055555555555554</v>
      </c>
      <c r="BU2466" t="s">
        <v>470</v>
      </c>
      <c r="BV2466" t="s">
        <v>98</v>
      </c>
      <c r="BY2466">
        <v>9600</v>
      </c>
      <c r="CA2466" t="s">
        <v>415</v>
      </c>
      <c r="CC2466" t="s">
        <v>169</v>
      </c>
      <c r="CD2466">
        <v>6001</v>
      </c>
      <c r="CE2466" t="s">
        <v>145</v>
      </c>
      <c r="CF2466" s="3">
        <v>45856</v>
      </c>
      <c r="CI2466">
        <v>1</v>
      </c>
      <c r="CJ2466">
        <v>1</v>
      </c>
      <c r="CK2466">
        <v>21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"080066631182"</f>
        <v>080066631182</v>
      </c>
      <c r="F2467" s="3">
        <v>45855</v>
      </c>
      <c r="G2467">
        <v>202604</v>
      </c>
      <c r="H2467" t="s">
        <v>75</v>
      </c>
      <c r="I2467" t="s">
        <v>76</v>
      </c>
      <c r="J2467" t="s">
        <v>77</v>
      </c>
      <c r="K2467" t="s">
        <v>78</v>
      </c>
      <c r="L2467" t="s">
        <v>135</v>
      </c>
      <c r="M2467" t="s">
        <v>136</v>
      </c>
      <c r="N2467" t="s">
        <v>416</v>
      </c>
      <c r="O2467" t="s">
        <v>82</v>
      </c>
      <c r="P2467" t="str">
        <f>"4170049354                    "</f>
        <v xml:space="preserve">4170049354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1.1000000000000001</v>
      </c>
      <c r="BK2467">
        <v>2</v>
      </c>
      <c r="BL2467">
        <v>71.2</v>
      </c>
      <c r="BM2467">
        <v>10.68</v>
      </c>
      <c r="BN2467">
        <v>81.88</v>
      </c>
      <c r="BO2467">
        <v>81.88</v>
      </c>
      <c r="BQ2467" t="s">
        <v>417</v>
      </c>
      <c r="BR2467" t="s">
        <v>84</v>
      </c>
      <c r="BS2467" s="3">
        <v>45857</v>
      </c>
      <c r="BT2467" s="4">
        <v>0.45833333333333331</v>
      </c>
      <c r="BU2467" t="s">
        <v>1097</v>
      </c>
      <c r="BV2467" t="s">
        <v>86</v>
      </c>
      <c r="BY2467">
        <v>5320</v>
      </c>
      <c r="CC2467" t="s">
        <v>136</v>
      </c>
      <c r="CD2467">
        <v>3201</v>
      </c>
      <c r="CE2467" t="s">
        <v>145</v>
      </c>
      <c r="CF2467" s="3">
        <v>45859</v>
      </c>
      <c r="CI2467">
        <v>1</v>
      </c>
      <c r="CJ2467">
        <v>1</v>
      </c>
      <c r="CK2467">
        <v>21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"080066631246"</f>
        <v>080066631246</v>
      </c>
      <c r="F2468" s="3">
        <v>45855</v>
      </c>
      <c r="G2468">
        <v>202604</v>
      </c>
      <c r="H2468" t="s">
        <v>75</v>
      </c>
      <c r="I2468" t="s">
        <v>76</v>
      </c>
      <c r="J2468" t="s">
        <v>77</v>
      </c>
      <c r="K2468" t="s">
        <v>78</v>
      </c>
      <c r="L2468" t="s">
        <v>75</v>
      </c>
      <c r="M2468" t="s">
        <v>76</v>
      </c>
      <c r="N2468" t="s">
        <v>701</v>
      </c>
      <c r="O2468" t="s">
        <v>82</v>
      </c>
      <c r="P2468" t="str">
        <f>"4170049360                    "</f>
        <v xml:space="preserve">4170049360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17.649999999999999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3</v>
      </c>
      <c r="BJ2468">
        <v>1.9</v>
      </c>
      <c r="BK2468">
        <v>3</v>
      </c>
      <c r="BL2468">
        <v>55.61</v>
      </c>
      <c r="BM2468">
        <v>8.34</v>
      </c>
      <c r="BN2468">
        <v>63.95</v>
      </c>
      <c r="BO2468">
        <v>63.95</v>
      </c>
      <c r="BQ2468" t="s">
        <v>702</v>
      </c>
      <c r="BR2468" t="s">
        <v>84</v>
      </c>
      <c r="BS2468" s="3">
        <v>45856</v>
      </c>
      <c r="BT2468" s="4">
        <v>0.36527777777777776</v>
      </c>
      <c r="BU2468" t="s">
        <v>703</v>
      </c>
      <c r="BV2468" t="s">
        <v>98</v>
      </c>
      <c r="BY2468">
        <v>9360</v>
      </c>
      <c r="CA2468" t="s">
        <v>617</v>
      </c>
      <c r="CC2468" t="s">
        <v>76</v>
      </c>
      <c r="CD2468">
        <v>1645</v>
      </c>
      <c r="CE2468" t="s">
        <v>91</v>
      </c>
      <c r="CF2468" s="3">
        <v>45857</v>
      </c>
      <c r="CI2468">
        <v>1</v>
      </c>
      <c r="CJ2468">
        <v>1</v>
      </c>
      <c r="CK2468">
        <v>22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"080066631290"</f>
        <v>080066631290</v>
      </c>
      <c r="F2469" s="3">
        <v>45855</v>
      </c>
      <c r="G2469">
        <v>202604</v>
      </c>
      <c r="H2469" t="s">
        <v>75</v>
      </c>
      <c r="I2469" t="s">
        <v>76</v>
      </c>
      <c r="J2469" t="s">
        <v>77</v>
      </c>
      <c r="K2469" t="s">
        <v>78</v>
      </c>
      <c r="L2469" t="s">
        <v>2837</v>
      </c>
      <c r="M2469" t="s">
        <v>2838</v>
      </c>
      <c r="N2469" t="s">
        <v>2839</v>
      </c>
      <c r="O2469" t="s">
        <v>82</v>
      </c>
      <c r="P2469" t="str">
        <f>"4170049357                    "</f>
        <v xml:space="preserve">4170049357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43.78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1.5</v>
      </c>
      <c r="BK2469">
        <v>2</v>
      </c>
      <c r="BL2469">
        <v>137.94</v>
      </c>
      <c r="BM2469">
        <v>20.69</v>
      </c>
      <c r="BN2469">
        <v>158.63</v>
      </c>
      <c r="BO2469">
        <v>158.63</v>
      </c>
      <c r="BQ2469" t="s">
        <v>2840</v>
      </c>
      <c r="BR2469" t="s">
        <v>84</v>
      </c>
      <c r="BS2469" s="3">
        <v>45856</v>
      </c>
      <c r="BT2469" s="4">
        <v>0.41875000000000001</v>
      </c>
      <c r="BU2469" t="s">
        <v>2841</v>
      </c>
      <c r="BV2469" t="s">
        <v>98</v>
      </c>
      <c r="BY2469">
        <v>7644</v>
      </c>
      <c r="CA2469" t="s">
        <v>2842</v>
      </c>
      <c r="CC2469" t="s">
        <v>2838</v>
      </c>
      <c r="CD2469">
        <v>7349</v>
      </c>
      <c r="CE2469" t="s">
        <v>91</v>
      </c>
      <c r="CF2469" s="3">
        <v>45859</v>
      </c>
      <c r="CI2469">
        <v>1</v>
      </c>
      <c r="CJ2469">
        <v>1</v>
      </c>
      <c r="CK2469">
        <v>23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"080066631371"</f>
        <v>080066631371</v>
      </c>
      <c r="F2470" s="3">
        <v>45855</v>
      </c>
      <c r="G2470">
        <v>202604</v>
      </c>
      <c r="H2470" t="s">
        <v>75</v>
      </c>
      <c r="I2470" t="s">
        <v>76</v>
      </c>
      <c r="J2470" t="s">
        <v>77</v>
      </c>
      <c r="K2470" t="s">
        <v>78</v>
      </c>
      <c r="L2470" t="s">
        <v>79</v>
      </c>
      <c r="M2470" t="s">
        <v>80</v>
      </c>
      <c r="N2470" t="s">
        <v>286</v>
      </c>
      <c r="O2470" t="s">
        <v>95</v>
      </c>
      <c r="P2470" t="str">
        <f>"4170049348                    "</f>
        <v xml:space="preserve">4170049348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49.11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9</v>
      </c>
      <c r="BJ2470">
        <v>17.7</v>
      </c>
      <c r="BK2470">
        <v>18</v>
      </c>
      <c r="BL2470">
        <v>160.6</v>
      </c>
      <c r="BM2470">
        <v>24.09</v>
      </c>
      <c r="BN2470">
        <v>184.69</v>
      </c>
      <c r="BO2470">
        <v>184.69</v>
      </c>
      <c r="BQ2470" t="s">
        <v>287</v>
      </c>
      <c r="BR2470" t="s">
        <v>84</v>
      </c>
      <c r="BS2470" s="3">
        <v>45859</v>
      </c>
      <c r="BT2470" s="4">
        <v>0.32291666666666669</v>
      </c>
      <c r="BU2470" t="s">
        <v>288</v>
      </c>
      <c r="BV2470" t="s">
        <v>98</v>
      </c>
      <c r="BY2470">
        <v>88320</v>
      </c>
      <c r="CA2470" t="s">
        <v>289</v>
      </c>
      <c r="CC2470" t="s">
        <v>80</v>
      </c>
      <c r="CD2470">
        <v>7530</v>
      </c>
      <c r="CE2470" t="s">
        <v>145</v>
      </c>
      <c r="CF2470" s="3">
        <v>45860</v>
      </c>
      <c r="CI2470">
        <v>3</v>
      </c>
      <c r="CJ2470">
        <v>2</v>
      </c>
      <c r="CK2470">
        <v>41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"080066631560"</f>
        <v>080066631560</v>
      </c>
      <c r="F2471" s="3">
        <v>45855</v>
      </c>
      <c r="G2471">
        <v>202604</v>
      </c>
      <c r="H2471" t="s">
        <v>75</v>
      </c>
      <c r="I2471" t="s">
        <v>76</v>
      </c>
      <c r="J2471" t="s">
        <v>77</v>
      </c>
      <c r="K2471" t="s">
        <v>78</v>
      </c>
      <c r="L2471" t="s">
        <v>79</v>
      </c>
      <c r="M2471" t="s">
        <v>80</v>
      </c>
      <c r="N2471" t="s">
        <v>689</v>
      </c>
      <c r="O2471" t="s">
        <v>82</v>
      </c>
      <c r="P2471" t="str">
        <f>"4170049355                    "</f>
        <v xml:space="preserve">4170049355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101.63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5</v>
      </c>
      <c r="BJ2471">
        <v>8.6999999999999993</v>
      </c>
      <c r="BK2471">
        <v>9</v>
      </c>
      <c r="BL2471">
        <v>320.19</v>
      </c>
      <c r="BM2471">
        <v>48.03</v>
      </c>
      <c r="BN2471">
        <v>368.22</v>
      </c>
      <c r="BO2471">
        <v>368.22</v>
      </c>
      <c r="BQ2471" t="s">
        <v>690</v>
      </c>
      <c r="BR2471" t="s">
        <v>84</v>
      </c>
      <c r="BS2471" s="3">
        <v>45856</v>
      </c>
      <c r="BT2471" s="4">
        <v>0.47361111111111109</v>
      </c>
      <c r="BU2471" t="s">
        <v>2843</v>
      </c>
      <c r="BV2471" t="s">
        <v>86</v>
      </c>
      <c r="BW2471" t="s">
        <v>395</v>
      </c>
      <c r="BX2471" t="s">
        <v>2610</v>
      </c>
      <c r="BY2471">
        <v>43320</v>
      </c>
      <c r="CC2471" t="s">
        <v>80</v>
      </c>
      <c r="CD2471">
        <v>7800</v>
      </c>
      <c r="CE2471" t="s">
        <v>91</v>
      </c>
      <c r="CF2471" s="3">
        <v>45859</v>
      </c>
      <c r="CI2471">
        <v>1</v>
      </c>
      <c r="CJ2471">
        <v>1</v>
      </c>
      <c r="CK2471">
        <v>21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"080066631609"</f>
        <v>080066631609</v>
      </c>
      <c r="F2472" s="3">
        <v>45855</v>
      </c>
      <c r="G2472">
        <v>202604</v>
      </c>
      <c r="H2472" t="s">
        <v>75</v>
      </c>
      <c r="I2472" t="s">
        <v>76</v>
      </c>
      <c r="J2472" t="s">
        <v>77</v>
      </c>
      <c r="K2472" t="s">
        <v>78</v>
      </c>
      <c r="L2472" t="s">
        <v>79</v>
      </c>
      <c r="M2472" t="s">
        <v>80</v>
      </c>
      <c r="N2472" t="s">
        <v>492</v>
      </c>
      <c r="O2472" t="s">
        <v>82</v>
      </c>
      <c r="P2472" t="str">
        <f>"4170049346                    "</f>
        <v xml:space="preserve">4170049346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22.6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71.2</v>
      </c>
      <c r="BM2472">
        <v>10.68</v>
      </c>
      <c r="BN2472">
        <v>81.88</v>
      </c>
      <c r="BO2472">
        <v>81.88</v>
      </c>
      <c r="BQ2472" t="s">
        <v>493</v>
      </c>
      <c r="BR2472" t="s">
        <v>84</v>
      </c>
      <c r="BS2472" s="3">
        <v>45856</v>
      </c>
      <c r="BT2472" s="4">
        <v>0.40763888888888888</v>
      </c>
      <c r="BU2472" t="s">
        <v>2844</v>
      </c>
      <c r="BV2472" t="s">
        <v>98</v>
      </c>
      <c r="BY2472">
        <v>1200</v>
      </c>
      <c r="CA2472" t="s">
        <v>2845</v>
      </c>
      <c r="CC2472" t="s">
        <v>80</v>
      </c>
      <c r="CD2472">
        <v>7800</v>
      </c>
      <c r="CE2472" t="s">
        <v>121</v>
      </c>
      <c r="CF2472" s="3">
        <v>45859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"080066631764"</f>
        <v>080066631764</v>
      </c>
      <c r="F2473" s="3">
        <v>45855</v>
      </c>
      <c r="G2473">
        <v>202604</v>
      </c>
      <c r="H2473" t="s">
        <v>75</v>
      </c>
      <c r="I2473" t="s">
        <v>76</v>
      </c>
      <c r="J2473" t="s">
        <v>77</v>
      </c>
      <c r="K2473" t="s">
        <v>78</v>
      </c>
      <c r="L2473" t="s">
        <v>1370</v>
      </c>
      <c r="M2473" t="s">
        <v>1371</v>
      </c>
      <c r="N2473" t="s">
        <v>2067</v>
      </c>
      <c r="O2473" t="s">
        <v>82</v>
      </c>
      <c r="P2473" t="str">
        <f>"4170049353                    "</f>
        <v xml:space="preserve">4170049353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43.78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0.3</v>
      </c>
      <c r="BK2473">
        <v>1</v>
      </c>
      <c r="BL2473">
        <v>137.94</v>
      </c>
      <c r="BM2473">
        <v>20.69</v>
      </c>
      <c r="BN2473">
        <v>158.63</v>
      </c>
      <c r="BO2473">
        <v>158.63</v>
      </c>
      <c r="BQ2473" t="s">
        <v>2068</v>
      </c>
      <c r="BR2473" t="s">
        <v>84</v>
      </c>
      <c r="BS2473" s="3">
        <v>45856</v>
      </c>
      <c r="BT2473" s="4">
        <v>0.42499999999999999</v>
      </c>
      <c r="BU2473" t="s">
        <v>2846</v>
      </c>
      <c r="BV2473" t="s">
        <v>98</v>
      </c>
      <c r="BY2473">
        <v>1350</v>
      </c>
      <c r="CA2473" t="s">
        <v>1375</v>
      </c>
      <c r="CC2473" t="s">
        <v>1371</v>
      </c>
      <c r="CD2473" s="5" t="s">
        <v>1376</v>
      </c>
      <c r="CE2473" t="s">
        <v>158</v>
      </c>
      <c r="CF2473" s="3">
        <v>45859</v>
      </c>
      <c r="CI2473">
        <v>1</v>
      </c>
      <c r="CJ2473">
        <v>1</v>
      </c>
      <c r="CK2473">
        <v>23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"080066631870"</f>
        <v>080066631870</v>
      </c>
      <c r="F2474" s="3">
        <v>45855</v>
      </c>
      <c r="G2474">
        <v>202604</v>
      </c>
      <c r="H2474" t="s">
        <v>75</v>
      </c>
      <c r="I2474" t="s">
        <v>76</v>
      </c>
      <c r="J2474" t="s">
        <v>77</v>
      </c>
      <c r="K2474" t="s">
        <v>78</v>
      </c>
      <c r="L2474" t="s">
        <v>240</v>
      </c>
      <c r="M2474" t="s">
        <v>241</v>
      </c>
      <c r="N2474" t="s">
        <v>403</v>
      </c>
      <c r="O2474" t="s">
        <v>311</v>
      </c>
      <c r="P2474" t="str">
        <f>"4170049351                    "</f>
        <v xml:space="preserve">4170049351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19.64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6</v>
      </c>
      <c r="BJ2474">
        <v>8.9</v>
      </c>
      <c r="BK2474">
        <v>9</v>
      </c>
      <c r="BL2474">
        <v>61.87</v>
      </c>
      <c r="BM2474">
        <v>9.2799999999999994</v>
      </c>
      <c r="BN2474">
        <v>71.150000000000006</v>
      </c>
      <c r="BO2474">
        <v>71.150000000000006</v>
      </c>
      <c r="BQ2474" t="s">
        <v>404</v>
      </c>
      <c r="BR2474" t="s">
        <v>84</v>
      </c>
      <c r="BS2474" s="3">
        <v>45856</v>
      </c>
      <c r="BT2474" s="4">
        <v>0.39583333333333331</v>
      </c>
      <c r="BU2474" t="s">
        <v>405</v>
      </c>
      <c r="BV2474" t="s">
        <v>98</v>
      </c>
      <c r="BY2474">
        <v>44640</v>
      </c>
      <c r="CA2474" t="s">
        <v>245</v>
      </c>
      <c r="CC2474" t="s">
        <v>241</v>
      </c>
      <c r="CD2474">
        <v>2013</v>
      </c>
      <c r="CE2474" t="s">
        <v>145</v>
      </c>
      <c r="CF2474" s="3">
        <v>45856</v>
      </c>
      <c r="CI2474">
        <v>1</v>
      </c>
      <c r="CJ2474">
        <v>1</v>
      </c>
      <c r="CK2474">
        <v>32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"080066631908"</f>
        <v>080066631908</v>
      </c>
      <c r="F2475" s="3">
        <v>45855</v>
      </c>
      <c r="G2475">
        <v>202604</v>
      </c>
      <c r="H2475" t="s">
        <v>75</v>
      </c>
      <c r="I2475" t="s">
        <v>76</v>
      </c>
      <c r="J2475" t="s">
        <v>77</v>
      </c>
      <c r="K2475" t="s">
        <v>78</v>
      </c>
      <c r="L2475" t="s">
        <v>122</v>
      </c>
      <c r="M2475" t="s">
        <v>123</v>
      </c>
      <c r="N2475" t="s">
        <v>2405</v>
      </c>
      <c r="O2475" t="s">
        <v>82</v>
      </c>
      <c r="P2475" t="str">
        <f>"4170049350                    "</f>
        <v xml:space="preserve">4170049350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45.18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4</v>
      </c>
      <c r="BJ2475">
        <v>1.7</v>
      </c>
      <c r="BK2475">
        <v>4</v>
      </c>
      <c r="BL2475">
        <v>142.34</v>
      </c>
      <c r="BM2475">
        <v>21.35</v>
      </c>
      <c r="BN2475">
        <v>163.69</v>
      </c>
      <c r="BO2475">
        <v>163.69</v>
      </c>
      <c r="BQ2475" t="s">
        <v>2406</v>
      </c>
      <c r="BR2475" t="s">
        <v>84</v>
      </c>
      <c r="BS2475" s="3">
        <v>45856</v>
      </c>
      <c r="BT2475" s="4">
        <v>0.3923611111111111</v>
      </c>
      <c r="BU2475" t="s">
        <v>2407</v>
      </c>
      <c r="BV2475" t="s">
        <v>98</v>
      </c>
      <c r="BY2475">
        <v>8512</v>
      </c>
      <c r="CA2475" t="s">
        <v>166</v>
      </c>
      <c r="CC2475" t="s">
        <v>123</v>
      </c>
      <c r="CD2475">
        <v>3610</v>
      </c>
      <c r="CE2475" t="s">
        <v>145</v>
      </c>
      <c r="CF2475" s="3">
        <v>45857</v>
      </c>
      <c r="CI2475">
        <v>1</v>
      </c>
      <c r="CJ2475">
        <v>1</v>
      </c>
      <c r="CK2475">
        <v>21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"080066631951"</f>
        <v>080066631951</v>
      </c>
      <c r="F2476" s="3">
        <v>45855</v>
      </c>
      <c r="G2476">
        <v>202604</v>
      </c>
      <c r="H2476" t="s">
        <v>75</v>
      </c>
      <c r="I2476" t="s">
        <v>76</v>
      </c>
      <c r="J2476" t="s">
        <v>77</v>
      </c>
      <c r="K2476" t="s">
        <v>78</v>
      </c>
      <c r="L2476" t="s">
        <v>79</v>
      </c>
      <c r="M2476" t="s">
        <v>80</v>
      </c>
      <c r="N2476" t="s">
        <v>689</v>
      </c>
      <c r="O2476" t="s">
        <v>82</v>
      </c>
      <c r="P2476" t="str">
        <f>"4170049349                    "</f>
        <v xml:space="preserve">4170049349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22.6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71.2</v>
      </c>
      <c r="BM2476">
        <v>10.68</v>
      </c>
      <c r="BN2476">
        <v>81.88</v>
      </c>
      <c r="BO2476">
        <v>81.88</v>
      </c>
      <c r="BQ2476" t="s">
        <v>690</v>
      </c>
      <c r="BR2476" t="s">
        <v>84</v>
      </c>
      <c r="BS2476" s="3">
        <v>45856</v>
      </c>
      <c r="BT2476" s="4">
        <v>0.47361111111111109</v>
      </c>
      <c r="BU2476" t="s">
        <v>2847</v>
      </c>
      <c r="BV2476" t="s">
        <v>86</v>
      </c>
      <c r="BW2476" t="s">
        <v>87</v>
      </c>
      <c r="BX2476" t="s">
        <v>2610</v>
      </c>
      <c r="BY2476">
        <v>1200</v>
      </c>
      <c r="CC2476" t="s">
        <v>80</v>
      </c>
      <c r="CD2476">
        <v>7800</v>
      </c>
      <c r="CE2476" t="s">
        <v>121</v>
      </c>
      <c r="CF2476" s="3">
        <v>45859</v>
      </c>
      <c r="CI2476">
        <v>1</v>
      </c>
      <c r="CJ2476">
        <v>1</v>
      </c>
      <c r="CK2476">
        <v>21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"080066631989"</f>
        <v>080066631989</v>
      </c>
      <c r="F2477" s="3">
        <v>45855</v>
      </c>
      <c r="G2477">
        <v>202604</v>
      </c>
      <c r="H2477" t="s">
        <v>75</v>
      </c>
      <c r="I2477" t="s">
        <v>76</v>
      </c>
      <c r="J2477" t="s">
        <v>77</v>
      </c>
      <c r="K2477" t="s">
        <v>78</v>
      </c>
      <c r="L2477" t="s">
        <v>151</v>
      </c>
      <c r="M2477" t="s">
        <v>152</v>
      </c>
      <c r="N2477" t="s">
        <v>272</v>
      </c>
      <c r="O2477" t="s">
        <v>82</v>
      </c>
      <c r="P2477" t="str">
        <f>"4170049365                    "</f>
        <v xml:space="preserve">4170049365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22.6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71.2</v>
      </c>
      <c r="BM2477">
        <v>10.68</v>
      </c>
      <c r="BN2477">
        <v>81.88</v>
      </c>
      <c r="BO2477">
        <v>81.88</v>
      </c>
      <c r="BQ2477" t="s">
        <v>273</v>
      </c>
      <c r="BR2477" t="s">
        <v>84</v>
      </c>
      <c r="BS2477" s="3">
        <v>45859</v>
      </c>
      <c r="BT2477" s="4">
        <v>0.40694444444444444</v>
      </c>
      <c r="BU2477" t="s">
        <v>2848</v>
      </c>
      <c r="BV2477" t="s">
        <v>86</v>
      </c>
      <c r="BW2477" t="s">
        <v>395</v>
      </c>
      <c r="BX2477" t="s">
        <v>905</v>
      </c>
      <c r="BY2477">
        <v>1200</v>
      </c>
      <c r="CA2477" t="s">
        <v>2176</v>
      </c>
      <c r="CC2477" t="s">
        <v>152</v>
      </c>
      <c r="CD2477" s="5" t="s">
        <v>276</v>
      </c>
      <c r="CE2477" t="s">
        <v>121</v>
      </c>
      <c r="CF2477" s="3">
        <v>45863</v>
      </c>
      <c r="CI2477">
        <v>1</v>
      </c>
      <c r="CJ2477">
        <v>2</v>
      </c>
      <c r="CK2477">
        <v>21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"080066632319"</f>
        <v>080066632319</v>
      </c>
      <c r="F2478" s="3">
        <v>45855</v>
      </c>
      <c r="G2478">
        <v>202604</v>
      </c>
      <c r="H2478" t="s">
        <v>75</v>
      </c>
      <c r="I2478" t="s">
        <v>76</v>
      </c>
      <c r="J2478" t="s">
        <v>77</v>
      </c>
      <c r="K2478" t="s">
        <v>78</v>
      </c>
      <c r="L2478" t="s">
        <v>122</v>
      </c>
      <c r="M2478" t="s">
        <v>123</v>
      </c>
      <c r="N2478" t="s">
        <v>2340</v>
      </c>
      <c r="O2478" t="s">
        <v>82</v>
      </c>
      <c r="P2478" t="str">
        <f>"4170049363                    "</f>
        <v xml:space="preserve">4170049363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22.6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1.1000000000000001</v>
      </c>
      <c r="BK2478">
        <v>1.5</v>
      </c>
      <c r="BL2478">
        <v>71.2</v>
      </c>
      <c r="BM2478">
        <v>10.68</v>
      </c>
      <c r="BN2478">
        <v>81.88</v>
      </c>
      <c r="BO2478">
        <v>81.88</v>
      </c>
      <c r="BQ2478" t="s">
        <v>2341</v>
      </c>
      <c r="BR2478" t="s">
        <v>84</v>
      </c>
      <c r="BS2478" s="3">
        <v>45856</v>
      </c>
      <c r="BT2478" s="4">
        <v>0.41666666666666669</v>
      </c>
      <c r="BU2478" t="s">
        <v>1178</v>
      </c>
      <c r="BV2478" t="s">
        <v>98</v>
      </c>
      <c r="BY2478">
        <v>5320</v>
      </c>
      <c r="CA2478" t="s">
        <v>187</v>
      </c>
      <c r="CC2478" t="s">
        <v>123</v>
      </c>
      <c r="CD2478">
        <v>3610</v>
      </c>
      <c r="CE2478" t="s">
        <v>145</v>
      </c>
      <c r="CF2478" s="3">
        <v>45856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"080066632355"</f>
        <v>080066632355</v>
      </c>
      <c r="F2479" s="3">
        <v>45855</v>
      </c>
      <c r="G2479">
        <v>202604</v>
      </c>
      <c r="H2479" t="s">
        <v>75</v>
      </c>
      <c r="I2479" t="s">
        <v>76</v>
      </c>
      <c r="J2479" t="s">
        <v>77</v>
      </c>
      <c r="K2479" t="s">
        <v>78</v>
      </c>
      <c r="L2479" t="s">
        <v>146</v>
      </c>
      <c r="M2479" t="s">
        <v>146</v>
      </c>
      <c r="N2479" t="s">
        <v>986</v>
      </c>
      <c r="O2479" t="s">
        <v>82</v>
      </c>
      <c r="P2479" t="str">
        <f>"4170049361                    "</f>
        <v xml:space="preserve">4170049361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43.78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2</v>
      </c>
      <c r="BJ2479">
        <v>1.1000000000000001</v>
      </c>
      <c r="BK2479">
        <v>2</v>
      </c>
      <c r="BL2479">
        <v>137.94</v>
      </c>
      <c r="BM2479">
        <v>20.69</v>
      </c>
      <c r="BN2479">
        <v>158.63</v>
      </c>
      <c r="BO2479">
        <v>158.63</v>
      </c>
      <c r="BQ2479" t="s">
        <v>987</v>
      </c>
      <c r="BR2479" t="s">
        <v>84</v>
      </c>
      <c r="BS2479" s="3">
        <v>45856</v>
      </c>
      <c r="BT2479" s="4">
        <v>0.5180555555555556</v>
      </c>
      <c r="BU2479" t="s">
        <v>1115</v>
      </c>
      <c r="BV2479" t="s">
        <v>98</v>
      </c>
      <c r="BY2479">
        <v>5320</v>
      </c>
      <c r="CA2479" t="s">
        <v>150</v>
      </c>
      <c r="CC2479" t="s">
        <v>146</v>
      </c>
      <c r="CD2479">
        <v>7646</v>
      </c>
      <c r="CE2479" t="s">
        <v>145</v>
      </c>
      <c r="CF2479" s="3">
        <v>45859</v>
      </c>
      <c r="CI2479">
        <v>1</v>
      </c>
      <c r="CJ2479">
        <v>1</v>
      </c>
      <c r="CK2479">
        <v>23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"080066632397"</f>
        <v>080066632397</v>
      </c>
      <c r="F2480" s="3">
        <v>45855</v>
      </c>
      <c r="G2480">
        <v>202604</v>
      </c>
      <c r="H2480" t="s">
        <v>75</v>
      </c>
      <c r="I2480" t="s">
        <v>76</v>
      </c>
      <c r="J2480" t="s">
        <v>77</v>
      </c>
      <c r="K2480" t="s">
        <v>78</v>
      </c>
      <c r="L2480" t="s">
        <v>92</v>
      </c>
      <c r="M2480" t="s">
        <v>93</v>
      </c>
      <c r="N2480" t="s">
        <v>334</v>
      </c>
      <c r="O2480" t="s">
        <v>82</v>
      </c>
      <c r="P2480" t="str">
        <f>"4170049362                    "</f>
        <v xml:space="preserve">4170049362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22.6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1.1000000000000001</v>
      </c>
      <c r="BK2480">
        <v>2</v>
      </c>
      <c r="BL2480">
        <v>71.2</v>
      </c>
      <c r="BM2480">
        <v>10.68</v>
      </c>
      <c r="BN2480">
        <v>81.88</v>
      </c>
      <c r="BO2480">
        <v>81.88</v>
      </c>
      <c r="BQ2480" t="s">
        <v>335</v>
      </c>
      <c r="BR2480" t="s">
        <v>84</v>
      </c>
      <c r="BS2480" s="3">
        <v>45856</v>
      </c>
      <c r="BT2480" s="4">
        <v>0.4548611111111111</v>
      </c>
      <c r="BU2480" t="s">
        <v>1365</v>
      </c>
      <c r="BV2480" t="s">
        <v>86</v>
      </c>
      <c r="BW2480" t="s">
        <v>194</v>
      </c>
      <c r="BX2480" t="s">
        <v>739</v>
      </c>
      <c r="BY2480">
        <v>5320</v>
      </c>
      <c r="CA2480" t="s">
        <v>337</v>
      </c>
      <c r="CC2480" t="s">
        <v>93</v>
      </c>
      <c r="CD2480">
        <v>4052</v>
      </c>
      <c r="CE2480" t="s">
        <v>145</v>
      </c>
      <c r="CF2480" s="3">
        <v>45856</v>
      </c>
      <c r="CI2480">
        <v>1</v>
      </c>
      <c r="CJ2480">
        <v>1</v>
      </c>
      <c r="CK2480">
        <v>21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"080066632429"</f>
        <v>080066632429</v>
      </c>
      <c r="F2481" s="3">
        <v>45855</v>
      </c>
      <c r="G2481">
        <v>202604</v>
      </c>
      <c r="H2481" t="s">
        <v>75</v>
      </c>
      <c r="I2481" t="s">
        <v>76</v>
      </c>
      <c r="J2481" t="s">
        <v>77</v>
      </c>
      <c r="K2481" t="s">
        <v>78</v>
      </c>
      <c r="L2481" t="s">
        <v>92</v>
      </c>
      <c r="M2481" t="s">
        <v>93</v>
      </c>
      <c r="N2481" t="s">
        <v>749</v>
      </c>
      <c r="O2481" t="s">
        <v>82</v>
      </c>
      <c r="P2481" t="str">
        <f>"4170049375                    "</f>
        <v xml:space="preserve">4170049375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71.2</v>
      </c>
      <c r="BM2481">
        <v>10.68</v>
      </c>
      <c r="BN2481">
        <v>81.88</v>
      </c>
      <c r="BO2481">
        <v>81.88</v>
      </c>
      <c r="BQ2481" t="s">
        <v>750</v>
      </c>
      <c r="BR2481" t="s">
        <v>84</v>
      </c>
      <c r="BS2481" s="3">
        <v>45856</v>
      </c>
      <c r="BT2481" s="4">
        <v>0.37708333333333333</v>
      </c>
      <c r="BU2481" t="s">
        <v>751</v>
      </c>
      <c r="BV2481" t="s">
        <v>98</v>
      </c>
      <c r="BY2481">
        <v>1200</v>
      </c>
      <c r="CA2481" t="s">
        <v>491</v>
      </c>
      <c r="CC2481" t="s">
        <v>93</v>
      </c>
      <c r="CD2481">
        <v>4001</v>
      </c>
      <c r="CE2481" t="s">
        <v>121</v>
      </c>
      <c r="CF2481" s="3">
        <v>45857</v>
      </c>
      <c r="CI2481">
        <v>1</v>
      </c>
      <c r="CJ2481">
        <v>1</v>
      </c>
      <c r="CK2481">
        <v>21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"080066633452"</f>
        <v>080066633452</v>
      </c>
      <c r="F2482" s="3">
        <v>45855</v>
      </c>
      <c r="G2482">
        <v>202604</v>
      </c>
      <c r="H2482" t="s">
        <v>75</v>
      </c>
      <c r="I2482" t="s">
        <v>76</v>
      </c>
      <c r="J2482" t="s">
        <v>77</v>
      </c>
      <c r="K2482" t="s">
        <v>78</v>
      </c>
      <c r="L2482" t="s">
        <v>92</v>
      </c>
      <c r="M2482" t="s">
        <v>93</v>
      </c>
      <c r="N2482" t="s">
        <v>334</v>
      </c>
      <c r="O2482" t="s">
        <v>95</v>
      </c>
      <c r="P2482" t="str">
        <f>"4170049380                    "</f>
        <v xml:space="preserve">4170049380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139.32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4</v>
      </c>
      <c r="BI2482">
        <v>68</v>
      </c>
      <c r="BJ2482">
        <v>63.7</v>
      </c>
      <c r="BK2482">
        <v>68</v>
      </c>
      <c r="BL2482">
        <v>444.81</v>
      </c>
      <c r="BM2482">
        <v>66.72</v>
      </c>
      <c r="BN2482">
        <v>511.53</v>
      </c>
      <c r="BO2482">
        <v>511.53</v>
      </c>
      <c r="BQ2482" t="s">
        <v>335</v>
      </c>
      <c r="BR2482" t="s">
        <v>84</v>
      </c>
      <c r="BS2482" s="3">
        <v>45856</v>
      </c>
      <c r="BT2482" s="4">
        <v>0.59166666666666667</v>
      </c>
      <c r="BU2482" t="s">
        <v>2849</v>
      </c>
      <c r="BV2482" t="s">
        <v>98</v>
      </c>
      <c r="BY2482">
        <v>318507</v>
      </c>
      <c r="CC2482" t="s">
        <v>93</v>
      </c>
      <c r="CD2482">
        <v>4052</v>
      </c>
      <c r="CE2482" t="s">
        <v>2742</v>
      </c>
      <c r="CF2482" s="3">
        <v>45857</v>
      </c>
      <c r="CI2482">
        <v>1</v>
      </c>
      <c r="CJ2482">
        <v>1</v>
      </c>
      <c r="CK2482">
        <v>41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"080066633522"</f>
        <v>080066633522</v>
      </c>
      <c r="F2483" s="3">
        <v>45855</v>
      </c>
      <c r="G2483">
        <v>202604</v>
      </c>
      <c r="H2483" t="s">
        <v>75</v>
      </c>
      <c r="I2483" t="s">
        <v>76</v>
      </c>
      <c r="J2483" t="s">
        <v>77</v>
      </c>
      <c r="K2483" t="s">
        <v>78</v>
      </c>
      <c r="L2483" t="s">
        <v>670</v>
      </c>
      <c r="M2483" t="s">
        <v>671</v>
      </c>
      <c r="N2483" t="s">
        <v>1609</v>
      </c>
      <c r="O2483" t="s">
        <v>311</v>
      </c>
      <c r="P2483" t="str">
        <f>"4170049373                    "</f>
        <v xml:space="preserve">4170049373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17.66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5</v>
      </c>
      <c r="BJ2483">
        <v>3.4</v>
      </c>
      <c r="BK2483">
        <v>5</v>
      </c>
      <c r="BL2483">
        <v>55.63</v>
      </c>
      <c r="BM2483">
        <v>8.34</v>
      </c>
      <c r="BN2483">
        <v>63.97</v>
      </c>
      <c r="BO2483">
        <v>63.97</v>
      </c>
      <c r="BQ2483" t="s">
        <v>1610</v>
      </c>
      <c r="BR2483" t="s">
        <v>84</v>
      </c>
      <c r="BS2483" s="3">
        <v>45856</v>
      </c>
      <c r="BT2483" s="4">
        <v>0.42708333333333331</v>
      </c>
      <c r="BU2483" t="s">
        <v>1611</v>
      </c>
      <c r="BV2483" t="s">
        <v>98</v>
      </c>
      <c r="BY2483">
        <v>16965</v>
      </c>
      <c r="CA2483" t="s">
        <v>676</v>
      </c>
      <c r="CC2483" t="s">
        <v>671</v>
      </c>
      <c r="CD2483">
        <v>2163</v>
      </c>
      <c r="CE2483" t="s">
        <v>145</v>
      </c>
      <c r="CF2483" s="3">
        <v>45857</v>
      </c>
      <c r="CI2483">
        <v>1</v>
      </c>
      <c r="CJ2483">
        <v>1</v>
      </c>
      <c r="CK2483">
        <v>32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"080066633785"</f>
        <v>080066633785</v>
      </c>
      <c r="F2484" s="3">
        <v>45855</v>
      </c>
      <c r="G2484">
        <v>202604</v>
      </c>
      <c r="H2484" t="s">
        <v>75</v>
      </c>
      <c r="I2484" t="s">
        <v>76</v>
      </c>
      <c r="J2484" t="s">
        <v>77</v>
      </c>
      <c r="K2484" t="s">
        <v>78</v>
      </c>
      <c r="L2484" t="s">
        <v>79</v>
      </c>
      <c r="M2484" t="s">
        <v>80</v>
      </c>
      <c r="N2484" t="s">
        <v>188</v>
      </c>
      <c r="O2484" t="s">
        <v>82</v>
      </c>
      <c r="P2484" t="str">
        <f>"4170049379                    "</f>
        <v xml:space="preserve">4170049379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22.6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71.2</v>
      </c>
      <c r="BM2484">
        <v>10.68</v>
      </c>
      <c r="BN2484">
        <v>81.88</v>
      </c>
      <c r="BO2484">
        <v>81.88</v>
      </c>
      <c r="BQ2484" t="s">
        <v>189</v>
      </c>
      <c r="BR2484" t="s">
        <v>84</v>
      </c>
      <c r="BS2484" s="3">
        <v>45856</v>
      </c>
      <c r="BT2484" s="4">
        <v>0.34236111111111112</v>
      </c>
      <c r="BU2484" t="s">
        <v>1216</v>
      </c>
      <c r="BV2484" t="s">
        <v>98</v>
      </c>
      <c r="BY2484">
        <v>1200</v>
      </c>
      <c r="CA2484" t="s">
        <v>144</v>
      </c>
      <c r="CC2484" t="s">
        <v>80</v>
      </c>
      <c r="CD2484">
        <v>7441</v>
      </c>
      <c r="CE2484" t="s">
        <v>121</v>
      </c>
      <c r="CF2484" s="3">
        <v>45859</v>
      </c>
      <c r="CI2484">
        <v>1</v>
      </c>
      <c r="CJ2484">
        <v>1</v>
      </c>
      <c r="CK2484">
        <v>21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"080066634224"</f>
        <v>080066634224</v>
      </c>
      <c r="F2485" s="3">
        <v>45855</v>
      </c>
      <c r="G2485">
        <v>202604</v>
      </c>
      <c r="H2485" t="s">
        <v>75</v>
      </c>
      <c r="I2485" t="s">
        <v>76</v>
      </c>
      <c r="J2485" t="s">
        <v>77</v>
      </c>
      <c r="K2485" t="s">
        <v>78</v>
      </c>
      <c r="L2485" t="s">
        <v>221</v>
      </c>
      <c r="M2485" t="s">
        <v>222</v>
      </c>
      <c r="N2485" t="s">
        <v>223</v>
      </c>
      <c r="O2485" t="s">
        <v>82</v>
      </c>
      <c r="P2485" t="str">
        <f>"4170049383                    "</f>
        <v xml:space="preserve">4170049383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43.78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137.94</v>
      </c>
      <c r="BM2485">
        <v>20.69</v>
      </c>
      <c r="BN2485">
        <v>158.63</v>
      </c>
      <c r="BO2485">
        <v>158.63</v>
      </c>
      <c r="BQ2485" t="s">
        <v>224</v>
      </c>
      <c r="BR2485" t="s">
        <v>84</v>
      </c>
      <c r="BS2485" s="3">
        <v>45856</v>
      </c>
      <c r="BT2485" s="4">
        <v>0.47916666666666669</v>
      </c>
      <c r="BU2485" t="s">
        <v>1707</v>
      </c>
      <c r="BV2485" t="s">
        <v>98</v>
      </c>
      <c r="BY2485">
        <v>1200</v>
      </c>
      <c r="CC2485" t="s">
        <v>222</v>
      </c>
      <c r="CD2485">
        <v>2740</v>
      </c>
      <c r="CE2485" t="s">
        <v>121</v>
      </c>
      <c r="CF2485" s="3">
        <v>45859</v>
      </c>
      <c r="CI2485">
        <v>1</v>
      </c>
      <c r="CJ2485">
        <v>1</v>
      </c>
      <c r="CK2485">
        <v>23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"080066634265"</f>
        <v>080066634265</v>
      </c>
      <c r="F2486" s="3">
        <v>45855</v>
      </c>
      <c r="G2486">
        <v>202604</v>
      </c>
      <c r="H2486" t="s">
        <v>75</v>
      </c>
      <c r="I2486" t="s">
        <v>76</v>
      </c>
      <c r="J2486" t="s">
        <v>77</v>
      </c>
      <c r="K2486" t="s">
        <v>78</v>
      </c>
      <c r="L2486" t="s">
        <v>92</v>
      </c>
      <c r="M2486" t="s">
        <v>93</v>
      </c>
      <c r="N2486" t="s">
        <v>334</v>
      </c>
      <c r="O2486" t="s">
        <v>82</v>
      </c>
      <c r="P2486" t="str">
        <f>"4170049382                    "</f>
        <v xml:space="preserve">4170049382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22.6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1.1000000000000001</v>
      </c>
      <c r="BK2486">
        <v>1.5</v>
      </c>
      <c r="BL2486">
        <v>71.2</v>
      </c>
      <c r="BM2486">
        <v>10.68</v>
      </c>
      <c r="BN2486">
        <v>81.88</v>
      </c>
      <c r="BO2486">
        <v>81.88</v>
      </c>
      <c r="BQ2486" t="s">
        <v>335</v>
      </c>
      <c r="BR2486" t="s">
        <v>84</v>
      </c>
      <c r="BS2486" s="3">
        <v>45856</v>
      </c>
      <c r="BT2486" s="4">
        <v>0.4548611111111111</v>
      </c>
      <c r="BU2486" t="s">
        <v>1365</v>
      </c>
      <c r="BV2486" t="s">
        <v>86</v>
      </c>
      <c r="BW2486" t="s">
        <v>194</v>
      </c>
      <c r="BX2486" t="s">
        <v>739</v>
      </c>
      <c r="BY2486">
        <v>5320</v>
      </c>
      <c r="CA2486" t="s">
        <v>337</v>
      </c>
      <c r="CC2486" t="s">
        <v>93</v>
      </c>
      <c r="CD2486">
        <v>4052</v>
      </c>
      <c r="CE2486" t="s">
        <v>145</v>
      </c>
      <c r="CF2486" s="3">
        <v>45856</v>
      </c>
      <c r="CI2486">
        <v>1</v>
      </c>
      <c r="CJ2486">
        <v>1</v>
      </c>
      <c r="CK2486">
        <v>21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"080066634768"</f>
        <v>080066634768</v>
      </c>
      <c r="F2487" s="3">
        <v>45855</v>
      </c>
      <c r="G2487">
        <v>202604</v>
      </c>
      <c r="H2487" t="s">
        <v>75</v>
      </c>
      <c r="I2487" t="s">
        <v>76</v>
      </c>
      <c r="J2487" t="s">
        <v>77</v>
      </c>
      <c r="K2487" t="s">
        <v>78</v>
      </c>
      <c r="L2487" t="s">
        <v>168</v>
      </c>
      <c r="M2487" t="s">
        <v>169</v>
      </c>
      <c r="N2487" t="s">
        <v>726</v>
      </c>
      <c r="O2487" t="s">
        <v>82</v>
      </c>
      <c r="P2487" t="str">
        <f>"4170049369                    "</f>
        <v xml:space="preserve">4170049369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79.05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7</v>
      </c>
      <c r="BJ2487">
        <v>5.4</v>
      </c>
      <c r="BK2487">
        <v>7</v>
      </c>
      <c r="BL2487">
        <v>249.05</v>
      </c>
      <c r="BM2487">
        <v>37.36</v>
      </c>
      <c r="BN2487">
        <v>286.41000000000003</v>
      </c>
      <c r="BO2487">
        <v>286.41000000000003</v>
      </c>
      <c r="BQ2487" t="s">
        <v>727</v>
      </c>
      <c r="BR2487" t="s">
        <v>84</v>
      </c>
      <c r="BS2487" s="3">
        <v>45856</v>
      </c>
      <c r="BT2487" s="4">
        <v>0.38819444444444445</v>
      </c>
      <c r="BU2487" t="s">
        <v>2184</v>
      </c>
      <c r="BV2487" t="s">
        <v>98</v>
      </c>
      <c r="BY2487">
        <v>26880</v>
      </c>
      <c r="BZ2487" t="s">
        <v>89</v>
      </c>
      <c r="CA2487" t="s">
        <v>423</v>
      </c>
      <c r="CC2487" t="s">
        <v>169</v>
      </c>
      <c r="CD2487">
        <v>6001</v>
      </c>
      <c r="CE2487" t="s">
        <v>91</v>
      </c>
      <c r="CF2487" s="3">
        <v>45856</v>
      </c>
      <c r="CI2487">
        <v>1</v>
      </c>
      <c r="CJ2487">
        <v>1</v>
      </c>
      <c r="CK2487">
        <v>21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"080066634832"</f>
        <v>080066634832</v>
      </c>
      <c r="F2488" s="3">
        <v>45855</v>
      </c>
      <c r="G2488">
        <v>202604</v>
      </c>
      <c r="H2488" t="s">
        <v>75</v>
      </c>
      <c r="I2488" t="s">
        <v>76</v>
      </c>
      <c r="J2488" t="s">
        <v>77</v>
      </c>
      <c r="K2488" t="s">
        <v>78</v>
      </c>
      <c r="L2488" t="s">
        <v>135</v>
      </c>
      <c r="M2488" t="s">
        <v>136</v>
      </c>
      <c r="N2488" t="s">
        <v>416</v>
      </c>
      <c r="O2488" t="s">
        <v>82</v>
      </c>
      <c r="P2488" t="str">
        <f>"4170049386                    "</f>
        <v xml:space="preserve">4170049386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22.6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71.2</v>
      </c>
      <c r="BM2488">
        <v>10.68</v>
      </c>
      <c r="BN2488">
        <v>81.88</v>
      </c>
      <c r="BO2488">
        <v>81.88</v>
      </c>
      <c r="BQ2488" t="s">
        <v>417</v>
      </c>
      <c r="BR2488" t="s">
        <v>84</v>
      </c>
      <c r="BS2488" s="3">
        <v>45856</v>
      </c>
      <c r="BT2488" s="4">
        <v>0.41666666666666669</v>
      </c>
      <c r="BU2488" t="s">
        <v>650</v>
      </c>
      <c r="BV2488" t="s">
        <v>98</v>
      </c>
      <c r="BY2488">
        <v>1200</v>
      </c>
      <c r="CC2488" t="s">
        <v>136</v>
      </c>
      <c r="CD2488">
        <v>3201</v>
      </c>
      <c r="CE2488" t="s">
        <v>121</v>
      </c>
      <c r="CF2488" s="3">
        <v>45856</v>
      </c>
      <c r="CI2488">
        <v>1</v>
      </c>
      <c r="CJ2488">
        <v>1</v>
      </c>
      <c r="CK2488">
        <v>21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"080066634878"</f>
        <v>080066634878</v>
      </c>
      <c r="F2489" s="3">
        <v>45855</v>
      </c>
      <c r="G2489">
        <v>202604</v>
      </c>
      <c r="H2489" t="s">
        <v>75</v>
      </c>
      <c r="I2489" t="s">
        <v>76</v>
      </c>
      <c r="J2489" t="s">
        <v>77</v>
      </c>
      <c r="K2489" t="s">
        <v>78</v>
      </c>
      <c r="L2489" t="s">
        <v>221</v>
      </c>
      <c r="M2489" t="s">
        <v>222</v>
      </c>
      <c r="N2489" t="s">
        <v>223</v>
      </c>
      <c r="O2489" t="s">
        <v>82</v>
      </c>
      <c r="P2489" t="str">
        <f>"4170049372                    "</f>
        <v xml:space="preserve">4170049372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221.73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2</v>
      </c>
      <c r="BI2489">
        <v>9</v>
      </c>
      <c r="BJ2489">
        <v>10.8</v>
      </c>
      <c r="BK2489">
        <v>11</v>
      </c>
      <c r="BL2489">
        <v>698.57</v>
      </c>
      <c r="BM2489">
        <v>104.79</v>
      </c>
      <c r="BN2489">
        <v>803.36</v>
      </c>
      <c r="BO2489">
        <v>803.36</v>
      </c>
      <c r="BQ2489" t="s">
        <v>224</v>
      </c>
      <c r="BR2489" t="s">
        <v>84</v>
      </c>
      <c r="BS2489" s="3">
        <v>45856</v>
      </c>
      <c r="BT2489" s="4">
        <v>0.47916666666666669</v>
      </c>
      <c r="BU2489" t="s">
        <v>1707</v>
      </c>
      <c r="BV2489" t="s">
        <v>98</v>
      </c>
      <c r="BY2489">
        <v>54240</v>
      </c>
      <c r="CC2489" t="s">
        <v>222</v>
      </c>
      <c r="CD2489">
        <v>2740</v>
      </c>
      <c r="CE2489" t="s">
        <v>91</v>
      </c>
      <c r="CF2489" s="3">
        <v>45859</v>
      </c>
      <c r="CI2489">
        <v>1</v>
      </c>
      <c r="CJ2489">
        <v>1</v>
      </c>
      <c r="CK2489">
        <v>23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"080066634929"</f>
        <v>080066634929</v>
      </c>
      <c r="F2490" s="3">
        <v>45855</v>
      </c>
      <c r="G2490">
        <v>202604</v>
      </c>
      <c r="H2490" t="s">
        <v>75</v>
      </c>
      <c r="I2490" t="s">
        <v>76</v>
      </c>
      <c r="J2490" t="s">
        <v>77</v>
      </c>
      <c r="K2490" t="s">
        <v>78</v>
      </c>
      <c r="L2490" t="s">
        <v>168</v>
      </c>
      <c r="M2490" t="s">
        <v>169</v>
      </c>
      <c r="N2490" t="s">
        <v>412</v>
      </c>
      <c r="O2490" t="s">
        <v>82</v>
      </c>
      <c r="P2490" t="str">
        <f>"4170049366                    "</f>
        <v xml:space="preserve">4170049366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84.7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6</v>
      </c>
      <c r="BJ2490">
        <v>7.1</v>
      </c>
      <c r="BK2490">
        <v>7.5</v>
      </c>
      <c r="BL2490">
        <v>266.83999999999997</v>
      </c>
      <c r="BM2490">
        <v>40.03</v>
      </c>
      <c r="BN2490">
        <v>306.87</v>
      </c>
      <c r="BO2490">
        <v>306.87</v>
      </c>
      <c r="BQ2490" t="s">
        <v>413</v>
      </c>
      <c r="BR2490" t="s">
        <v>84</v>
      </c>
      <c r="BS2490" s="3">
        <v>45856</v>
      </c>
      <c r="BT2490" s="4">
        <v>0.38055555555555554</v>
      </c>
      <c r="BU2490" t="s">
        <v>470</v>
      </c>
      <c r="BV2490" t="s">
        <v>98</v>
      </c>
      <c r="BY2490">
        <v>35640</v>
      </c>
      <c r="CA2490" t="s">
        <v>415</v>
      </c>
      <c r="CC2490" t="s">
        <v>169</v>
      </c>
      <c r="CD2490">
        <v>6001</v>
      </c>
      <c r="CE2490" t="s">
        <v>91</v>
      </c>
      <c r="CF2490" s="3">
        <v>45856</v>
      </c>
      <c r="CI2490">
        <v>1</v>
      </c>
      <c r="CJ2490">
        <v>1</v>
      </c>
      <c r="CK2490">
        <v>21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"080066635212"</f>
        <v>080066635212</v>
      </c>
      <c r="F2491" s="3">
        <v>45855</v>
      </c>
      <c r="G2491">
        <v>202604</v>
      </c>
      <c r="H2491" t="s">
        <v>75</v>
      </c>
      <c r="I2491" t="s">
        <v>76</v>
      </c>
      <c r="J2491" t="s">
        <v>77</v>
      </c>
      <c r="K2491" t="s">
        <v>78</v>
      </c>
      <c r="L2491" t="s">
        <v>305</v>
      </c>
      <c r="M2491" t="s">
        <v>306</v>
      </c>
      <c r="N2491" t="s">
        <v>710</v>
      </c>
      <c r="O2491" t="s">
        <v>82</v>
      </c>
      <c r="P2491" t="str">
        <f>"4170049371                    "</f>
        <v xml:space="preserve">4170049371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22.6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0.3</v>
      </c>
      <c r="BK2491">
        <v>1</v>
      </c>
      <c r="BL2491">
        <v>71.2</v>
      </c>
      <c r="BM2491">
        <v>10.68</v>
      </c>
      <c r="BN2491">
        <v>81.88</v>
      </c>
      <c r="BO2491">
        <v>81.88</v>
      </c>
      <c r="BQ2491" t="s">
        <v>711</v>
      </c>
      <c r="BR2491" t="s">
        <v>84</v>
      </c>
      <c r="BS2491" s="3">
        <v>45856</v>
      </c>
      <c r="BT2491" s="4">
        <v>0.5</v>
      </c>
      <c r="BU2491" t="s">
        <v>2850</v>
      </c>
      <c r="BV2491" t="s">
        <v>86</v>
      </c>
      <c r="BY2491">
        <v>1350</v>
      </c>
      <c r="CC2491" t="s">
        <v>306</v>
      </c>
      <c r="CD2491">
        <v>5200</v>
      </c>
      <c r="CE2491" t="s">
        <v>2851</v>
      </c>
      <c r="CF2491" s="3">
        <v>45856</v>
      </c>
      <c r="CI2491">
        <v>1</v>
      </c>
      <c r="CJ2491">
        <v>1</v>
      </c>
      <c r="CK2491">
        <v>21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"080066635283"</f>
        <v>080066635283</v>
      </c>
      <c r="F2492" s="3">
        <v>45855</v>
      </c>
      <c r="G2492">
        <v>202604</v>
      </c>
      <c r="H2492" t="s">
        <v>75</v>
      </c>
      <c r="I2492" t="s">
        <v>76</v>
      </c>
      <c r="J2492" t="s">
        <v>77</v>
      </c>
      <c r="K2492" t="s">
        <v>78</v>
      </c>
      <c r="L2492" t="s">
        <v>79</v>
      </c>
      <c r="M2492" t="s">
        <v>80</v>
      </c>
      <c r="N2492" t="s">
        <v>141</v>
      </c>
      <c r="O2492" t="s">
        <v>82</v>
      </c>
      <c r="P2492" t="str">
        <f>"4170049325                    "</f>
        <v xml:space="preserve">4170049325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22.6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71.2</v>
      </c>
      <c r="BM2492">
        <v>10.68</v>
      </c>
      <c r="BN2492">
        <v>81.88</v>
      </c>
      <c r="BO2492">
        <v>81.88</v>
      </c>
      <c r="BQ2492" t="s">
        <v>142</v>
      </c>
      <c r="BR2492" t="s">
        <v>84</v>
      </c>
      <c r="BS2492" s="3">
        <v>45856</v>
      </c>
      <c r="BT2492" s="4">
        <v>0.38750000000000001</v>
      </c>
      <c r="BU2492" t="s">
        <v>143</v>
      </c>
      <c r="BV2492" t="s">
        <v>98</v>
      </c>
      <c r="BY2492">
        <v>1200</v>
      </c>
      <c r="CA2492" t="s">
        <v>144</v>
      </c>
      <c r="CC2492" t="s">
        <v>80</v>
      </c>
      <c r="CD2492">
        <v>7441</v>
      </c>
      <c r="CE2492" t="s">
        <v>121</v>
      </c>
      <c r="CF2492" s="3">
        <v>45859</v>
      </c>
      <c r="CI2492">
        <v>1</v>
      </c>
      <c r="CJ2492">
        <v>1</v>
      </c>
      <c r="CK2492">
        <v>21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"080066635353"</f>
        <v>080066635353</v>
      </c>
      <c r="F2493" s="3">
        <v>45855</v>
      </c>
      <c r="G2493">
        <v>202604</v>
      </c>
      <c r="H2493" t="s">
        <v>75</v>
      </c>
      <c r="I2493" t="s">
        <v>76</v>
      </c>
      <c r="J2493" t="s">
        <v>77</v>
      </c>
      <c r="K2493" t="s">
        <v>78</v>
      </c>
      <c r="L2493" t="s">
        <v>79</v>
      </c>
      <c r="M2493" t="s">
        <v>80</v>
      </c>
      <c r="N2493" t="s">
        <v>876</v>
      </c>
      <c r="O2493" t="s">
        <v>82</v>
      </c>
      <c r="P2493" t="str">
        <f>"4170049368                    "</f>
        <v xml:space="preserve">4170049368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33.89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0.9</v>
      </c>
      <c r="BK2493">
        <v>3</v>
      </c>
      <c r="BL2493">
        <v>106.77</v>
      </c>
      <c r="BM2493">
        <v>16.02</v>
      </c>
      <c r="BN2493">
        <v>122.79</v>
      </c>
      <c r="BO2493">
        <v>122.79</v>
      </c>
      <c r="BQ2493" t="s">
        <v>877</v>
      </c>
      <c r="BR2493" t="s">
        <v>84</v>
      </c>
      <c r="BS2493" s="3">
        <v>45856</v>
      </c>
      <c r="BT2493" s="4">
        <v>0.41319444444444442</v>
      </c>
      <c r="BU2493" t="s">
        <v>2111</v>
      </c>
      <c r="BV2493" t="s">
        <v>98</v>
      </c>
      <c r="BY2493">
        <v>4560</v>
      </c>
      <c r="CA2493" t="s">
        <v>162</v>
      </c>
      <c r="CC2493" t="s">
        <v>80</v>
      </c>
      <c r="CD2493">
        <v>7441</v>
      </c>
      <c r="CE2493" t="s">
        <v>145</v>
      </c>
      <c r="CF2493" s="3">
        <v>45859</v>
      </c>
      <c r="CI2493">
        <v>1</v>
      </c>
      <c r="CJ2493">
        <v>1</v>
      </c>
      <c r="CK2493">
        <v>21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"080066635434"</f>
        <v>080066635434</v>
      </c>
      <c r="F2494" s="3">
        <v>45855</v>
      </c>
      <c r="G2494">
        <v>202604</v>
      </c>
      <c r="H2494" t="s">
        <v>75</v>
      </c>
      <c r="I2494" t="s">
        <v>76</v>
      </c>
      <c r="J2494" t="s">
        <v>77</v>
      </c>
      <c r="K2494" t="s">
        <v>78</v>
      </c>
      <c r="L2494" t="s">
        <v>363</v>
      </c>
      <c r="M2494" t="s">
        <v>364</v>
      </c>
      <c r="N2494" t="s">
        <v>365</v>
      </c>
      <c r="O2494" t="s">
        <v>82</v>
      </c>
      <c r="P2494" t="str">
        <f>"4170049367                    "</f>
        <v xml:space="preserve">4170049367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142.63999999999999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6</v>
      </c>
      <c r="BJ2494">
        <v>6.8</v>
      </c>
      <c r="BK2494">
        <v>7</v>
      </c>
      <c r="BL2494">
        <v>449.4</v>
      </c>
      <c r="BM2494">
        <v>67.41</v>
      </c>
      <c r="BN2494">
        <v>516.80999999999995</v>
      </c>
      <c r="BO2494">
        <v>516.80999999999995</v>
      </c>
      <c r="BQ2494" t="s">
        <v>366</v>
      </c>
      <c r="BR2494" t="s">
        <v>84</v>
      </c>
      <c r="BS2494" s="3">
        <v>45856</v>
      </c>
      <c r="BT2494" s="4">
        <v>0.51736111111111116</v>
      </c>
      <c r="BU2494" t="s">
        <v>2852</v>
      </c>
      <c r="BV2494" t="s">
        <v>98</v>
      </c>
      <c r="BY2494">
        <v>33792</v>
      </c>
      <c r="CA2494" t="s">
        <v>2129</v>
      </c>
      <c r="CC2494" t="s">
        <v>364</v>
      </c>
      <c r="CD2494">
        <v>7300</v>
      </c>
      <c r="CE2494" t="s">
        <v>91</v>
      </c>
      <c r="CF2494" s="3">
        <v>45859</v>
      </c>
      <c r="CI2494">
        <v>1</v>
      </c>
      <c r="CJ2494">
        <v>1</v>
      </c>
      <c r="CK2494">
        <v>23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"080066635521"</f>
        <v>080066635521</v>
      </c>
      <c r="F2495" s="3">
        <v>45855</v>
      </c>
      <c r="G2495">
        <v>202604</v>
      </c>
      <c r="H2495" t="s">
        <v>75</v>
      </c>
      <c r="I2495" t="s">
        <v>76</v>
      </c>
      <c r="J2495" t="s">
        <v>77</v>
      </c>
      <c r="K2495" t="s">
        <v>78</v>
      </c>
      <c r="L2495" t="s">
        <v>151</v>
      </c>
      <c r="M2495" t="s">
        <v>152</v>
      </c>
      <c r="N2495" t="s">
        <v>1568</v>
      </c>
      <c r="O2495" t="s">
        <v>95</v>
      </c>
      <c r="P2495" t="str">
        <f>"4170049381                    "</f>
        <v xml:space="preserve">4170049381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43.7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7</v>
      </c>
      <c r="BJ2495">
        <v>8.9</v>
      </c>
      <c r="BK2495">
        <v>9</v>
      </c>
      <c r="BL2495">
        <v>143.55000000000001</v>
      </c>
      <c r="BM2495">
        <v>21.53</v>
      </c>
      <c r="BN2495">
        <v>165.08</v>
      </c>
      <c r="BO2495">
        <v>165.08</v>
      </c>
      <c r="BQ2495" t="s">
        <v>1569</v>
      </c>
      <c r="BR2495" t="s">
        <v>84</v>
      </c>
      <c r="BS2495" s="3">
        <v>45856</v>
      </c>
      <c r="BT2495" s="4">
        <v>0.33333333333333331</v>
      </c>
      <c r="BU2495" t="s">
        <v>1570</v>
      </c>
      <c r="BV2495" t="s">
        <v>98</v>
      </c>
      <c r="BY2495">
        <v>44640</v>
      </c>
      <c r="CA2495" t="s">
        <v>906</v>
      </c>
      <c r="CC2495" t="s">
        <v>152</v>
      </c>
      <c r="CD2495" s="5" t="s">
        <v>907</v>
      </c>
      <c r="CE2495" t="s">
        <v>145</v>
      </c>
      <c r="CF2495" s="3">
        <v>45856</v>
      </c>
      <c r="CI2495">
        <v>1</v>
      </c>
      <c r="CJ2495">
        <v>1</v>
      </c>
      <c r="CK2495">
        <v>41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"080066635637"</f>
        <v>080066635637</v>
      </c>
      <c r="F2496" s="3">
        <v>45855</v>
      </c>
      <c r="G2496">
        <v>202604</v>
      </c>
      <c r="H2496" t="s">
        <v>75</v>
      </c>
      <c r="I2496" t="s">
        <v>76</v>
      </c>
      <c r="J2496" t="s">
        <v>77</v>
      </c>
      <c r="K2496" t="s">
        <v>78</v>
      </c>
      <c r="L2496" t="s">
        <v>221</v>
      </c>
      <c r="M2496" t="s">
        <v>222</v>
      </c>
      <c r="N2496" t="s">
        <v>223</v>
      </c>
      <c r="O2496" t="s">
        <v>82</v>
      </c>
      <c r="P2496" t="str">
        <f>"4170049358                    "</f>
        <v xml:space="preserve">4170049358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43.78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0.8</v>
      </c>
      <c r="BK2496">
        <v>1</v>
      </c>
      <c r="BL2496">
        <v>137.94</v>
      </c>
      <c r="BM2496">
        <v>20.69</v>
      </c>
      <c r="BN2496">
        <v>158.63</v>
      </c>
      <c r="BO2496">
        <v>158.63</v>
      </c>
      <c r="BQ2496" t="s">
        <v>224</v>
      </c>
      <c r="BR2496" t="s">
        <v>84</v>
      </c>
      <c r="BS2496" s="3">
        <v>45856</v>
      </c>
      <c r="BT2496" s="4">
        <v>0.47916666666666669</v>
      </c>
      <c r="BU2496" t="s">
        <v>1707</v>
      </c>
      <c r="BV2496" t="s">
        <v>98</v>
      </c>
      <c r="BY2496">
        <v>4000</v>
      </c>
      <c r="CC2496" t="s">
        <v>222</v>
      </c>
      <c r="CD2496">
        <v>2740</v>
      </c>
      <c r="CE2496" t="s">
        <v>91</v>
      </c>
      <c r="CF2496" s="3">
        <v>45859</v>
      </c>
      <c r="CI2496">
        <v>1</v>
      </c>
      <c r="CJ2496">
        <v>1</v>
      </c>
      <c r="CK2496">
        <v>23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"080066636531"</f>
        <v>080066636531</v>
      </c>
      <c r="F2497" s="3">
        <v>45855</v>
      </c>
      <c r="G2497">
        <v>202604</v>
      </c>
      <c r="H2497" t="s">
        <v>75</v>
      </c>
      <c r="I2497" t="s">
        <v>76</v>
      </c>
      <c r="J2497" t="s">
        <v>77</v>
      </c>
      <c r="K2497" t="s">
        <v>78</v>
      </c>
      <c r="L2497" t="s">
        <v>75</v>
      </c>
      <c r="M2497" t="s">
        <v>76</v>
      </c>
      <c r="N2497" t="s">
        <v>2853</v>
      </c>
      <c r="O2497" t="s">
        <v>95</v>
      </c>
      <c r="P2497" t="str">
        <f>"4170049391                    "</f>
        <v xml:space="preserve">4170049391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38.65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20</v>
      </c>
      <c r="BJ2497">
        <v>19.399999999999999</v>
      </c>
      <c r="BK2497">
        <v>20</v>
      </c>
      <c r="BL2497">
        <v>127.64</v>
      </c>
      <c r="BM2497">
        <v>19.149999999999999</v>
      </c>
      <c r="BN2497">
        <v>146.79</v>
      </c>
      <c r="BO2497">
        <v>146.79</v>
      </c>
      <c r="BQ2497" t="s">
        <v>2854</v>
      </c>
      <c r="BR2497" t="s">
        <v>84</v>
      </c>
      <c r="BS2497" s="3">
        <v>45856</v>
      </c>
      <c r="BT2497" s="4">
        <v>0.56944444444444442</v>
      </c>
      <c r="BU2497" t="s">
        <v>975</v>
      </c>
      <c r="BV2497" t="s">
        <v>98</v>
      </c>
      <c r="BY2497">
        <v>97200</v>
      </c>
      <c r="CA2497" t="s">
        <v>1282</v>
      </c>
      <c r="CC2497" t="s">
        <v>76</v>
      </c>
      <c r="CD2497">
        <v>1620</v>
      </c>
      <c r="CE2497" t="s">
        <v>2742</v>
      </c>
      <c r="CF2497" s="3">
        <v>45857</v>
      </c>
      <c r="CI2497">
        <v>1</v>
      </c>
      <c r="CJ2497">
        <v>1</v>
      </c>
      <c r="CK2497">
        <v>42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"080066653346"</f>
        <v>080066653346</v>
      </c>
      <c r="F2498" s="3">
        <v>45856</v>
      </c>
      <c r="G2498">
        <v>202604</v>
      </c>
      <c r="H2498" t="s">
        <v>75</v>
      </c>
      <c r="I2498" t="s">
        <v>76</v>
      </c>
      <c r="J2498" t="s">
        <v>77</v>
      </c>
      <c r="K2498" t="s">
        <v>78</v>
      </c>
      <c r="L2498" t="s">
        <v>79</v>
      </c>
      <c r="M2498" t="s">
        <v>80</v>
      </c>
      <c r="N2498" t="s">
        <v>689</v>
      </c>
      <c r="O2498" t="s">
        <v>82</v>
      </c>
      <c r="P2498" t="str">
        <f>"4170049483                    "</f>
        <v xml:space="preserve">4170049483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33.89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3</v>
      </c>
      <c r="BJ2498">
        <v>1.1000000000000001</v>
      </c>
      <c r="BK2498">
        <v>3</v>
      </c>
      <c r="BL2498">
        <v>106.77</v>
      </c>
      <c r="BM2498">
        <v>16.02</v>
      </c>
      <c r="BN2498">
        <v>122.79</v>
      </c>
      <c r="BO2498">
        <v>122.79</v>
      </c>
      <c r="BQ2498" t="s">
        <v>690</v>
      </c>
      <c r="BR2498" t="s">
        <v>84</v>
      </c>
      <c r="BS2498" s="3">
        <v>45859</v>
      </c>
      <c r="BT2498" s="4">
        <v>0.40763888888888888</v>
      </c>
      <c r="BU2498" t="s">
        <v>691</v>
      </c>
      <c r="BV2498" t="s">
        <v>98</v>
      </c>
      <c r="BY2498">
        <v>5320</v>
      </c>
      <c r="CA2498" t="s">
        <v>692</v>
      </c>
      <c r="CC2498" t="s">
        <v>80</v>
      </c>
      <c r="CD2498">
        <v>7800</v>
      </c>
      <c r="CE2498" t="s">
        <v>145</v>
      </c>
      <c r="CF2498" s="3">
        <v>45860</v>
      </c>
      <c r="CI2498">
        <v>1</v>
      </c>
      <c r="CJ2498">
        <v>1</v>
      </c>
      <c r="CK2498">
        <v>21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"080066653375"</f>
        <v>080066653375</v>
      </c>
      <c r="F2499" s="3">
        <v>45856</v>
      </c>
      <c r="G2499">
        <v>202604</v>
      </c>
      <c r="H2499" t="s">
        <v>75</v>
      </c>
      <c r="I2499" t="s">
        <v>76</v>
      </c>
      <c r="J2499" t="s">
        <v>77</v>
      </c>
      <c r="K2499" t="s">
        <v>78</v>
      </c>
      <c r="L2499" t="s">
        <v>92</v>
      </c>
      <c r="M2499" t="s">
        <v>93</v>
      </c>
      <c r="N2499" t="s">
        <v>94</v>
      </c>
      <c r="O2499" t="s">
        <v>82</v>
      </c>
      <c r="P2499" t="str">
        <f>"4170049458                    "</f>
        <v xml:space="preserve">4170049458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22.6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71.2</v>
      </c>
      <c r="BM2499">
        <v>10.68</v>
      </c>
      <c r="BN2499">
        <v>81.88</v>
      </c>
      <c r="BO2499">
        <v>81.88</v>
      </c>
      <c r="BQ2499" t="s">
        <v>96</v>
      </c>
      <c r="BR2499" t="s">
        <v>84</v>
      </c>
      <c r="BS2499" s="3">
        <v>45859</v>
      </c>
      <c r="BT2499" s="4">
        <v>0.53055555555555556</v>
      </c>
      <c r="BU2499" t="s">
        <v>2855</v>
      </c>
      <c r="BV2499" t="s">
        <v>86</v>
      </c>
      <c r="BW2499" t="s">
        <v>194</v>
      </c>
      <c r="BX2499" t="s">
        <v>1174</v>
      </c>
      <c r="BY2499">
        <v>1200</v>
      </c>
      <c r="CA2499" t="s">
        <v>2856</v>
      </c>
      <c r="CC2499" t="s">
        <v>93</v>
      </c>
      <c r="CD2499">
        <v>4052</v>
      </c>
      <c r="CE2499" t="s">
        <v>121</v>
      </c>
      <c r="CF2499" s="3">
        <v>45860</v>
      </c>
      <c r="CI2499">
        <v>1</v>
      </c>
      <c r="CJ2499">
        <v>1</v>
      </c>
      <c r="CK2499">
        <v>21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"080066653699"</f>
        <v>080066653699</v>
      </c>
      <c r="F2500" s="3">
        <v>45856</v>
      </c>
      <c r="G2500">
        <v>202604</v>
      </c>
      <c r="H2500" t="s">
        <v>75</v>
      </c>
      <c r="I2500" t="s">
        <v>76</v>
      </c>
      <c r="J2500" t="s">
        <v>77</v>
      </c>
      <c r="K2500" t="s">
        <v>78</v>
      </c>
      <c r="L2500" t="s">
        <v>398</v>
      </c>
      <c r="M2500" t="s">
        <v>399</v>
      </c>
      <c r="N2500" t="s">
        <v>400</v>
      </c>
      <c r="O2500" t="s">
        <v>95</v>
      </c>
      <c r="P2500" t="str">
        <f>"4170049481                    "</f>
        <v xml:space="preserve">4170049481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115.54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80</v>
      </c>
      <c r="BJ2500">
        <v>97.6</v>
      </c>
      <c r="BK2500">
        <v>98</v>
      </c>
      <c r="BL2500">
        <v>369.89</v>
      </c>
      <c r="BM2500">
        <v>55.48</v>
      </c>
      <c r="BN2500">
        <v>425.37</v>
      </c>
      <c r="BO2500">
        <v>425.37</v>
      </c>
      <c r="BQ2500" t="s">
        <v>401</v>
      </c>
      <c r="BR2500" t="s">
        <v>84</v>
      </c>
      <c r="BS2500" s="3">
        <v>45859</v>
      </c>
      <c r="BT2500" s="4">
        <v>0.42430555555555555</v>
      </c>
      <c r="BU2500" t="s">
        <v>2857</v>
      </c>
      <c r="BV2500" t="s">
        <v>98</v>
      </c>
      <c r="BY2500">
        <v>488187</v>
      </c>
      <c r="CA2500" t="s">
        <v>1479</v>
      </c>
      <c r="CC2500" t="s">
        <v>399</v>
      </c>
      <c r="CD2500">
        <v>1502</v>
      </c>
      <c r="CE2500" t="s">
        <v>2858</v>
      </c>
      <c r="CF2500" s="3">
        <v>45859</v>
      </c>
      <c r="CI2500">
        <v>1</v>
      </c>
      <c r="CJ2500">
        <v>1</v>
      </c>
      <c r="CK2500">
        <v>42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"080066653721"</f>
        <v>080066653721</v>
      </c>
      <c r="F2501" s="3">
        <v>45856</v>
      </c>
      <c r="G2501">
        <v>202604</v>
      </c>
      <c r="H2501" t="s">
        <v>75</v>
      </c>
      <c r="I2501" t="s">
        <v>76</v>
      </c>
      <c r="J2501" t="s">
        <v>77</v>
      </c>
      <c r="K2501" t="s">
        <v>78</v>
      </c>
      <c r="L2501" t="s">
        <v>277</v>
      </c>
      <c r="M2501" t="s">
        <v>278</v>
      </c>
      <c r="N2501" t="s">
        <v>2683</v>
      </c>
      <c r="O2501" t="s">
        <v>82</v>
      </c>
      <c r="P2501" t="str">
        <f>"4170049470                    "</f>
        <v xml:space="preserve">4170049470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22.6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1.1000000000000001</v>
      </c>
      <c r="BK2501">
        <v>2</v>
      </c>
      <c r="BL2501">
        <v>71.2</v>
      </c>
      <c r="BM2501">
        <v>10.68</v>
      </c>
      <c r="BN2501">
        <v>81.88</v>
      </c>
      <c r="BO2501">
        <v>81.88</v>
      </c>
      <c r="BQ2501" t="s">
        <v>2684</v>
      </c>
      <c r="BR2501" t="s">
        <v>84</v>
      </c>
      <c r="BS2501" s="3">
        <v>45859</v>
      </c>
      <c r="BT2501" s="4">
        <v>0.33333333333333331</v>
      </c>
      <c r="BU2501" t="s">
        <v>2859</v>
      </c>
      <c r="BV2501" t="s">
        <v>98</v>
      </c>
      <c r="BY2501">
        <v>5320</v>
      </c>
      <c r="CA2501" t="s">
        <v>282</v>
      </c>
      <c r="CC2501" t="s">
        <v>278</v>
      </c>
      <c r="CD2501">
        <v>6230</v>
      </c>
      <c r="CE2501" t="s">
        <v>145</v>
      </c>
      <c r="CF2501" s="3">
        <v>45860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"080066653746"</f>
        <v>080066653746</v>
      </c>
      <c r="F2502" s="3">
        <v>45856</v>
      </c>
      <c r="G2502">
        <v>202604</v>
      </c>
      <c r="H2502" t="s">
        <v>75</v>
      </c>
      <c r="I2502" t="s">
        <v>76</v>
      </c>
      <c r="J2502" t="s">
        <v>77</v>
      </c>
      <c r="K2502" t="s">
        <v>78</v>
      </c>
      <c r="L2502" t="s">
        <v>135</v>
      </c>
      <c r="M2502" t="s">
        <v>136</v>
      </c>
      <c r="N2502" t="s">
        <v>379</v>
      </c>
      <c r="O2502" t="s">
        <v>82</v>
      </c>
      <c r="P2502" t="str">
        <f>"4170049440                    "</f>
        <v xml:space="preserve">4170049440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22.6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71.2</v>
      </c>
      <c r="BM2502">
        <v>10.68</v>
      </c>
      <c r="BN2502">
        <v>81.88</v>
      </c>
      <c r="BO2502">
        <v>81.88</v>
      </c>
      <c r="BQ2502" t="s">
        <v>380</v>
      </c>
      <c r="BR2502" t="s">
        <v>84</v>
      </c>
      <c r="BS2502" s="3">
        <v>45859</v>
      </c>
      <c r="BT2502" s="4">
        <v>0.41666666666666669</v>
      </c>
      <c r="BU2502" t="s">
        <v>2019</v>
      </c>
      <c r="BV2502" t="s">
        <v>98</v>
      </c>
      <c r="BY2502">
        <v>1200</v>
      </c>
      <c r="CA2502" t="s">
        <v>382</v>
      </c>
      <c r="CC2502" t="s">
        <v>136</v>
      </c>
      <c r="CD2502">
        <v>3212</v>
      </c>
      <c r="CE2502" t="s">
        <v>121</v>
      </c>
      <c r="CF2502" s="3">
        <v>45859</v>
      </c>
      <c r="CI2502">
        <v>2</v>
      </c>
      <c r="CJ2502">
        <v>1</v>
      </c>
      <c r="CK2502">
        <v>21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"080066653839"</f>
        <v>080066653839</v>
      </c>
      <c r="F2503" s="3">
        <v>45856</v>
      </c>
      <c r="G2503">
        <v>202604</v>
      </c>
      <c r="H2503" t="s">
        <v>75</v>
      </c>
      <c r="I2503" t="s">
        <v>76</v>
      </c>
      <c r="J2503" t="s">
        <v>77</v>
      </c>
      <c r="K2503" t="s">
        <v>78</v>
      </c>
      <c r="L2503" t="s">
        <v>75</v>
      </c>
      <c r="M2503" t="s">
        <v>76</v>
      </c>
      <c r="N2503" t="s">
        <v>2853</v>
      </c>
      <c r="O2503" t="s">
        <v>82</v>
      </c>
      <c r="P2503" t="str">
        <f>"4170047611                    "</f>
        <v xml:space="preserve">4170047611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17.649999999999999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55.61</v>
      </c>
      <c r="BM2503">
        <v>8.34</v>
      </c>
      <c r="BN2503">
        <v>63.95</v>
      </c>
      <c r="BO2503">
        <v>63.95</v>
      </c>
      <c r="BQ2503" t="s">
        <v>2854</v>
      </c>
      <c r="BR2503" t="s">
        <v>84</v>
      </c>
      <c r="BS2503" s="3">
        <v>45859</v>
      </c>
      <c r="BT2503" s="4">
        <v>0.43263888888888891</v>
      </c>
      <c r="BU2503" t="s">
        <v>2860</v>
      </c>
      <c r="BV2503" t="s">
        <v>98</v>
      </c>
      <c r="BY2503">
        <v>1200</v>
      </c>
      <c r="CA2503" t="s">
        <v>1613</v>
      </c>
      <c r="CC2503" t="s">
        <v>76</v>
      </c>
      <c r="CD2503">
        <v>1620</v>
      </c>
      <c r="CE2503" t="s">
        <v>110</v>
      </c>
      <c r="CF2503" s="3">
        <v>45860</v>
      </c>
      <c r="CI2503">
        <v>1</v>
      </c>
      <c r="CJ2503">
        <v>1</v>
      </c>
      <c r="CK2503">
        <v>22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"080066749165"</f>
        <v>080066749165</v>
      </c>
      <c r="F2504" s="3">
        <v>45861</v>
      </c>
      <c r="G2504">
        <v>202604</v>
      </c>
      <c r="H2504" t="s">
        <v>75</v>
      </c>
      <c r="I2504" t="s">
        <v>76</v>
      </c>
      <c r="J2504" t="s">
        <v>77</v>
      </c>
      <c r="K2504" t="s">
        <v>78</v>
      </c>
      <c r="L2504" t="s">
        <v>168</v>
      </c>
      <c r="M2504" t="s">
        <v>169</v>
      </c>
      <c r="N2504" t="s">
        <v>206</v>
      </c>
      <c r="O2504" t="s">
        <v>82</v>
      </c>
      <c r="P2504" t="str">
        <f>"4170050605                    "</f>
        <v xml:space="preserve">4170050605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22.6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1.1000000000000001</v>
      </c>
      <c r="BK2504">
        <v>1.5</v>
      </c>
      <c r="BL2504">
        <v>71.2</v>
      </c>
      <c r="BM2504">
        <v>10.68</v>
      </c>
      <c r="BN2504">
        <v>81.88</v>
      </c>
      <c r="BO2504">
        <v>81.88</v>
      </c>
      <c r="BQ2504" t="s">
        <v>207</v>
      </c>
      <c r="BR2504" t="s">
        <v>84</v>
      </c>
      <c r="BS2504" s="3">
        <v>45862</v>
      </c>
      <c r="BT2504" s="4">
        <v>0.41875000000000001</v>
      </c>
      <c r="BU2504" t="s">
        <v>2861</v>
      </c>
      <c r="BV2504" t="s">
        <v>98</v>
      </c>
      <c r="BY2504">
        <v>5320</v>
      </c>
      <c r="CA2504" t="s">
        <v>196</v>
      </c>
      <c r="CC2504" t="s">
        <v>169</v>
      </c>
      <c r="CD2504">
        <v>6001</v>
      </c>
      <c r="CE2504" t="s">
        <v>145</v>
      </c>
      <c r="CF2504" s="3">
        <v>45862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"080066657825"</f>
        <v>080066657825</v>
      </c>
      <c r="F2505" s="3">
        <v>45856</v>
      </c>
      <c r="G2505">
        <v>202604</v>
      </c>
      <c r="H2505" t="s">
        <v>75</v>
      </c>
      <c r="I2505" t="s">
        <v>76</v>
      </c>
      <c r="J2505" t="s">
        <v>77</v>
      </c>
      <c r="K2505" t="s">
        <v>78</v>
      </c>
      <c r="L2505" t="s">
        <v>197</v>
      </c>
      <c r="M2505" t="s">
        <v>198</v>
      </c>
      <c r="N2505" t="s">
        <v>2862</v>
      </c>
      <c r="O2505" t="s">
        <v>82</v>
      </c>
      <c r="P2505" t="str">
        <f>"4170049460                    "</f>
        <v xml:space="preserve">4170049460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17.649999999999999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0.3</v>
      </c>
      <c r="BK2505">
        <v>1</v>
      </c>
      <c r="BL2505">
        <v>55.61</v>
      </c>
      <c r="BM2505">
        <v>8.34</v>
      </c>
      <c r="BN2505">
        <v>63.95</v>
      </c>
      <c r="BO2505">
        <v>63.95</v>
      </c>
      <c r="BQ2505" t="s">
        <v>2863</v>
      </c>
      <c r="BR2505" t="s">
        <v>84</v>
      </c>
      <c r="BS2505" s="3">
        <v>45859</v>
      </c>
      <c r="BT2505" s="4">
        <v>0.41388888888888886</v>
      </c>
      <c r="BU2505" t="s">
        <v>2864</v>
      </c>
      <c r="BV2505" t="s">
        <v>98</v>
      </c>
      <c r="BY2505">
        <v>1350</v>
      </c>
      <c r="CA2505" t="s">
        <v>1799</v>
      </c>
      <c r="CC2505" t="s">
        <v>198</v>
      </c>
      <c r="CD2505">
        <v>1406</v>
      </c>
      <c r="CE2505" t="s">
        <v>158</v>
      </c>
      <c r="CF2505" s="3">
        <v>45860</v>
      </c>
      <c r="CI2505">
        <v>1</v>
      </c>
      <c r="CJ2505">
        <v>1</v>
      </c>
      <c r="CK2505">
        <v>22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"080011572417"</f>
        <v>080011572417</v>
      </c>
      <c r="F2506" s="3">
        <v>45856</v>
      </c>
      <c r="G2506">
        <v>202604</v>
      </c>
      <c r="H2506" t="s">
        <v>197</v>
      </c>
      <c r="I2506" t="s">
        <v>198</v>
      </c>
      <c r="J2506" t="s">
        <v>1432</v>
      </c>
      <c r="K2506" t="s">
        <v>78</v>
      </c>
      <c r="L2506" t="s">
        <v>75</v>
      </c>
      <c r="M2506" t="s">
        <v>76</v>
      </c>
      <c r="N2506" t="s">
        <v>228</v>
      </c>
      <c r="O2506" t="s">
        <v>82</v>
      </c>
      <c r="P2506" t="str">
        <f>"Za1001397989                  "</f>
        <v xml:space="preserve">Za1001397989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17.649999999999999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7.7</v>
      </c>
      <c r="BJ2506">
        <v>1.8</v>
      </c>
      <c r="BK2506">
        <v>8</v>
      </c>
      <c r="BL2506">
        <v>55.61</v>
      </c>
      <c r="BM2506">
        <v>8.34</v>
      </c>
      <c r="BN2506">
        <v>63.95</v>
      </c>
      <c r="BO2506">
        <v>63.95</v>
      </c>
      <c r="BP2506" t="s">
        <v>587</v>
      </c>
      <c r="BQ2506" t="s">
        <v>230</v>
      </c>
      <c r="BR2506" t="s">
        <v>1433</v>
      </c>
      <c r="BS2506" s="3">
        <v>45859</v>
      </c>
      <c r="BT2506" s="4">
        <v>0.55902777777777779</v>
      </c>
      <c r="BU2506" t="s">
        <v>2865</v>
      </c>
      <c r="BV2506" t="s">
        <v>86</v>
      </c>
      <c r="BY2506">
        <v>8808.0300000000007</v>
      </c>
      <c r="BZ2506" t="s">
        <v>89</v>
      </c>
      <c r="CA2506" t="s">
        <v>1049</v>
      </c>
      <c r="CC2506" t="s">
        <v>76</v>
      </c>
      <c r="CD2506">
        <v>1619</v>
      </c>
      <c r="CE2506" t="s">
        <v>233</v>
      </c>
      <c r="CF2506" s="3">
        <v>45860</v>
      </c>
      <c r="CI2506">
        <v>1</v>
      </c>
      <c r="CJ2506">
        <v>1</v>
      </c>
      <c r="CK2506">
        <v>22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"080066654008"</f>
        <v>080066654008</v>
      </c>
      <c r="F2507" s="3">
        <v>45856</v>
      </c>
      <c r="G2507">
        <v>202604</v>
      </c>
      <c r="H2507" t="s">
        <v>75</v>
      </c>
      <c r="I2507" t="s">
        <v>76</v>
      </c>
      <c r="J2507" t="s">
        <v>77</v>
      </c>
      <c r="K2507" t="s">
        <v>78</v>
      </c>
      <c r="L2507" t="s">
        <v>151</v>
      </c>
      <c r="M2507" t="s">
        <v>152</v>
      </c>
      <c r="N2507" t="s">
        <v>153</v>
      </c>
      <c r="O2507" t="s">
        <v>95</v>
      </c>
      <c r="P2507" t="str">
        <f>"4170049479                    "</f>
        <v xml:space="preserve">4170049479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63.55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2</v>
      </c>
      <c r="BI2507">
        <v>26</v>
      </c>
      <c r="BJ2507">
        <v>11.5</v>
      </c>
      <c r="BK2507">
        <v>26</v>
      </c>
      <c r="BL2507">
        <v>206.08</v>
      </c>
      <c r="BM2507">
        <v>30.91</v>
      </c>
      <c r="BN2507">
        <v>236.99</v>
      </c>
      <c r="BO2507">
        <v>236.99</v>
      </c>
      <c r="BQ2507" t="s">
        <v>154</v>
      </c>
      <c r="BR2507" t="s">
        <v>84</v>
      </c>
      <c r="BS2507" s="3">
        <v>45859</v>
      </c>
      <c r="BT2507" s="4">
        <v>0.33263888888888887</v>
      </c>
      <c r="BU2507" t="s">
        <v>155</v>
      </c>
      <c r="BV2507" t="s">
        <v>98</v>
      </c>
      <c r="BY2507">
        <v>57408</v>
      </c>
      <c r="CA2507" t="s">
        <v>156</v>
      </c>
      <c r="CC2507" t="s">
        <v>152</v>
      </c>
      <c r="CD2507" s="5" t="s">
        <v>157</v>
      </c>
      <c r="CE2507" t="s">
        <v>1203</v>
      </c>
      <c r="CF2507" s="3">
        <v>45859</v>
      </c>
      <c r="CI2507">
        <v>1</v>
      </c>
      <c r="CJ2507">
        <v>1</v>
      </c>
      <c r="CK2507">
        <v>41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"080066654047"</f>
        <v>080066654047</v>
      </c>
      <c r="F2508" s="3">
        <v>45856</v>
      </c>
      <c r="G2508">
        <v>202604</v>
      </c>
      <c r="H2508" t="s">
        <v>75</v>
      </c>
      <c r="I2508" t="s">
        <v>76</v>
      </c>
      <c r="J2508" t="s">
        <v>77</v>
      </c>
      <c r="K2508" t="s">
        <v>78</v>
      </c>
      <c r="L2508" t="s">
        <v>79</v>
      </c>
      <c r="M2508" t="s">
        <v>80</v>
      </c>
      <c r="N2508" t="s">
        <v>1996</v>
      </c>
      <c r="O2508" t="s">
        <v>82</v>
      </c>
      <c r="P2508" t="str">
        <f>"4170049513                    "</f>
        <v xml:space="preserve">4170049513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22.6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0.6</v>
      </c>
      <c r="BK2508">
        <v>1</v>
      </c>
      <c r="BL2508">
        <v>71.2</v>
      </c>
      <c r="BM2508">
        <v>10.68</v>
      </c>
      <c r="BN2508">
        <v>81.88</v>
      </c>
      <c r="BO2508">
        <v>81.88</v>
      </c>
      <c r="BQ2508" t="s">
        <v>1997</v>
      </c>
      <c r="BR2508" t="s">
        <v>84</v>
      </c>
      <c r="BS2508" s="3">
        <v>45859</v>
      </c>
      <c r="BT2508" s="4">
        <v>0.4375</v>
      </c>
      <c r="BU2508" t="s">
        <v>2279</v>
      </c>
      <c r="BV2508" t="s">
        <v>98</v>
      </c>
      <c r="BY2508">
        <v>3192</v>
      </c>
      <c r="CC2508" t="s">
        <v>80</v>
      </c>
      <c r="CD2508">
        <v>7405</v>
      </c>
      <c r="CE2508" t="s">
        <v>145</v>
      </c>
      <c r="CF2508" s="3">
        <v>45860</v>
      </c>
      <c r="CI2508">
        <v>1</v>
      </c>
      <c r="CJ2508">
        <v>1</v>
      </c>
      <c r="CK2508">
        <v>21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"080066654069"</f>
        <v>080066654069</v>
      </c>
      <c r="F2509" s="3">
        <v>45856</v>
      </c>
      <c r="G2509">
        <v>202604</v>
      </c>
      <c r="H2509" t="s">
        <v>75</v>
      </c>
      <c r="I2509" t="s">
        <v>76</v>
      </c>
      <c r="J2509" t="s">
        <v>77</v>
      </c>
      <c r="K2509" t="s">
        <v>78</v>
      </c>
      <c r="L2509" t="s">
        <v>542</v>
      </c>
      <c r="M2509" t="s">
        <v>543</v>
      </c>
      <c r="N2509" t="s">
        <v>745</v>
      </c>
      <c r="O2509" t="s">
        <v>82</v>
      </c>
      <c r="P2509" t="str">
        <f>"4170049437                    "</f>
        <v xml:space="preserve">4170049437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17.649999999999999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0.9</v>
      </c>
      <c r="BK2509">
        <v>2</v>
      </c>
      <c r="BL2509">
        <v>55.61</v>
      </c>
      <c r="BM2509">
        <v>8.34</v>
      </c>
      <c r="BN2509">
        <v>63.95</v>
      </c>
      <c r="BO2509">
        <v>63.95</v>
      </c>
      <c r="BQ2509" t="s">
        <v>746</v>
      </c>
      <c r="BR2509" t="s">
        <v>84</v>
      </c>
      <c r="BS2509" s="3">
        <v>45859</v>
      </c>
      <c r="BT2509" s="4">
        <v>0.42986111111111114</v>
      </c>
      <c r="BU2509" t="s">
        <v>2866</v>
      </c>
      <c r="BV2509" t="s">
        <v>98</v>
      </c>
      <c r="BY2509">
        <v>4275</v>
      </c>
      <c r="CA2509" t="s">
        <v>2867</v>
      </c>
      <c r="CC2509" t="s">
        <v>543</v>
      </c>
      <c r="CD2509">
        <v>1451</v>
      </c>
      <c r="CE2509" t="s">
        <v>259</v>
      </c>
      <c r="CF2509" s="3">
        <v>45859</v>
      </c>
      <c r="CI2509">
        <v>1</v>
      </c>
      <c r="CJ2509">
        <v>1</v>
      </c>
      <c r="CK2509">
        <v>22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"080066654263"</f>
        <v>080066654263</v>
      </c>
      <c r="F2510" s="3">
        <v>45856</v>
      </c>
      <c r="G2510">
        <v>202604</v>
      </c>
      <c r="H2510" t="s">
        <v>75</v>
      </c>
      <c r="I2510" t="s">
        <v>76</v>
      </c>
      <c r="J2510" t="s">
        <v>77</v>
      </c>
      <c r="K2510" t="s">
        <v>78</v>
      </c>
      <c r="L2510" t="s">
        <v>168</v>
      </c>
      <c r="M2510" t="s">
        <v>169</v>
      </c>
      <c r="N2510" t="s">
        <v>412</v>
      </c>
      <c r="O2510" t="s">
        <v>82</v>
      </c>
      <c r="P2510" t="str">
        <f>"4170049402                    "</f>
        <v xml:space="preserve">4170049402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22.6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0.3</v>
      </c>
      <c r="BK2510">
        <v>1</v>
      </c>
      <c r="BL2510">
        <v>71.2</v>
      </c>
      <c r="BM2510">
        <v>10.68</v>
      </c>
      <c r="BN2510">
        <v>81.88</v>
      </c>
      <c r="BO2510">
        <v>81.88</v>
      </c>
      <c r="BQ2510" t="s">
        <v>413</v>
      </c>
      <c r="BR2510" t="s">
        <v>84</v>
      </c>
      <c r="BS2510" s="3">
        <v>45859</v>
      </c>
      <c r="BT2510" s="4">
        <v>0.37847222222222221</v>
      </c>
      <c r="BU2510" t="s">
        <v>2868</v>
      </c>
      <c r="BV2510" t="s">
        <v>98</v>
      </c>
      <c r="BY2510">
        <v>1350</v>
      </c>
      <c r="BZ2510" t="s">
        <v>89</v>
      </c>
      <c r="CA2510" t="s">
        <v>2869</v>
      </c>
      <c r="CC2510" t="s">
        <v>169</v>
      </c>
      <c r="CD2510">
        <v>6001</v>
      </c>
      <c r="CE2510" t="s">
        <v>2851</v>
      </c>
      <c r="CF2510" s="3">
        <v>45859</v>
      </c>
      <c r="CI2510">
        <v>1</v>
      </c>
      <c r="CJ2510">
        <v>1</v>
      </c>
      <c r="CK2510">
        <v>21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"080066654268"</f>
        <v>080066654268</v>
      </c>
      <c r="F2511" s="3">
        <v>45856</v>
      </c>
      <c r="G2511">
        <v>202604</v>
      </c>
      <c r="H2511" t="s">
        <v>75</v>
      </c>
      <c r="I2511" t="s">
        <v>76</v>
      </c>
      <c r="J2511" t="s">
        <v>77</v>
      </c>
      <c r="K2511" t="s">
        <v>78</v>
      </c>
      <c r="L2511" t="s">
        <v>146</v>
      </c>
      <c r="M2511" t="s">
        <v>146</v>
      </c>
      <c r="N2511" t="s">
        <v>147</v>
      </c>
      <c r="O2511" t="s">
        <v>82</v>
      </c>
      <c r="P2511" t="str">
        <f>"4170049473                    "</f>
        <v xml:space="preserve">4170049473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43.78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137.94</v>
      </c>
      <c r="BM2511">
        <v>20.69</v>
      </c>
      <c r="BN2511">
        <v>158.63</v>
      </c>
      <c r="BO2511">
        <v>158.63</v>
      </c>
      <c r="BQ2511" t="s">
        <v>764</v>
      </c>
      <c r="BR2511" t="s">
        <v>84</v>
      </c>
      <c r="BS2511" s="3">
        <v>45859</v>
      </c>
      <c r="BT2511" s="4">
        <v>0.53611111111111109</v>
      </c>
      <c r="BU2511" t="s">
        <v>149</v>
      </c>
      <c r="BV2511" t="s">
        <v>98</v>
      </c>
      <c r="BY2511">
        <v>1200</v>
      </c>
      <c r="BZ2511" t="s">
        <v>89</v>
      </c>
      <c r="CA2511" t="s">
        <v>150</v>
      </c>
      <c r="CC2511" t="s">
        <v>146</v>
      </c>
      <c r="CD2511">
        <v>7646</v>
      </c>
      <c r="CE2511" t="s">
        <v>121</v>
      </c>
      <c r="CF2511" s="3">
        <v>45860</v>
      </c>
      <c r="CI2511">
        <v>1</v>
      </c>
      <c r="CJ2511">
        <v>1</v>
      </c>
      <c r="CK2511">
        <v>23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"080066654313"</f>
        <v>080066654313</v>
      </c>
      <c r="F2512" s="3">
        <v>45856</v>
      </c>
      <c r="G2512">
        <v>202604</v>
      </c>
      <c r="H2512" t="s">
        <v>75</v>
      </c>
      <c r="I2512" t="s">
        <v>76</v>
      </c>
      <c r="J2512" t="s">
        <v>77</v>
      </c>
      <c r="K2512" t="s">
        <v>78</v>
      </c>
      <c r="L2512" t="s">
        <v>151</v>
      </c>
      <c r="M2512" t="s">
        <v>152</v>
      </c>
      <c r="N2512" t="s">
        <v>153</v>
      </c>
      <c r="O2512" t="s">
        <v>82</v>
      </c>
      <c r="P2512" t="str">
        <f>"4170049448                    "</f>
        <v xml:space="preserve">4170049448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22.6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0.3</v>
      </c>
      <c r="BK2512">
        <v>1</v>
      </c>
      <c r="BL2512">
        <v>71.2</v>
      </c>
      <c r="BM2512">
        <v>10.68</v>
      </c>
      <c r="BN2512">
        <v>81.88</v>
      </c>
      <c r="BO2512">
        <v>81.88</v>
      </c>
      <c r="BQ2512" t="s">
        <v>154</v>
      </c>
      <c r="BR2512" t="s">
        <v>84</v>
      </c>
      <c r="BS2512" s="3">
        <v>45859</v>
      </c>
      <c r="BT2512" s="4">
        <v>0.33263888888888887</v>
      </c>
      <c r="BU2512" t="s">
        <v>155</v>
      </c>
      <c r="BV2512" t="s">
        <v>98</v>
      </c>
      <c r="BY2512">
        <v>1350</v>
      </c>
      <c r="CA2512" t="s">
        <v>156</v>
      </c>
      <c r="CC2512" t="s">
        <v>152</v>
      </c>
      <c r="CD2512" s="5" t="s">
        <v>157</v>
      </c>
      <c r="CE2512" t="s">
        <v>158</v>
      </c>
      <c r="CF2512" s="3">
        <v>45859</v>
      </c>
      <c r="CI2512">
        <v>1</v>
      </c>
      <c r="CJ2512">
        <v>1</v>
      </c>
      <c r="CK2512">
        <v>21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"080066654316"</f>
        <v>080066654316</v>
      </c>
      <c r="F2513" s="3">
        <v>45856</v>
      </c>
      <c r="G2513">
        <v>202604</v>
      </c>
      <c r="H2513" t="s">
        <v>75</v>
      </c>
      <c r="I2513" t="s">
        <v>76</v>
      </c>
      <c r="J2513" t="s">
        <v>77</v>
      </c>
      <c r="K2513" t="s">
        <v>78</v>
      </c>
      <c r="L2513" t="s">
        <v>135</v>
      </c>
      <c r="M2513" t="s">
        <v>136</v>
      </c>
      <c r="N2513" t="s">
        <v>416</v>
      </c>
      <c r="O2513" t="s">
        <v>82</v>
      </c>
      <c r="P2513" t="str">
        <f>"4170049434                    "</f>
        <v xml:space="preserve">4170049434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22.6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71.2</v>
      </c>
      <c r="BM2513">
        <v>10.68</v>
      </c>
      <c r="BN2513">
        <v>81.88</v>
      </c>
      <c r="BO2513">
        <v>81.88</v>
      </c>
      <c r="BQ2513" t="s">
        <v>417</v>
      </c>
      <c r="BR2513" t="s">
        <v>84</v>
      </c>
      <c r="BS2513" s="3">
        <v>45859</v>
      </c>
      <c r="BT2513" s="4">
        <v>0.41666666666666669</v>
      </c>
      <c r="BU2513" t="s">
        <v>2870</v>
      </c>
      <c r="BV2513" t="s">
        <v>98</v>
      </c>
      <c r="BY2513">
        <v>1240</v>
      </c>
      <c r="CC2513" t="s">
        <v>136</v>
      </c>
      <c r="CD2513">
        <v>3201</v>
      </c>
      <c r="CE2513" t="s">
        <v>121</v>
      </c>
      <c r="CF2513" s="3">
        <v>45859</v>
      </c>
      <c r="CI2513">
        <v>1</v>
      </c>
      <c r="CJ2513">
        <v>1</v>
      </c>
      <c r="CK2513">
        <v>21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"080066654330"</f>
        <v>080066654330</v>
      </c>
      <c r="F2514" s="3">
        <v>45856</v>
      </c>
      <c r="G2514">
        <v>202604</v>
      </c>
      <c r="H2514" t="s">
        <v>75</v>
      </c>
      <c r="I2514" t="s">
        <v>76</v>
      </c>
      <c r="J2514" t="s">
        <v>77</v>
      </c>
      <c r="K2514" t="s">
        <v>78</v>
      </c>
      <c r="L2514" t="s">
        <v>79</v>
      </c>
      <c r="M2514" t="s">
        <v>80</v>
      </c>
      <c r="N2514" t="s">
        <v>1980</v>
      </c>
      <c r="O2514" t="s">
        <v>82</v>
      </c>
      <c r="P2514" t="str">
        <f>"4170049455                    "</f>
        <v xml:space="preserve">4170049455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22.6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16.739999999999998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87.94</v>
      </c>
      <c r="BM2514">
        <v>13.19</v>
      </c>
      <c r="BN2514">
        <v>101.13</v>
      </c>
      <c r="BO2514">
        <v>101.13</v>
      </c>
      <c r="BQ2514" t="s">
        <v>1981</v>
      </c>
      <c r="BR2514" t="s">
        <v>84</v>
      </c>
      <c r="BS2514" s="3">
        <v>45861</v>
      </c>
      <c r="BT2514" s="4">
        <v>0.53749999999999998</v>
      </c>
      <c r="BU2514" t="s">
        <v>1982</v>
      </c>
      <c r="BV2514" t="s">
        <v>86</v>
      </c>
      <c r="BW2514" t="s">
        <v>87</v>
      </c>
      <c r="BX2514" t="s">
        <v>2871</v>
      </c>
      <c r="BY2514">
        <v>1200</v>
      </c>
      <c r="BZ2514" t="s">
        <v>30</v>
      </c>
      <c r="CC2514" t="s">
        <v>80</v>
      </c>
      <c r="CD2514">
        <v>7781</v>
      </c>
      <c r="CE2514" t="s">
        <v>121</v>
      </c>
      <c r="CF2514" s="3">
        <v>45862</v>
      </c>
      <c r="CI2514">
        <v>1</v>
      </c>
      <c r="CJ2514">
        <v>3</v>
      </c>
      <c r="CK2514">
        <v>21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"080066654352"</f>
        <v>080066654352</v>
      </c>
      <c r="F2515" s="3">
        <v>45856</v>
      </c>
      <c r="G2515">
        <v>202604</v>
      </c>
      <c r="H2515" t="s">
        <v>75</v>
      </c>
      <c r="I2515" t="s">
        <v>76</v>
      </c>
      <c r="J2515" t="s">
        <v>77</v>
      </c>
      <c r="K2515" t="s">
        <v>78</v>
      </c>
      <c r="L2515" t="s">
        <v>75</v>
      </c>
      <c r="M2515" t="s">
        <v>76</v>
      </c>
      <c r="N2515" t="s">
        <v>622</v>
      </c>
      <c r="O2515" t="s">
        <v>82</v>
      </c>
      <c r="P2515" t="str">
        <f>"4170049478                    "</f>
        <v xml:space="preserve">4170049478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17.649999999999999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55.61</v>
      </c>
      <c r="BM2515">
        <v>8.34</v>
      </c>
      <c r="BN2515">
        <v>63.95</v>
      </c>
      <c r="BO2515">
        <v>63.95</v>
      </c>
      <c r="BQ2515" t="s">
        <v>623</v>
      </c>
      <c r="BR2515" t="s">
        <v>84</v>
      </c>
      <c r="BS2515" s="3">
        <v>45859</v>
      </c>
      <c r="BT2515" s="4">
        <v>0.44166666666666665</v>
      </c>
      <c r="BU2515" t="s">
        <v>2872</v>
      </c>
      <c r="BV2515" t="s">
        <v>86</v>
      </c>
      <c r="BY2515">
        <v>1200</v>
      </c>
      <c r="CA2515" t="s">
        <v>1049</v>
      </c>
      <c r="CC2515" t="s">
        <v>76</v>
      </c>
      <c r="CD2515">
        <v>1601</v>
      </c>
      <c r="CE2515" t="s">
        <v>121</v>
      </c>
      <c r="CF2515" s="3">
        <v>45860</v>
      </c>
      <c r="CI2515">
        <v>1</v>
      </c>
      <c r="CJ2515">
        <v>1</v>
      </c>
      <c r="CK2515">
        <v>22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"080066654354"</f>
        <v>080066654354</v>
      </c>
      <c r="F2516" s="3">
        <v>45856</v>
      </c>
      <c r="G2516">
        <v>202604</v>
      </c>
      <c r="H2516" t="s">
        <v>75</v>
      </c>
      <c r="I2516" t="s">
        <v>76</v>
      </c>
      <c r="J2516" t="s">
        <v>77</v>
      </c>
      <c r="K2516" t="s">
        <v>78</v>
      </c>
      <c r="L2516" t="s">
        <v>452</v>
      </c>
      <c r="M2516" t="s">
        <v>453</v>
      </c>
      <c r="N2516" t="s">
        <v>1192</v>
      </c>
      <c r="O2516" t="s">
        <v>82</v>
      </c>
      <c r="P2516" t="str">
        <f>"4170049466                    "</f>
        <v xml:space="preserve">4170049466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17.649999999999999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0.3</v>
      </c>
      <c r="BK2516">
        <v>1</v>
      </c>
      <c r="BL2516">
        <v>55.61</v>
      </c>
      <c r="BM2516">
        <v>8.34</v>
      </c>
      <c r="BN2516">
        <v>63.95</v>
      </c>
      <c r="BO2516">
        <v>63.95</v>
      </c>
      <c r="BQ2516" t="s">
        <v>1193</v>
      </c>
      <c r="BR2516" t="s">
        <v>84</v>
      </c>
      <c r="BS2516" s="3">
        <v>45859</v>
      </c>
      <c r="BT2516" s="4">
        <v>0.43402777777777779</v>
      </c>
      <c r="BU2516" t="s">
        <v>2873</v>
      </c>
      <c r="BV2516" t="s">
        <v>98</v>
      </c>
      <c r="BY2516">
        <v>1350</v>
      </c>
      <c r="CC2516" t="s">
        <v>453</v>
      </c>
      <c r="CD2516">
        <v>1559</v>
      </c>
      <c r="CE2516" t="s">
        <v>158</v>
      </c>
      <c r="CF2516" s="3">
        <v>45859</v>
      </c>
      <c r="CI2516">
        <v>1</v>
      </c>
      <c r="CJ2516">
        <v>1</v>
      </c>
      <c r="CK2516">
        <v>22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"080066654369"</f>
        <v>080066654369</v>
      </c>
      <c r="F2517" s="3">
        <v>45856</v>
      </c>
      <c r="G2517">
        <v>202604</v>
      </c>
      <c r="H2517" t="s">
        <v>75</v>
      </c>
      <c r="I2517" t="s">
        <v>76</v>
      </c>
      <c r="J2517" t="s">
        <v>77</v>
      </c>
      <c r="K2517" t="s">
        <v>78</v>
      </c>
      <c r="L2517" t="s">
        <v>295</v>
      </c>
      <c r="M2517" t="s">
        <v>296</v>
      </c>
      <c r="N2517" t="s">
        <v>539</v>
      </c>
      <c r="O2517" t="s">
        <v>82</v>
      </c>
      <c r="P2517" t="str">
        <f>"4170049474                    "</f>
        <v xml:space="preserve">4170049474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17.649999999999999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55.61</v>
      </c>
      <c r="BM2517">
        <v>8.34</v>
      </c>
      <c r="BN2517">
        <v>63.95</v>
      </c>
      <c r="BO2517">
        <v>63.95</v>
      </c>
      <c r="BQ2517" t="s">
        <v>540</v>
      </c>
      <c r="BR2517" t="s">
        <v>84</v>
      </c>
      <c r="BS2517" s="3">
        <v>45859</v>
      </c>
      <c r="BT2517" s="4">
        <v>0.32083333333333336</v>
      </c>
      <c r="BU2517" t="s">
        <v>541</v>
      </c>
      <c r="BV2517" t="s">
        <v>98</v>
      </c>
      <c r="BY2517">
        <v>1200</v>
      </c>
      <c r="CA2517" t="s">
        <v>300</v>
      </c>
      <c r="CC2517" t="s">
        <v>296</v>
      </c>
      <c r="CD2517">
        <v>1459</v>
      </c>
      <c r="CE2517" t="s">
        <v>121</v>
      </c>
      <c r="CF2517" s="3">
        <v>45860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"080066654388"</f>
        <v>080066654388</v>
      </c>
      <c r="F2518" s="3">
        <v>45856</v>
      </c>
      <c r="G2518">
        <v>202604</v>
      </c>
      <c r="H2518" t="s">
        <v>75</v>
      </c>
      <c r="I2518" t="s">
        <v>76</v>
      </c>
      <c r="J2518" t="s">
        <v>77</v>
      </c>
      <c r="K2518" t="s">
        <v>78</v>
      </c>
      <c r="L2518" t="s">
        <v>75</v>
      </c>
      <c r="M2518" t="s">
        <v>76</v>
      </c>
      <c r="N2518" t="s">
        <v>2853</v>
      </c>
      <c r="O2518" t="s">
        <v>82</v>
      </c>
      <c r="P2518" t="str">
        <f>"4170049450                    "</f>
        <v xml:space="preserve">4170049450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17.649999999999999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55.61</v>
      </c>
      <c r="BM2518">
        <v>8.34</v>
      </c>
      <c r="BN2518">
        <v>63.95</v>
      </c>
      <c r="BO2518">
        <v>63.95</v>
      </c>
      <c r="BQ2518" t="s">
        <v>2854</v>
      </c>
      <c r="BR2518" t="s">
        <v>84</v>
      </c>
      <c r="BS2518" s="3">
        <v>45859</v>
      </c>
      <c r="BT2518" s="4">
        <v>0.43402777777777779</v>
      </c>
      <c r="BU2518" t="s">
        <v>2860</v>
      </c>
      <c r="BV2518" t="s">
        <v>98</v>
      </c>
      <c r="BY2518">
        <v>1200</v>
      </c>
      <c r="CA2518" t="s">
        <v>1613</v>
      </c>
      <c r="CC2518" t="s">
        <v>76</v>
      </c>
      <c r="CD2518">
        <v>1620</v>
      </c>
      <c r="CE2518" t="s">
        <v>121</v>
      </c>
      <c r="CF2518" s="3">
        <v>45860</v>
      </c>
      <c r="CI2518">
        <v>1</v>
      </c>
      <c r="CJ2518">
        <v>1</v>
      </c>
      <c r="CK2518">
        <v>22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"080066654391"</f>
        <v>080066654391</v>
      </c>
      <c r="F2519" s="3">
        <v>45856</v>
      </c>
      <c r="G2519">
        <v>202604</v>
      </c>
      <c r="H2519" t="s">
        <v>75</v>
      </c>
      <c r="I2519" t="s">
        <v>76</v>
      </c>
      <c r="J2519" t="s">
        <v>77</v>
      </c>
      <c r="K2519" t="s">
        <v>78</v>
      </c>
      <c r="L2519" t="s">
        <v>1462</v>
      </c>
      <c r="M2519" t="s">
        <v>1463</v>
      </c>
      <c r="N2519" t="s">
        <v>1464</v>
      </c>
      <c r="O2519" t="s">
        <v>82</v>
      </c>
      <c r="P2519" t="str">
        <f>"4170049442                    "</f>
        <v xml:space="preserve">4170049442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43.78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0.3</v>
      </c>
      <c r="BK2519">
        <v>1</v>
      </c>
      <c r="BL2519">
        <v>137.94</v>
      </c>
      <c r="BM2519">
        <v>20.69</v>
      </c>
      <c r="BN2519">
        <v>158.63</v>
      </c>
      <c r="BO2519">
        <v>158.63</v>
      </c>
      <c r="BQ2519" t="s">
        <v>1465</v>
      </c>
      <c r="BR2519" t="s">
        <v>84</v>
      </c>
      <c r="BS2519" s="3">
        <v>45862</v>
      </c>
      <c r="BT2519" s="4">
        <v>0.41666666666666669</v>
      </c>
      <c r="BU2519" t="s">
        <v>2014</v>
      </c>
      <c r="BV2519" t="s">
        <v>86</v>
      </c>
      <c r="BY2519">
        <v>1350</v>
      </c>
      <c r="CC2519" t="s">
        <v>1463</v>
      </c>
      <c r="CD2519">
        <v>3290</v>
      </c>
      <c r="CE2519" t="s">
        <v>158</v>
      </c>
      <c r="CF2519" s="3">
        <v>45863</v>
      </c>
      <c r="CI2519">
        <v>1</v>
      </c>
      <c r="CJ2519">
        <v>4</v>
      </c>
      <c r="CK2519">
        <v>23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"080066654415"</f>
        <v>080066654415</v>
      </c>
      <c r="F2520" s="3">
        <v>45856</v>
      </c>
      <c r="G2520">
        <v>202604</v>
      </c>
      <c r="H2520" t="s">
        <v>75</v>
      </c>
      <c r="I2520" t="s">
        <v>76</v>
      </c>
      <c r="J2520" t="s">
        <v>77</v>
      </c>
      <c r="K2520" t="s">
        <v>78</v>
      </c>
      <c r="L2520" t="s">
        <v>305</v>
      </c>
      <c r="M2520" t="s">
        <v>306</v>
      </c>
      <c r="N2520" t="s">
        <v>1154</v>
      </c>
      <c r="O2520" t="s">
        <v>82</v>
      </c>
      <c r="P2520" t="str">
        <f>"4170049541                    "</f>
        <v xml:space="preserve">4170049541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22.6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0.9</v>
      </c>
      <c r="BK2520">
        <v>1</v>
      </c>
      <c r="BL2520">
        <v>71.2</v>
      </c>
      <c r="BM2520">
        <v>10.68</v>
      </c>
      <c r="BN2520">
        <v>81.88</v>
      </c>
      <c r="BO2520">
        <v>81.88</v>
      </c>
      <c r="BQ2520" t="s">
        <v>1155</v>
      </c>
      <c r="BR2520" t="s">
        <v>84</v>
      </c>
      <c r="BS2520" s="3">
        <v>45859</v>
      </c>
      <c r="BT2520" s="4">
        <v>0.6069444444444444</v>
      </c>
      <c r="BU2520" t="s">
        <v>2720</v>
      </c>
      <c r="BV2520" t="s">
        <v>86</v>
      </c>
      <c r="BY2520">
        <v>4275</v>
      </c>
      <c r="CA2520" t="s">
        <v>1157</v>
      </c>
      <c r="CC2520" t="s">
        <v>306</v>
      </c>
      <c r="CD2520">
        <v>5201</v>
      </c>
      <c r="CE2520" t="s">
        <v>259</v>
      </c>
      <c r="CF2520" s="3">
        <v>45859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"080066654399"</f>
        <v>080066654399</v>
      </c>
      <c r="F2521" s="3">
        <v>45856</v>
      </c>
      <c r="G2521">
        <v>202604</v>
      </c>
      <c r="H2521" t="s">
        <v>75</v>
      </c>
      <c r="I2521" t="s">
        <v>76</v>
      </c>
      <c r="J2521" t="s">
        <v>77</v>
      </c>
      <c r="K2521" t="s">
        <v>78</v>
      </c>
      <c r="L2521" t="s">
        <v>168</v>
      </c>
      <c r="M2521" t="s">
        <v>169</v>
      </c>
      <c r="N2521" t="s">
        <v>206</v>
      </c>
      <c r="O2521" t="s">
        <v>82</v>
      </c>
      <c r="P2521" t="str">
        <f>"4170049398                    "</f>
        <v xml:space="preserve">4170049398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39.53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3.1</v>
      </c>
      <c r="BK2521">
        <v>3.5</v>
      </c>
      <c r="BL2521">
        <v>124.55</v>
      </c>
      <c r="BM2521">
        <v>18.68</v>
      </c>
      <c r="BN2521">
        <v>143.22999999999999</v>
      </c>
      <c r="BO2521">
        <v>143.22999999999999</v>
      </c>
      <c r="BQ2521" t="s">
        <v>207</v>
      </c>
      <c r="BR2521" t="s">
        <v>84</v>
      </c>
      <c r="BS2521" s="3">
        <v>45859</v>
      </c>
      <c r="BT2521" s="4">
        <v>0.38541666666666669</v>
      </c>
      <c r="BU2521" t="s">
        <v>208</v>
      </c>
      <c r="BV2521" t="s">
        <v>98</v>
      </c>
      <c r="BY2521">
        <v>15360</v>
      </c>
      <c r="CA2521" t="s">
        <v>196</v>
      </c>
      <c r="CC2521" t="s">
        <v>169</v>
      </c>
      <c r="CD2521">
        <v>6001</v>
      </c>
      <c r="CE2521" t="s">
        <v>145</v>
      </c>
      <c r="CF2521" s="3">
        <v>45859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"080066654403"</f>
        <v>080066654403</v>
      </c>
      <c r="F2522" s="3">
        <v>45856</v>
      </c>
      <c r="G2522">
        <v>202604</v>
      </c>
      <c r="H2522" t="s">
        <v>75</v>
      </c>
      <c r="I2522" t="s">
        <v>76</v>
      </c>
      <c r="J2522" t="s">
        <v>77</v>
      </c>
      <c r="K2522" t="s">
        <v>78</v>
      </c>
      <c r="L2522" t="s">
        <v>122</v>
      </c>
      <c r="M2522" t="s">
        <v>123</v>
      </c>
      <c r="N2522" t="s">
        <v>124</v>
      </c>
      <c r="O2522" t="s">
        <v>82</v>
      </c>
      <c r="P2522" t="str">
        <f>"4170049396                    "</f>
        <v xml:space="preserve">4170049396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22.6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0.3</v>
      </c>
      <c r="BK2522">
        <v>1</v>
      </c>
      <c r="BL2522">
        <v>71.2</v>
      </c>
      <c r="BM2522">
        <v>10.68</v>
      </c>
      <c r="BN2522">
        <v>81.88</v>
      </c>
      <c r="BO2522">
        <v>81.88</v>
      </c>
      <c r="BQ2522" t="s">
        <v>125</v>
      </c>
      <c r="BR2522" t="s">
        <v>84</v>
      </c>
      <c r="BS2522" s="3">
        <v>45859</v>
      </c>
      <c r="BT2522" s="4">
        <v>0.42152777777777778</v>
      </c>
      <c r="BU2522" t="s">
        <v>126</v>
      </c>
      <c r="BV2522" t="s">
        <v>98</v>
      </c>
      <c r="BY2522">
        <v>1350</v>
      </c>
      <c r="CA2522" t="s">
        <v>127</v>
      </c>
      <c r="CC2522" t="s">
        <v>123</v>
      </c>
      <c r="CD2522">
        <v>4037</v>
      </c>
      <c r="CE2522" t="s">
        <v>158</v>
      </c>
      <c r="CF2522" s="3">
        <v>45859</v>
      </c>
      <c r="CI2522">
        <v>1</v>
      </c>
      <c r="CJ2522">
        <v>1</v>
      </c>
      <c r="CK2522">
        <v>21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"080066654443"</f>
        <v>080066654443</v>
      </c>
      <c r="F2523" s="3">
        <v>45856</v>
      </c>
      <c r="G2523">
        <v>202604</v>
      </c>
      <c r="H2523" t="s">
        <v>75</v>
      </c>
      <c r="I2523" t="s">
        <v>76</v>
      </c>
      <c r="J2523" t="s">
        <v>77</v>
      </c>
      <c r="K2523" t="s">
        <v>78</v>
      </c>
      <c r="L2523" t="s">
        <v>305</v>
      </c>
      <c r="M2523" t="s">
        <v>306</v>
      </c>
      <c r="N2523" t="s">
        <v>640</v>
      </c>
      <c r="O2523" t="s">
        <v>82</v>
      </c>
      <c r="P2523" t="str">
        <f>"4170049464                    "</f>
        <v xml:space="preserve">4170049464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22.6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0.3</v>
      </c>
      <c r="BK2523">
        <v>1</v>
      </c>
      <c r="BL2523">
        <v>71.2</v>
      </c>
      <c r="BM2523">
        <v>10.68</v>
      </c>
      <c r="BN2523">
        <v>81.88</v>
      </c>
      <c r="BO2523">
        <v>81.88</v>
      </c>
      <c r="BQ2523" t="s">
        <v>641</v>
      </c>
      <c r="BR2523" t="s">
        <v>84</v>
      </c>
      <c r="BS2523" s="3">
        <v>45859</v>
      </c>
      <c r="BT2523" s="4">
        <v>0.34236111111111112</v>
      </c>
      <c r="BU2523" t="s">
        <v>2318</v>
      </c>
      <c r="BV2523" t="s">
        <v>98</v>
      </c>
      <c r="BY2523">
        <v>1350</v>
      </c>
      <c r="CA2523" t="s">
        <v>310</v>
      </c>
      <c r="CC2523" t="s">
        <v>306</v>
      </c>
      <c r="CD2523">
        <v>5201</v>
      </c>
      <c r="CE2523" t="s">
        <v>158</v>
      </c>
      <c r="CF2523" s="3">
        <v>45860</v>
      </c>
      <c r="CI2523">
        <v>1</v>
      </c>
      <c r="CJ2523">
        <v>1</v>
      </c>
      <c r="CK2523">
        <v>21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"080066654451"</f>
        <v>080066654451</v>
      </c>
      <c r="F2524" s="3">
        <v>45856</v>
      </c>
      <c r="G2524">
        <v>202604</v>
      </c>
      <c r="H2524" t="s">
        <v>75</v>
      </c>
      <c r="I2524" t="s">
        <v>76</v>
      </c>
      <c r="J2524" t="s">
        <v>77</v>
      </c>
      <c r="K2524" t="s">
        <v>78</v>
      </c>
      <c r="L2524" t="s">
        <v>151</v>
      </c>
      <c r="M2524" t="s">
        <v>152</v>
      </c>
      <c r="N2524" t="s">
        <v>153</v>
      </c>
      <c r="O2524" t="s">
        <v>82</v>
      </c>
      <c r="P2524" t="str">
        <f>"4170049462                    "</f>
        <v xml:space="preserve">4170049462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1.1000000000000001</v>
      </c>
      <c r="BK2524">
        <v>1.5</v>
      </c>
      <c r="BL2524">
        <v>71.2</v>
      </c>
      <c r="BM2524">
        <v>10.68</v>
      </c>
      <c r="BN2524">
        <v>81.88</v>
      </c>
      <c r="BO2524">
        <v>81.88</v>
      </c>
      <c r="BQ2524" t="s">
        <v>154</v>
      </c>
      <c r="BR2524" t="s">
        <v>84</v>
      </c>
      <c r="BS2524" s="3">
        <v>45859</v>
      </c>
      <c r="BT2524" s="4">
        <v>0.3263888888888889</v>
      </c>
      <c r="BU2524" t="s">
        <v>155</v>
      </c>
      <c r="BV2524" t="s">
        <v>98</v>
      </c>
      <c r="BY2524">
        <v>5320</v>
      </c>
      <c r="CA2524" t="s">
        <v>156</v>
      </c>
      <c r="CC2524" t="s">
        <v>152</v>
      </c>
      <c r="CD2524" s="5" t="s">
        <v>157</v>
      </c>
      <c r="CE2524" t="s">
        <v>145</v>
      </c>
      <c r="CF2524" s="3">
        <v>45859</v>
      </c>
      <c r="CI2524">
        <v>1</v>
      </c>
      <c r="CJ2524">
        <v>1</v>
      </c>
      <c r="CK2524">
        <v>21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"080066654464"</f>
        <v>080066654464</v>
      </c>
      <c r="F2525" s="3">
        <v>45856</v>
      </c>
      <c r="G2525">
        <v>202604</v>
      </c>
      <c r="H2525" t="s">
        <v>75</v>
      </c>
      <c r="I2525" t="s">
        <v>76</v>
      </c>
      <c r="J2525" t="s">
        <v>77</v>
      </c>
      <c r="K2525" t="s">
        <v>78</v>
      </c>
      <c r="L2525" t="s">
        <v>151</v>
      </c>
      <c r="M2525" t="s">
        <v>152</v>
      </c>
      <c r="N2525" t="s">
        <v>1484</v>
      </c>
      <c r="O2525" t="s">
        <v>82</v>
      </c>
      <c r="P2525" t="str">
        <f>"4170049471                    "</f>
        <v xml:space="preserve">4170049471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0.3</v>
      </c>
      <c r="BK2525">
        <v>1</v>
      </c>
      <c r="BL2525">
        <v>71.2</v>
      </c>
      <c r="BM2525">
        <v>10.68</v>
      </c>
      <c r="BN2525">
        <v>81.88</v>
      </c>
      <c r="BO2525">
        <v>81.88</v>
      </c>
      <c r="BQ2525" t="s">
        <v>1485</v>
      </c>
      <c r="BR2525" t="s">
        <v>84</v>
      </c>
      <c r="BS2525" s="3">
        <v>45859</v>
      </c>
      <c r="BT2525" s="4">
        <v>0.67708333333333337</v>
      </c>
      <c r="BU2525" t="s">
        <v>2050</v>
      </c>
      <c r="BV2525" t="s">
        <v>98</v>
      </c>
      <c r="BY2525">
        <v>1350</v>
      </c>
      <c r="CC2525" t="s">
        <v>152</v>
      </c>
      <c r="CD2525" s="5" t="s">
        <v>1487</v>
      </c>
      <c r="CE2525" t="s">
        <v>158</v>
      </c>
      <c r="CF2525" s="3">
        <v>45859</v>
      </c>
      <c r="CI2525">
        <v>1</v>
      </c>
      <c r="CJ2525">
        <v>1</v>
      </c>
      <c r="CK2525">
        <v>21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"080066654484"</f>
        <v>080066654484</v>
      </c>
      <c r="F2526" s="3">
        <v>45856</v>
      </c>
      <c r="G2526">
        <v>202604</v>
      </c>
      <c r="H2526" t="s">
        <v>75</v>
      </c>
      <c r="I2526" t="s">
        <v>76</v>
      </c>
      <c r="J2526" t="s">
        <v>77</v>
      </c>
      <c r="K2526" t="s">
        <v>78</v>
      </c>
      <c r="L2526" t="s">
        <v>252</v>
      </c>
      <c r="M2526" t="s">
        <v>253</v>
      </c>
      <c r="N2526" t="s">
        <v>254</v>
      </c>
      <c r="O2526" t="s">
        <v>82</v>
      </c>
      <c r="P2526" t="str">
        <f>"4170049445                    "</f>
        <v xml:space="preserve">4170049445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43.78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0.3</v>
      </c>
      <c r="BK2526">
        <v>1</v>
      </c>
      <c r="BL2526">
        <v>137.94</v>
      </c>
      <c r="BM2526">
        <v>20.69</v>
      </c>
      <c r="BN2526">
        <v>158.63</v>
      </c>
      <c r="BO2526">
        <v>158.63</v>
      </c>
      <c r="BQ2526" t="s">
        <v>255</v>
      </c>
      <c r="BR2526" t="s">
        <v>84</v>
      </c>
      <c r="BS2526" s="3">
        <v>45859</v>
      </c>
      <c r="BT2526" s="4">
        <v>0.4375</v>
      </c>
      <c r="BU2526" t="s">
        <v>2874</v>
      </c>
      <c r="BV2526" t="s">
        <v>98</v>
      </c>
      <c r="BY2526">
        <v>1350</v>
      </c>
      <c r="CA2526" t="s">
        <v>265</v>
      </c>
      <c r="CC2526" t="s">
        <v>253</v>
      </c>
      <c r="CD2526">
        <v>1947</v>
      </c>
      <c r="CE2526" t="s">
        <v>158</v>
      </c>
      <c r="CF2526" s="3">
        <v>45860</v>
      </c>
      <c r="CI2526">
        <v>1</v>
      </c>
      <c r="CJ2526">
        <v>1</v>
      </c>
      <c r="CK2526">
        <v>23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"080066654626"</f>
        <v>080066654626</v>
      </c>
      <c r="F2527" s="3">
        <v>45856</v>
      </c>
      <c r="G2527">
        <v>202604</v>
      </c>
      <c r="H2527" t="s">
        <v>75</v>
      </c>
      <c r="I2527" t="s">
        <v>76</v>
      </c>
      <c r="J2527" t="s">
        <v>77</v>
      </c>
      <c r="K2527" t="s">
        <v>78</v>
      </c>
      <c r="L2527" t="s">
        <v>168</v>
      </c>
      <c r="M2527" t="s">
        <v>169</v>
      </c>
      <c r="N2527" t="s">
        <v>420</v>
      </c>
      <c r="O2527" t="s">
        <v>82</v>
      </c>
      <c r="P2527" t="str">
        <f>"4170049622                    "</f>
        <v xml:space="preserve">4170049622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22.6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71.2</v>
      </c>
      <c r="BM2527">
        <v>10.68</v>
      </c>
      <c r="BN2527">
        <v>81.88</v>
      </c>
      <c r="BO2527">
        <v>81.88</v>
      </c>
      <c r="BQ2527" t="s">
        <v>421</v>
      </c>
      <c r="BR2527" t="s">
        <v>84</v>
      </c>
      <c r="BS2527" s="3">
        <v>45859</v>
      </c>
      <c r="BT2527" s="4">
        <v>0.42083333333333334</v>
      </c>
      <c r="BU2527" t="s">
        <v>2794</v>
      </c>
      <c r="BV2527" t="s">
        <v>98</v>
      </c>
      <c r="BY2527">
        <v>1200</v>
      </c>
      <c r="CA2527" t="s">
        <v>423</v>
      </c>
      <c r="CC2527" t="s">
        <v>169</v>
      </c>
      <c r="CD2527">
        <v>6001</v>
      </c>
      <c r="CE2527" t="s">
        <v>121</v>
      </c>
      <c r="CF2527" s="3">
        <v>45859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"080066654641"</f>
        <v>080066654641</v>
      </c>
      <c r="F2528" s="3">
        <v>45856</v>
      </c>
      <c r="G2528">
        <v>202604</v>
      </c>
      <c r="H2528" t="s">
        <v>75</v>
      </c>
      <c r="I2528" t="s">
        <v>76</v>
      </c>
      <c r="J2528" t="s">
        <v>77</v>
      </c>
      <c r="K2528" t="s">
        <v>78</v>
      </c>
      <c r="L2528" t="s">
        <v>79</v>
      </c>
      <c r="M2528" t="s">
        <v>80</v>
      </c>
      <c r="N2528" t="s">
        <v>141</v>
      </c>
      <c r="O2528" t="s">
        <v>82</v>
      </c>
      <c r="P2528" t="str">
        <f>"4170049624                    "</f>
        <v xml:space="preserve">4170049624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22.6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71.2</v>
      </c>
      <c r="BM2528">
        <v>10.68</v>
      </c>
      <c r="BN2528">
        <v>81.88</v>
      </c>
      <c r="BO2528">
        <v>81.88</v>
      </c>
      <c r="BQ2528" t="s">
        <v>142</v>
      </c>
      <c r="BR2528" t="s">
        <v>84</v>
      </c>
      <c r="BS2528" s="3">
        <v>45859</v>
      </c>
      <c r="BT2528" s="4">
        <v>0.38819444444444445</v>
      </c>
      <c r="BU2528" t="s">
        <v>143</v>
      </c>
      <c r="BV2528" t="s">
        <v>98</v>
      </c>
      <c r="BY2528">
        <v>1200</v>
      </c>
      <c r="CA2528" t="s">
        <v>144</v>
      </c>
      <c r="CC2528" t="s">
        <v>80</v>
      </c>
      <c r="CD2528">
        <v>7441</v>
      </c>
      <c r="CE2528" t="s">
        <v>121</v>
      </c>
      <c r="CF2528" s="3">
        <v>45860</v>
      </c>
      <c r="CI2528">
        <v>1</v>
      </c>
      <c r="CJ2528">
        <v>1</v>
      </c>
      <c r="CK2528">
        <v>21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"080066654652"</f>
        <v>080066654652</v>
      </c>
      <c r="F2529" s="3">
        <v>45856</v>
      </c>
      <c r="G2529">
        <v>202604</v>
      </c>
      <c r="H2529" t="s">
        <v>75</v>
      </c>
      <c r="I2529" t="s">
        <v>76</v>
      </c>
      <c r="J2529" t="s">
        <v>77</v>
      </c>
      <c r="K2529" t="s">
        <v>78</v>
      </c>
      <c r="L2529" t="s">
        <v>240</v>
      </c>
      <c r="M2529" t="s">
        <v>241</v>
      </c>
      <c r="N2529" t="s">
        <v>779</v>
      </c>
      <c r="O2529" t="s">
        <v>82</v>
      </c>
      <c r="P2529" t="str">
        <f>"4170049454                    "</f>
        <v xml:space="preserve">4170049454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17.649999999999999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3.4</v>
      </c>
      <c r="BK2529">
        <v>4</v>
      </c>
      <c r="BL2529">
        <v>55.61</v>
      </c>
      <c r="BM2529">
        <v>8.34</v>
      </c>
      <c r="BN2529">
        <v>63.95</v>
      </c>
      <c r="BO2529">
        <v>63.95</v>
      </c>
      <c r="BQ2529" t="s">
        <v>780</v>
      </c>
      <c r="BR2529" t="s">
        <v>84</v>
      </c>
      <c r="BS2529" s="3">
        <v>45859</v>
      </c>
      <c r="BT2529" s="4">
        <v>0.3923611111111111</v>
      </c>
      <c r="BU2529" t="s">
        <v>2875</v>
      </c>
      <c r="BV2529" t="s">
        <v>98</v>
      </c>
      <c r="BY2529">
        <v>16965</v>
      </c>
      <c r="CA2529" t="s">
        <v>2876</v>
      </c>
      <c r="CC2529" t="s">
        <v>241</v>
      </c>
      <c r="CD2529">
        <v>2092</v>
      </c>
      <c r="CE2529" t="s">
        <v>145</v>
      </c>
      <c r="CF2529" s="3">
        <v>45860</v>
      </c>
      <c r="CI2529">
        <v>1</v>
      </c>
      <c r="CJ2529">
        <v>1</v>
      </c>
      <c r="CK2529">
        <v>22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"080066654672"</f>
        <v>080066654672</v>
      </c>
      <c r="F2530" s="3">
        <v>45856</v>
      </c>
      <c r="G2530">
        <v>202604</v>
      </c>
      <c r="H2530" t="s">
        <v>75</v>
      </c>
      <c r="I2530" t="s">
        <v>76</v>
      </c>
      <c r="J2530" t="s">
        <v>77</v>
      </c>
      <c r="K2530" t="s">
        <v>78</v>
      </c>
      <c r="L2530" t="s">
        <v>135</v>
      </c>
      <c r="M2530" t="s">
        <v>136</v>
      </c>
      <c r="N2530" t="s">
        <v>379</v>
      </c>
      <c r="O2530" t="s">
        <v>95</v>
      </c>
      <c r="P2530" t="str">
        <f>"4170049496                    "</f>
        <v xml:space="preserve">4170049496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61.74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25</v>
      </c>
      <c r="BJ2530">
        <v>8.9</v>
      </c>
      <c r="BK2530">
        <v>25</v>
      </c>
      <c r="BL2530">
        <v>200.39</v>
      </c>
      <c r="BM2530">
        <v>30.06</v>
      </c>
      <c r="BN2530">
        <v>230.45</v>
      </c>
      <c r="BO2530">
        <v>230.45</v>
      </c>
      <c r="BQ2530" t="s">
        <v>380</v>
      </c>
      <c r="BR2530" t="s">
        <v>84</v>
      </c>
      <c r="BS2530" s="3">
        <v>45859</v>
      </c>
      <c r="BT2530" s="4">
        <v>0.48333333333333334</v>
      </c>
      <c r="BU2530" t="s">
        <v>2019</v>
      </c>
      <c r="BV2530" t="s">
        <v>98</v>
      </c>
      <c r="BY2530">
        <v>44640</v>
      </c>
      <c r="CA2530" t="s">
        <v>382</v>
      </c>
      <c r="CC2530" t="s">
        <v>136</v>
      </c>
      <c r="CD2530">
        <v>3212</v>
      </c>
      <c r="CE2530" t="s">
        <v>145</v>
      </c>
      <c r="CF2530" s="3">
        <v>45859</v>
      </c>
      <c r="CI2530">
        <v>3</v>
      </c>
      <c r="CJ2530">
        <v>1</v>
      </c>
      <c r="CK2530">
        <v>41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"080066654703"</f>
        <v>080066654703</v>
      </c>
      <c r="F2531" s="3">
        <v>45856</v>
      </c>
      <c r="G2531">
        <v>202604</v>
      </c>
      <c r="H2531" t="s">
        <v>75</v>
      </c>
      <c r="I2531" t="s">
        <v>76</v>
      </c>
      <c r="J2531" t="s">
        <v>77</v>
      </c>
      <c r="K2531" t="s">
        <v>78</v>
      </c>
      <c r="L2531" t="s">
        <v>406</v>
      </c>
      <c r="M2531" t="s">
        <v>407</v>
      </c>
      <c r="N2531" t="s">
        <v>1283</v>
      </c>
      <c r="O2531" t="s">
        <v>82</v>
      </c>
      <c r="P2531" t="str">
        <f>"4170049591                    "</f>
        <v xml:space="preserve">4170049591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63.56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3</v>
      </c>
      <c r="BJ2531">
        <v>1.7</v>
      </c>
      <c r="BK2531">
        <v>3</v>
      </c>
      <c r="BL2531">
        <v>200.24</v>
      </c>
      <c r="BM2531">
        <v>30.04</v>
      </c>
      <c r="BN2531">
        <v>230.28</v>
      </c>
      <c r="BO2531">
        <v>230.28</v>
      </c>
      <c r="BQ2531" t="s">
        <v>1284</v>
      </c>
      <c r="BR2531" t="s">
        <v>84</v>
      </c>
      <c r="BS2531" s="3">
        <v>45859</v>
      </c>
      <c r="BT2531" s="4">
        <v>0.49236111111111114</v>
      </c>
      <c r="BU2531" t="s">
        <v>2700</v>
      </c>
      <c r="BV2531" t="s">
        <v>98</v>
      </c>
      <c r="BY2531">
        <v>8512</v>
      </c>
      <c r="CA2531" t="s">
        <v>1286</v>
      </c>
      <c r="CC2531" t="s">
        <v>407</v>
      </c>
      <c r="CD2531">
        <v>4400</v>
      </c>
      <c r="CE2531" t="s">
        <v>145</v>
      </c>
      <c r="CF2531" s="3">
        <v>45860</v>
      </c>
      <c r="CI2531">
        <v>1</v>
      </c>
      <c r="CJ2531">
        <v>1</v>
      </c>
      <c r="CK2531">
        <v>23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"080066654822"</f>
        <v>080066654822</v>
      </c>
      <c r="F2532" s="3">
        <v>45856</v>
      </c>
      <c r="G2532">
        <v>202604</v>
      </c>
      <c r="H2532" t="s">
        <v>75</v>
      </c>
      <c r="I2532" t="s">
        <v>76</v>
      </c>
      <c r="J2532" t="s">
        <v>77</v>
      </c>
      <c r="K2532" t="s">
        <v>78</v>
      </c>
      <c r="L2532" t="s">
        <v>221</v>
      </c>
      <c r="M2532" t="s">
        <v>222</v>
      </c>
      <c r="N2532" t="s">
        <v>223</v>
      </c>
      <c r="O2532" t="s">
        <v>82</v>
      </c>
      <c r="P2532" t="str">
        <f>"4170049640                    "</f>
        <v xml:space="preserve">4170049640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43.78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1.1000000000000001</v>
      </c>
      <c r="BK2532">
        <v>1.5</v>
      </c>
      <c r="BL2532">
        <v>137.94</v>
      </c>
      <c r="BM2532">
        <v>20.69</v>
      </c>
      <c r="BN2532">
        <v>158.63</v>
      </c>
      <c r="BO2532">
        <v>158.63</v>
      </c>
      <c r="BQ2532" t="s">
        <v>224</v>
      </c>
      <c r="BR2532" t="s">
        <v>84</v>
      </c>
      <c r="BS2532" s="3">
        <v>45859</v>
      </c>
      <c r="BT2532" s="4">
        <v>0.35416666666666669</v>
      </c>
      <c r="BU2532" t="s">
        <v>1494</v>
      </c>
      <c r="BV2532" t="s">
        <v>98</v>
      </c>
      <c r="BY2532">
        <v>5320</v>
      </c>
      <c r="CC2532" t="s">
        <v>222</v>
      </c>
      <c r="CD2532">
        <v>2740</v>
      </c>
      <c r="CE2532" t="s">
        <v>145</v>
      </c>
      <c r="CF2532" s="3">
        <v>45860</v>
      </c>
      <c r="CI2532">
        <v>1</v>
      </c>
      <c r="CJ2532">
        <v>1</v>
      </c>
      <c r="CK2532">
        <v>23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"080066654850"</f>
        <v>080066654850</v>
      </c>
      <c r="F2533" s="3">
        <v>45856</v>
      </c>
      <c r="G2533">
        <v>202604</v>
      </c>
      <c r="H2533" t="s">
        <v>75</v>
      </c>
      <c r="I2533" t="s">
        <v>76</v>
      </c>
      <c r="J2533" t="s">
        <v>77</v>
      </c>
      <c r="K2533" t="s">
        <v>78</v>
      </c>
      <c r="L2533" t="s">
        <v>122</v>
      </c>
      <c r="M2533" t="s">
        <v>123</v>
      </c>
      <c r="N2533" t="s">
        <v>972</v>
      </c>
      <c r="O2533" t="s">
        <v>82</v>
      </c>
      <c r="P2533" t="str">
        <f>"4170049537                    "</f>
        <v xml:space="preserve">4170049537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22.6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71.2</v>
      </c>
      <c r="BM2533">
        <v>10.68</v>
      </c>
      <c r="BN2533">
        <v>81.88</v>
      </c>
      <c r="BO2533">
        <v>81.88</v>
      </c>
      <c r="BQ2533" t="s">
        <v>973</v>
      </c>
      <c r="BR2533" t="s">
        <v>84</v>
      </c>
      <c r="BS2533" s="3">
        <v>45859</v>
      </c>
      <c r="BT2533" s="4">
        <v>0.4861111111111111</v>
      </c>
      <c r="BU2533" t="s">
        <v>974</v>
      </c>
      <c r="BV2533" t="s">
        <v>98</v>
      </c>
      <c r="BY2533">
        <v>1200</v>
      </c>
      <c r="CA2533" t="s">
        <v>922</v>
      </c>
      <c r="CC2533" t="s">
        <v>123</v>
      </c>
      <c r="CD2533">
        <v>3610</v>
      </c>
      <c r="CE2533" t="s">
        <v>121</v>
      </c>
      <c r="CF2533" s="3">
        <v>45859</v>
      </c>
      <c r="CI2533">
        <v>1</v>
      </c>
      <c r="CJ2533">
        <v>1</v>
      </c>
      <c r="CK2533">
        <v>21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"080066654867"</f>
        <v>080066654867</v>
      </c>
      <c r="F2534" s="3">
        <v>45856</v>
      </c>
      <c r="G2534">
        <v>202604</v>
      </c>
      <c r="H2534" t="s">
        <v>75</v>
      </c>
      <c r="I2534" t="s">
        <v>76</v>
      </c>
      <c r="J2534" t="s">
        <v>77</v>
      </c>
      <c r="K2534" t="s">
        <v>78</v>
      </c>
      <c r="L2534" t="s">
        <v>102</v>
      </c>
      <c r="M2534" t="s">
        <v>103</v>
      </c>
      <c r="N2534" t="s">
        <v>2701</v>
      </c>
      <c r="O2534" t="s">
        <v>82</v>
      </c>
      <c r="P2534" t="str">
        <f>"4170049687                    "</f>
        <v xml:space="preserve">4170049687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31.78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100.13</v>
      </c>
      <c r="BM2534">
        <v>15.02</v>
      </c>
      <c r="BN2534">
        <v>115.15</v>
      </c>
      <c r="BO2534">
        <v>115.15</v>
      </c>
      <c r="BQ2534" t="s">
        <v>2702</v>
      </c>
      <c r="BR2534" t="s">
        <v>84</v>
      </c>
      <c r="BS2534" s="3">
        <v>45859</v>
      </c>
      <c r="BT2534" s="4">
        <v>0.44305555555555554</v>
      </c>
      <c r="BU2534" t="s">
        <v>2877</v>
      </c>
      <c r="BV2534" t="s">
        <v>98</v>
      </c>
      <c r="BY2534">
        <v>1200</v>
      </c>
      <c r="CA2534" t="s">
        <v>2878</v>
      </c>
      <c r="CC2534" t="s">
        <v>103</v>
      </c>
      <c r="CD2534">
        <v>1756</v>
      </c>
      <c r="CE2534" t="s">
        <v>121</v>
      </c>
      <c r="CF2534" s="3">
        <v>45859</v>
      </c>
      <c r="CI2534">
        <v>1</v>
      </c>
      <c r="CJ2534">
        <v>1</v>
      </c>
      <c r="CK2534">
        <v>24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"080066655079"</f>
        <v>080066655079</v>
      </c>
      <c r="F2535" s="3">
        <v>45856</v>
      </c>
      <c r="G2535">
        <v>202604</v>
      </c>
      <c r="H2535" t="s">
        <v>75</v>
      </c>
      <c r="I2535" t="s">
        <v>76</v>
      </c>
      <c r="J2535" t="s">
        <v>77</v>
      </c>
      <c r="K2535" t="s">
        <v>78</v>
      </c>
      <c r="L2535" t="s">
        <v>92</v>
      </c>
      <c r="M2535" t="s">
        <v>93</v>
      </c>
      <c r="N2535" t="s">
        <v>291</v>
      </c>
      <c r="O2535" t="s">
        <v>82</v>
      </c>
      <c r="P2535" t="str">
        <f>"4170049421                    "</f>
        <v xml:space="preserve">4170049421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22.6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0.9</v>
      </c>
      <c r="BK2535">
        <v>1</v>
      </c>
      <c r="BL2535">
        <v>71.2</v>
      </c>
      <c r="BM2535">
        <v>10.68</v>
      </c>
      <c r="BN2535">
        <v>81.88</v>
      </c>
      <c r="BO2535">
        <v>81.88</v>
      </c>
      <c r="BQ2535" t="s">
        <v>292</v>
      </c>
      <c r="BR2535" t="s">
        <v>84</v>
      </c>
      <c r="BS2535" s="3">
        <v>45859</v>
      </c>
      <c r="BT2535" s="4">
        <v>0.33402777777777776</v>
      </c>
      <c r="BU2535" t="s">
        <v>847</v>
      </c>
      <c r="BV2535" t="s">
        <v>98</v>
      </c>
      <c r="BY2535">
        <v>4275</v>
      </c>
      <c r="CA2535" t="s">
        <v>294</v>
      </c>
      <c r="CC2535" t="s">
        <v>93</v>
      </c>
      <c r="CD2535">
        <v>4051</v>
      </c>
      <c r="CE2535" t="s">
        <v>145</v>
      </c>
      <c r="CF2535" s="3">
        <v>45859</v>
      </c>
      <c r="CI2535">
        <v>1</v>
      </c>
      <c r="CJ2535">
        <v>1</v>
      </c>
      <c r="CK2535">
        <v>21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"080066655099"</f>
        <v>080066655099</v>
      </c>
      <c r="F2536" s="3">
        <v>45856</v>
      </c>
      <c r="G2536">
        <v>202604</v>
      </c>
      <c r="H2536" t="s">
        <v>75</v>
      </c>
      <c r="I2536" t="s">
        <v>76</v>
      </c>
      <c r="J2536" t="s">
        <v>77</v>
      </c>
      <c r="K2536" t="s">
        <v>78</v>
      </c>
      <c r="L2536" t="s">
        <v>1768</v>
      </c>
      <c r="M2536" t="s">
        <v>1769</v>
      </c>
      <c r="N2536" t="s">
        <v>1770</v>
      </c>
      <c r="O2536" t="s">
        <v>82</v>
      </c>
      <c r="P2536" t="str">
        <f>"4170049568                    "</f>
        <v xml:space="preserve">4170049568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43.78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137.94</v>
      </c>
      <c r="BM2536">
        <v>20.69</v>
      </c>
      <c r="BN2536">
        <v>158.63</v>
      </c>
      <c r="BO2536">
        <v>158.63</v>
      </c>
      <c r="BQ2536" t="s">
        <v>1771</v>
      </c>
      <c r="BR2536" t="s">
        <v>84</v>
      </c>
      <c r="BS2536" s="3">
        <v>45859</v>
      </c>
      <c r="BT2536" s="4">
        <v>0.43402777777777779</v>
      </c>
      <c r="BU2536" t="s">
        <v>1772</v>
      </c>
      <c r="BV2536" t="s">
        <v>98</v>
      </c>
      <c r="BY2536">
        <v>1200</v>
      </c>
      <c r="CA2536" t="s">
        <v>1773</v>
      </c>
      <c r="CC2536" t="s">
        <v>1769</v>
      </c>
      <c r="CD2536">
        <v>2302</v>
      </c>
      <c r="CE2536" t="s">
        <v>121</v>
      </c>
      <c r="CF2536" s="3">
        <v>45860</v>
      </c>
      <c r="CI2536">
        <v>1</v>
      </c>
      <c r="CJ2536">
        <v>1</v>
      </c>
      <c r="CK2536">
        <v>23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"080066655106"</f>
        <v>080066655106</v>
      </c>
      <c r="F2537" s="3">
        <v>45856</v>
      </c>
      <c r="G2537">
        <v>202604</v>
      </c>
      <c r="H2537" t="s">
        <v>75</v>
      </c>
      <c r="I2537" t="s">
        <v>76</v>
      </c>
      <c r="J2537" t="s">
        <v>77</v>
      </c>
      <c r="K2537" t="s">
        <v>78</v>
      </c>
      <c r="L2537" t="s">
        <v>758</v>
      </c>
      <c r="M2537" t="s">
        <v>759</v>
      </c>
      <c r="N2537" t="s">
        <v>760</v>
      </c>
      <c r="O2537" t="s">
        <v>82</v>
      </c>
      <c r="P2537" t="str">
        <f>"4170049503                    "</f>
        <v xml:space="preserve">4170049503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43.78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137.94</v>
      </c>
      <c r="BM2537">
        <v>20.69</v>
      </c>
      <c r="BN2537">
        <v>158.63</v>
      </c>
      <c r="BO2537">
        <v>158.63</v>
      </c>
      <c r="BQ2537" t="s">
        <v>761</v>
      </c>
      <c r="BR2537" t="s">
        <v>84</v>
      </c>
      <c r="BS2537" s="3">
        <v>45859</v>
      </c>
      <c r="BT2537" s="4">
        <v>0.39097222222222222</v>
      </c>
      <c r="BU2537" t="s">
        <v>1110</v>
      </c>
      <c r="BV2537" t="s">
        <v>98</v>
      </c>
      <c r="BY2537">
        <v>1200</v>
      </c>
      <c r="CA2537" t="s">
        <v>763</v>
      </c>
      <c r="CC2537" t="s">
        <v>759</v>
      </c>
      <c r="CD2537">
        <v>2531</v>
      </c>
      <c r="CE2537" t="s">
        <v>121</v>
      </c>
      <c r="CF2537" s="3">
        <v>45860</v>
      </c>
      <c r="CI2537">
        <v>1</v>
      </c>
      <c r="CJ2537">
        <v>1</v>
      </c>
      <c r="CK2537">
        <v>23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"080066655132"</f>
        <v>080066655132</v>
      </c>
      <c r="F2538" s="3">
        <v>45856</v>
      </c>
      <c r="G2538">
        <v>202604</v>
      </c>
      <c r="H2538" t="s">
        <v>75</v>
      </c>
      <c r="I2538" t="s">
        <v>76</v>
      </c>
      <c r="J2538" t="s">
        <v>77</v>
      </c>
      <c r="K2538" t="s">
        <v>78</v>
      </c>
      <c r="L2538" t="s">
        <v>92</v>
      </c>
      <c r="M2538" t="s">
        <v>93</v>
      </c>
      <c r="N2538" t="s">
        <v>291</v>
      </c>
      <c r="O2538" t="s">
        <v>82</v>
      </c>
      <c r="P2538" t="str">
        <f>"4170049422                    "</f>
        <v xml:space="preserve">4170049422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22.6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71.2</v>
      </c>
      <c r="BM2538">
        <v>10.68</v>
      </c>
      <c r="BN2538">
        <v>81.88</v>
      </c>
      <c r="BO2538">
        <v>81.88</v>
      </c>
      <c r="BQ2538" t="s">
        <v>292</v>
      </c>
      <c r="BR2538" t="s">
        <v>84</v>
      </c>
      <c r="BS2538" s="3">
        <v>45859</v>
      </c>
      <c r="BT2538" s="4">
        <v>0.33402777777777776</v>
      </c>
      <c r="BU2538" t="s">
        <v>847</v>
      </c>
      <c r="BV2538" t="s">
        <v>98</v>
      </c>
      <c r="BY2538">
        <v>1200</v>
      </c>
      <c r="CA2538" t="s">
        <v>294</v>
      </c>
      <c r="CC2538" t="s">
        <v>93</v>
      </c>
      <c r="CD2538">
        <v>4051</v>
      </c>
      <c r="CE2538" t="s">
        <v>121</v>
      </c>
      <c r="CF2538" s="3">
        <v>45859</v>
      </c>
      <c r="CI2538">
        <v>1</v>
      </c>
      <c r="CJ2538">
        <v>1</v>
      </c>
      <c r="CK2538">
        <v>21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"080066655236"</f>
        <v>080066655236</v>
      </c>
      <c r="F2539" s="3">
        <v>45856</v>
      </c>
      <c r="G2539">
        <v>202604</v>
      </c>
      <c r="H2539" t="s">
        <v>75</v>
      </c>
      <c r="I2539" t="s">
        <v>76</v>
      </c>
      <c r="J2539" t="s">
        <v>77</v>
      </c>
      <c r="K2539" t="s">
        <v>78</v>
      </c>
      <c r="L2539" t="s">
        <v>79</v>
      </c>
      <c r="M2539" t="s">
        <v>80</v>
      </c>
      <c r="N2539" t="s">
        <v>141</v>
      </c>
      <c r="O2539" t="s">
        <v>82</v>
      </c>
      <c r="P2539" t="str">
        <f>"4170049429                    "</f>
        <v xml:space="preserve">4170049429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22.6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71.2</v>
      </c>
      <c r="BM2539">
        <v>10.68</v>
      </c>
      <c r="BN2539">
        <v>81.88</v>
      </c>
      <c r="BO2539">
        <v>81.88</v>
      </c>
      <c r="BQ2539" t="s">
        <v>142</v>
      </c>
      <c r="BR2539" t="s">
        <v>84</v>
      </c>
      <c r="BS2539" s="3">
        <v>45859</v>
      </c>
      <c r="BT2539" s="4">
        <v>0.38819444444444445</v>
      </c>
      <c r="BU2539" t="s">
        <v>143</v>
      </c>
      <c r="BV2539" t="s">
        <v>98</v>
      </c>
      <c r="BY2539">
        <v>1200</v>
      </c>
      <c r="CA2539" t="s">
        <v>144</v>
      </c>
      <c r="CC2539" t="s">
        <v>80</v>
      </c>
      <c r="CD2539">
        <v>7441</v>
      </c>
      <c r="CE2539" t="s">
        <v>121</v>
      </c>
      <c r="CF2539" s="3">
        <v>45860</v>
      </c>
      <c r="CI2539">
        <v>1</v>
      </c>
      <c r="CJ2539">
        <v>1</v>
      </c>
      <c r="CK2539">
        <v>21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"080066655259"</f>
        <v>080066655259</v>
      </c>
      <c r="F2540" s="3">
        <v>45856</v>
      </c>
      <c r="G2540">
        <v>202604</v>
      </c>
      <c r="H2540" t="s">
        <v>75</v>
      </c>
      <c r="I2540" t="s">
        <v>76</v>
      </c>
      <c r="J2540" t="s">
        <v>77</v>
      </c>
      <c r="K2540" t="s">
        <v>78</v>
      </c>
      <c r="L2540" t="s">
        <v>168</v>
      </c>
      <c r="M2540" t="s">
        <v>169</v>
      </c>
      <c r="N2540" t="s">
        <v>206</v>
      </c>
      <c r="O2540" t="s">
        <v>82</v>
      </c>
      <c r="P2540" t="str">
        <f>"4170049419                    "</f>
        <v xml:space="preserve">4170049419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22.6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71.2</v>
      </c>
      <c r="BM2540">
        <v>10.68</v>
      </c>
      <c r="BN2540">
        <v>81.88</v>
      </c>
      <c r="BO2540">
        <v>81.88</v>
      </c>
      <c r="BQ2540" t="s">
        <v>207</v>
      </c>
      <c r="BR2540" t="s">
        <v>84</v>
      </c>
      <c r="BS2540" s="3">
        <v>45859</v>
      </c>
      <c r="BT2540" s="4">
        <v>0.38541666666666669</v>
      </c>
      <c r="BU2540" t="s">
        <v>208</v>
      </c>
      <c r="BV2540" t="s">
        <v>98</v>
      </c>
      <c r="BY2540">
        <v>1200</v>
      </c>
      <c r="CA2540" t="s">
        <v>196</v>
      </c>
      <c r="CC2540" t="s">
        <v>169</v>
      </c>
      <c r="CD2540">
        <v>6001</v>
      </c>
      <c r="CE2540" t="s">
        <v>121</v>
      </c>
      <c r="CF2540" s="3">
        <v>45859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"080066655280"</f>
        <v>080066655280</v>
      </c>
      <c r="F2541" s="3">
        <v>45856</v>
      </c>
      <c r="G2541">
        <v>202604</v>
      </c>
      <c r="H2541" t="s">
        <v>75</v>
      </c>
      <c r="I2541" t="s">
        <v>76</v>
      </c>
      <c r="J2541" t="s">
        <v>77</v>
      </c>
      <c r="K2541" t="s">
        <v>78</v>
      </c>
      <c r="L2541" t="s">
        <v>92</v>
      </c>
      <c r="M2541" t="s">
        <v>93</v>
      </c>
      <c r="N2541" t="s">
        <v>291</v>
      </c>
      <c r="O2541" t="s">
        <v>82</v>
      </c>
      <c r="P2541" t="str">
        <f>"4170049588                    "</f>
        <v xml:space="preserve">4170049588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22.6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1.1000000000000001</v>
      </c>
      <c r="BK2541">
        <v>1.5</v>
      </c>
      <c r="BL2541">
        <v>71.2</v>
      </c>
      <c r="BM2541">
        <v>10.68</v>
      </c>
      <c r="BN2541">
        <v>81.88</v>
      </c>
      <c r="BO2541">
        <v>81.88</v>
      </c>
      <c r="BQ2541" t="s">
        <v>292</v>
      </c>
      <c r="BR2541" t="s">
        <v>84</v>
      </c>
      <c r="BS2541" s="3">
        <v>45859</v>
      </c>
      <c r="BT2541" s="4">
        <v>0.33402777777777776</v>
      </c>
      <c r="BU2541" t="s">
        <v>847</v>
      </c>
      <c r="BV2541" t="s">
        <v>98</v>
      </c>
      <c r="BY2541">
        <v>5320</v>
      </c>
      <c r="CA2541" t="s">
        <v>294</v>
      </c>
      <c r="CC2541" t="s">
        <v>93</v>
      </c>
      <c r="CD2541">
        <v>4051</v>
      </c>
      <c r="CE2541" t="s">
        <v>145</v>
      </c>
      <c r="CF2541" s="3">
        <v>45859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"080066655502"</f>
        <v>080066655502</v>
      </c>
      <c r="F2542" s="3">
        <v>45856</v>
      </c>
      <c r="G2542">
        <v>202604</v>
      </c>
      <c r="H2542" t="s">
        <v>75</v>
      </c>
      <c r="I2542" t="s">
        <v>76</v>
      </c>
      <c r="J2542" t="s">
        <v>77</v>
      </c>
      <c r="K2542" t="s">
        <v>78</v>
      </c>
      <c r="L2542" t="s">
        <v>363</v>
      </c>
      <c r="M2542" t="s">
        <v>364</v>
      </c>
      <c r="N2542" t="s">
        <v>365</v>
      </c>
      <c r="O2542" t="s">
        <v>82</v>
      </c>
      <c r="P2542" t="str">
        <f>"4170049524                    "</f>
        <v xml:space="preserve">4170049524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43.78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137.94</v>
      </c>
      <c r="BM2542">
        <v>20.69</v>
      </c>
      <c r="BN2542">
        <v>158.63</v>
      </c>
      <c r="BO2542">
        <v>158.63</v>
      </c>
      <c r="BQ2542" t="s">
        <v>1118</v>
      </c>
      <c r="BR2542" t="s">
        <v>84</v>
      </c>
      <c r="BS2542" s="3">
        <v>45859</v>
      </c>
      <c r="BT2542" s="4">
        <v>0.61805555555555558</v>
      </c>
      <c r="BU2542" t="s">
        <v>1198</v>
      </c>
      <c r="BV2542" t="s">
        <v>98</v>
      </c>
      <c r="BY2542">
        <v>1200</v>
      </c>
      <c r="CA2542" t="s">
        <v>522</v>
      </c>
      <c r="CC2542" t="s">
        <v>364</v>
      </c>
      <c r="CD2542">
        <v>7300</v>
      </c>
      <c r="CE2542" t="s">
        <v>121</v>
      </c>
      <c r="CF2542" s="3">
        <v>45860</v>
      </c>
      <c r="CI2542">
        <v>1</v>
      </c>
      <c r="CJ2542">
        <v>1</v>
      </c>
      <c r="CK2542">
        <v>23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"080066655523"</f>
        <v>080066655523</v>
      </c>
      <c r="F2543" s="3">
        <v>45856</v>
      </c>
      <c r="G2543">
        <v>202604</v>
      </c>
      <c r="H2543" t="s">
        <v>75</v>
      </c>
      <c r="I2543" t="s">
        <v>76</v>
      </c>
      <c r="J2543" t="s">
        <v>77</v>
      </c>
      <c r="K2543" t="s">
        <v>78</v>
      </c>
      <c r="L2543" t="s">
        <v>174</v>
      </c>
      <c r="M2543" t="s">
        <v>175</v>
      </c>
      <c r="N2543" t="s">
        <v>352</v>
      </c>
      <c r="O2543" t="s">
        <v>82</v>
      </c>
      <c r="P2543" t="str">
        <f>"4170049502                    "</f>
        <v xml:space="preserve">4170049502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22.6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71.2</v>
      </c>
      <c r="BM2543">
        <v>10.68</v>
      </c>
      <c r="BN2543">
        <v>81.88</v>
      </c>
      <c r="BO2543">
        <v>81.88</v>
      </c>
      <c r="BQ2543" t="s">
        <v>1994</v>
      </c>
      <c r="BR2543" t="s">
        <v>84</v>
      </c>
      <c r="BS2543" s="3">
        <v>45859</v>
      </c>
      <c r="BT2543" s="4">
        <v>0.43125000000000002</v>
      </c>
      <c r="BU2543" t="s">
        <v>2879</v>
      </c>
      <c r="BV2543" t="s">
        <v>98</v>
      </c>
      <c r="BY2543">
        <v>1200</v>
      </c>
      <c r="CA2543" t="s">
        <v>173</v>
      </c>
      <c r="CC2543" t="s">
        <v>175</v>
      </c>
      <c r="CD2543">
        <v>6220</v>
      </c>
      <c r="CE2543" t="s">
        <v>121</v>
      </c>
      <c r="CF2543" s="3">
        <v>45859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"080066655547"</f>
        <v>080066655547</v>
      </c>
      <c r="F2544" s="3">
        <v>45856</v>
      </c>
      <c r="G2544">
        <v>202604</v>
      </c>
      <c r="H2544" t="s">
        <v>75</v>
      </c>
      <c r="I2544" t="s">
        <v>76</v>
      </c>
      <c r="J2544" t="s">
        <v>77</v>
      </c>
      <c r="K2544" t="s">
        <v>78</v>
      </c>
      <c r="L2544" t="s">
        <v>75</v>
      </c>
      <c r="M2544" t="s">
        <v>76</v>
      </c>
      <c r="N2544" t="s">
        <v>2880</v>
      </c>
      <c r="O2544" t="s">
        <v>82</v>
      </c>
      <c r="P2544" t="str">
        <f>"4170049410                    "</f>
        <v xml:space="preserve">4170049410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17.649999999999999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55.61</v>
      </c>
      <c r="BM2544">
        <v>8.34</v>
      </c>
      <c r="BN2544">
        <v>63.95</v>
      </c>
      <c r="BO2544">
        <v>63.95</v>
      </c>
      <c r="BQ2544" t="s">
        <v>2881</v>
      </c>
      <c r="BR2544" t="s">
        <v>84</v>
      </c>
      <c r="BS2544" s="3">
        <v>45859</v>
      </c>
      <c r="BT2544" s="4">
        <v>0.43055555555555558</v>
      </c>
      <c r="BU2544" t="s">
        <v>2882</v>
      </c>
      <c r="BV2544" t="s">
        <v>98</v>
      </c>
      <c r="BY2544">
        <v>1200</v>
      </c>
      <c r="CA2544" t="s">
        <v>617</v>
      </c>
      <c r="CC2544" t="s">
        <v>76</v>
      </c>
      <c r="CD2544">
        <v>1609</v>
      </c>
      <c r="CE2544" t="s">
        <v>121</v>
      </c>
      <c r="CF2544" s="3">
        <v>45860</v>
      </c>
      <c r="CI2544">
        <v>1</v>
      </c>
      <c r="CJ2544">
        <v>1</v>
      </c>
      <c r="CK2544">
        <v>22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"080066655597"</f>
        <v>080066655597</v>
      </c>
      <c r="F2545" s="3">
        <v>45856</v>
      </c>
      <c r="G2545">
        <v>202604</v>
      </c>
      <c r="H2545" t="s">
        <v>75</v>
      </c>
      <c r="I2545" t="s">
        <v>76</v>
      </c>
      <c r="J2545" t="s">
        <v>77</v>
      </c>
      <c r="K2545" t="s">
        <v>78</v>
      </c>
      <c r="L2545" t="s">
        <v>151</v>
      </c>
      <c r="M2545" t="s">
        <v>152</v>
      </c>
      <c r="N2545" t="s">
        <v>153</v>
      </c>
      <c r="O2545" t="s">
        <v>82</v>
      </c>
      <c r="P2545" t="str">
        <f>"4170049417                    "</f>
        <v xml:space="preserve">4170049417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22.6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71.2</v>
      </c>
      <c r="BM2545">
        <v>10.68</v>
      </c>
      <c r="BN2545">
        <v>81.88</v>
      </c>
      <c r="BO2545">
        <v>81.88</v>
      </c>
      <c r="BQ2545" t="s">
        <v>154</v>
      </c>
      <c r="BR2545" t="s">
        <v>84</v>
      </c>
      <c r="BS2545" s="3">
        <v>45859</v>
      </c>
      <c r="BT2545" s="4">
        <v>0.33263888888888887</v>
      </c>
      <c r="BU2545" t="s">
        <v>155</v>
      </c>
      <c r="BV2545" t="s">
        <v>98</v>
      </c>
      <c r="BY2545">
        <v>1200</v>
      </c>
      <c r="CA2545" t="s">
        <v>156</v>
      </c>
      <c r="CC2545" t="s">
        <v>152</v>
      </c>
      <c r="CD2545" s="5" t="s">
        <v>157</v>
      </c>
      <c r="CE2545" t="s">
        <v>121</v>
      </c>
      <c r="CF2545" s="3">
        <v>45859</v>
      </c>
      <c r="CI2545">
        <v>1</v>
      </c>
      <c r="CJ2545">
        <v>1</v>
      </c>
      <c r="CK2545">
        <v>21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"080066655655"</f>
        <v>080066655655</v>
      </c>
      <c r="F2546" s="3">
        <v>45856</v>
      </c>
      <c r="G2546">
        <v>202604</v>
      </c>
      <c r="H2546" t="s">
        <v>75</v>
      </c>
      <c r="I2546" t="s">
        <v>76</v>
      </c>
      <c r="J2546" t="s">
        <v>77</v>
      </c>
      <c r="K2546" t="s">
        <v>78</v>
      </c>
      <c r="L2546" t="s">
        <v>79</v>
      </c>
      <c r="M2546" t="s">
        <v>80</v>
      </c>
      <c r="N2546" t="s">
        <v>2883</v>
      </c>
      <c r="O2546" t="s">
        <v>82</v>
      </c>
      <c r="P2546" t="str">
        <f>"4170049641                    "</f>
        <v xml:space="preserve">4170049641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22.6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71.2</v>
      </c>
      <c r="BM2546">
        <v>10.68</v>
      </c>
      <c r="BN2546">
        <v>81.88</v>
      </c>
      <c r="BO2546">
        <v>81.88</v>
      </c>
      <c r="BQ2546" t="s">
        <v>2884</v>
      </c>
      <c r="BR2546" t="s">
        <v>84</v>
      </c>
      <c r="BS2546" s="3">
        <v>45859</v>
      </c>
      <c r="BT2546" s="4">
        <v>0.41180555555555554</v>
      </c>
      <c r="BU2546" t="s">
        <v>2582</v>
      </c>
      <c r="BV2546" t="s">
        <v>98</v>
      </c>
      <c r="BY2546">
        <v>1200</v>
      </c>
      <c r="BZ2546" t="s">
        <v>89</v>
      </c>
      <c r="CA2546" t="s">
        <v>2885</v>
      </c>
      <c r="CC2546" t="s">
        <v>80</v>
      </c>
      <c r="CD2546">
        <v>7925</v>
      </c>
      <c r="CE2546" t="s">
        <v>239</v>
      </c>
      <c r="CF2546" s="3">
        <v>45860</v>
      </c>
      <c r="CI2546">
        <v>1</v>
      </c>
      <c r="CJ2546">
        <v>1</v>
      </c>
      <c r="CK2546">
        <v>21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"080066655705"</f>
        <v>080066655705</v>
      </c>
      <c r="F2547" s="3">
        <v>45856</v>
      </c>
      <c r="G2547">
        <v>202604</v>
      </c>
      <c r="H2547" t="s">
        <v>75</v>
      </c>
      <c r="I2547" t="s">
        <v>76</v>
      </c>
      <c r="J2547" t="s">
        <v>77</v>
      </c>
      <c r="K2547" t="s">
        <v>78</v>
      </c>
      <c r="L2547" t="s">
        <v>79</v>
      </c>
      <c r="M2547" t="s">
        <v>80</v>
      </c>
      <c r="N2547" t="s">
        <v>141</v>
      </c>
      <c r="O2547" t="s">
        <v>82</v>
      </c>
      <c r="P2547" t="str">
        <f>"4170049556                    "</f>
        <v xml:space="preserve">4170049556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22.6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71.2</v>
      </c>
      <c r="BM2547">
        <v>10.68</v>
      </c>
      <c r="BN2547">
        <v>81.88</v>
      </c>
      <c r="BO2547">
        <v>81.88</v>
      </c>
      <c r="BQ2547" t="s">
        <v>142</v>
      </c>
      <c r="BR2547" t="s">
        <v>84</v>
      </c>
      <c r="BS2547" s="3">
        <v>45859</v>
      </c>
      <c r="BT2547" s="4">
        <v>0.38819444444444445</v>
      </c>
      <c r="BU2547" t="s">
        <v>143</v>
      </c>
      <c r="BV2547" t="s">
        <v>98</v>
      </c>
      <c r="BY2547">
        <v>1200</v>
      </c>
      <c r="BZ2547" t="s">
        <v>89</v>
      </c>
      <c r="CA2547" t="s">
        <v>144</v>
      </c>
      <c r="CC2547" t="s">
        <v>80</v>
      </c>
      <c r="CD2547">
        <v>7441</v>
      </c>
      <c r="CE2547" t="s">
        <v>239</v>
      </c>
      <c r="CF2547" s="3">
        <v>45860</v>
      </c>
      <c r="CI2547">
        <v>1</v>
      </c>
      <c r="CJ2547">
        <v>1</v>
      </c>
      <c r="CK2547">
        <v>21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"080066655752"</f>
        <v>080066655752</v>
      </c>
      <c r="F2548" s="3">
        <v>45856</v>
      </c>
      <c r="G2548">
        <v>202604</v>
      </c>
      <c r="H2548" t="s">
        <v>75</v>
      </c>
      <c r="I2548" t="s">
        <v>76</v>
      </c>
      <c r="J2548" t="s">
        <v>77</v>
      </c>
      <c r="K2548" t="s">
        <v>78</v>
      </c>
      <c r="L2548" t="s">
        <v>168</v>
      </c>
      <c r="M2548" t="s">
        <v>169</v>
      </c>
      <c r="N2548" t="s">
        <v>2525</v>
      </c>
      <c r="O2548" t="s">
        <v>82</v>
      </c>
      <c r="P2548" t="str">
        <f>"4170049554                    "</f>
        <v xml:space="preserve">4170049554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22.6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1.1000000000000001</v>
      </c>
      <c r="BK2548">
        <v>1.5</v>
      </c>
      <c r="BL2548">
        <v>71.2</v>
      </c>
      <c r="BM2548">
        <v>10.68</v>
      </c>
      <c r="BN2548">
        <v>81.88</v>
      </c>
      <c r="BO2548">
        <v>81.88</v>
      </c>
      <c r="BQ2548" t="s">
        <v>2526</v>
      </c>
      <c r="BR2548" t="s">
        <v>84</v>
      </c>
      <c r="BS2548" s="3">
        <v>45859</v>
      </c>
      <c r="BT2548" s="4">
        <v>0.4375</v>
      </c>
      <c r="BU2548" t="s">
        <v>2527</v>
      </c>
      <c r="BV2548" t="s">
        <v>98</v>
      </c>
      <c r="BY2548">
        <v>5320</v>
      </c>
      <c r="CA2548" t="s">
        <v>2528</v>
      </c>
      <c r="CC2548" t="s">
        <v>169</v>
      </c>
      <c r="CD2548">
        <v>6001</v>
      </c>
      <c r="CE2548" t="s">
        <v>145</v>
      </c>
      <c r="CF2548" s="3">
        <v>45859</v>
      </c>
      <c r="CI2548">
        <v>1</v>
      </c>
      <c r="CJ2548">
        <v>1</v>
      </c>
      <c r="CK2548">
        <v>21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"080066655816"</f>
        <v>080066655816</v>
      </c>
      <c r="F2549" s="3">
        <v>45856</v>
      </c>
      <c r="G2549">
        <v>202604</v>
      </c>
      <c r="H2549" t="s">
        <v>75</v>
      </c>
      <c r="I2549" t="s">
        <v>76</v>
      </c>
      <c r="J2549" t="s">
        <v>77</v>
      </c>
      <c r="K2549" t="s">
        <v>78</v>
      </c>
      <c r="L2549" t="s">
        <v>234</v>
      </c>
      <c r="M2549" t="s">
        <v>235</v>
      </c>
      <c r="N2549" t="s">
        <v>236</v>
      </c>
      <c r="O2549" t="s">
        <v>82</v>
      </c>
      <c r="P2549" t="str">
        <f>"4170049634                    "</f>
        <v xml:space="preserve">4170049634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17.649999999999999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2</v>
      </c>
      <c r="BJ2549">
        <v>3.1</v>
      </c>
      <c r="BK2549">
        <v>4</v>
      </c>
      <c r="BL2549">
        <v>55.61</v>
      </c>
      <c r="BM2549">
        <v>8.34</v>
      </c>
      <c r="BN2549">
        <v>63.95</v>
      </c>
      <c r="BO2549">
        <v>63.95</v>
      </c>
      <c r="BQ2549" t="s">
        <v>237</v>
      </c>
      <c r="BR2549" t="s">
        <v>84</v>
      </c>
      <c r="BS2549" s="3">
        <v>45859</v>
      </c>
      <c r="BT2549" s="4">
        <v>0.42430555555555555</v>
      </c>
      <c r="BU2549" t="s">
        <v>2886</v>
      </c>
      <c r="BV2549" t="s">
        <v>98</v>
      </c>
      <c r="BY2549">
        <v>15708</v>
      </c>
      <c r="CA2549" t="s">
        <v>632</v>
      </c>
      <c r="CC2549" t="s">
        <v>235</v>
      </c>
      <c r="CD2549">
        <v>1682</v>
      </c>
      <c r="CE2549" t="s">
        <v>91</v>
      </c>
      <c r="CF2549" s="3">
        <v>45860</v>
      </c>
      <c r="CI2549">
        <v>1</v>
      </c>
      <c r="CJ2549">
        <v>1</v>
      </c>
      <c r="CK2549">
        <v>22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"080066655867"</f>
        <v>080066655867</v>
      </c>
      <c r="F2550" s="3">
        <v>45856</v>
      </c>
      <c r="G2550">
        <v>202604</v>
      </c>
      <c r="H2550" t="s">
        <v>75</v>
      </c>
      <c r="I2550" t="s">
        <v>76</v>
      </c>
      <c r="J2550" t="s">
        <v>77</v>
      </c>
      <c r="K2550" t="s">
        <v>78</v>
      </c>
      <c r="L2550" t="s">
        <v>197</v>
      </c>
      <c r="M2550" t="s">
        <v>198</v>
      </c>
      <c r="N2550" t="s">
        <v>1192</v>
      </c>
      <c r="O2550" t="s">
        <v>82</v>
      </c>
      <c r="P2550" t="str">
        <f>"4170049633                    "</f>
        <v xml:space="preserve">4170049633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17.649999999999999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2</v>
      </c>
      <c r="BJ2550">
        <v>3.1</v>
      </c>
      <c r="BK2550">
        <v>4</v>
      </c>
      <c r="BL2550">
        <v>55.61</v>
      </c>
      <c r="BM2550">
        <v>8.34</v>
      </c>
      <c r="BN2550">
        <v>63.95</v>
      </c>
      <c r="BO2550">
        <v>63.95</v>
      </c>
      <c r="BQ2550" t="s">
        <v>1193</v>
      </c>
      <c r="BR2550" t="s">
        <v>84</v>
      </c>
      <c r="BS2550" s="3">
        <v>45859</v>
      </c>
      <c r="BT2550" s="4">
        <v>0.38541666666666669</v>
      </c>
      <c r="BU2550" t="s">
        <v>2887</v>
      </c>
      <c r="BV2550" t="s">
        <v>98</v>
      </c>
      <c r="BY2550">
        <v>15708</v>
      </c>
      <c r="CA2550" t="s">
        <v>318</v>
      </c>
      <c r="CC2550" t="s">
        <v>198</v>
      </c>
      <c r="CD2550">
        <v>1428</v>
      </c>
      <c r="CE2550" t="s">
        <v>91</v>
      </c>
      <c r="CF2550" s="3">
        <v>45859</v>
      </c>
      <c r="CI2550">
        <v>1</v>
      </c>
      <c r="CJ2550">
        <v>1</v>
      </c>
      <c r="CK2550">
        <v>22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"080066655938"</f>
        <v>080066655938</v>
      </c>
      <c r="F2551" s="3">
        <v>45856</v>
      </c>
      <c r="G2551">
        <v>202604</v>
      </c>
      <c r="H2551" t="s">
        <v>75</v>
      </c>
      <c r="I2551" t="s">
        <v>76</v>
      </c>
      <c r="J2551" t="s">
        <v>77</v>
      </c>
      <c r="K2551" t="s">
        <v>78</v>
      </c>
      <c r="L2551" t="s">
        <v>174</v>
      </c>
      <c r="M2551" t="s">
        <v>175</v>
      </c>
      <c r="N2551" t="s">
        <v>2644</v>
      </c>
      <c r="O2551" t="s">
        <v>82</v>
      </c>
      <c r="P2551" t="str">
        <f>"4170049501                    "</f>
        <v xml:space="preserve">4170049501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22.6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0.6</v>
      </c>
      <c r="BK2551">
        <v>1</v>
      </c>
      <c r="BL2551">
        <v>71.2</v>
      </c>
      <c r="BM2551">
        <v>10.68</v>
      </c>
      <c r="BN2551">
        <v>81.88</v>
      </c>
      <c r="BO2551">
        <v>81.88</v>
      </c>
      <c r="BQ2551" t="s">
        <v>2645</v>
      </c>
      <c r="BR2551" t="s">
        <v>84</v>
      </c>
      <c r="BS2551" s="3">
        <v>45859</v>
      </c>
      <c r="BT2551" s="4">
        <v>0.43125000000000002</v>
      </c>
      <c r="BU2551" t="s">
        <v>2879</v>
      </c>
      <c r="BV2551" t="s">
        <v>98</v>
      </c>
      <c r="BY2551">
        <v>3192</v>
      </c>
      <c r="CA2551" t="s">
        <v>173</v>
      </c>
      <c r="CC2551" t="s">
        <v>175</v>
      </c>
      <c r="CD2551">
        <v>6220</v>
      </c>
      <c r="CE2551" t="s">
        <v>259</v>
      </c>
      <c r="CF2551" s="3">
        <v>45859</v>
      </c>
      <c r="CI2551">
        <v>1</v>
      </c>
      <c r="CJ2551">
        <v>1</v>
      </c>
      <c r="CK2551">
        <v>21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"080066656610"</f>
        <v>080066656610</v>
      </c>
      <c r="F2552" s="3">
        <v>45856</v>
      </c>
      <c r="G2552">
        <v>202604</v>
      </c>
      <c r="H2552" t="s">
        <v>75</v>
      </c>
      <c r="I2552" t="s">
        <v>76</v>
      </c>
      <c r="J2552" t="s">
        <v>77</v>
      </c>
      <c r="K2552" t="s">
        <v>78</v>
      </c>
      <c r="L2552" t="s">
        <v>503</v>
      </c>
      <c r="M2552" t="s">
        <v>504</v>
      </c>
      <c r="N2552" t="s">
        <v>505</v>
      </c>
      <c r="O2552" t="s">
        <v>82</v>
      </c>
      <c r="P2552" t="str">
        <f>"4170049446                    "</f>
        <v xml:space="preserve">4170049446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142.63999999999999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7</v>
      </c>
      <c r="BJ2552">
        <v>3</v>
      </c>
      <c r="BK2552">
        <v>7</v>
      </c>
      <c r="BL2552">
        <v>449.4</v>
      </c>
      <c r="BM2552">
        <v>67.41</v>
      </c>
      <c r="BN2552">
        <v>516.80999999999995</v>
      </c>
      <c r="BO2552">
        <v>516.80999999999995</v>
      </c>
      <c r="BQ2552" t="s">
        <v>506</v>
      </c>
      <c r="BR2552" t="s">
        <v>84</v>
      </c>
      <c r="BS2552" s="3">
        <v>45859</v>
      </c>
      <c r="BT2552" s="4">
        <v>0.4909722222222222</v>
      </c>
      <c r="BU2552" t="s">
        <v>2888</v>
      </c>
      <c r="BV2552" t="s">
        <v>98</v>
      </c>
      <c r="BY2552">
        <v>15120</v>
      </c>
      <c r="CA2552" t="s">
        <v>508</v>
      </c>
      <c r="CC2552" t="s">
        <v>504</v>
      </c>
      <c r="CD2552">
        <v>7130</v>
      </c>
      <c r="CE2552" t="s">
        <v>91</v>
      </c>
      <c r="CF2552" s="3">
        <v>45860</v>
      </c>
      <c r="CI2552">
        <v>1</v>
      </c>
      <c r="CJ2552">
        <v>1</v>
      </c>
      <c r="CK2552">
        <v>23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"080066656690"</f>
        <v>080066656690</v>
      </c>
      <c r="F2553" s="3">
        <v>45856</v>
      </c>
      <c r="G2553">
        <v>202604</v>
      </c>
      <c r="H2553" t="s">
        <v>75</v>
      </c>
      <c r="I2553" t="s">
        <v>76</v>
      </c>
      <c r="J2553" t="s">
        <v>77</v>
      </c>
      <c r="K2553" t="s">
        <v>78</v>
      </c>
      <c r="L2553" t="s">
        <v>580</v>
      </c>
      <c r="M2553" t="s">
        <v>581</v>
      </c>
      <c r="N2553" t="s">
        <v>2889</v>
      </c>
      <c r="O2553" t="s">
        <v>82</v>
      </c>
      <c r="P2553" t="str">
        <f>"4170049411                    "</f>
        <v xml:space="preserve">4170049411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56.47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5</v>
      </c>
      <c r="BJ2553">
        <v>1.1000000000000001</v>
      </c>
      <c r="BK2553">
        <v>5</v>
      </c>
      <c r="BL2553">
        <v>177.91</v>
      </c>
      <c r="BM2553">
        <v>26.69</v>
      </c>
      <c r="BN2553">
        <v>204.6</v>
      </c>
      <c r="BO2553">
        <v>204.6</v>
      </c>
      <c r="BQ2553" t="s">
        <v>2890</v>
      </c>
      <c r="BR2553" t="s">
        <v>84</v>
      </c>
      <c r="BS2553" s="3">
        <v>45859</v>
      </c>
      <c r="BT2553" s="4">
        <v>0.41666666666666669</v>
      </c>
      <c r="BU2553" t="s">
        <v>2891</v>
      </c>
      <c r="BV2553" t="s">
        <v>98</v>
      </c>
      <c r="BY2553">
        <v>5320</v>
      </c>
      <c r="CA2553" t="s">
        <v>585</v>
      </c>
      <c r="CC2553" t="s">
        <v>581</v>
      </c>
      <c r="CD2553">
        <v>4300</v>
      </c>
      <c r="CE2553" t="s">
        <v>145</v>
      </c>
      <c r="CF2553" s="3">
        <v>45860</v>
      </c>
      <c r="CI2553">
        <v>1</v>
      </c>
      <c r="CJ2553">
        <v>1</v>
      </c>
      <c r="CK2553">
        <v>21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"080066656723"</f>
        <v>080066656723</v>
      </c>
      <c r="F2554" s="3">
        <v>45856</v>
      </c>
      <c r="G2554">
        <v>202604</v>
      </c>
      <c r="H2554" t="s">
        <v>75</v>
      </c>
      <c r="I2554" t="s">
        <v>76</v>
      </c>
      <c r="J2554" t="s">
        <v>77</v>
      </c>
      <c r="K2554" t="s">
        <v>78</v>
      </c>
      <c r="L2554" t="s">
        <v>151</v>
      </c>
      <c r="M2554" t="s">
        <v>152</v>
      </c>
      <c r="N2554" t="s">
        <v>153</v>
      </c>
      <c r="O2554" t="s">
        <v>82</v>
      </c>
      <c r="P2554" t="str">
        <f>"4170049490                    "</f>
        <v xml:space="preserve">4170049490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22.6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0.3</v>
      </c>
      <c r="BK2554">
        <v>1</v>
      </c>
      <c r="BL2554">
        <v>71.2</v>
      </c>
      <c r="BM2554">
        <v>10.68</v>
      </c>
      <c r="BN2554">
        <v>81.88</v>
      </c>
      <c r="BO2554">
        <v>81.88</v>
      </c>
      <c r="BQ2554" t="s">
        <v>154</v>
      </c>
      <c r="BR2554" t="s">
        <v>84</v>
      </c>
      <c r="BS2554" s="3">
        <v>45859</v>
      </c>
      <c r="BT2554" s="4">
        <v>0.3263888888888889</v>
      </c>
      <c r="BU2554" t="s">
        <v>155</v>
      </c>
      <c r="BV2554" t="s">
        <v>98</v>
      </c>
      <c r="BY2554">
        <v>1350</v>
      </c>
      <c r="CA2554" t="s">
        <v>156</v>
      </c>
      <c r="CC2554" t="s">
        <v>152</v>
      </c>
      <c r="CD2554" s="5" t="s">
        <v>157</v>
      </c>
      <c r="CE2554" t="s">
        <v>2851</v>
      </c>
      <c r="CF2554" s="3">
        <v>45859</v>
      </c>
      <c r="CI2554">
        <v>1</v>
      </c>
      <c r="CJ2554">
        <v>1</v>
      </c>
      <c r="CK2554">
        <v>21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"080066656778"</f>
        <v>080066656778</v>
      </c>
      <c r="F2555" s="3">
        <v>45856</v>
      </c>
      <c r="G2555">
        <v>202604</v>
      </c>
      <c r="H2555" t="s">
        <v>75</v>
      </c>
      <c r="I2555" t="s">
        <v>76</v>
      </c>
      <c r="J2555" t="s">
        <v>77</v>
      </c>
      <c r="K2555" t="s">
        <v>78</v>
      </c>
      <c r="L2555" t="s">
        <v>406</v>
      </c>
      <c r="M2555" t="s">
        <v>407</v>
      </c>
      <c r="N2555" t="s">
        <v>1283</v>
      </c>
      <c r="O2555" t="s">
        <v>82</v>
      </c>
      <c r="P2555" t="str">
        <f>"4170049393                    "</f>
        <v xml:space="preserve">4170049393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201.96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10</v>
      </c>
      <c r="BJ2555">
        <v>3.8</v>
      </c>
      <c r="BK2555">
        <v>10</v>
      </c>
      <c r="BL2555">
        <v>636.28</v>
      </c>
      <c r="BM2555">
        <v>95.44</v>
      </c>
      <c r="BN2555">
        <v>731.72</v>
      </c>
      <c r="BO2555">
        <v>731.72</v>
      </c>
      <c r="BQ2555" t="s">
        <v>1284</v>
      </c>
      <c r="BR2555" t="s">
        <v>84</v>
      </c>
      <c r="BS2555" s="3">
        <v>45859</v>
      </c>
      <c r="BT2555" s="4">
        <v>0.49166666666666664</v>
      </c>
      <c r="BU2555" t="s">
        <v>2700</v>
      </c>
      <c r="BV2555" t="s">
        <v>98</v>
      </c>
      <c r="BY2555">
        <v>19227</v>
      </c>
      <c r="CA2555" t="s">
        <v>1286</v>
      </c>
      <c r="CC2555" t="s">
        <v>407</v>
      </c>
      <c r="CD2555">
        <v>4400</v>
      </c>
      <c r="CE2555" t="s">
        <v>145</v>
      </c>
      <c r="CF2555" s="3">
        <v>45860</v>
      </c>
      <c r="CI2555">
        <v>1</v>
      </c>
      <c r="CJ2555">
        <v>1</v>
      </c>
      <c r="CK2555">
        <v>23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"080066656793"</f>
        <v>080066656793</v>
      </c>
      <c r="F2556" s="3">
        <v>45856</v>
      </c>
      <c r="G2556">
        <v>202604</v>
      </c>
      <c r="H2556" t="s">
        <v>75</v>
      </c>
      <c r="I2556" t="s">
        <v>76</v>
      </c>
      <c r="J2556" t="s">
        <v>77</v>
      </c>
      <c r="K2556" t="s">
        <v>78</v>
      </c>
      <c r="L2556" t="s">
        <v>135</v>
      </c>
      <c r="M2556" t="s">
        <v>136</v>
      </c>
      <c r="N2556" t="s">
        <v>416</v>
      </c>
      <c r="O2556" t="s">
        <v>82</v>
      </c>
      <c r="P2556" t="str">
        <f>"4170049435                    "</f>
        <v xml:space="preserve">4170049435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22.6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0.3</v>
      </c>
      <c r="BK2556">
        <v>1</v>
      </c>
      <c r="BL2556">
        <v>71.2</v>
      </c>
      <c r="BM2556">
        <v>10.68</v>
      </c>
      <c r="BN2556">
        <v>81.88</v>
      </c>
      <c r="BO2556">
        <v>81.88</v>
      </c>
      <c r="BQ2556" t="s">
        <v>417</v>
      </c>
      <c r="BR2556" t="s">
        <v>84</v>
      </c>
      <c r="BS2556" s="3">
        <v>45859</v>
      </c>
      <c r="BT2556" s="4">
        <v>0.41666666666666669</v>
      </c>
      <c r="BU2556" t="s">
        <v>650</v>
      </c>
      <c r="BV2556" t="s">
        <v>98</v>
      </c>
      <c r="BY2556">
        <v>1350</v>
      </c>
      <c r="CC2556" t="s">
        <v>136</v>
      </c>
      <c r="CD2556">
        <v>3201</v>
      </c>
      <c r="CE2556" t="s">
        <v>2851</v>
      </c>
      <c r="CF2556" s="3">
        <v>45860</v>
      </c>
      <c r="CI2556">
        <v>1</v>
      </c>
      <c r="CJ2556">
        <v>1</v>
      </c>
      <c r="CK2556">
        <v>21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"080066656837"</f>
        <v>080066656837</v>
      </c>
      <c r="F2557" s="3">
        <v>45856</v>
      </c>
      <c r="G2557">
        <v>202604</v>
      </c>
      <c r="H2557" t="s">
        <v>75</v>
      </c>
      <c r="I2557" t="s">
        <v>76</v>
      </c>
      <c r="J2557" t="s">
        <v>77</v>
      </c>
      <c r="K2557" t="s">
        <v>78</v>
      </c>
      <c r="L2557" t="s">
        <v>79</v>
      </c>
      <c r="M2557" t="s">
        <v>80</v>
      </c>
      <c r="N2557" t="s">
        <v>2400</v>
      </c>
      <c r="O2557" t="s">
        <v>82</v>
      </c>
      <c r="P2557" t="str">
        <f>"4170049456                    "</f>
        <v xml:space="preserve">4170049456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22.6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0.3</v>
      </c>
      <c r="BK2557">
        <v>1</v>
      </c>
      <c r="BL2557">
        <v>71.2</v>
      </c>
      <c r="BM2557">
        <v>10.68</v>
      </c>
      <c r="BN2557">
        <v>81.88</v>
      </c>
      <c r="BO2557">
        <v>81.88</v>
      </c>
      <c r="BQ2557" t="s">
        <v>2401</v>
      </c>
      <c r="BR2557" t="s">
        <v>84</v>
      </c>
      <c r="BS2557" s="3">
        <v>45859</v>
      </c>
      <c r="BT2557" s="4">
        <v>0.41388888888888886</v>
      </c>
      <c r="BU2557" t="s">
        <v>161</v>
      </c>
      <c r="BV2557" t="s">
        <v>98</v>
      </c>
      <c r="BY2557">
        <v>1350</v>
      </c>
      <c r="CA2557" t="s">
        <v>162</v>
      </c>
      <c r="CC2557" t="s">
        <v>80</v>
      </c>
      <c r="CD2557">
        <v>8001</v>
      </c>
      <c r="CE2557" t="s">
        <v>2851</v>
      </c>
      <c r="CF2557" s="3">
        <v>45860</v>
      </c>
      <c r="CI2557">
        <v>1</v>
      </c>
      <c r="CJ2557">
        <v>1</v>
      </c>
      <c r="CK2557">
        <v>21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"080066656843"</f>
        <v>080066656843</v>
      </c>
      <c r="F2558" s="3">
        <v>45856</v>
      </c>
      <c r="G2558">
        <v>202604</v>
      </c>
      <c r="H2558" t="s">
        <v>75</v>
      </c>
      <c r="I2558" t="s">
        <v>76</v>
      </c>
      <c r="J2558" t="s">
        <v>77</v>
      </c>
      <c r="K2558" t="s">
        <v>78</v>
      </c>
      <c r="L2558" t="s">
        <v>135</v>
      </c>
      <c r="M2558" t="s">
        <v>136</v>
      </c>
      <c r="N2558" t="s">
        <v>379</v>
      </c>
      <c r="O2558" t="s">
        <v>82</v>
      </c>
      <c r="P2558" t="str">
        <f>"4170049486                    "</f>
        <v xml:space="preserve">4170049486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101.63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9</v>
      </c>
      <c r="BJ2558">
        <v>3.4</v>
      </c>
      <c r="BK2558">
        <v>9</v>
      </c>
      <c r="BL2558">
        <v>320.19</v>
      </c>
      <c r="BM2558">
        <v>48.03</v>
      </c>
      <c r="BN2558">
        <v>368.22</v>
      </c>
      <c r="BO2558">
        <v>368.22</v>
      </c>
      <c r="BQ2558" t="s">
        <v>380</v>
      </c>
      <c r="BR2558" t="s">
        <v>84</v>
      </c>
      <c r="BS2558" s="3">
        <v>45859</v>
      </c>
      <c r="BT2558" s="4">
        <v>0.41666666666666669</v>
      </c>
      <c r="BU2558" t="s">
        <v>1959</v>
      </c>
      <c r="BV2558" t="s">
        <v>98</v>
      </c>
      <c r="BY2558">
        <v>16965</v>
      </c>
      <c r="CA2558" t="s">
        <v>382</v>
      </c>
      <c r="CC2558" t="s">
        <v>136</v>
      </c>
      <c r="CD2558">
        <v>3212</v>
      </c>
      <c r="CE2558" t="s">
        <v>145</v>
      </c>
      <c r="CF2558" s="3">
        <v>45859</v>
      </c>
      <c r="CI2558">
        <v>2</v>
      </c>
      <c r="CJ2558">
        <v>1</v>
      </c>
      <c r="CK2558">
        <v>21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"080066656932"</f>
        <v>080066656932</v>
      </c>
      <c r="F2559" s="3">
        <v>45856</v>
      </c>
      <c r="G2559">
        <v>202604</v>
      </c>
      <c r="H2559" t="s">
        <v>75</v>
      </c>
      <c r="I2559" t="s">
        <v>76</v>
      </c>
      <c r="J2559" t="s">
        <v>77</v>
      </c>
      <c r="K2559" t="s">
        <v>78</v>
      </c>
      <c r="L2559" t="s">
        <v>75</v>
      </c>
      <c r="M2559" t="s">
        <v>76</v>
      </c>
      <c r="N2559" t="s">
        <v>2892</v>
      </c>
      <c r="O2559" t="s">
        <v>82</v>
      </c>
      <c r="P2559" t="str">
        <f>"4170049727                    "</f>
        <v xml:space="preserve">4170049727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17.649999999999999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0.3</v>
      </c>
      <c r="BK2559">
        <v>1</v>
      </c>
      <c r="BL2559">
        <v>55.61</v>
      </c>
      <c r="BM2559">
        <v>8.34</v>
      </c>
      <c r="BN2559">
        <v>63.95</v>
      </c>
      <c r="BO2559">
        <v>63.95</v>
      </c>
      <c r="BQ2559" t="s">
        <v>2893</v>
      </c>
      <c r="BR2559" t="s">
        <v>84</v>
      </c>
      <c r="BS2559" s="3">
        <v>45859</v>
      </c>
      <c r="BT2559" s="4">
        <v>0.4375</v>
      </c>
      <c r="BU2559" t="s">
        <v>2894</v>
      </c>
      <c r="BV2559" t="s">
        <v>98</v>
      </c>
      <c r="BY2559">
        <v>1350</v>
      </c>
      <c r="CA2559" t="s">
        <v>1049</v>
      </c>
      <c r="CC2559" t="s">
        <v>76</v>
      </c>
      <c r="CD2559">
        <v>1600</v>
      </c>
      <c r="CE2559" t="s">
        <v>2851</v>
      </c>
      <c r="CF2559" s="3">
        <v>45860</v>
      </c>
      <c r="CI2559">
        <v>1</v>
      </c>
      <c r="CJ2559">
        <v>1</v>
      </c>
      <c r="CK2559">
        <v>22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"080066656952"</f>
        <v>080066656952</v>
      </c>
      <c r="F2560" s="3">
        <v>45856</v>
      </c>
      <c r="G2560">
        <v>202604</v>
      </c>
      <c r="H2560" t="s">
        <v>75</v>
      </c>
      <c r="I2560" t="s">
        <v>76</v>
      </c>
      <c r="J2560" t="s">
        <v>77</v>
      </c>
      <c r="K2560" t="s">
        <v>78</v>
      </c>
      <c r="L2560" t="s">
        <v>305</v>
      </c>
      <c r="M2560" t="s">
        <v>306</v>
      </c>
      <c r="N2560" t="s">
        <v>1304</v>
      </c>
      <c r="O2560" t="s">
        <v>82</v>
      </c>
      <c r="P2560" t="str">
        <f>"4170049399                    "</f>
        <v xml:space="preserve">4170049399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22.6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0.6</v>
      </c>
      <c r="BK2560">
        <v>1</v>
      </c>
      <c r="BL2560">
        <v>71.2</v>
      </c>
      <c r="BM2560">
        <v>10.68</v>
      </c>
      <c r="BN2560">
        <v>81.88</v>
      </c>
      <c r="BO2560">
        <v>81.88</v>
      </c>
      <c r="BQ2560" t="s">
        <v>1305</v>
      </c>
      <c r="BR2560" t="s">
        <v>84</v>
      </c>
      <c r="BS2560" s="3">
        <v>45859</v>
      </c>
      <c r="BT2560" s="4">
        <v>0.65555555555555556</v>
      </c>
      <c r="BU2560" t="s">
        <v>1306</v>
      </c>
      <c r="BV2560" t="s">
        <v>98</v>
      </c>
      <c r="BY2560">
        <v>3192</v>
      </c>
      <c r="CA2560" t="s">
        <v>1307</v>
      </c>
      <c r="CC2560" t="s">
        <v>306</v>
      </c>
      <c r="CD2560">
        <v>5201</v>
      </c>
      <c r="CE2560" t="s">
        <v>259</v>
      </c>
      <c r="CF2560" s="3">
        <v>45860</v>
      </c>
      <c r="CI2560">
        <v>5</v>
      </c>
      <c r="CJ2560">
        <v>1</v>
      </c>
      <c r="CK2560">
        <v>21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"080066656985"</f>
        <v>080066656985</v>
      </c>
      <c r="F2561" s="3">
        <v>45856</v>
      </c>
      <c r="G2561">
        <v>202604</v>
      </c>
      <c r="H2561" t="s">
        <v>75</v>
      </c>
      <c r="I2561" t="s">
        <v>76</v>
      </c>
      <c r="J2561" t="s">
        <v>77</v>
      </c>
      <c r="K2561" t="s">
        <v>78</v>
      </c>
      <c r="L2561" t="s">
        <v>554</v>
      </c>
      <c r="M2561" t="s">
        <v>555</v>
      </c>
      <c r="N2561" t="s">
        <v>556</v>
      </c>
      <c r="O2561" t="s">
        <v>82</v>
      </c>
      <c r="P2561" t="str">
        <f>"4170049619                    "</f>
        <v xml:space="preserve">4170049619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22.6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0.3</v>
      </c>
      <c r="BK2561">
        <v>1</v>
      </c>
      <c r="BL2561">
        <v>71.2</v>
      </c>
      <c r="BM2561">
        <v>10.68</v>
      </c>
      <c r="BN2561">
        <v>81.88</v>
      </c>
      <c r="BO2561">
        <v>81.88</v>
      </c>
      <c r="BQ2561" t="s">
        <v>557</v>
      </c>
      <c r="BR2561" t="s">
        <v>84</v>
      </c>
      <c r="BS2561" s="3">
        <v>45859</v>
      </c>
      <c r="BT2561" s="4">
        <v>0.38055555555555554</v>
      </c>
      <c r="BU2561" t="s">
        <v>558</v>
      </c>
      <c r="BV2561" t="s">
        <v>98</v>
      </c>
      <c r="BY2561">
        <v>1350</v>
      </c>
      <c r="CA2561" t="s">
        <v>559</v>
      </c>
      <c r="CC2561" t="s">
        <v>555</v>
      </c>
      <c r="CD2561" s="5" t="s">
        <v>560</v>
      </c>
      <c r="CE2561" t="s">
        <v>2851</v>
      </c>
      <c r="CF2561" s="3">
        <v>45859</v>
      </c>
      <c r="CI2561">
        <v>1</v>
      </c>
      <c r="CJ2561">
        <v>1</v>
      </c>
      <c r="CK2561">
        <v>21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"080066657026"</f>
        <v>080066657026</v>
      </c>
      <c r="F2562" s="3">
        <v>45856</v>
      </c>
      <c r="G2562">
        <v>202604</v>
      </c>
      <c r="H2562" t="s">
        <v>75</v>
      </c>
      <c r="I2562" t="s">
        <v>76</v>
      </c>
      <c r="J2562" t="s">
        <v>77</v>
      </c>
      <c r="K2562" t="s">
        <v>78</v>
      </c>
      <c r="L2562" t="s">
        <v>146</v>
      </c>
      <c r="M2562" t="s">
        <v>146</v>
      </c>
      <c r="N2562" t="s">
        <v>986</v>
      </c>
      <c r="O2562" t="s">
        <v>82</v>
      </c>
      <c r="P2562" t="str">
        <f>"4170049494                    "</f>
        <v xml:space="preserve">4170049494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43.78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1.7</v>
      </c>
      <c r="BK2562">
        <v>2</v>
      </c>
      <c r="BL2562">
        <v>137.94</v>
      </c>
      <c r="BM2562">
        <v>20.69</v>
      </c>
      <c r="BN2562">
        <v>158.63</v>
      </c>
      <c r="BO2562">
        <v>158.63</v>
      </c>
      <c r="BQ2562" t="s">
        <v>987</v>
      </c>
      <c r="BR2562" t="s">
        <v>84</v>
      </c>
      <c r="BS2562" s="3">
        <v>45859</v>
      </c>
      <c r="BT2562" s="4">
        <v>0.54166666666666663</v>
      </c>
      <c r="BU2562" t="s">
        <v>1115</v>
      </c>
      <c r="BV2562" t="s">
        <v>98</v>
      </c>
      <c r="BY2562">
        <v>8512</v>
      </c>
      <c r="CA2562" t="s">
        <v>150</v>
      </c>
      <c r="CC2562" t="s">
        <v>146</v>
      </c>
      <c r="CD2562">
        <v>7646</v>
      </c>
      <c r="CE2562" t="s">
        <v>145</v>
      </c>
      <c r="CF2562" s="3">
        <v>45860</v>
      </c>
      <c r="CI2562">
        <v>1</v>
      </c>
      <c r="CJ2562">
        <v>1</v>
      </c>
      <c r="CK2562">
        <v>23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"080066657043"</f>
        <v>080066657043</v>
      </c>
      <c r="F2563" s="3">
        <v>45856</v>
      </c>
      <c r="G2563">
        <v>202604</v>
      </c>
      <c r="H2563" t="s">
        <v>75</v>
      </c>
      <c r="I2563" t="s">
        <v>76</v>
      </c>
      <c r="J2563" t="s">
        <v>77</v>
      </c>
      <c r="K2563" t="s">
        <v>78</v>
      </c>
      <c r="L2563" t="s">
        <v>79</v>
      </c>
      <c r="M2563" t="s">
        <v>80</v>
      </c>
      <c r="N2563" t="s">
        <v>662</v>
      </c>
      <c r="O2563" t="s">
        <v>82</v>
      </c>
      <c r="P2563" t="str">
        <f>"4170049628                    "</f>
        <v xml:space="preserve">4170049628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22.6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0.3</v>
      </c>
      <c r="BK2563">
        <v>1</v>
      </c>
      <c r="BL2563">
        <v>71.2</v>
      </c>
      <c r="BM2563">
        <v>10.68</v>
      </c>
      <c r="BN2563">
        <v>81.88</v>
      </c>
      <c r="BO2563">
        <v>81.88</v>
      </c>
      <c r="BQ2563" t="s">
        <v>663</v>
      </c>
      <c r="BR2563" t="s">
        <v>84</v>
      </c>
      <c r="BS2563" s="3">
        <v>45859</v>
      </c>
      <c r="BT2563" s="4">
        <v>0.40902777777777777</v>
      </c>
      <c r="BU2563" t="s">
        <v>2051</v>
      </c>
      <c r="BV2563" t="s">
        <v>98</v>
      </c>
      <c r="BY2563">
        <v>1350</v>
      </c>
      <c r="CA2563" t="s">
        <v>665</v>
      </c>
      <c r="CC2563" t="s">
        <v>80</v>
      </c>
      <c r="CD2563">
        <v>7945</v>
      </c>
      <c r="CE2563" t="s">
        <v>2851</v>
      </c>
      <c r="CF2563" s="3">
        <v>45860</v>
      </c>
      <c r="CI2563">
        <v>1</v>
      </c>
      <c r="CJ2563">
        <v>1</v>
      </c>
      <c r="CK2563">
        <v>21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"080066657086"</f>
        <v>080066657086</v>
      </c>
      <c r="F2564" s="3">
        <v>45856</v>
      </c>
      <c r="G2564">
        <v>202604</v>
      </c>
      <c r="H2564" t="s">
        <v>75</v>
      </c>
      <c r="I2564" t="s">
        <v>76</v>
      </c>
      <c r="J2564" t="s">
        <v>77</v>
      </c>
      <c r="K2564" t="s">
        <v>78</v>
      </c>
      <c r="L2564" t="s">
        <v>151</v>
      </c>
      <c r="M2564" t="s">
        <v>152</v>
      </c>
      <c r="N2564" t="s">
        <v>1212</v>
      </c>
      <c r="O2564" t="s">
        <v>82</v>
      </c>
      <c r="P2564" t="str">
        <f>"4170049497                    "</f>
        <v xml:space="preserve">4170049497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22.6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1.1000000000000001</v>
      </c>
      <c r="BK2564">
        <v>1.5</v>
      </c>
      <c r="BL2564">
        <v>71.2</v>
      </c>
      <c r="BM2564">
        <v>10.68</v>
      </c>
      <c r="BN2564">
        <v>81.88</v>
      </c>
      <c r="BO2564">
        <v>81.88</v>
      </c>
      <c r="BQ2564" t="s">
        <v>1213</v>
      </c>
      <c r="BR2564" t="s">
        <v>84</v>
      </c>
      <c r="BS2564" s="3">
        <v>45859</v>
      </c>
      <c r="BT2564" s="4">
        <v>0.41388888888888886</v>
      </c>
      <c r="BU2564" t="s">
        <v>1570</v>
      </c>
      <c r="BV2564" t="s">
        <v>98</v>
      </c>
      <c r="BY2564">
        <v>5320</v>
      </c>
      <c r="CA2564" t="s">
        <v>716</v>
      </c>
      <c r="CC2564" t="s">
        <v>152</v>
      </c>
      <c r="CD2564" s="5" t="s">
        <v>717</v>
      </c>
      <c r="CE2564" t="s">
        <v>145</v>
      </c>
      <c r="CF2564" s="3">
        <v>45859</v>
      </c>
      <c r="CI2564">
        <v>1</v>
      </c>
      <c r="CJ2564">
        <v>1</v>
      </c>
      <c r="CK2564">
        <v>21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"080066657087"</f>
        <v>080066657087</v>
      </c>
      <c r="F2565" s="3">
        <v>45856</v>
      </c>
      <c r="G2565">
        <v>202604</v>
      </c>
      <c r="H2565" t="s">
        <v>75</v>
      </c>
      <c r="I2565" t="s">
        <v>76</v>
      </c>
      <c r="J2565" t="s">
        <v>77</v>
      </c>
      <c r="K2565" t="s">
        <v>78</v>
      </c>
      <c r="L2565" t="s">
        <v>79</v>
      </c>
      <c r="M2565" t="s">
        <v>80</v>
      </c>
      <c r="N2565" t="s">
        <v>1919</v>
      </c>
      <c r="O2565" t="s">
        <v>82</v>
      </c>
      <c r="P2565" t="str">
        <f>"4170049616                    "</f>
        <v xml:space="preserve">4170049616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22.6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0.3</v>
      </c>
      <c r="BK2565">
        <v>1</v>
      </c>
      <c r="BL2565">
        <v>71.2</v>
      </c>
      <c r="BM2565">
        <v>10.68</v>
      </c>
      <c r="BN2565">
        <v>81.88</v>
      </c>
      <c r="BO2565">
        <v>81.88</v>
      </c>
      <c r="BQ2565" t="s">
        <v>1920</v>
      </c>
      <c r="BR2565" t="s">
        <v>84</v>
      </c>
      <c r="BS2565" s="3">
        <v>45859</v>
      </c>
      <c r="BT2565" s="4">
        <v>0.4375</v>
      </c>
      <c r="BU2565" t="s">
        <v>2895</v>
      </c>
      <c r="BV2565" t="s">
        <v>98</v>
      </c>
      <c r="BY2565">
        <v>1350</v>
      </c>
      <c r="CA2565" t="s">
        <v>579</v>
      </c>
      <c r="CC2565" t="s">
        <v>80</v>
      </c>
      <c r="CD2565">
        <v>7460</v>
      </c>
      <c r="CE2565" t="s">
        <v>158</v>
      </c>
      <c r="CF2565" s="3">
        <v>45860</v>
      </c>
      <c r="CI2565">
        <v>1</v>
      </c>
      <c r="CJ2565">
        <v>1</v>
      </c>
      <c r="CK2565">
        <v>21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"080066657131"</f>
        <v>080066657131</v>
      </c>
      <c r="F2566" s="3">
        <v>45856</v>
      </c>
      <c r="G2566">
        <v>202604</v>
      </c>
      <c r="H2566" t="s">
        <v>75</v>
      </c>
      <c r="I2566" t="s">
        <v>76</v>
      </c>
      <c r="J2566" t="s">
        <v>77</v>
      </c>
      <c r="K2566" t="s">
        <v>78</v>
      </c>
      <c r="L2566" t="s">
        <v>295</v>
      </c>
      <c r="M2566" t="s">
        <v>296</v>
      </c>
      <c r="N2566" t="s">
        <v>2507</v>
      </c>
      <c r="O2566" t="s">
        <v>82</v>
      </c>
      <c r="P2566" t="str">
        <f>"4170049623                    "</f>
        <v xml:space="preserve">4170049623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17.649999999999999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0.3</v>
      </c>
      <c r="BK2566">
        <v>1</v>
      </c>
      <c r="BL2566">
        <v>55.61</v>
      </c>
      <c r="BM2566">
        <v>8.34</v>
      </c>
      <c r="BN2566">
        <v>63.95</v>
      </c>
      <c r="BO2566">
        <v>63.95</v>
      </c>
      <c r="BQ2566" t="s">
        <v>2508</v>
      </c>
      <c r="BR2566" t="s">
        <v>84</v>
      </c>
      <c r="BS2566" s="3">
        <v>45859</v>
      </c>
      <c r="BT2566" s="4">
        <v>0.33680555555555558</v>
      </c>
      <c r="BU2566" t="s">
        <v>2896</v>
      </c>
      <c r="BV2566" t="s">
        <v>98</v>
      </c>
      <c r="BY2566">
        <v>1350</v>
      </c>
      <c r="CA2566" t="s">
        <v>300</v>
      </c>
      <c r="CC2566" t="s">
        <v>296</v>
      </c>
      <c r="CD2566">
        <v>1459</v>
      </c>
      <c r="CE2566" t="s">
        <v>158</v>
      </c>
      <c r="CF2566" s="3">
        <v>45860</v>
      </c>
      <c r="CI2566">
        <v>1</v>
      </c>
      <c r="CJ2566">
        <v>1</v>
      </c>
      <c r="CK2566">
        <v>22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"080066657133"</f>
        <v>080066657133</v>
      </c>
      <c r="F2567" s="3">
        <v>45856</v>
      </c>
      <c r="G2567">
        <v>202604</v>
      </c>
      <c r="H2567" t="s">
        <v>75</v>
      </c>
      <c r="I2567" t="s">
        <v>76</v>
      </c>
      <c r="J2567" t="s">
        <v>77</v>
      </c>
      <c r="K2567" t="s">
        <v>78</v>
      </c>
      <c r="L2567" t="s">
        <v>92</v>
      </c>
      <c r="M2567" t="s">
        <v>93</v>
      </c>
      <c r="N2567" t="s">
        <v>334</v>
      </c>
      <c r="O2567" t="s">
        <v>82</v>
      </c>
      <c r="P2567" t="str">
        <f>"4170049495                    "</f>
        <v xml:space="preserve">4170049495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67.760000000000005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2</v>
      </c>
      <c r="BI2567">
        <v>6</v>
      </c>
      <c r="BJ2567">
        <v>5.7</v>
      </c>
      <c r="BK2567">
        <v>6</v>
      </c>
      <c r="BL2567">
        <v>213.48</v>
      </c>
      <c r="BM2567">
        <v>32.020000000000003</v>
      </c>
      <c r="BN2567">
        <v>245.5</v>
      </c>
      <c r="BO2567">
        <v>245.5</v>
      </c>
      <c r="BQ2567" t="s">
        <v>335</v>
      </c>
      <c r="BR2567" t="s">
        <v>84</v>
      </c>
      <c r="BS2567" s="3">
        <v>45859</v>
      </c>
      <c r="BT2567" s="4">
        <v>0.39583333333333331</v>
      </c>
      <c r="BU2567" t="s">
        <v>2897</v>
      </c>
      <c r="BV2567" t="s">
        <v>98</v>
      </c>
      <c r="BY2567">
        <v>28333</v>
      </c>
      <c r="CA2567" t="s">
        <v>337</v>
      </c>
      <c r="CC2567" t="s">
        <v>93</v>
      </c>
      <c r="CD2567">
        <v>4052</v>
      </c>
      <c r="CE2567" t="s">
        <v>145</v>
      </c>
      <c r="CF2567" s="3">
        <v>45859</v>
      </c>
      <c r="CI2567">
        <v>1</v>
      </c>
      <c r="CJ2567">
        <v>1</v>
      </c>
      <c r="CK2567">
        <v>21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"080066657182"</f>
        <v>080066657182</v>
      </c>
      <c r="F2568" s="3">
        <v>45856</v>
      </c>
      <c r="G2568">
        <v>202604</v>
      </c>
      <c r="H2568" t="s">
        <v>75</v>
      </c>
      <c r="I2568" t="s">
        <v>76</v>
      </c>
      <c r="J2568" t="s">
        <v>77</v>
      </c>
      <c r="K2568" t="s">
        <v>78</v>
      </c>
      <c r="L2568" t="s">
        <v>554</v>
      </c>
      <c r="M2568" t="s">
        <v>555</v>
      </c>
      <c r="N2568" t="s">
        <v>556</v>
      </c>
      <c r="O2568" t="s">
        <v>82</v>
      </c>
      <c r="P2568" t="str">
        <f>"4170049613                    "</f>
        <v xml:space="preserve">4170049613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22.6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0.3</v>
      </c>
      <c r="BK2568">
        <v>1</v>
      </c>
      <c r="BL2568">
        <v>71.2</v>
      </c>
      <c r="BM2568">
        <v>10.68</v>
      </c>
      <c r="BN2568">
        <v>81.88</v>
      </c>
      <c r="BO2568">
        <v>81.88</v>
      </c>
      <c r="BQ2568" t="s">
        <v>557</v>
      </c>
      <c r="BR2568" t="s">
        <v>84</v>
      </c>
      <c r="BS2568" s="3">
        <v>45859</v>
      </c>
      <c r="BT2568" s="4">
        <v>0.38124999999999998</v>
      </c>
      <c r="BU2568" t="s">
        <v>558</v>
      </c>
      <c r="BV2568" t="s">
        <v>98</v>
      </c>
      <c r="BY2568">
        <v>1350</v>
      </c>
      <c r="CA2568" t="s">
        <v>559</v>
      </c>
      <c r="CC2568" t="s">
        <v>555</v>
      </c>
      <c r="CD2568" s="5" t="s">
        <v>560</v>
      </c>
      <c r="CE2568" t="s">
        <v>158</v>
      </c>
      <c r="CF2568" s="3">
        <v>45859</v>
      </c>
      <c r="CI2568">
        <v>1</v>
      </c>
      <c r="CJ2568">
        <v>1</v>
      </c>
      <c r="CK2568">
        <v>21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"080066657207"</f>
        <v>080066657207</v>
      </c>
      <c r="F2569" s="3">
        <v>45856</v>
      </c>
      <c r="G2569">
        <v>202604</v>
      </c>
      <c r="H2569" t="s">
        <v>75</v>
      </c>
      <c r="I2569" t="s">
        <v>76</v>
      </c>
      <c r="J2569" t="s">
        <v>77</v>
      </c>
      <c r="K2569" t="s">
        <v>78</v>
      </c>
      <c r="L2569" t="s">
        <v>75</v>
      </c>
      <c r="M2569" t="s">
        <v>76</v>
      </c>
      <c r="N2569" t="s">
        <v>118</v>
      </c>
      <c r="O2569" t="s">
        <v>82</v>
      </c>
      <c r="P2569" t="str">
        <f>"4170049533                    "</f>
        <v xml:space="preserve">4170049533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17.649999999999999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1.7</v>
      </c>
      <c r="BK2569">
        <v>2</v>
      </c>
      <c r="BL2569">
        <v>55.61</v>
      </c>
      <c r="BM2569">
        <v>8.34</v>
      </c>
      <c r="BN2569">
        <v>63.95</v>
      </c>
      <c r="BO2569">
        <v>63.95</v>
      </c>
      <c r="BQ2569" t="s">
        <v>119</v>
      </c>
      <c r="BR2569" t="s">
        <v>84</v>
      </c>
      <c r="BS2569" s="3">
        <v>45859</v>
      </c>
      <c r="BT2569" s="4">
        <v>0.31458333333333333</v>
      </c>
      <c r="BU2569" t="s">
        <v>120</v>
      </c>
      <c r="BV2569" t="s">
        <v>98</v>
      </c>
      <c r="BY2569">
        <v>8512</v>
      </c>
      <c r="CC2569" t="s">
        <v>76</v>
      </c>
      <c r="CD2569">
        <v>1600</v>
      </c>
      <c r="CE2569" t="s">
        <v>145</v>
      </c>
      <c r="CF2569" s="3">
        <v>45860</v>
      </c>
      <c r="CI2569">
        <v>1</v>
      </c>
      <c r="CJ2569">
        <v>1</v>
      </c>
      <c r="CK2569">
        <v>22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"080066657220"</f>
        <v>080066657220</v>
      </c>
      <c r="F2570" s="3">
        <v>45856</v>
      </c>
      <c r="G2570">
        <v>202604</v>
      </c>
      <c r="H2570" t="s">
        <v>75</v>
      </c>
      <c r="I2570" t="s">
        <v>76</v>
      </c>
      <c r="J2570" t="s">
        <v>77</v>
      </c>
      <c r="K2570" t="s">
        <v>78</v>
      </c>
      <c r="L2570" t="s">
        <v>151</v>
      </c>
      <c r="M2570" t="s">
        <v>152</v>
      </c>
      <c r="N2570" t="s">
        <v>838</v>
      </c>
      <c r="O2570" t="s">
        <v>82</v>
      </c>
      <c r="P2570" t="str">
        <f>"4170049523                    "</f>
        <v xml:space="preserve">4170049523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22.6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0.3</v>
      </c>
      <c r="BK2570">
        <v>1</v>
      </c>
      <c r="BL2570">
        <v>71.2</v>
      </c>
      <c r="BM2570">
        <v>10.68</v>
      </c>
      <c r="BN2570">
        <v>81.88</v>
      </c>
      <c r="BO2570">
        <v>81.88</v>
      </c>
      <c r="BQ2570" t="s">
        <v>839</v>
      </c>
      <c r="BR2570" t="s">
        <v>84</v>
      </c>
      <c r="BS2570" s="3">
        <v>45859</v>
      </c>
      <c r="BT2570" s="4">
        <v>0.34375</v>
      </c>
      <c r="BU2570" t="s">
        <v>2898</v>
      </c>
      <c r="BV2570" t="s">
        <v>98</v>
      </c>
      <c r="BY2570">
        <v>1350</v>
      </c>
      <c r="CA2570" t="s">
        <v>716</v>
      </c>
      <c r="CC2570" t="s">
        <v>152</v>
      </c>
      <c r="CD2570" s="5" t="s">
        <v>717</v>
      </c>
      <c r="CE2570" t="s">
        <v>158</v>
      </c>
      <c r="CF2570" s="3">
        <v>45859</v>
      </c>
      <c r="CI2570">
        <v>1</v>
      </c>
      <c r="CJ2570">
        <v>1</v>
      </c>
      <c r="CK2570">
        <v>21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"080066657238"</f>
        <v>080066657238</v>
      </c>
      <c r="F2571" s="3">
        <v>45856</v>
      </c>
      <c r="G2571">
        <v>202604</v>
      </c>
      <c r="H2571" t="s">
        <v>75</v>
      </c>
      <c r="I2571" t="s">
        <v>76</v>
      </c>
      <c r="J2571" t="s">
        <v>77</v>
      </c>
      <c r="K2571" t="s">
        <v>78</v>
      </c>
      <c r="L2571" t="s">
        <v>234</v>
      </c>
      <c r="M2571" t="s">
        <v>235</v>
      </c>
      <c r="N2571" t="s">
        <v>236</v>
      </c>
      <c r="O2571" t="s">
        <v>82</v>
      </c>
      <c r="P2571" t="str">
        <f>"4170049636                    "</f>
        <v xml:space="preserve">4170049636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17.649999999999999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0.3</v>
      </c>
      <c r="BK2571">
        <v>1</v>
      </c>
      <c r="BL2571">
        <v>55.61</v>
      </c>
      <c r="BM2571">
        <v>8.34</v>
      </c>
      <c r="BN2571">
        <v>63.95</v>
      </c>
      <c r="BO2571">
        <v>63.95</v>
      </c>
      <c r="BQ2571" t="s">
        <v>237</v>
      </c>
      <c r="BR2571" t="s">
        <v>84</v>
      </c>
      <c r="BS2571" s="3">
        <v>45859</v>
      </c>
      <c r="BT2571" s="4">
        <v>0.42430555555555555</v>
      </c>
      <c r="BU2571" t="s">
        <v>2886</v>
      </c>
      <c r="BV2571" t="s">
        <v>98</v>
      </c>
      <c r="BY2571">
        <v>1350</v>
      </c>
      <c r="CA2571" t="s">
        <v>632</v>
      </c>
      <c r="CC2571" t="s">
        <v>235</v>
      </c>
      <c r="CD2571">
        <v>1682</v>
      </c>
      <c r="CE2571" t="s">
        <v>158</v>
      </c>
      <c r="CF2571" s="3">
        <v>45860</v>
      </c>
      <c r="CI2571">
        <v>1</v>
      </c>
      <c r="CJ2571">
        <v>1</v>
      </c>
      <c r="CK2571">
        <v>22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"080066657280"</f>
        <v>080066657280</v>
      </c>
      <c r="F2572" s="3">
        <v>45856</v>
      </c>
      <c r="G2572">
        <v>202604</v>
      </c>
      <c r="H2572" t="s">
        <v>75</v>
      </c>
      <c r="I2572" t="s">
        <v>76</v>
      </c>
      <c r="J2572" t="s">
        <v>77</v>
      </c>
      <c r="K2572" t="s">
        <v>78</v>
      </c>
      <c r="L2572" t="s">
        <v>704</v>
      </c>
      <c r="M2572" t="s">
        <v>705</v>
      </c>
      <c r="N2572" t="s">
        <v>848</v>
      </c>
      <c r="O2572" t="s">
        <v>82</v>
      </c>
      <c r="P2572" t="str">
        <f>"4170049637                    "</f>
        <v xml:space="preserve">4170049637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43.78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0.3</v>
      </c>
      <c r="BK2572">
        <v>1</v>
      </c>
      <c r="BL2572">
        <v>137.94</v>
      </c>
      <c r="BM2572">
        <v>20.69</v>
      </c>
      <c r="BN2572">
        <v>158.63</v>
      </c>
      <c r="BO2572">
        <v>158.63</v>
      </c>
      <c r="BQ2572" t="s">
        <v>849</v>
      </c>
      <c r="BR2572" t="s">
        <v>84</v>
      </c>
      <c r="BS2572" s="3">
        <v>45859</v>
      </c>
      <c r="BT2572" s="4">
        <v>0.47916666666666669</v>
      </c>
      <c r="BU2572" t="s">
        <v>2899</v>
      </c>
      <c r="BV2572" t="s">
        <v>98</v>
      </c>
      <c r="BY2572">
        <v>1350</v>
      </c>
      <c r="CA2572" t="s">
        <v>1665</v>
      </c>
      <c r="CC2572" t="s">
        <v>705</v>
      </c>
      <c r="CD2572">
        <v>6850</v>
      </c>
      <c r="CE2572" t="s">
        <v>158</v>
      </c>
      <c r="CF2572" s="3">
        <v>45860</v>
      </c>
      <c r="CI2572">
        <v>2</v>
      </c>
      <c r="CJ2572">
        <v>1</v>
      </c>
      <c r="CK2572">
        <v>23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"080066657305"</f>
        <v>080066657305</v>
      </c>
      <c r="F2573" s="3">
        <v>45856</v>
      </c>
      <c r="G2573">
        <v>202604</v>
      </c>
      <c r="H2573" t="s">
        <v>75</v>
      </c>
      <c r="I2573" t="s">
        <v>76</v>
      </c>
      <c r="J2573" t="s">
        <v>77</v>
      </c>
      <c r="K2573" t="s">
        <v>78</v>
      </c>
      <c r="L2573" t="s">
        <v>168</v>
      </c>
      <c r="M2573" t="s">
        <v>169</v>
      </c>
      <c r="N2573" t="s">
        <v>202</v>
      </c>
      <c r="O2573" t="s">
        <v>82</v>
      </c>
      <c r="P2573" t="str">
        <f>"4170049546                    "</f>
        <v xml:space="preserve">4170049546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22.6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0.3</v>
      </c>
      <c r="BK2573">
        <v>1</v>
      </c>
      <c r="BL2573">
        <v>71.2</v>
      </c>
      <c r="BM2573">
        <v>10.68</v>
      </c>
      <c r="BN2573">
        <v>81.88</v>
      </c>
      <c r="BO2573">
        <v>81.88</v>
      </c>
      <c r="BQ2573" t="s">
        <v>203</v>
      </c>
      <c r="BR2573" t="s">
        <v>84</v>
      </c>
      <c r="BS2573" s="3">
        <v>45859</v>
      </c>
      <c r="BT2573" s="4">
        <v>0.38194444444444442</v>
      </c>
      <c r="BU2573" t="s">
        <v>204</v>
      </c>
      <c r="BV2573" t="s">
        <v>98</v>
      </c>
      <c r="BY2573">
        <v>1350</v>
      </c>
      <c r="CA2573" t="s">
        <v>205</v>
      </c>
      <c r="CC2573" t="s">
        <v>169</v>
      </c>
      <c r="CD2573">
        <v>6001</v>
      </c>
      <c r="CE2573" t="s">
        <v>158</v>
      </c>
      <c r="CF2573" s="3">
        <v>45859</v>
      </c>
      <c r="CI2573">
        <v>1</v>
      </c>
      <c r="CJ2573">
        <v>1</v>
      </c>
      <c r="CK2573">
        <v>21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"080066657340"</f>
        <v>080066657340</v>
      </c>
      <c r="F2574" s="3">
        <v>45856</v>
      </c>
      <c r="G2574">
        <v>202604</v>
      </c>
      <c r="H2574" t="s">
        <v>75</v>
      </c>
      <c r="I2574" t="s">
        <v>76</v>
      </c>
      <c r="J2574" t="s">
        <v>77</v>
      </c>
      <c r="K2574" t="s">
        <v>78</v>
      </c>
      <c r="L2574" t="s">
        <v>79</v>
      </c>
      <c r="M2574" t="s">
        <v>80</v>
      </c>
      <c r="N2574" t="s">
        <v>141</v>
      </c>
      <c r="O2574" t="s">
        <v>82</v>
      </c>
      <c r="P2574" t="str">
        <f>"4170049409                    "</f>
        <v xml:space="preserve">4170049409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22.6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0.3</v>
      </c>
      <c r="BK2574">
        <v>1</v>
      </c>
      <c r="BL2574">
        <v>71.2</v>
      </c>
      <c r="BM2574">
        <v>10.68</v>
      </c>
      <c r="BN2574">
        <v>81.88</v>
      </c>
      <c r="BO2574">
        <v>81.88</v>
      </c>
      <c r="BQ2574" t="s">
        <v>142</v>
      </c>
      <c r="BR2574" t="s">
        <v>84</v>
      </c>
      <c r="BS2574" s="3">
        <v>45859</v>
      </c>
      <c r="BT2574" s="4">
        <v>0.38819444444444445</v>
      </c>
      <c r="BU2574" t="s">
        <v>143</v>
      </c>
      <c r="BV2574" t="s">
        <v>98</v>
      </c>
      <c r="BY2574">
        <v>1350</v>
      </c>
      <c r="CA2574" t="s">
        <v>144</v>
      </c>
      <c r="CC2574" t="s">
        <v>80</v>
      </c>
      <c r="CD2574">
        <v>7441</v>
      </c>
      <c r="CE2574" t="s">
        <v>158</v>
      </c>
      <c r="CF2574" s="3">
        <v>45860</v>
      </c>
      <c r="CI2574">
        <v>1</v>
      </c>
      <c r="CJ2574">
        <v>1</v>
      </c>
      <c r="CK2574">
        <v>21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"080066657362"</f>
        <v>080066657362</v>
      </c>
      <c r="F2575" s="3">
        <v>45856</v>
      </c>
      <c r="G2575">
        <v>202604</v>
      </c>
      <c r="H2575" t="s">
        <v>75</v>
      </c>
      <c r="I2575" t="s">
        <v>76</v>
      </c>
      <c r="J2575" t="s">
        <v>77</v>
      </c>
      <c r="K2575" t="s">
        <v>78</v>
      </c>
      <c r="L2575" t="s">
        <v>168</v>
      </c>
      <c r="M2575" t="s">
        <v>169</v>
      </c>
      <c r="N2575" t="s">
        <v>342</v>
      </c>
      <c r="O2575" t="s">
        <v>82</v>
      </c>
      <c r="P2575" t="str">
        <f>"4170049412                    "</f>
        <v xml:space="preserve">4170049412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22.6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0.3</v>
      </c>
      <c r="BK2575">
        <v>1</v>
      </c>
      <c r="BL2575">
        <v>71.2</v>
      </c>
      <c r="BM2575">
        <v>10.68</v>
      </c>
      <c r="BN2575">
        <v>81.88</v>
      </c>
      <c r="BO2575">
        <v>81.88</v>
      </c>
      <c r="BQ2575" t="s">
        <v>343</v>
      </c>
      <c r="BR2575" t="s">
        <v>84</v>
      </c>
      <c r="BS2575" s="3">
        <v>45859</v>
      </c>
      <c r="BT2575" s="4">
        <v>0.43472222222222223</v>
      </c>
      <c r="BU2575" t="s">
        <v>1105</v>
      </c>
      <c r="BV2575" t="s">
        <v>98</v>
      </c>
      <c r="BY2575">
        <v>1350</v>
      </c>
      <c r="CA2575" t="s">
        <v>423</v>
      </c>
      <c r="CC2575" t="s">
        <v>169</v>
      </c>
      <c r="CD2575">
        <v>6000</v>
      </c>
      <c r="CE2575" t="s">
        <v>158</v>
      </c>
      <c r="CF2575" s="3">
        <v>45859</v>
      </c>
      <c r="CI2575">
        <v>1</v>
      </c>
      <c r="CJ2575">
        <v>1</v>
      </c>
      <c r="CK2575">
        <v>21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"080066657406"</f>
        <v>080066657406</v>
      </c>
      <c r="F2576" s="3">
        <v>45856</v>
      </c>
      <c r="G2576">
        <v>202604</v>
      </c>
      <c r="H2576" t="s">
        <v>75</v>
      </c>
      <c r="I2576" t="s">
        <v>76</v>
      </c>
      <c r="J2576" t="s">
        <v>77</v>
      </c>
      <c r="K2576" t="s">
        <v>78</v>
      </c>
      <c r="L2576" t="s">
        <v>329</v>
      </c>
      <c r="M2576" t="s">
        <v>330</v>
      </c>
      <c r="N2576" t="s">
        <v>331</v>
      </c>
      <c r="O2576" t="s">
        <v>82</v>
      </c>
      <c r="P2576" t="str">
        <f>"4170049618                    "</f>
        <v xml:space="preserve">4170049618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43.78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0.3</v>
      </c>
      <c r="BK2576">
        <v>1</v>
      </c>
      <c r="BL2576">
        <v>137.94</v>
      </c>
      <c r="BM2576">
        <v>20.69</v>
      </c>
      <c r="BN2576">
        <v>158.63</v>
      </c>
      <c r="BO2576">
        <v>158.63</v>
      </c>
      <c r="BQ2576" t="s">
        <v>332</v>
      </c>
      <c r="BR2576" t="s">
        <v>84</v>
      </c>
      <c r="BS2576" s="3">
        <v>45859</v>
      </c>
      <c r="BT2576" s="4">
        <v>0.51736111111111116</v>
      </c>
      <c r="BU2576" t="s">
        <v>2900</v>
      </c>
      <c r="BV2576" t="s">
        <v>98</v>
      </c>
      <c r="BY2576">
        <v>1350</v>
      </c>
      <c r="CA2576" t="s">
        <v>1153</v>
      </c>
      <c r="CC2576" t="s">
        <v>330</v>
      </c>
      <c r="CD2576">
        <v>6300</v>
      </c>
      <c r="CE2576" t="s">
        <v>158</v>
      </c>
      <c r="CF2576" s="3">
        <v>45859</v>
      </c>
      <c r="CI2576">
        <v>2</v>
      </c>
      <c r="CJ2576">
        <v>1</v>
      </c>
      <c r="CK2576">
        <v>23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"080066657433"</f>
        <v>080066657433</v>
      </c>
      <c r="F2577" s="3">
        <v>45856</v>
      </c>
      <c r="G2577">
        <v>202604</v>
      </c>
      <c r="H2577" t="s">
        <v>75</v>
      </c>
      <c r="I2577" t="s">
        <v>76</v>
      </c>
      <c r="J2577" t="s">
        <v>77</v>
      </c>
      <c r="K2577" t="s">
        <v>78</v>
      </c>
      <c r="L2577" t="s">
        <v>79</v>
      </c>
      <c r="M2577" t="s">
        <v>80</v>
      </c>
      <c r="N2577" t="s">
        <v>2063</v>
      </c>
      <c r="O2577" t="s">
        <v>82</v>
      </c>
      <c r="P2577" t="str">
        <f>"4170049467                    "</f>
        <v xml:space="preserve">4170049467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22.6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0.3</v>
      </c>
      <c r="BK2577">
        <v>1</v>
      </c>
      <c r="BL2577">
        <v>71.2</v>
      </c>
      <c r="BM2577">
        <v>10.68</v>
      </c>
      <c r="BN2577">
        <v>81.88</v>
      </c>
      <c r="BO2577">
        <v>81.88</v>
      </c>
      <c r="BQ2577" t="s">
        <v>2337</v>
      </c>
      <c r="BR2577" t="s">
        <v>84</v>
      </c>
      <c r="BS2577" s="3">
        <v>45859</v>
      </c>
      <c r="BT2577" s="4">
        <v>0.375</v>
      </c>
      <c r="BU2577" t="s">
        <v>596</v>
      </c>
      <c r="BV2577" t="s">
        <v>98</v>
      </c>
      <c r="BY2577">
        <v>1350</v>
      </c>
      <c r="CA2577" t="s">
        <v>579</v>
      </c>
      <c r="CC2577" t="s">
        <v>80</v>
      </c>
      <c r="CD2577">
        <v>7480</v>
      </c>
      <c r="CE2577" t="s">
        <v>158</v>
      </c>
      <c r="CF2577" s="3">
        <v>45860</v>
      </c>
      <c r="CI2577">
        <v>1</v>
      </c>
      <c r="CJ2577">
        <v>1</v>
      </c>
      <c r="CK2577">
        <v>21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"080066657473"</f>
        <v>080066657473</v>
      </c>
      <c r="F2578" s="3">
        <v>45856</v>
      </c>
      <c r="G2578">
        <v>202604</v>
      </c>
      <c r="H2578" t="s">
        <v>75</v>
      </c>
      <c r="I2578" t="s">
        <v>76</v>
      </c>
      <c r="J2578" t="s">
        <v>77</v>
      </c>
      <c r="K2578" t="s">
        <v>78</v>
      </c>
      <c r="L2578" t="s">
        <v>79</v>
      </c>
      <c r="M2578" t="s">
        <v>80</v>
      </c>
      <c r="N2578" t="s">
        <v>1551</v>
      </c>
      <c r="O2578" t="s">
        <v>82</v>
      </c>
      <c r="P2578" t="str">
        <f>"4170049384                    "</f>
        <v xml:space="preserve">4170049384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22.6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0.3</v>
      </c>
      <c r="BK2578">
        <v>1</v>
      </c>
      <c r="BL2578">
        <v>71.2</v>
      </c>
      <c r="BM2578">
        <v>10.68</v>
      </c>
      <c r="BN2578">
        <v>81.88</v>
      </c>
      <c r="BO2578">
        <v>81.88</v>
      </c>
      <c r="BQ2578" t="s">
        <v>1552</v>
      </c>
      <c r="BR2578" t="s">
        <v>84</v>
      </c>
      <c r="BS2578" s="3">
        <v>45859</v>
      </c>
      <c r="BT2578" s="4">
        <v>0.40416666666666667</v>
      </c>
      <c r="BU2578" t="s">
        <v>2901</v>
      </c>
      <c r="BV2578" t="s">
        <v>98</v>
      </c>
      <c r="BY2578">
        <v>1350</v>
      </c>
      <c r="CA2578" t="s">
        <v>2311</v>
      </c>
      <c r="CC2578" t="s">
        <v>80</v>
      </c>
      <c r="CD2578">
        <v>7535</v>
      </c>
      <c r="CE2578" t="s">
        <v>158</v>
      </c>
      <c r="CF2578" s="3">
        <v>45860</v>
      </c>
      <c r="CI2578">
        <v>1</v>
      </c>
      <c r="CJ2578">
        <v>1</v>
      </c>
      <c r="CK2578">
        <v>21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"080066657548"</f>
        <v>080066657548</v>
      </c>
      <c r="F2579" s="3">
        <v>45856</v>
      </c>
      <c r="G2579">
        <v>202604</v>
      </c>
      <c r="H2579" t="s">
        <v>75</v>
      </c>
      <c r="I2579" t="s">
        <v>76</v>
      </c>
      <c r="J2579" t="s">
        <v>77</v>
      </c>
      <c r="K2579" t="s">
        <v>78</v>
      </c>
      <c r="L2579" t="s">
        <v>75</v>
      </c>
      <c r="M2579" t="s">
        <v>76</v>
      </c>
      <c r="N2579" t="s">
        <v>118</v>
      </c>
      <c r="O2579" t="s">
        <v>95</v>
      </c>
      <c r="P2579" t="str">
        <f>"4170049593                    "</f>
        <v xml:space="preserve">4170049593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115.54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5</v>
      </c>
      <c r="BI2579">
        <v>75</v>
      </c>
      <c r="BJ2579">
        <v>97.2</v>
      </c>
      <c r="BK2579">
        <v>98</v>
      </c>
      <c r="BL2579">
        <v>369.89</v>
      </c>
      <c r="BM2579">
        <v>55.48</v>
      </c>
      <c r="BN2579">
        <v>425.37</v>
      </c>
      <c r="BO2579">
        <v>425.37</v>
      </c>
      <c r="BQ2579" t="s">
        <v>119</v>
      </c>
      <c r="BR2579" t="s">
        <v>84</v>
      </c>
      <c r="BS2579" s="3">
        <v>45859</v>
      </c>
      <c r="BT2579" s="4">
        <v>0.38194444444444442</v>
      </c>
      <c r="BU2579" t="s">
        <v>2685</v>
      </c>
      <c r="BV2579" t="s">
        <v>98</v>
      </c>
      <c r="BY2579">
        <v>97200</v>
      </c>
      <c r="CA2579" t="s">
        <v>2902</v>
      </c>
      <c r="CC2579" t="s">
        <v>76</v>
      </c>
      <c r="CD2579">
        <v>1600</v>
      </c>
      <c r="CE2579" t="s">
        <v>2742</v>
      </c>
      <c r="CF2579" s="3">
        <v>45859</v>
      </c>
      <c r="CI2579">
        <v>1</v>
      </c>
      <c r="CJ2579">
        <v>1</v>
      </c>
      <c r="CK2579">
        <v>42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"080066657598"</f>
        <v>080066657598</v>
      </c>
      <c r="F2580" s="3">
        <v>45856</v>
      </c>
      <c r="G2580">
        <v>202604</v>
      </c>
      <c r="H2580" t="s">
        <v>75</v>
      </c>
      <c r="I2580" t="s">
        <v>76</v>
      </c>
      <c r="J2580" t="s">
        <v>77</v>
      </c>
      <c r="K2580" t="s">
        <v>78</v>
      </c>
      <c r="L2580" t="s">
        <v>151</v>
      </c>
      <c r="M2580" t="s">
        <v>152</v>
      </c>
      <c r="N2580" t="s">
        <v>515</v>
      </c>
      <c r="O2580" t="s">
        <v>95</v>
      </c>
      <c r="P2580" t="str">
        <f>"4170049676                    "</f>
        <v xml:space="preserve">4170049676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43.7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12</v>
      </c>
      <c r="BJ2580">
        <v>9.1</v>
      </c>
      <c r="BK2580">
        <v>12</v>
      </c>
      <c r="BL2580">
        <v>143.55000000000001</v>
      </c>
      <c r="BM2580">
        <v>21.53</v>
      </c>
      <c r="BN2580">
        <v>165.08</v>
      </c>
      <c r="BO2580">
        <v>165.08</v>
      </c>
      <c r="BQ2580" t="s">
        <v>516</v>
      </c>
      <c r="BR2580" t="s">
        <v>84</v>
      </c>
      <c r="BS2580" s="3">
        <v>45859</v>
      </c>
      <c r="BT2580" s="4">
        <v>0.4201388888888889</v>
      </c>
      <c r="BU2580" t="s">
        <v>2903</v>
      </c>
      <c r="BV2580" t="s">
        <v>98</v>
      </c>
      <c r="BY2580">
        <v>45375</v>
      </c>
      <c r="CA2580" t="s">
        <v>518</v>
      </c>
      <c r="CC2580" t="s">
        <v>152</v>
      </c>
      <c r="CD2580" s="5" t="s">
        <v>157</v>
      </c>
      <c r="CE2580" t="s">
        <v>2742</v>
      </c>
      <c r="CF2580" s="3">
        <v>45859</v>
      </c>
      <c r="CI2580">
        <v>1</v>
      </c>
      <c r="CJ2580">
        <v>1</v>
      </c>
      <c r="CK2580">
        <v>41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"080066657630"</f>
        <v>080066657630</v>
      </c>
      <c r="F2581" s="3">
        <v>45856</v>
      </c>
      <c r="G2581">
        <v>202604</v>
      </c>
      <c r="H2581" t="s">
        <v>75</v>
      </c>
      <c r="I2581" t="s">
        <v>76</v>
      </c>
      <c r="J2581" t="s">
        <v>77</v>
      </c>
      <c r="K2581" t="s">
        <v>78</v>
      </c>
      <c r="L2581" t="s">
        <v>151</v>
      </c>
      <c r="M2581" t="s">
        <v>152</v>
      </c>
      <c r="N2581" t="s">
        <v>515</v>
      </c>
      <c r="O2581" t="s">
        <v>95</v>
      </c>
      <c r="P2581" t="str">
        <f>"4170049651                    "</f>
        <v xml:space="preserve">4170049651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43.7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12</v>
      </c>
      <c r="BJ2581">
        <v>9.1</v>
      </c>
      <c r="BK2581">
        <v>12</v>
      </c>
      <c r="BL2581">
        <v>143.55000000000001</v>
      </c>
      <c r="BM2581">
        <v>21.53</v>
      </c>
      <c r="BN2581">
        <v>165.08</v>
      </c>
      <c r="BO2581">
        <v>165.08</v>
      </c>
      <c r="BQ2581" t="s">
        <v>516</v>
      </c>
      <c r="BR2581" t="s">
        <v>84</v>
      </c>
      <c r="BS2581" s="3">
        <v>45859</v>
      </c>
      <c r="BT2581" s="4">
        <v>0.4201388888888889</v>
      </c>
      <c r="BU2581" t="s">
        <v>2903</v>
      </c>
      <c r="BV2581" t="s">
        <v>98</v>
      </c>
      <c r="BY2581">
        <v>45375</v>
      </c>
      <c r="CA2581" t="s">
        <v>518</v>
      </c>
      <c r="CC2581" t="s">
        <v>152</v>
      </c>
      <c r="CD2581" s="5" t="s">
        <v>157</v>
      </c>
      <c r="CE2581" t="s">
        <v>2742</v>
      </c>
      <c r="CF2581" s="3">
        <v>45859</v>
      </c>
      <c r="CI2581">
        <v>1</v>
      </c>
      <c r="CJ2581">
        <v>1</v>
      </c>
      <c r="CK2581">
        <v>41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"080066657654"</f>
        <v>080066657654</v>
      </c>
      <c r="F2582" s="3">
        <v>45856</v>
      </c>
      <c r="G2582">
        <v>202604</v>
      </c>
      <c r="H2582" t="s">
        <v>75</v>
      </c>
      <c r="I2582" t="s">
        <v>76</v>
      </c>
      <c r="J2582" t="s">
        <v>77</v>
      </c>
      <c r="K2582" t="s">
        <v>78</v>
      </c>
      <c r="L2582" t="s">
        <v>2904</v>
      </c>
      <c r="M2582" t="s">
        <v>2905</v>
      </c>
      <c r="N2582" t="s">
        <v>2906</v>
      </c>
      <c r="O2582" t="s">
        <v>95</v>
      </c>
      <c r="P2582" t="str">
        <f>"4170049595                    "</f>
        <v xml:space="preserve">4170049595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121.45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2</v>
      </c>
      <c r="BI2582">
        <v>34</v>
      </c>
      <c r="BJ2582">
        <v>32.700000000000003</v>
      </c>
      <c r="BK2582">
        <v>34</v>
      </c>
      <c r="BL2582">
        <v>388.5</v>
      </c>
      <c r="BM2582">
        <v>58.28</v>
      </c>
      <c r="BN2582">
        <v>446.78</v>
      </c>
      <c r="BO2582">
        <v>446.78</v>
      </c>
      <c r="BQ2582" t="s">
        <v>2907</v>
      </c>
      <c r="BR2582" t="s">
        <v>84</v>
      </c>
      <c r="BS2582" s="3">
        <v>45859</v>
      </c>
      <c r="BT2582" s="4">
        <v>0.66666666666666663</v>
      </c>
      <c r="BU2582" t="s">
        <v>2908</v>
      </c>
      <c r="BV2582" t="s">
        <v>98</v>
      </c>
      <c r="BY2582">
        <v>81675</v>
      </c>
      <c r="BZ2582" t="s">
        <v>2909</v>
      </c>
      <c r="CA2582" t="s">
        <v>2910</v>
      </c>
      <c r="CC2582" t="s">
        <v>2905</v>
      </c>
      <c r="CD2582">
        <v>1133</v>
      </c>
      <c r="CE2582" t="s">
        <v>1377</v>
      </c>
      <c r="CF2582" s="3">
        <v>45860</v>
      </c>
      <c r="CI2582">
        <v>2</v>
      </c>
      <c r="CJ2582">
        <v>1</v>
      </c>
      <c r="CK2582">
        <v>43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"080066657771"</f>
        <v>080066657771</v>
      </c>
      <c r="F2583" s="3">
        <v>45856</v>
      </c>
      <c r="G2583">
        <v>202604</v>
      </c>
      <c r="H2583" t="s">
        <v>75</v>
      </c>
      <c r="I2583" t="s">
        <v>76</v>
      </c>
      <c r="J2583" t="s">
        <v>77</v>
      </c>
      <c r="K2583" t="s">
        <v>78</v>
      </c>
      <c r="L2583" t="s">
        <v>92</v>
      </c>
      <c r="M2583" t="s">
        <v>93</v>
      </c>
      <c r="N2583" t="s">
        <v>291</v>
      </c>
      <c r="O2583" t="s">
        <v>82</v>
      </c>
      <c r="P2583" t="str">
        <f>"4170049526                    "</f>
        <v xml:space="preserve">4170049526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22.6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0.3</v>
      </c>
      <c r="BK2583">
        <v>1</v>
      </c>
      <c r="BL2583">
        <v>71.2</v>
      </c>
      <c r="BM2583">
        <v>10.68</v>
      </c>
      <c r="BN2583">
        <v>81.88</v>
      </c>
      <c r="BO2583">
        <v>81.88</v>
      </c>
      <c r="BQ2583" t="s">
        <v>292</v>
      </c>
      <c r="BR2583" t="s">
        <v>84</v>
      </c>
      <c r="BS2583" s="3">
        <v>45859</v>
      </c>
      <c r="BT2583" s="4">
        <v>0.33402777777777776</v>
      </c>
      <c r="BU2583" t="s">
        <v>847</v>
      </c>
      <c r="BV2583" t="s">
        <v>98</v>
      </c>
      <c r="BY2583">
        <v>1350</v>
      </c>
      <c r="CA2583" t="s">
        <v>294</v>
      </c>
      <c r="CC2583" t="s">
        <v>93</v>
      </c>
      <c r="CD2583">
        <v>4051</v>
      </c>
      <c r="CE2583" t="s">
        <v>158</v>
      </c>
      <c r="CF2583" s="3">
        <v>45859</v>
      </c>
      <c r="CI2583">
        <v>1</v>
      </c>
      <c r="CJ2583">
        <v>1</v>
      </c>
      <c r="CK2583">
        <v>21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"080066657787"</f>
        <v>080066657787</v>
      </c>
      <c r="F2584" s="3">
        <v>45856</v>
      </c>
      <c r="G2584">
        <v>202604</v>
      </c>
      <c r="H2584" t="s">
        <v>75</v>
      </c>
      <c r="I2584" t="s">
        <v>76</v>
      </c>
      <c r="J2584" t="s">
        <v>77</v>
      </c>
      <c r="K2584" t="s">
        <v>78</v>
      </c>
      <c r="L2584" t="s">
        <v>75</v>
      </c>
      <c r="M2584" t="s">
        <v>76</v>
      </c>
      <c r="N2584" t="s">
        <v>701</v>
      </c>
      <c r="O2584" t="s">
        <v>82</v>
      </c>
      <c r="P2584" t="str">
        <f>"4170049463                    "</f>
        <v xml:space="preserve">4170049463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17.649999999999999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0.3</v>
      </c>
      <c r="BK2584">
        <v>1</v>
      </c>
      <c r="BL2584">
        <v>55.61</v>
      </c>
      <c r="BM2584">
        <v>8.34</v>
      </c>
      <c r="BN2584">
        <v>63.95</v>
      </c>
      <c r="BO2584">
        <v>63.95</v>
      </c>
      <c r="BQ2584" t="s">
        <v>702</v>
      </c>
      <c r="BR2584" t="s">
        <v>84</v>
      </c>
      <c r="BS2584" s="3">
        <v>45859</v>
      </c>
      <c r="BT2584" s="4">
        <v>0.39097222222222222</v>
      </c>
      <c r="BU2584" t="s">
        <v>2911</v>
      </c>
      <c r="BV2584" t="s">
        <v>98</v>
      </c>
      <c r="BY2584">
        <v>1350</v>
      </c>
      <c r="CA2584" t="s">
        <v>617</v>
      </c>
      <c r="CC2584" t="s">
        <v>76</v>
      </c>
      <c r="CD2584">
        <v>1645</v>
      </c>
      <c r="CE2584" t="s">
        <v>158</v>
      </c>
      <c r="CF2584" s="3">
        <v>45860</v>
      </c>
      <c r="CI2584">
        <v>1</v>
      </c>
      <c r="CJ2584">
        <v>1</v>
      </c>
      <c r="CK2584">
        <v>22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"080066657838"</f>
        <v>080066657838</v>
      </c>
      <c r="F2585" s="3">
        <v>45856</v>
      </c>
      <c r="G2585">
        <v>202604</v>
      </c>
      <c r="H2585" t="s">
        <v>75</v>
      </c>
      <c r="I2585" t="s">
        <v>76</v>
      </c>
      <c r="J2585" t="s">
        <v>77</v>
      </c>
      <c r="K2585" t="s">
        <v>78</v>
      </c>
      <c r="L2585" t="s">
        <v>305</v>
      </c>
      <c r="M2585" t="s">
        <v>306</v>
      </c>
      <c r="N2585" t="s">
        <v>710</v>
      </c>
      <c r="O2585" t="s">
        <v>82</v>
      </c>
      <c r="P2585" t="str">
        <f>"4170049397                    "</f>
        <v xml:space="preserve">4170049397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22.6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0.3</v>
      </c>
      <c r="BK2585">
        <v>1</v>
      </c>
      <c r="BL2585">
        <v>71.2</v>
      </c>
      <c r="BM2585">
        <v>10.68</v>
      </c>
      <c r="BN2585">
        <v>81.88</v>
      </c>
      <c r="BO2585">
        <v>81.88</v>
      </c>
      <c r="BQ2585" t="s">
        <v>711</v>
      </c>
      <c r="BR2585" t="s">
        <v>84</v>
      </c>
      <c r="BS2585" s="3">
        <v>45859</v>
      </c>
      <c r="BT2585" s="4">
        <v>0.65972222222222221</v>
      </c>
      <c r="BU2585" t="s">
        <v>2912</v>
      </c>
      <c r="BV2585" t="s">
        <v>86</v>
      </c>
      <c r="BY2585">
        <v>1350</v>
      </c>
      <c r="CA2585" t="s">
        <v>1307</v>
      </c>
      <c r="CC2585" t="s">
        <v>306</v>
      </c>
      <c r="CD2585">
        <v>5200</v>
      </c>
      <c r="CE2585" t="s">
        <v>158</v>
      </c>
      <c r="CF2585" s="3">
        <v>45860</v>
      </c>
      <c r="CI2585">
        <v>1</v>
      </c>
      <c r="CJ2585">
        <v>1</v>
      </c>
      <c r="CK2585">
        <v>21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"080066657855"</f>
        <v>080066657855</v>
      </c>
      <c r="F2586" s="3">
        <v>45856</v>
      </c>
      <c r="G2586">
        <v>202604</v>
      </c>
      <c r="H2586" t="s">
        <v>75</v>
      </c>
      <c r="I2586" t="s">
        <v>76</v>
      </c>
      <c r="J2586" t="s">
        <v>77</v>
      </c>
      <c r="K2586" t="s">
        <v>78</v>
      </c>
      <c r="L2586" t="s">
        <v>240</v>
      </c>
      <c r="M2586" t="s">
        <v>241</v>
      </c>
      <c r="N2586" t="s">
        <v>447</v>
      </c>
      <c r="O2586" t="s">
        <v>82</v>
      </c>
      <c r="P2586" t="str">
        <f>"4170049536                    "</f>
        <v xml:space="preserve">4170049536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17.649999999999999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</v>
      </c>
      <c r="BJ2586">
        <v>0.9</v>
      </c>
      <c r="BK2586">
        <v>2</v>
      </c>
      <c r="BL2586">
        <v>55.61</v>
      </c>
      <c r="BM2586">
        <v>8.34</v>
      </c>
      <c r="BN2586">
        <v>63.95</v>
      </c>
      <c r="BO2586">
        <v>63.95</v>
      </c>
      <c r="BQ2586" t="s">
        <v>448</v>
      </c>
      <c r="BR2586" t="s">
        <v>84</v>
      </c>
      <c r="BS2586" s="3">
        <v>45859</v>
      </c>
      <c r="BT2586" s="4">
        <v>0.36388888888888887</v>
      </c>
      <c r="BU2586" t="s">
        <v>2192</v>
      </c>
      <c r="BV2586" t="s">
        <v>98</v>
      </c>
      <c r="BY2586">
        <v>4275</v>
      </c>
      <c r="CA2586" t="s">
        <v>451</v>
      </c>
      <c r="CC2586" t="s">
        <v>241</v>
      </c>
      <c r="CD2586">
        <v>2094</v>
      </c>
      <c r="CE2586" t="s">
        <v>145</v>
      </c>
      <c r="CF2586" s="3">
        <v>45859</v>
      </c>
      <c r="CI2586">
        <v>1</v>
      </c>
      <c r="CJ2586">
        <v>1</v>
      </c>
      <c r="CK2586">
        <v>22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"080066657861"</f>
        <v>080066657861</v>
      </c>
      <c r="F2587" s="3">
        <v>45856</v>
      </c>
      <c r="G2587">
        <v>202604</v>
      </c>
      <c r="H2587" t="s">
        <v>75</v>
      </c>
      <c r="I2587" t="s">
        <v>76</v>
      </c>
      <c r="J2587" t="s">
        <v>77</v>
      </c>
      <c r="K2587" t="s">
        <v>78</v>
      </c>
      <c r="L2587" t="s">
        <v>240</v>
      </c>
      <c r="M2587" t="s">
        <v>241</v>
      </c>
      <c r="N2587" t="s">
        <v>242</v>
      </c>
      <c r="O2587" t="s">
        <v>82</v>
      </c>
      <c r="P2587" t="str">
        <f>"4170049465                    "</f>
        <v xml:space="preserve">4170049465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17.649999999999999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0.3</v>
      </c>
      <c r="BK2587">
        <v>1</v>
      </c>
      <c r="BL2587">
        <v>55.61</v>
      </c>
      <c r="BM2587">
        <v>8.34</v>
      </c>
      <c r="BN2587">
        <v>63.95</v>
      </c>
      <c r="BO2587">
        <v>63.95</v>
      </c>
      <c r="BQ2587" t="s">
        <v>243</v>
      </c>
      <c r="BR2587" t="s">
        <v>84</v>
      </c>
      <c r="BS2587" s="3">
        <v>45859</v>
      </c>
      <c r="BT2587" s="4">
        <v>0.39583333333333331</v>
      </c>
      <c r="BU2587" t="s">
        <v>244</v>
      </c>
      <c r="BV2587" t="s">
        <v>98</v>
      </c>
      <c r="BY2587">
        <v>1350</v>
      </c>
      <c r="CA2587" t="s">
        <v>245</v>
      </c>
      <c r="CC2587" t="s">
        <v>241</v>
      </c>
      <c r="CD2587">
        <v>2091</v>
      </c>
      <c r="CE2587" t="s">
        <v>158</v>
      </c>
      <c r="CF2587" s="3">
        <v>45859</v>
      </c>
      <c r="CI2587">
        <v>1</v>
      </c>
      <c r="CJ2587">
        <v>1</v>
      </c>
      <c r="CK2587">
        <v>22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"080066657875"</f>
        <v>080066657875</v>
      </c>
      <c r="F2588" s="3">
        <v>45856</v>
      </c>
      <c r="G2588">
        <v>202604</v>
      </c>
      <c r="H2588" t="s">
        <v>75</v>
      </c>
      <c r="I2588" t="s">
        <v>76</v>
      </c>
      <c r="J2588" t="s">
        <v>77</v>
      </c>
      <c r="K2588" t="s">
        <v>78</v>
      </c>
      <c r="L2588" t="s">
        <v>151</v>
      </c>
      <c r="M2588" t="s">
        <v>152</v>
      </c>
      <c r="N2588" t="s">
        <v>2100</v>
      </c>
      <c r="O2588" t="s">
        <v>82</v>
      </c>
      <c r="P2588" t="str">
        <f>"4170049461                    "</f>
        <v xml:space="preserve">4170049461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22.6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0.3</v>
      </c>
      <c r="BK2588">
        <v>1</v>
      </c>
      <c r="BL2588">
        <v>71.2</v>
      </c>
      <c r="BM2588">
        <v>10.68</v>
      </c>
      <c r="BN2588">
        <v>81.88</v>
      </c>
      <c r="BO2588">
        <v>81.88</v>
      </c>
      <c r="BQ2588" t="s">
        <v>2101</v>
      </c>
      <c r="BR2588" t="s">
        <v>84</v>
      </c>
      <c r="BS2588" s="3">
        <v>45859</v>
      </c>
      <c r="BT2588" s="4">
        <v>0.3576388888888889</v>
      </c>
      <c r="BU2588" t="s">
        <v>2102</v>
      </c>
      <c r="BV2588" t="s">
        <v>98</v>
      </c>
      <c r="BY2588">
        <v>1350</v>
      </c>
      <c r="CA2588" t="s">
        <v>716</v>
      </c>
      <c r="CC2588" t="s">
        <v>152</v>
      </c>
      <c r="CD2588" s="5" t="s">
        <v>717</v>
      </c>
      <c r="CE2588" t="s">
        <v>158</v>
      </c>
      <c r="CF2588" s="3">
        <v>45859</v>
      </c>
      <c r="CI2588">
        <v>1</v>
      </c>
      <c r="CJ2588">
        <v>1</v>
      </c>
      <c r="CK2588">
        <v>21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"080066657879"</f>
        <v>080066657879</v>
      </c>
      <c r="F2589" s="3">
        <v>45856</v>
      </c>
      <c r="G2589">
        <v>202604</v>
      </c>
      <c r="H2589" t="s">
        <v>75</v>
      </c>
      <c r="I2589" t="s">
        <v>76</v>
      </c>
      <c r="J2589" t="s">
        <v>77</v>
      </c>
      <c r="K2589" t="s">
        <v>78</v>
      </c>
      <c r="L2589" t="s">
        <v>174</v>
      </c>
      <c r="M2589" t="s">
        <v>175</v>
      </c>
      <c r="N2589" t="s">
        <v>176</v>
      </c>
      <c r="O2589" t="s">
        <v>82</v>
      </c>
      <c r="P2589" t="str">
        <f>"4170049430                    "</f>
        <v xml:space="preserve">4170049430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22.6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0.9</v>
      </c>
      <c r="BK2589">
        <v>1</v>
      </c>
      <c r="BL2589">
        <v>71.2</v>
      </c>
      <c r="BM2589">
        <v>10.68</v>
      </c>
      <c r="BN2589">
        <v>81.88</v>
      </c>
      <c r="BO2589">
        <v>81.88</v>
      </c>
      <c r="BQ2589" t="s">
        <v>177</v>
      </c>
      <c r="BR2589" t="s">
        <v>84</v>
      </c>
      <c r="BS2589" s="3">
        <v>45859</v>
      </c>
      <c r="BT2589" s="4">
        <v>0.42569444444444443</v>
      </c>
      <c r="BU2589" t="s">
        <v>1824</v>
      </c>
      <c r="BV2589" t="s">
        <v>98</v>
      </c>
      <c r="BY2589">
        <v>4275</v>
      </c>
      <c r="CA2589" t="s">
        <v>173</v>
      </c>
      <c r="CC2589" t="s">
        <v>175</v>
      </c>
      <c r="CD2589">
        <v>6220</v>
      </c>
      <c r="CE2589" t="s">
        <v>145</v>
      </c>
      <c r="CF2589" s="3">
        <v>45859</v>
      </c>
      <c r="CI2589">
        <v>1</v>
      </c>
      <c r="CJ2589">
        <v>1</v>
      </c>
      <c r="CK2589">
        <v>21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"080066657899"</f>
        <v>080066657899</v>
      </c>
      <c r="F2590" s="3">
        <v>45856</v>
      </c>
      <c r="G2590">
        <v>202604</v>
      </c>
      <c r="H2590" t="s">
        <v>75</v>
      </c>
      <c r="I2590" t="s">
        <v>76</v>
      </c>
      <c r="J2590" t="s">
        <v>77</v>
      </c>
      <c r="K2590" t="s">
        <v>78</v>
      </c>
      <c r="L2590" t="s">
        <v>151</v>
      </c>
      <c r="M2590" t="s">
        <v>152</v>
      </c>
      <c r="N2590" t="s">
        <v>515</v>
      </c>
      <c r="O2590" t="s">
        <v>82</v>
      </c>
      <c r="P2590" t="str">
        <f>"4170049539                    "</f>
        <v xml:space="preserve">4170049539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22.6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0.3</v>
      </c>
      <c r="BK2590">
        <v>1</v>
      </c>
      <c r="BL2590">
        <v>71.2</v>
      </c>
      <c r="BM2590">
        <v>10.68</v>
      </c>
      <c r="BN2590">
        <v>81.88</v>
      </c>
      <c r="BO2590">
        <v>81.88</v>
      </c>
      <c r="BQ2590" t="s">
        <v>516</v>
      </c>
      <c r="BR2590" t="s">
        <v>84</v>
      </c>
      <c r="BS2590" s="3">
        <v>45859</v>
      </c>
      <c r="BT2590" s="4">
        <v>0.4201388888888889</v>
      </c>
      <c r="BU2590" t="s">
        <v>2903</v>
      </c>
      <c r="BV2590" t="s">
        <v>98</v>
      </c>
      <c r="BY2590">
        <v>1350</v>
      </c>
      <c r="CA2590" t="s">
        <v>518</v>
      </c>
      <c r="CC2590" t="s">
        <v>152</v>
      </c>
      <c r="CD2590" s="5" t="s">
        <v>157</v>
      </c>
      <c r="CE2590" t="s">
        <v>158</v>
      </c>
      <c r="CF2590" s="3">
        <v>45859</v>
      </c>
      <c r="CI2590">
        <v>1</v>
      </c>
      <c r="CJ2590">
        <v>1</v>
      </c>
      <c r="CK2590">
        <v>21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"080066657913"</f>
        <v>080066657913</v>
      </c>
      <c r="F2591" s="3">
        <v>45856</v>
      </c>
      <c r="G2591">
        <v>202604</v>
      </c>
      <c r="H2591" t="s">
        <v>75</v>
      </c>
      <c r="I2591" t="s">
        <v>76</v>
      </c>
      <c r="J2591" t="s">
        <v>77</v>
      </c>
      <c r="K2591" t="s">
        <v>78</v>
      </c>
      <c r="L2591" t="s">
        <v>1000</v>
      </c>
      <c r="M2591" t="s">
        <v>1001</v>
      </c>
      <c r="N2591" t="s">
        <v>1002</v>
      </c>
      <c r="O2591" t="s">
        <v>82</v>
      </c>
      <c r="P2591" t="str">
        <f>"4170049639                    "</f>
        <v xml:space="preserve">4170049639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31.78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0.3</v>
      </c>
      <c r="BK2591">
        <v>1</v>
      </c>
      <c r="BL2591">
        <v>100.13</v>
      </c>
      <c r="BM2591">
        <v>15.02</v>
      </c>
      <c r="BN2591">
        <v>115.15</v>
      </c>
      <c r="BO2591">
        <v>115.15</v>
      </c>
      <c r="BQ2591" t="s">
        <v>1003</v>
      </c>
      <c r="BR2591" t="s">
        <v>84</v>
      </c>
      <c r="BS2591" s="3">
        <v>45859</v>
      </c>
      <c r="BT2591" s="4">
        <v>0.36527777777777776</v>
      </c>
      <c r="BU2591" t="s">
        <v>2913</v>
      </c>
      <c r="BV2591" t="s">
        <v>98</v>
      </c>
      <c r="BY2591">
        <v>1350</v>
      </c>
      <c r="CA2591" t="s">
        <v>1005</v>
      </c>
      <c r="CC2591" t="s">
        <v>1001</v>
      </c>
      <c r="CD2591">
        <v>2410</v>
      </c>
      <c r="CE2591" t="s">
        <v>158</v>
      </c>
      <c r="CF2591" s="3">
        <v>45860</v>
      </c>
      <c r="CI2591">
        <v>1</v>
      </c>
      <c r="CJ2591">
        <v>1</v>
      </c>
      <c r="CK2591">
        <v>24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"080066658010"</f>
        <v>080066658010</v>
      </c>
      <c r="F2592" s="3">
        <v>45856</v>
      </c>
      <c r="G2592">
        <v>202604</v>
      </c>
      <c r="H2592" t="s">
        <v>75</v>
      </c>
      <c r="I2592" t="s">
        <v>76</v>
      </c>
      <c r="J2592" t="s">
        <v>77</v>
      </c>
      <c r="K2592" t="s">
        <v>78</v>
      </c>
      <c r="L2592" t="s">
        <v>473</v>
      </c>
      <c r="M2592" t="s">
        <v>474</v>
      </c>
      <c r="N2592" t="s">
        <v>1224</v>
      </c>
      <c r="O2592" t="s">
        <v>82</v>
      </c>
      <c r="P2592" t="str">
        <f>"4170049631                    "</f>
        <v xml:space="preserve">4170049631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22.6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0.3</v>
      </c>
      <c r="BK2592">
        <v>1</v>
      </c>
      <c r="BL2592">
        <v>71.2</v>
      </c>
      <c r="BM2592">
        <v>10.68</v>
      </c>
      <c r="BN2592">
        <v>81.88</v>
      </c>
      <c r="BO2592">
        <v>81.88</v>
      </c>
      <c r="BQ2592" t="s">
        <v>1225</v>
      </c>
      <c r="BR2592" t="s">
        <v>84</v>
      </c>
      <c r="BS2592" s="3">
        <v>45859</v>
      </c>
      <c r="BT2592" s="4">
        <v>0.38055555555555554</v>
      </c>
      <c r="BU2592" t="s">
        <v>1226</v>
      </c>
      <c r="BV2592" t="s">
        <v>98</v>
      </c>
      <c r="BY2592">
        <v>1350</v>
      </c>
      <c r="CA2592" t="s">
        <v>337</v>
      </c>
      <c r="CC2592" t="s">
        <v>474</v>
      </c>
      <c r="CD2592">
        <v>4026</v>
      </c>
      <c r="CE2592" t="s">
        <v>158</v>
      </c>
      <c r="CF2592" s="3">
        <v>45859</v>
      </c>
      <c r="CI2592">
        <v>1</v>
      </c>
      <c r="CJ2592">
        <v>1</v>
      </c>
      <c r="CK2592">
        <v>21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"080066658015"</f>
        <v>080066658015</v>
      </c>
      <c r="F2593" s="3">
        <v>45856</v>
      </c>
      <c r="G2593">
        <v>202604</v>
      </c>
      <c r="H2593" t="s">
        <v>75</v>
      </c>
      <c r="I2593" t="s">
        <v>76</v>
      </c>
      <c r="J2593" t="s">
        <v>77</v>
      </c>
      <c r="K2593" t="s">
        <v>78</v>
      </c>
      <c r="L2593" t="s">
        <v>135</v>
      </c>
      <c r="M2593" t="s">
        <v>136</v>
      </c>
      <c r="N2593" t="s">
        <v>694</v>
      </c>
      <c r="O2593" t="s">
        <v>82</v>
      </c>
      <c r="P2593" t="str">
        <f>"4170049425                    "</f>
        <v xml:space="preserve">4170049425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39.53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16.739999999999998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</v>
      </c>
      <c r="BJ2593">
        <v>3.4</v>
      </c>
      <c r="BK2593">
        <v>3.5</v>
      </c>
      <c r="BL2593">
        <v>141.29</v>
      </c>
      <c r="BM2593">
        <v>21.19</v>
      </c>
      <c r="BN2593">
        <v>162.47999999999999</v>
      </c>
      <c r="BO2593">
        <v>162.47999999999999</v>
      </c>
      <c r="BQ2593" t="s">
        <v>695</v>
      </c>
      <c r="BR2593" t="s">
        <v>84</v>
      </c>
      <c r="BS2593" s="3">
        <v>45860</v>
      </c>
      <c r="BT2593" s="4">
        <v>0.41666666666666669</v>
      </c>
      <c r="BU2593" t="s">
        <v>2914</v>
      </c>
      <c r="BV2593" t="s">
        <v>86</v>
      </c>
      <c r="BY2593">
        <v>16965</v>
      </c>
      <c r="BZ2593" t="s">
        <v>30</v>
      </c>
      <c r="CA2593" t="s">
        <v>2915</v>
      </c>
      <c r="CC2593" t="s">
        <v>136</v>
      </c>
      <c r="CD2593">
        <v>3699</v>
      </c>
      <c r="CE2593" t="s">
        <v>145</v>
      </c>
      <c r="CF2593" s="3">
        <v>45861</v>
      </c>
      <c r="CI2593">
        <v>1</v>
      </c>
      <c r="CJ2593">
        <v>2</v>
      </c>
      <c r="CK2593">
        <v>21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"080066658026"</f>
        <v>080066658026</v>
      </c>
      <c r="F2594" s="3">
        <v>45856</v>
      </c>
      <c r="G2594">
        <v>202604</v>
      </c>
      <c r="H2594" t="s">
        <v>75</v>
      </c>
      <c r="I2594" t="s">
        <v>76</v>
      </c>
      <c r="J2594" t="s">
        <v>77</v>
      </c>
      <c r="K2594" t="s">
        <v>78</v>
      </c>
      <c r="L2594" t="s">
        <v>79</v>
      </c>
      <c r="M2594" t="s">
        <v>80</v>
      </c>
      <c r="N2594" t="s">
        <v>376</v>
      </c>
      <c r="O2594" t="s">
        <v>82</v>
      </c>
      <c r="P2594" t="str">
        <f>"4170049629                    "</f>
        <v xml:space="preserve">4170049629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22.6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0.3</v>
      </c>
      <c r="BK2594">
        <v>1</v>
      </c>
      <c r="BL2594">
        <v>71.2</v>
      </c>
      <c r="BM2594">
        <v>10.68</v>
      </c>
      <c r="BN2594">
        <v>81.88</v>
      </c>
      <c r="BO2594">
        <v>81.88</v>
      </c>
      <c r="BQ2594" t="s">
        <v>377</v>
      </c>
      <c r="BR2594" t="s">
        <v>84</v>
      </c>
      <c r="BS2594" s="3">
        <v>45859</v>
      </c>
      <c r="BT2594" s="4">
        <v>0.41666666666666669</v>
      </c>
      <c r="BU2594" t="s">
        <v>2916</v>
      </c>
      <c r="BV2594" t="s">
        <v>98</v>
      </c>
      <c r="BY2594">
        <v>1350</v>
      </c>
      <c r="CC2594" t="s">
        <v>80</v>
      </c>
      <c r="CD2594">
        <v>8001</v>
      </c>
      <c r="CE2594" t="s">
        <v>158</v>
      </c>
      <c r="CF2594" s="3">
        <v>45860</v>
      </c>
      <c r="CI2594">
        <v>1</v>
      </c>
      <c r="CJ2594">
        <v>1</v>
      </c>
      <c r="CK2594">
        <v>21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"080066658056"</f>
        <v>080066658056</v>
      </c>
      <c r="F2595" s="3">
        <v>45856</v>
      </c>
      <c r="G2595">
        <v>202604</v>
      </c>
      <c r="H2595" t="s">
        <v>75</v>
      </c>
      <c r="I2595" t="s">
        <v>76</v>
      </c>
      <c r="J2595" t="s">
        <v>77</v>
      </c>
      <c r="K2595" t="s">
        <v>78</v>
      </c>
      <c r="L2595" t="s">
        <v>168</v>
      </c>
      <c r="M2595" t="s">
        <v>169</v>
      </c>
      <c r="N2595" t="s">
        <v>2917</v>
      </c>
      <c r="O2595" t="s">
        <v>82</v>
      </c>
      <c r="P2595" t="str">
        <f>"4170049426                    "</f>
        <v xml:space="preserve">4170049426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22.6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16.739999999999998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0.8</v>
      </c>
      <c r="BK2595">
        <v>1</v>
      </c>
      <c r="BL2595">
        <v>87.94</v>
      </c>
      <c r="BM2595">
        <v>13.19</v>
      </c>
      <c r="BN2595">
        <v>101.13</v>
      </c>
      <c r="BO2595">
        <v>101.13</v>
      </c>
      <c r="BQ2595" t="s">
        <v>2918</v>
      </c>
      <c r="BR2595" t="s">
        <v>84</v>
      </c>
      <c r="BS2595" s="3">
        <v>45859</v>
      </c>
      <c r="BT2595" s="4">
        <v>0.4</v>
      </c>
      <c r="BU2595" t="s">
        <v>2919</v>
      </c>
      <c r="BV2595" t="s">
        <v>98</v>
      </c>
      <c r="BY2595">
        <v>3800</v>
      </c>
      <c r="BZ2595" t="s">
        <v>30</v>
      </c>
      <c r="CA2595" t="s">
        <v>173</v>
      </c>
      <c r="CC2595" t="s">
        <v>169</v>
      </c>
      <c r="CD2595">
        <v>6000</v>
      </c>
      <c r="CE2595" t="s">
        <v>91</v>
      </c>
      <c r="CF2595" s="3">
        <v>45859</v>
      </c>
      <c r="CI2595">
        <v>1</v>
      </c>
      <c r="CJ2595">
        <v>1</v>
      </c>
      <c r="CK2595">
        <v>21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"080066658059"</f>
        <v>080066658059</v>
      </c>
      <c r="F2596" s="3">
        <v>45856</v>
      </c>
      <c r="G2596">
        <v>202604</v>
      </c>
      <c r="H2596" t="s">
        <v>75</v>
      </c>
      <c r="I2596" t="s">
        <v>76</v>
      </c>
      <c r="J2596" t="s">
        <v>77</v>
      </c>
      <c r="K2596" t="s">
        <v>78</v>
      </c>
      <c r="L2596" t="s">
        <v>295</v>
      </c>
      <c r="M2596" t="s">
        <v>296</v>
      </c>
      <c r="N2596" t="s">
        <v>2507</v>
      </c>
      <c r="O2596" t="s">
        <v>82</v>
      </c>
      <c r="P2596" t="str">
        <f>"4170049600                    "</f>
        <v xml:space="preserve">4170049600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17.649999999999999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0.3</v>
      </c>
      <c r="BK2596">
        <v>1</v>
      </c>
      <c r="BL2596">
        <v>55.61</v>
      </c>
      <c r="BM2596">
        <v>8.34</v>
      </c>
      <c r="BN2596">
        <v>63.95</v>
      </c>
      <c r="BO2596">
        <v>63.95</v>
      </c>
      <c r="BQ2596" t="s">
        <v>2508</v>
      </c>
      <c r="BR2596" t="s">
        <v>84</v>
      </c>
      <c r="BS2596" s="3">
        <v>45859</v>
      </c>
      <c r="BT2596" s="4">
        <v>0.33611111111111114</v>
      </c>
      <c r="BU2596" t="s">
        <v>2896</v>
      </c>
      <c r="BV2596" t="s">
        <v>98</v>
      </c>
      <c r="BY2596">
        <v>1350</v>
      </c>
      <c r="CA2596" t="s">
        <v>300</v>
      </c>
      <c r="CC2596" t="s">
        <v>296</v>
      </c>
      <c r="CD2596">
        <v>1459</v>
      </c>
      <c r="CE2596" t="s">
        <v>158</v>
      </c>
      <c r="CF2596" s="3">
        <v>45860</v>
      </c>
      <c r="CI2596">
        <v>1</v>
      </c>
      <c r="CJ2596">
        <v>1</v>
      </c>
      <c r="CK2596">
        <v>22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"080066658084"</f>
        <v>080066658084</v>
      </c>
      <c r="F2597" s="3">
        <v>45856</v>
      </c>
      <c r="G2597">
        <v>202604</v>
      </c>
      <c r="H2597" t="s">
        <v>75</v>
      </c>
      <c r="I2597" t="s">
        <v>76</v>
      </c>
      <c r="J2597" t="s">
        <v>77</v>
      </c>
      <c r="K2597" t="s">
        <v>78</v>
      </c>
      <c r="L2597" t="s">
        <v>79</v>
      </c>
      <c r="M2597" t="s">
        <v>80</v>
      </c>
      <c r="N2597" t="s">
        <v>1996</v>
      </c>
      <c r="O2597" t="s">
        <v>82</v>
      </c>
      <c r="P2597" t="str">
        <f>"4170049620                    "</f>
        <v xml:space="preserve">4170049620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22.6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0.3</v>
      </c>
      <c r="BK2597">
        <v>1</v>
      </c>
      <c r="BL2597">
        <v>71.2</v>
      </c>
      <c r="BM2597">
        <v>10.68</v>
      </c>
      <c r="BN2597">
        <v>81.88</v>
      </c>
      <c r="BO2597">
        <v>81.88</v>
      </c>
      <c r="BQ2597" t="s">
        <v>1997</v>
      </c>
      <c r="BR2597" t="s">
        <v>84</v>
      </c>
      <c r="BS2597" s="3">
        <v>45859</v>
      </c>
      <c r="BT2597" s="4">
        <v>0.4375</v>
      </c>
      <c r="BU2597" t="s">
        <v>2279</v>
      </c>
      <c r="BV2597" t="s">
        <v>98</v>
      </c>
      <c r="BY2597">
        <v>1350</v>
      </c>
      <c r="CC2597" t="s">
        <v>80</v>
      </c>
      <c r="CD2597">
        <v>7405</v>
      </c>
      <c r="CE2597" t="s">
        <v>158</v>
      </c>
      <c r="CF2597" s="3">
        <v>45860</v>
      </c>
      <c r="CI2597">
        <v>1</v>
      </c>
      <c r="CJ2597">
        <v>1</v>
      </c>
      <c r="CK2597">
        <v>21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"080066658083"</f>
        <v>080066658083</v>
      </c>
      <c r="F2598" s="3">
        <v>45856</v>
      </c>
      <c r="G2598">
        <v>202604</v>
      </c>
      <c r="H2598" t="s">
        <v>75</v>
      </c>
      <c r="I2598" t="s">
        <v>76</v>
      </c>
      <c r="J2598" t="s">
        <v>77</v>
      </c>
      <c r="K2598" t="s">
        <v>78</v>
      </c>
      <c r="L2598" t="s">
        <v>670</v>
      </c>
      <c r="M2598" t="s">
        <v>671</v>
      </c>
      <c r="N2598" t="s">
        <v>1609</v>
      </c>
      <c r="O2598" t="s">
        <v>82</v>
      </c>
      <c r="P2598" t="str">
        <f>"4170049617                    "</f>
        <v xml:space="preserve">4170049617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17.649999999999999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1.1000000000000001</v>
      </c>
      <c r="BK2598">
        <v>2</v>
      </c>
      <c r="BL2598">
        <v>55.61</v>
      </c>
      <c r="BM2598">
        <v>8.34</v>
      </c>
      <c r="BN2598">
        <v>63.95</v>
      </c>
      <c r="BO2598">
        <v>63.95</v>
      </c>
      <c r="BQ2598" t="s">
        <v>1610</v>
      </c>
      <c r="BR2598" t="s">
        <v>84</v>
      </c>
      <c r="BS2598" s="3">
        <v>45859</v>
      </c>
      <c r="BT2598" s="4">
        <v>0.37638888888888888</v>
      </c>
      <c r="BU2598" t="s">
        <v>1611</v>
      </c>
      <c r="BV2598" t="s">
        <v>98</v>
      </c>
      <c r="BY2598">
        <v>5700</v>
      </c>
      <c r="CA2598" t="s">
        <v>676</v>
      </c>
      <c r="CC2598" t="s">
        <v>671</v>
      </c>
      <c r="CD2598">
        <v>2163</v>
      </c>
      <c r="CE2598" t="s">
        <v>145</v>
      </c>
      <c r="CF2598" s="3">
        <v>45860</v>
      </c>
      <c r="CI2598">
        <v>1</v>
      </c>
      <c r="CJ2598">
        <v>1</v>
      </c>
      <c r="CK2598">
        <v>22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"080066658097"</f>
        <v>080066658097</v>
      </c>
      <c r="F2599" s="3">
        <v>45856</v>
      </c>
      <c r="G2599">
        <v>202604</v>
      </c>
      <c r="H2599" t="s">
        <v>75</v>
      </c>
      <c r="I2599" t="s">
        <v>76</v>
      </c>
      <c r="J2599" t="s">
        <v>77</v>
      </c>
      <c r="K2599" t="s">
        <v>78</v>
      </c>
      <c r="L2599" t="s">
        <v>580</v>
      </c>
      <c r="M2599" t="s">
        <v>581</v>
      </c>
      <c r="N2599" t="s">
        <v>582</v>
      </c>
      <c r="O2599" t="s">
        <v>82</v>
      </c>
      <c r="P2599" t="str">
        <f>"4170049567                    "</f>
        <v xml:space="preserve">4170049567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22.6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0.3</v>
      </c>
      <c r="BK2599">
        <v>1</v>
      </c>
      <c r="BL2599">
        <v>71.2</v>
      </c>
      <c r="BM2599">
        <v>10.68</v>
      </c>
      <c r="BN2599">
        <v>81.88</v>
      </c>
      <c r="BO2599">
        <v>81.88</v>
      </c>
      <c r="BQ2599" t="s">
        <v>583</v>
      </c>
      <c r="BR2599" t="s">
        <v>84</v>
      </c>
      <c r="BS2599" s="3">
        <v>45859</v>
      </c>
      <c r="BT2599" s="4">
        <v>0.38541666666666669</v>
      </c>
      <c r="BU2599" t="s">
        <v>584</v>
      </c>
      <c r="BV2599" t="s">
        <v>98</v>
      </c>
      <c r="BY2599">
        <v>1350</v>
      </c>
      <c r="BZ2599" t="s">
        <v>89</v>
      </c>
      <c r="CA2599" t="s">
        <v>585</v>
      </c>
      <c r="CC2599" t="s">
        <v>581</v>
      </c>
      <c r="CD2599">
        <v>4302</v>
      </c>
      <c r="CE2599" t="s">
        <v>1868</v>
      </c>
      <c r="CF2599" s="3">
        <v>45860</v>
      </c>
      <c r="CI2599">
        <v>1</v>
      </c>
      <c r="CJ2599">
        <v>1</v>
      </c>
      <c r="CK2599">
        <v>21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"080066658117"</f>
        <v>080066658117</v>
      </c>
      <c r="F2600" s="3">
        <v>45856</v>
      </c>
      <c r="G2600">
        <v>202604</v>
      </c>
      <c r="H2600" t="s">
        <v>75</v>
      </c>
      <c r="I2600" t="s">
        <v>76</v>
      </c>
      <c r="J2600" t="s">
        <v>77</v>
      </c>
      <c r="K2600" t="s">
        <v>78</v>
      </c>
      <c r="L2600" t="s">
        <v>146</v>
      </c>
      <c r="M2600" t="s">
        <v>146</v>
      </c>
      <c r="N2600" t="s">
        <v>633</v>
      </c>
      <c r="O2600" t="s">
        <v>82</v>
      </c>
      <c r="P2600" t="str">
        <f>"4170049592                    "</f>
        <v xml:space="preserve">4170049592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43.78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0.3</v>
      </c>
      <c r="BK2600">
        <v>1</v>
      </c>
      <c r="BL2600">
        <v>137.94</v>
      </c>
      <c r="BM2600">
        <v>20.69</v>
      </c>
      <c r="BN2600">
        <v>158.63</v>
      </c>
      <c r="BO2600">
        <v>158.63</v>
      </c>
      <c r="BQ2600" t="s">
        <v>634</v>
      </c>
      <c r="BR2600" t="s">
        <v>84</v>
      </c>
      <c r="BS2600" s="3">
        <v>45859</v>
      </c>
      <c r="BT2600" s="4">
        <v>0.54166666666666663</v>
      </c>
      <c r="BU2600" t="s">
        <v>1115</v>
      </c>
      <c r="BV2600" t="s">
        <v>98</v>
      </c>
      <c r="BY2600">
        <v>1350</v>
      </c>
      <c r="BZ2600" t="s">
        <v>89</v>
      </c>
      <c r="CA2600" t="s">
        <v>150</v>
      </c>
      <c r="CC2600" t="s">
        <v>146</v>
      </c>
      <c r="CD2600">
        <v>7646</v>
      </c>
      <c r="CE2600" t="s">
        <v>1868</v>
      </c>
      <c r="CF2600" s="3">
        <v>45860</v>
      </c>
      <c r="CI2600">
        <v>1</v>
      </c>
      <c r="CJ2600">
        <v>1</v>
      </c>
      <c r="CK2600">
        <v>23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"080066658139"</f>
        <v>080066658139</v>
      </c>
      <c r="F2601" s="3">
        <v>45856</v>
      </c>
      <c r="G2601">
        <v>202604</v>
      </c>
      <c r="H2601" t="s">
        <v>75</v>
      </c>
      <c r="I2601" t="s">
        <v>76</v>
      </c>
      <c r="J2601" t="s">
        <v>77</v>
      </c>
      <c r="K2601" t="s">
        <v>78</v>
      </c>
      <c r="L2601" t="s">
        <v>503</v>
      </c>
      <c r="M2601" t="s">
        <v>504</v>
      </c>
      <c r="N2601" t="s">
        <v>505</v>
      </c>
      <c r="O2601" t="s">
        <v>82</v>
      </c>
      <c r="P2601" t="str">
        <f>"4170049612                    "</f>
        <v xml:space="preserve">4170049612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63.56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1.1000000000000001</v>
      </c>
      <c r="BK2601">
        <v>3</v>
      </c>
      <c r="BL2601">
        <v>200.24</v>
      </c>
      <c r="BM2601">
        <v>30.04</v>
      </c>
      <c r="BN2601">
        <v>230.28</v>
      </c>
      <c r="BO2601">
        <v>230.28</v>
      </c>
      <c r="BQ2601" t="s">
        <v>506</v>
      </c>
      <c r="BR2601" t="s">
        <v>84</v>
      </c>
      <c r="BS2601" s="3">
        <v>45859</v>
      </c>
      <c r="BT2601" s="4">
        <v>0.4909722222222222</v>
      </c>
      <c r="BU2601" t="s">
        <v>507</v>
      </c>
      <c r="BV2601" t="s">
        <v>98</v>
      </c>
      <c r="BY2601">
        <v>5320</v>
      </c>
      <c r="BZ2601" t="s">
        <v>89</v>
      </c>
      <c r="CA2601" t="s">
        <v>508</v>
      </c>
      <c r="CC2601" t="s">
        <v>504</v>
      </c>
      <c r="CD2601">
        <v>7130</v>
      </c>
      <c r="CE2601" t="s">
        <v>117</v>
      </c>
      <c r="CF2601" s="3">
        <v>45860</v>
      </c>
      <c r="CI2601">
        <v>1</v>
      </c>
      <c r="CJ2601">
        <v>1</v>
      </c>
      <c r="CK2601">
        <v>23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"080066658142"</f>
        <v>080066658142</v>
      </c>
      <c r="F2602" s="3">
        <v>45856</v>
      </c>
      <c r="G2602">
        <v>202604</v>
      </c>
      <c r="H2602" t="s">
        <v>75</v>
      </c>
      <c r="I2602" t="s">
        <v>76</v>
      </c>
      <c r="J2602" t="s">
        <v>77</v>
      </c>
      <c r="K2602" t="s">
        <v>78</v>
      </c>
      <c r="L2602" t="s">
        <v>168</v>
      </c>
      <c r="M2602" t="s">
        <v>169</v>
      </c>
      <c r="N2602" t="s">
        <v>206</v>
      </c>
      <c r="O2602" t="s">
        <v>82</v>
      </c>
      <c r="P2602" t="str">
        <f>"4170049560                    "</f>
        <v xml:space="preserve">4170049560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22.6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0.3</v>
      </c>
      <c r="BK2602">
        <v>1</v>
      </c>
      <c r="BL2602">
        <v>71.2</v>
      </c>
      <c r="BM2602">
        <v>10.68</v>
      </c>
      <c r="BN2602">
        <v>81.88</v>
      </c>
      <c r="BO2602">
        <v>81.88</v>
      </c>
      <c r="BQ2602" t="s">
        <v>207</v>
      </c>
      <c r="BR2602" t="s">
        <v>84</v>
      </c>
      <c r="BS2602" s="3">
        <v>45859</v>
      </c>
      <c r="BT2602" s="4">
        <v>0.38541666666666669</v>
      </c>
      <c r="BU2602" t="s">
        <v>208</v>
      </c>
      <c r="BV2602" t="s">
        <v>98</v>
      </c>
      <c r="BY2602">
        <v>1350</v>
      </c>
      <c r="BZ2602" t="s">
        <v>89</v>
      </c>
      <c r="CA2602" t="s">
        <v>196</v>
      </c>
      <c r="CC2602" t="s">
        <v>169</v>
      </c>
      <c r="CD2602">
        <v>6001</v>
      </c>
      <c r="CE2602" t="s">
        <v>1868</v>
      </c>
      <c r="CF2602" s="3">
        <v>45859</v>
      </c>
      <c r="CI2602">
        <v>1</v>
      </c>
      <c r="CJ2602">
        <v>1</v>
      </c>
      <c r="CK2602">
        <v>21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"080066658172"</f>
        <v>080066658172</v>
      </c>
      <c r="F2603" s="3">
        <v>45856</v>
      </c>
      <c r="G2603">
        <v>202604</v>
      </c>
      <c r="H2603" t="s">
        <v>75</v>
      </c>
      <c r="I2603" t="s">
        <v>76</v>
      </c>
      <c r="J2603" t="s">
        <v>77</v>
      </c>
      <c r="K2603" t="s">
        <v>78</v>
      </c>
      <c r="L2603" t="s">
        <v>234</v>
      </c>
      <c r="M2603" t="s">
        <v>235</v>
      </c>
      <c r="N2603" t="s">
        <v>236</v>
      </c>
      <c r="O2603" t="s">
        <v>82</v>
      </c>
      <c r="P2603" t="str">
        <f>"4170049635                    "</f>
        <v xml:space="preserve">4170049635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17.649999999999999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0.3</v>
      </c>
      <c r="BK2603">
        <v>1</v>
      </c>
      <c r="BL2603">
        <v>55.61</v>
      </c>
      <c r="BM2603">
        <v>8.34</v>
      </c>
      <c r="BN2603">
        <v>63.95</v>
      </c>
      <c r="BO2603">
        <v>63.95</v>
      </c>
      <c r="BQ2603" t="s">
        <v>237</v>
      </c>
      <c r="BR2603" t="s">
        <v>84</v>
      </c>
      <c r="BS2603" s="3">
        <v>45859</v>
      </c>
      <c r="BT2603" s="4">
        <v>0.42430555555555555</v>
      </c>
      <c r="BU2603" t="s">
        <v>2886</v>
      </c>
      <c r="BV2603" t="s">
        <v>98</v>
      </c>
      <c r="BY2603">
        <v>1350</v>
      </c>
      <c r="BZ2603" t="s">
        <v>89</v>
      </c>
      <c r="CA2603" t="s">
        <v>632</v>
      </c>
      <c r="CC2603" t="s">
        <v>235</v>
      </c>
      <c r="CD2603">
        <v>1682</v>
      </c>
      <c r="CE2603" t="s">
        <v>1868</v>
      </c>
      <c r="CF2603" s="3">
        <v>45860</v>
      </c>
      <c r="CI2603">
        <v>1</v>
      </c>
      <c r="CJ2603">
        <v>1</v>
      </c>
      <c r="CK2603">
        <v>22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"080066658204"</f>
        <v>080066658204</v>
      </c>
      <c r="F2604" s="3">
        <v>45856</v>
      </c>
      <c r="G2604">
        <v>202604</v>
      </c>
      <c r="H2604" t="s">
        <v>75</v>
      </c>
      <c r="I2604" t="s">
        <v>76</v>
      </c>
      <c r="J2604" t="s">
        <v>77</v>
      </c>
      <c r="K2604" t="s">
        <v>78</v>
      </c>
      <c r="L2604" t="s">
        <v>168</v>
      </c>
      <c r="M2604" t="s">
        <v>169</v>
      </c>
      <c r="N2604" t="s">
        <v>2257</v>
      </c>
      <c r="O2604" t="s">
        <v>82</v>
      </c>
      <c r="P2604" t="str">
        <f>"4170049413                    "</f>
        <v xml:space="preserve">4170049413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22.6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0.3</v>
      </c>
      <c r="BK2604">
        <v>1</v>
      </c>
      <c r="BL2604">
        <v>71.2</v>
      </c>
      <c r="BM2604">
        <v>10.68</v>
      </c>
      <c r="BN2604">
        <v>81.88</v>
      </c>
      <c r="BO2604">
        <v>81.88</v>
      </c>
      <c r="BQ2604" t="s">
        <v>2258</v>
      </c>
      <c r="BR2604" t="s">
        <v>84</v>
      </c>
      <c r="BS2604" s="3">
        <v>45859</v>
      </c>
      <c r="BT2604" s="4">
        <v>0.40833333333333333</v>
      </c>
      <c r="BU2604" t="s">
        <v>2259</v>
      </c>
      <c r="BV2604" t="s">
        <v>98</v>
      </c>
      <c r="BY2604">
        <v>1350</v>
      </c>
      <c r="BZ2604" t="s">
        <v>89</v>
      </c>
      <c r="CA2604" t="s">
        <v>205</v>
      </c>
      <c r="CC2604" t="s">
        <v>169</v>
      </c>
      <c r="CD2604">
        <v>6000</v>
      </c>
      <c r="CE2604" t="s">
        <v>1868</v>
      </c>
      <c r="CF2604" s="3">
        <v>45859</v>
      </c>
      <c r="CI2604">
        <v>1</v>
      </c>
      <c r="CJ2604">
        <v>1</v>
      </c>
      <c r="CK2604">
        <v>21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"080066658211"</f>
        <v>080066658211</v>
      </c>
      <c r="F2605" s="3">
        <v>45856</v>
      </c>
      <c r="G2605">
        <v>202604</v>
      </c>
      <c r="H2605" t="s">
        <v>75</v>
      </c>
      <c r="I2605" t="s">
        <v>76</v>
      </c>
      <c r="J2605" t="s">
        <v>77</v>
      </c>
      <c r="K2605" t="s">
        <v>78</v>
      </c>
      <c r="L2605" t="s">
        <v>246</v>
      </c>
      <c r="M2605" t="s">
        <v>247</v>
      </c>
      <c r="N2605" t="s">
        <v>2920</v>
      </c>
      <c r="O2605" t="s">
        <v>82</v>
      </c>
      <c r="P2605" t="str">
        <f>"4170049489                    "</f>
        <v xml:space="preserve">4170049489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39.520000000000003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2.4</v>
      </c>
      <c r="BK2605">
        <v>2.5</v>
      </c>
      <c r="BL2605">
        <v>124.51</v>
      </c>
      <c r="BM2605">
        <v>18.68</v>
      </c>
      <c r="BN2605">
        <v>143.19</v>
      </c>
      <c r="BO2605">
        <v>143.19</v>
      </c>
      <c r="BQ2605" t="s">
        <v>2921</v>
      </c>
      <c r="BR2605" t="s">
        <v>84</v>
      </c>
      <c r="BS2605" s="3">
        <v>45859</v>
      </c>
      <c r="BT2605" s="4">
        <v>0.39444444444444443</v>
      </c>
      <c r="BU2605" t="s">
        <v>2922</v>
      </c>
      <c r="BV2605" t="s">
        <v>98</v>
      </c>
      <c r="BY2605">
        <v>11760</v>
      </c>
      <c r="BZ2605" t="s">
        <v>89</v>
      </c>
      <c r="CA2605" t="s">
        <v>251</v>
      </c>
      <c r="CC2605" t="s">
        <v>247</v>
      </c>
      <c r="CD2605">
        <v>1441</v>
      </c>
      <c r="CE2605" t="s">
        <v>91</v>
      </c>
      <c r="CF2605" s="3">
        <v>45860</v>
      </c>
      <c r="CI2605">
        <v>1</v>
      </c>
      <c r="CJ2605">
        <v>1</v>
      </c>
      <c r="CK2605">
        <v>24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"080066658228"</f>
        <v>080066658228</v>
      </c>
      <c r="F2606" s="3">
        <v>45856</v>
      </c>
      <c r="G2606">
        <v>202604</v>
      </c>
      <c r="H2606" t="s">
        <v>75</v>
      </c>
      <c r="I2606" t="s">
        <v>76</v>
      </c>
      <c r="J2606" t="s">
        <v>77</v>
      </c>
      <c r="K2606" t="s">
        <v>78</v>
      </c>
      <c r="L2606" t="s">
        <v>168</v>
      </c>
      <c r="M2606" t="s">
        <v>169</v>
      </c>
      <c r="N2606" t="s">
        <v>206</v>
      </c>
      <c r="O2606" t="s">
        <v>82</v>
      </c>
      <c r="P2606" t="str">
        <f>"4170049544                    "</f>
        <v xml:space="preserve">4170049544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0.3</v>
      </c>
      <c r="BK2606">
        <v>1</v>
      </c>
      <c r="BL2606">
        <v>71.2</v>
      </c>
      <c r="BM2606">
        <v>10.68</v>
      </c>
      <c r="BN2606">
        <v>81.88</v>
      </c>
      <c r="BO2606">
        <v>81.88</v>
      </c>
      <c r="BQ2606" t="s">
        <v>207</v>
      </c>
      <c r="BR2606" t="s">
        <v>84</v>
      </c>
      <c r="BS2606" s="3">
        <v>45859</v>
      </c>
      <c r="BT2606" s="4">
        <v>0.38541666666666669</v>
      </c>
      <c r="BU2606" t="s">
        <v>208</v>
      </c>
      <c r="BV2606" t="s">
        <v>98</v>
      </c>
      <c r="BY2606">
        <v>1350</v>
      </c>
      <c r="CA2606" t="s">
        <v>196</v>
      </c>
      <c r="CC2606" t="s">
        <v>169</v>
      </c>
      <c r="CD2606">
        <v>6001</v>
      </c>
      <c r="CE2606" t="s">
        <v>158</v>
      </c>
      <c r="CF2606" s="3">
        <v>45859</v>
      </c>
      <c r="CI2606">
        <v>1</v>
      </c>
      <c r="CJ2606">
        <v>1</v>
      </c>
      <c r="CK2606">
        <v>21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"080066658240"</f>
        <v>080066658240</v>
      </c>
      <c r="F2607" s="3">
        <v>45856</v>
      </c>
      <c r="G2607">
        <v>202604</v>
      </c>
      <c r="H2607" t="s">
        <v>75</v>
      </c>
      <c r="I2607" t="s">
        <v>76</v>
      </c>
      <c r="J2607" t="s">
        <v>77</v>
      </c>
      <c r="K2607" t="s">
        <v>78</v>
      </c>
      <c r="L2607" t="s">
        <v>168</v>
      </c>
      <c r="M2607" t="s">
        <v>169</v>
      </c>
      <c r="N2607" t="s">
        <v>773</v>
      </c>
      <c r="O2607" t="s">
        <v>82</v>
      </c>
      <c r="P2607" t="str">
        <f>"4170049403                    "</f>
        <v xml:space="preserve">4170049403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22.6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1.1000000000000001</v>
      </c>
      <c r="BK2607">
        <v>1.5</v>
      </c>
      <c r="BL2607">
        <v>71.2</v>
      </c>
      <c r="BM2607">
        <v>10.68</v>
      </c>
      <c r="BN2607">
        <v>81.88</v>
      </c>
      <c r="BO2607">
        <v>81.88</v>
      </c>
      <c r="BQ2607" t="s">
        <v>774</v>
      </c>
      <c r="BR2607" t="s">
        <v>84</v>
      </c>
      <c r="BS2607" s="3">
        <v>45859</v>
      </c>
      <c r="BT2607" s="4">
        <v>0.4</v>
      </c>
      <c r="BU2607" t="s">
        <v>2305</v>
      </c>
      <c r="BV2607" t="s">
        <v>98</v>
      </c>
      <c r="BY2607">
        <v>5320</v>
      </c>
      <c r="CA2607" t="s">
        <v>345</v>
      </c>
      <c r="CC2607" t="s">
        <v>169</v>
      </c>
      <c r="CD2607">
        <v>6020</v>
      </c>
      <c r="CE2607" t="s">
        <v>145</v>
      </c>
      <c r="CF2607" s="3">
        <v>45859</v>
      </c>
      <c r="CI2607">
        <v>1</v>
      </c>
      <c r="CJ2607">
        <v>1</v>
      </c>
      <c r="CK2607">
        <v>21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"080066658251"</f>
        <v>080066658251</v>
      </c>
      <c r="F2608" s="3">
        <v>45856</v>
      </c>
      <c r="G2608">
        <v>202604</v>
      </c>
      <c r="H2608" t="s">
        <v>75</v>
      </c>
      <c r="I2608" t="s">
        <v>76</v>
      </c>
      <c r="J2608" t="s">
        <v>77</v>
      </c>
      <c r="K2608" t="s">
        <v>78</v>
      </c>
      <c r="L2608" t="s">
        <v>79</v>
      </c>
      <c r="M2608" t="s">
        <v>80</v>
      </c>
      <c r="N2608" t="s">
        <v>286</v>
      </c>
      <c r="O2608" t="s">
        <v>82</v>
      </c>
      <c r="P2608" t="str">
        <f>"4170049408                    "</f>
        <v xml:space="preserve">4170049408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22.6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0.3</v>
      </c>
      <c r="BK2608">
        <v>1</v>
      </c>
      <c r="BL2608">
        <v>71.2</v>
      </c>
      <c r="BM2608">
        <v>10.68</v>
      </c>
      <c r="BN2608">
        <v>81.88</v>
      </c>
      <c r="BO2608">
        <v>81.88</v>
      </c>
      <c r="BQ2608" t="s">
        <v>287</v>
      </c>
      <c r="BR2608" t="s">
        <v>84</v>
      </c>
      <c r="BS2608" s="3">
        <v>45859</v>
      </c>
      <c r="BT2608" s="4">
        <v>0.32291666666666669</v>
      </c>
      <c r="BU2608" t="s">
        <v>288</v>
      </c>
      <c r="BV2608" t="s">
        <v>98</v>
      </c>
      <c r="BY2608">
        <v>1350</v>
      </c>
      <c r="CA2608" t="s">
        <v>289</v>
      </c>
      <c r="CC2608" t="s">
        <v>80</v>
      </c>
      <c r="CD2608">
        <v>7530</v>
      </c>
      <c r="CE2608" t="s">
        <v>158</v>
      </c>
      <c r="CF2608" s="3">
        <v>45860</v>
      </c>
      <c r="CI2608">
        <v>1</v>
      </c>
      <c r="CJ2608">
        <v>1</v>
      </c>
      <c r="CK2608">
        <v>21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"080066658272"</f>
        <v>080066658272</v>
      </c>
      <c r="F2609" s="3">
        <v>45856</v>
      </c>
      <c r="G2609">
        <v>202604</v>
      </c>
      <c r="H2609" t="s">
        <v>75</v>
      </c>
      <c r="I2609" t="s">
        <v>76</v>
      </c>
      <c r="J2609" t="s">
        <v>77</v>
      </c>
      <c r="K2609" t="s">
        <v>78</v>
      </c>
      <c r="L2609" t="s">
        <v>135</v>
      </c>
      <c r="M2609" t="s">
        <v>136</v>
      </c>
      <c r="N2609" t="s">
        <v>2769</v>
      </c>
      <c r="O2609" t="s">
        <v>82</v>
      </c>
      <c r="P2609" t="str">
        <f>"4170049400                    "</f>
        <v xml:space="preserve">4170049400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22.6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16.739999999999998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0.3</v>
      </c>
      <c r="BK2609">
        <v>1</v>
      </c>
      <c r="BL2609">
        <v>87.94</v>
      </c>
      <c r="BM2609">
        <v>13.19</v>
      </c>
      <c r="BN2609">
        <v>101.13</v>
      </c>
      <c r="BO2609">
        <v>101.13</v>
      </c>
      <c r="BQ2609" t="s">
        <v>2770</v>
      </c>
      <c r="BR2609" t="s">
        <v>84</v>
      </c>
      <c r="BS2609" s="3">
        <v>45859</v>
      </c>
      <c r="BT2609" s="4">
        <v>0.52083333333333337</v>
      </c>
      <c r="BU2609" t="s">
        <v>2923</v>
      </c>
      <c r="BV2609" t="s">
        <v>98</v>
      </c>
      <c r="BY2609">
        <v>1350</v>
      </c>
      <c r="BZ2609" t="s">
        <v>30</v>
      </c>
      <c r="CC2609" t="s">
        <v>136</v>
      </c>
      <c r="CD2609">
        <v>3699</v>
      </c>
      <c r="CE2609" t="s">
        <v>158</v>
      </c>
      <c r="CF2609" s="3">
        <v>45860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"080066658426"</f>
        <v>080066658426</v>
      </c>
      <c r="F2610" s="3">
        <v>45856</v>
      </c>
      <c r="G2610">
        <v>202604</v>
      </c>
      <c r="H2610" t="s">
        <v>75</v>
      </c>
      <c r="I2610" t="s">
        <v>76</v>
      </c>
      <c r="J2610" t="s">
        <v>77</v>
      </c>
      <c r="K2610" t="s">
        <v>78</v>
      </c>
      <c r="L2610" t="s">
        <v>1291</v>
      </c>
      <c r="M2610" t="s">
        <v>1292</v>
      </c>
      <c r="N2610" t="s">
        <v>2924</v>
      </c>
      <c r="O2610" t="s">
        <v>82</v>
      </c>
      <c r="P2610" t="str">
        <f>"4170049580                    "</f>
        <v xml:space="preserve">4170049580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43.78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0.3</v>
      </c>
      <c r="BK2610">
        <v>1</v>
      </c>
      <c r="BL2610">
        <v>137.94</v>
      </c>
      <c r="BM2610">
        <v>20.69</v>
      </c>
      <c r="BN2610">
        <v>158.63</v>
      </c>
      <c r="BO2610">
        <v>158.63</v>
      </c>
      <c r="BQ2610" t="s">
        <v>2925</v>
      </c>
      <c r="BR2610" t="s">
        <v>84</v>
      </c>
      <c r="BS2610" s="3">
        <v>45859</v>
      </c>
      <c r="BT2610" s="4">
        <v>0.66666666666666663</v>
      </c>
      <c r="BU2610" t="s">
        <v>2926</v>
      </c>
      <c r="BV2610" t="s">
        <v>98</v>
      </c>
      <c r="BY2610">
        <v>1350</v>
      </c>
      <c r="CA2610" t="s">
        <v>1296</v>
      </c>
      <c r="CC2610" t="s">
        <v>1292</v>
      </c>
      <c r="CD2610">
        <v>3370</v>
      </c>
      <c r="CE2610" t="s">
        <v>158</v>
      </c>
      <c r="CF2610" s="3">
        <v>45860</v>
      </c>
      <c r="CI2610">
        <v>2</v>
      </c>
      <c r="CJ2610">
        <v>1</v>
      </c>
      <c r="CK2610">
        <v>23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"080066658441"</f>
        <v>080066658441</v>
      </c>
      <c r="F2611" s="3">
        <v>45856</v>
      </c>
      <c r="G2611">
        <v>202604</v>
      </c>
      <c r="H2611" t="s">
        <v>75</v>
      </c>
      <c r="I2611" t="s">
        <v>76</v>
      </c>
      <c r="J2611" t="s">
        <v>77</v>
      </c>
      <c r="K2611" t="s">
        <v>78</v>
      </c>
      <c r="L2611" t="s">
        <v>79</v>
      </c>
      <c r="M2611" t="s">
        <v>80</v>
      </c>
      <c r="N2611" t="s">
        <v>1561</v>
      </c>
      <c r="O2611" t="s">
        <v>82</v>
      </c>
      <c r="P2611" t="str">
        <f>"4170049581                    "</f>
        <v xml:space="preserve">4170049581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22.6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0.3</v>
      </c>
      <c r="BK2611">
        <v>1</v>
      </c>
      <c r="BL2611">
        <v>71.2</v>
      </c>
      <c r="BM2611">
        <v>10.68</v>
      </c>
      <c r="BN2611">
        <v>81.88</v>
      </c>
      <c r="BO2611">
        <v>81.88</v>
      </c>
      <c r="BQ2611" t="s">
        <v>1562</v>
      </c>
      <c r="BR2611" t="s">
        <v>84</v>
      </c>
      <c r="BS2611" s="3">
        <v>45859</v>
      </c>
      <c r="BT2611" s="4">
        <v>0.5180555555555556</v>
      </c>
      <c r="BU2611" t="s">
        <v>2554</v>
      </c>
      <c r="BV2611" t="s">
        <v>98</v>
      </c>
      <c r="BY2611">
        <v>1350</v>
      </c>
      <c r="CA2611" t="s">
        <v>2289</v>
      </c>
      <c r="CC2611" t="s">
        <v>80</v>
      </c>
      <c r="CD2611">
        <v>7975</v>
      </c>
      <c r="CE2611" t="s">
        <v>158</v>
      </c>
      <c r="CF2611" s="3">
        <v>45860</v>
      </c>
      <c r="CI2611">
        <v>1</v>
      </c>
      <c r="CJ2611">
        <v>1</v>
      </c>
      <c r="CK2611">
        <v>21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"080066658461"</f>
        <v>080066658461</v>
      </c>
      <c r="F2612" s="3">
        <v>45856</v>
      </c>
      <c r="G2612">
        <v>202604</v>
      </c>
      <c r="H2612" t="s">
        <v>75</v>
      </c>
      <c r="I2612" t="s">
        <v>76</v>
      </c>
      <c r="J2612" t="s">
        <v>77</v>
      </c>
      <c r="K2612" t="s">
        <v>78</v>
      </c>
      <c r="L2612" t="s">
        <v>168</v>
      </c>
      <c r="M2612" t="s">
        <v>169</v>
      </c>
      <c r="N2612" t="s">
        <v>202</v>
      </c>
      <c r="O2612" t="s">
        <v>82</v>
      </c>
      <c r="P2612" t="str">
        <f>"4170049548                    "</f>
        <v xml:space="preserve">4170049548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22.6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0.3</v>
      </c>
      <c r="BK2612">
        <v>1</v>
      </c>
      <c r="BL2612">
        <v>71.2</v>
      </c>
      <c r="BM2612">
        <v>10.68</v>
      </c>
      <c r="BN2612">
        <v>81.88</v>
      </c>
      <c r="BO2612">
        <v>81.88</v>
      </c>
      <c r="BQ2612" t="s">
        <v>203</v>
      </c>
      <c r="BR2612" t="s">
        <v>84</v>
      </c>
      <c r="BS2612" s="3">
        <v>45859</v>
      </c>
      <c r="BT2612" s="4">
        <v>0.38194444444444442</v>
      </c>
      <c r="BU2612" t="s">
        <v>204</v>
      </c>
      <c r="BV2612" t="s">
        <v>98</v>
      </c>
      <c r="BY2612">
        <v>1350</v>
      </c>
      <c r="CA2612" t="s">
        <v>205</v>
      </c>
      <c r="CC2612" t="s">
        <v>169</v>
      </c>
      <c r="CD2612">
        <v>6001</v>
      </c>
      <c r="CE2612" t="s">
        <v>158</v>
      </c>
      <c r="CF2612" s="3">
        <v>45859</v>
      </c>
      <c r="CI2612">
        <v>1</v>
      </c>
      <c r="CJ2612">
        <v>1</v>
      </c>
      <c r="CK2612">
        <v>21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"080066658481"</f>
        <v>080066658481</v>
      </c>
      <c r="F2613" s="3">
        <v>45856</v>
      </c>
      <c r="G2613">
        <v>202604</v>
      </c>
      <c r="H2613" t="s">
        <v>75</v>
      </c>
      <c r="I2613" t="s">
        <v>76</v>
      </c>
      <c r="J2613" t="s">
        <v>77</v>
      </c>
      <c r="K2613" t="s">
        <v>78</v>
      </c>
      <c r="L2613" t="s">
        <v>168</v>
      </c>
      <c r="M2613" t="s">
        <v>169</v>
      </c>
      <c r="N2613" t="s">
        <v>191</v>
      </c>
      <c r="O2613" t="s">
        <v>82</v>
      </c>
      <c r="P2613" t="str">
        <f>"4170049542                    "</f>
        <v xml:space="preserve">4170049542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22.6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0.3</v>
      </c>
      <c r="BK2613">
        <v>1</v>
      </c>
      <c r="BL2613">
        <v>71.2</v>
      </c>
      <c r="BM2613">
        <v>10.68</v>
      </c>
      <c r="BN2613">
        <v>81.88</v>
      </c>
      <c r="BO2613">
        <v>81.88</v>
      </c>
      <c r="BQ2613" t="s">
        <v>192</v>
      </c>
      <c r="BR2613" t="s">
        <v>84</v>
      </c>
      <c r="BS2613" s="3">
        <v>45859</v>
      </c>
      <c r="BT2613" s="4">
        <v>0.40902777777777777</v>
      </c>
      <c r="BU2613" t="s">
        <v>193</v>
      </c>
      <c r="BV2613" t="s">
        <v>98</v>
      </c>
      <c r="BY2613">
        <v>1350</v>
      </c>
      <c r="CA2613" t="s">
        <v>196</v>
      </c>
      <c r="CC2613" t="s">
        <v>169</v>
      </c>
      <c r="CD2613">
        <v>6056</v>
      </c>
      <c r="CE2613" t="s">
        <v>158</v>
      </c>
      <c r="CF2613" s="3">
        <v>45859</v>
      </c>
      <c r="CI2613">
        <v>1</v>
      </c>
      <c r="CJ2613">
        <v>1</v>
      </c>
      <c r="CK2613">
        <v>21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"080066658543"</f>
        <v>080066658543</v>
      </c>
      <c r="F2614" s="3">
        <v>45856</v>
      </c>
      <c r="G2614">
        <v>202604</v>
      </c>
      <c r="H2614" t="s">
        <v>75</v>
      </c>
      <c r="I2614" t="s">
        <v>76</v>
      </c>
      <c r="J2614" t="s">
        <v>77</v>
      </c>
      <c r="K2614" t="s">
        <v>78</v>
      </c>
      <c r="L2614" t="s">
        <v>1370</v>
      </c>
      <c r="M2614" t="s">
        <v>1371</v>
      </c>
      <c r="N2614" t="s">
        <v>1346</v>
      </c>
      <c r="O2614" t="s">
        <v>82</v>
      </c>
      <c r="P2614" t="str">
        <f>"4170049561                    "</f>
        <v xml:space="preserve">4170049561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43.78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0.3</v>
      </c>
      <c r="BK2614">
        <v>1</v>
      </c>
      <c r="BL2614">
        <v>137.94</v>
      </c>
      <c r="BM2614">
        <v>20.69</v>
      </c>
      <c r="BN2614">
        <v>158.63</v>
      </c>
      <c r="BO2614">
        <v>158.63</v>
      </c>
      <c r="BQ2614" t="s">
        <v>1347</v>
      </c>
      <c r="BR2614" t="s">
        <v>84</v>
      </c>
      <c r="BS2614" s="3">
        <v>45859</v>
      </c>
      <c r="BT2614" s="4">
        <v>0.52152777777777781</v>
      </c>
      <c r="BU2614" t="s">
        <v>2112</v>
      </c>
      <c r="BV2614" t="s">
        <v>98</v>
      </c>
      <c r="BY2614">
        <v>1350</v>
      </c>
      <c r="CA2614" t="s">
        <v>1375</v>
      </c>
      <c r="CC2614" t="s">
        <v>1371</v>
      </c>
      <c r="CD2614" s="5" t="s">
        <v>1376</v>
      </c>
      <c r="CE2614" t="s">
        <v>158</v>
      </c>
      <c r="CF2614" s="3">
        <v>45860</v>
      </c>
      <c r="CI2614">
        <v>1</v>
      </c>
      <c r="CJ2614">
        <v>1</v>
      </c>
      <c r="CK2614">
        <v>23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"080066658578"</f>
        <v>080066658578</v>
      </c>
      <c r="F2615" s="3">
        <v>45856</v>
      </c>
      <c r="G2615">
        <v>202604</v>
      </c>
      <c r="H2615" t="s">
        <v>75</v>
      </c>
      <c r="I2615" t="s">
        <v>76</v>
      </c>
      <c r="J2615" t="s">
        <v>77</v>
      </c>
      <c r="K2615" t="s">
        <v>78</v>
      </c>
      <c r="L2615" t="s">
        <v>168</v>
      </c>
      <c r="M2615" t="s">
        <v>169</v>
      </c>
      <c r="N2615" t="s">
        <v>202</v>
      </c>
      <c r="O2615" t="s">
        <v>82</v>
      </c>
      <c r="P2615" t="str">
        <f>"4170049514                    "</f>
        <v xml:space="preserve">4170049514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22.6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0.3</v>
      </c>
      <c r="BK2615">
        <v>1</v>
      </c>
      <c r="BL2615">
        <v>71.2</v>
      </c>
      <c r="BM2615">
        <v>10.68</v>
      </c>
      <c r="BN2615">
        <v>81.88</v>
      </c>
      <c r="BO2615">
        <v>81.88</v>
      </c>
      <c r="BQ2615" t="s">
        <v>203</v>
      </c>
      <c r="BR2615" t="s">
        <v>84</v>
      </c>
      <c r="BS2615" s="3">
        <v>45859</v>
      </c>
      <c r="BT2615" s="4">
        <v>0.38333333333333336</v>
      </c>
      <c r="BU2615" t="s">
        <v>204</v>
      </c>
      <c r="BV2615" t="s">
        <v>98</v>
      </c>
      <c r="BY2615">
        <v>1350</v>
      </c>
      <c r="CA2615" t="s">
        <v>205</v>
      </c>
      <c r="CC2615" t="s">
        <v>169</v>
      </c>
      <c r="CD2615">
        <v>6001</v>
      </c>
      <c r="CE2615" t="s">
        <v>158</v>
      </c>
      <c r="CF2615" s="3">
        <v>45859</v>
      </c>
      <c r="CI2615">
        <v>1</v>
      </c>
      <c r="CJ2615">
        <v>1</v>
      </c>
      <c r="CK2615">
        <v>21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"080066658645"</f>
        <v>080066658645</v>
      </c>
      <c r="F2616" s="3">
        <v>45856</v>
      </c>
      <c r="G2616">
        <v>202604</v>
      </c>
      <c r="H2616" t="s">
        <v>75</v>
      </c>
      <c r="I2616" t="s">
        <v>76</v>
      </c>
      <c r="J2616" t="s">
        <v>77</v>
      </c>
      <c r="K2616" t="s">
        <v>78</v>
      </c>
      <c r="L2616" t="s">
        <v>277</v>
      </c>
      <c r="M2616" t="s">
        <v>278</v>
      </c>
      <c r="N2616" t="s">
        <v>2927</v>
      </c>
      <c r="O2616" t="s">
        <v>82</v>
      </c>
      <c r="P2616" t="str">
        <f>"4170049482                    "</f>
        <v xml:space="preserve">4170049482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22.6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0.3</v>
      </c>
      <c r="BK2616">
        <v>1</v>
      </c>
      <c r="BL2616">
        <v>71.2</v>
      </c>
      <c r="BM2616">
        <v>10.68</v>
      </c>
      <c r="BN2616">
        <v>81.88</v>
      </c>
      <c r="BO2616">
        <v>81.88</v>
      </c>
      <c r="BQ2616" t="s">
        <v>2928</v>
      </c>
      <c r="BR2616" t="s">
        <v>84</v>
      </c>
      <c r="BS2616" s="3">
        <v>45859</v>
      </c>
      <c r="BT2616" s="4">
        <v>0.33819444444444446</v>
      </c>
      <c r="BU2616" t="s">
        <v>2929</v>
      </c>
      <c r="BV2616" t="s">
        <v>98</v>
      </c>
      <c r="BY2616">
        <v>1350</v>
      </c>
      <c r="CA2616" t="s">
        <v>282</v>
      </c>
      <c r="CC2616" t="s">
        <v>278</v>
      </c>
      <c r="CD2616">
        <v>6230</v>
      </c>
      <c r="CE2616" t="s">
        <v>158</v>
      </c>
      <c r="CF2616" s="3">
        <v>45859</v>
      </c>
      <c r="CI2616">
        <v>1</v>
      </c>
      <c r="CJ2616">
        <v>1</v>
      </c>
      <c r="CK2616">
        <v>21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"080066658661"</f>
        <v>080066658661</v>
      </c>
      <c r="F2617" s="3">
        <v>45856</v>
      </c>
      <c r="G2617">
        <v>202604</v>
      </c>
      <c r="H2617" t="s">
        <v>75</v>
      </c>
      <c r="I2617" t="s">
        <v>76</v>
      </c>
      <c r="J2617" t="s">
        <v>77</v>
      </c>
      <c r="K2617" t="s">
        <v>78</v>
      </c>
      <c r="L2617" t="s">
        <v>406</v>
      </c>
      <c r="M2617" t="s">
        <v>407</v>
      </c>
      <c r="N2617" t="s">
        <v>408</v>
      </c>
      <c r="O2617" t="s">
        <v>82</v>
      </c>
      <c r="P2617" t="str">
        <f>"4170049535                    "</f>
        <v xml:space="preserve">4170049535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43.78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0.3</v>
      </c>
      <c r="BK2617">
        <v>1</v>
      </c>
      <c r="BL2617">
        <v>137.94</v>
      </c>
      <c r="BM2617">
        <v>20.69</v>
      </c>
      <c r="BN2617">
        <v>158.63</v>
      </c>
      <c r="BO2617">
        <v>158.63</v>
      </c>
      <c r="BQ2617" t="s">
        <v>409</v>
      </c>
      <c r="BR2617" t="s">
        <v>84</v>
      </c>
      <c r="BS2617" s="3">
        <v>45861</v>
      </c>
      <c r="BT2617" s="4">
        <v>0.5625</v>
      </c>
      <c r="BU2617" t="s">
        <v>2930</v>
      </c>
      <c r="BV2617" t="s">
        <v>86</v>
      </c>
      <c r="BW2617" t="s">
        <v>1395</v>
      </c>
      <c r="BX2617" t="s">
        <v>220</v>
      </c>
      <c r="BY2617">
        <v>1350</v>
      </c>
      <c r="CA2617" t="s">
        <v>411</v>
      </c>
      <c r="CC2617" t="s">
        <v>407</v>
      </c>
      <c r="CD2617">
        <v>4420</v>
      </c>
      <c r="CE2617" t="s">
        <v>158</v>
      </c>
      <c r="CF2617" s="3">
        <v>45862</v>
      </c>
      <c r="CI2617">
        <v>1</v>
      </c>
      <c r="CJ2617">
        <v>3</v>
      </c>
      <c r="CK2617">
        <v>23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"080066658692"</f>
        <v>080066658692</v>
      </c>
      <c r="F2618" s="3">
        <v>45856</v>
      </c>
      <c r="G2618">
        <v>202604</v>
      </c>
      <c r="H2618" t="s">
        <v>75</v>
      </c>
      <c r="I2618" t="s">
        <v>76</v>
      </c>
      <c r="J2618" t="s">
        <v>77</v>
      </c>
      <c r="K2618" t="s">
        <v>78</v>
      </c>
      <c r="L2618" t="s">
        <v>122</v>
      </c>
      <c r="M2618" t="s">
        <v>123</v>
      </c>
      <c r="N2618" t="s">
        <v>2931</v>
      </c>
      <c r="O2618" t="s">
        <v>82</v>
      </c>
      <c r="P2618" t="str">
        <f>"4170049498                    "</f>
        <v xml:space="preserve">4170049498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22.6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0.3</v>
      </c>
      <c r="BK2618">
        <v>1</v>
      </c>
      <c r="BL2618">
        <v>71.2</v>
      </c>
      <c r="BM2618">
        <v>10.68</v>
      </c>
      <c r="BN2618">
        <v>81.88</v>
      </c>
      <c r="BO2618">
        <v>81.88</v>
      </c>
      <c r="BQ2618" t="s">
        <v>2932</v>
      </c>
      <c r="BR2618" t="s">
        <v>84</v>
      </c>
      <c r="BS2618" s="3">
        <v>45859</v>
      </c>
      <c r="BT2618" s="4">
        <v>0.66666666666666663</v>
      </c>
      <c r="BU2618" t="s">
        <v>2933</v>
      </c>
      <c r="BV2618" t="s">
        <v>86</v>
      </c>
      <c r="BW2618" t="s">
        <v>194</v>
      </c>
      <c r="BX2618" t="s">
        <v>1174</v>
      </c>
      <c r="BY2618">
        <v>1350</v>
      </c>
      <c r="CA2618" t="s">
        <v>2934</v>
      </c>
      <c r="CC2618" t="s">
        <v>123</v>
      </c>
      <c r="CD2618">
        <v>3610</v>
      </c>
      <c r="CE2618" t="s">
        <v>158</v>
      </c>
      <c r="CF2618" s="3">
        <v>45860</v>
      </c>
      <c r="CI2618">
        <v>1</v>
      </c>
      <c r="CJ2618">
        <v>1</v>
      </c>
      <c r="CK2618">
        <v>21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"080066658721"</f>
        <v>080066658721</v>
      </c>
      <c r="F2619" s="3">
        <v>45856</v>
      </c>
      <c r="G2619">
        <v>202604</v>
      </c>
      <c r="H2619" t="s">
        <v>75</v>
      </c>
      <c r="I2619" t="s">
        <v>76</v>
      </c>
      <c r="J2619" t="s">
        <v>77</v>
      </c>
      <c r="K2619" t="s">
        <v>78</v>
      </c>
      <c r="L2619" t="s">
        <v>168</v>
      </c>
      <c r="M2619" t="s">
        <v>169</v>
      </c>
      <c r="N2619" t="s">
        <v>206</v>
      </c>
      <c r="O2619" t="s">
        <v>82</v>
      </c>
      <c r="P2619" t="str">
        <f>"4170049551                    "</f>
        <v xml:space="preserve">4170049551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0.3</v>
      </c>
      <c r="BK2619">
        <v>1</v>
      </c>
      <c r="BL2619">
        <v>71.2</v>
      </c>
      <c r="BM2619">
        <v>10.68</v>
      </c>
      <c r="BN2619">
        <v>81.88</v>
      </c>
      <c r="BO2619">
        <v>81.88</v>
      </c>
      <c r="BQ2619" t="s">
        <v>207</v>
      </c>
      <c r="BR2619" t="s">
        <v>84</v>
      </c>
      <c r="BS2619" s="3">
        <v>45859</v>
      </c>
      <c r="BT2619" s="4">
        <v>0.87222222222222223</v>
      </c>
      <c r="BU2619" t="s">
        <v>208</v>
      </c>
      <c r="BV2619" t="s">
        <v>86</v>
      </c>
      <c r="BY2619">
        <v>1350</v>
      </c>
      <c r="CA2619" t="s">
        <v>2935</v>
      </c>
      <c r="CC2619" t="s">
        <v>169</v>
      </c>
      <c r="CD2619">
        <v>6001</v>
      </c>
      <c r="CE2619" t="s">
        <v>158</v>
      </c>
      <c r="CF2619" s="3">
        <v>45860</v>
      </c>
      <c r="CI2619">
        <v>1</v>
      </c>
      <c r="CJ2619">
        <v>1</v>
      </c>
      <c r="CK2619">
        <v>21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"080066658746"</f>
        <v>080066658746</v>
      </c>
      <c r="F2620" s="3">
        <v>45856</v>
      </c>
      <c r="G2620">
        <v>202604</v>
      </c>
      <c r="H2620" t="s">
        <v>75</v>
      </c>
      <c r="I2620" t="s">
        <v>76</v>
      </c>
      <c r="J2620" t="s">
        <v>77</v>
      </c>
      <c r="K2620" t="s">
        <v>78</v>
      </c>
      <c r="L2620" t="s">
        <v>151</v>
      </c>
      <c r="M2620" t="s">
        <v>152</v>
      </c>
      <c r="N2620" t="s">
        <v>801</v>
      </c>
      <c r="O2620" t="s">
        <v>82</v>
      </c>
      <c r="P2620" t="str">
        <f>"4170049476                    "</f>
        <v xml:space="preserve">4170049476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22.6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0.3</v>
      </c>
      <c r="BK2620">
        <v>1</v>
      </c>
      <c r="BL2620">
        <v>71.2</v>
      </c>
      <c r="BM2620">
        <v>10.68</v>
      </c>
      <c r="BN2620">
        <v>81.88</v>
      </c>
      <c r="BO2620">
        <v>81.88</v>
      </c>
      <c r="BQ2620" t="s">
        <v>802</v>
      </c>
      <c r="BR2620" t="s">
        <v>84</v>
      </c>
      <c r="BS2620" s="3">
        <v>45859</v>
      </c>
      <c r="BT2620" s="4">
        <v>0.36736111111111114</v>
      </c>
      <c r="BU2620" t="s">
        <v>2936</v>
      </c>
      <c r="BV2620" t="s">
        <v>98</v>
      </c>
      <c r="BY2620">
        <v>1350</v>
      </c>
      <c r="CA2620" t="s">
        <v>716</v>
      </c>
      <c r="CC2620" t="s">
        <v>152</v>
      </c>
      <c r="CD2620" s="5" t="s">
        <v>717</v>
      </c>
      <c r="CE2620" t="s">
        <v>158</v>
      </c>
      <c r="CF2620" s="3">
        <v>45859</v>
      </c>
      <c r="CI2620">
        <v>1</v>
      </c>
      <c r="CJ2620">
        <v>1</v>
      </c>
      <c r="CK2620">
        <v>21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"080066658814"</f>
        <v>080066658814</v>
      </c>
      <c r="F2621" s="3">
        <v>45856</v>
      </c>
      <c r="G2621">
        <v>202604</v>
      </c>
      <c r="H2621" t="s">
        <v>75</v>
      </c>
      <c r="I2621" t="s">
        <v>76</v>
      </c>
      <c r="J2621" t="s">
        <v>77</v>
      </c>
      <c r="K2621" t="s">
        <v>78</v>
      </c>
      <c r="L2621" t="s">
        <v>79</v>
      </c>
      <c r="M2621" t="s">
        <v>80</v>
      </c>
      <c r="N2621" t="s">
        <v>159</v>
      </c>
      <c r="O2621" t="s">
        <v>82</v>
      </c>
      <c r="P2621" t="str">
        <f>"4170049459                    "</f>
        <v xml:space="preserve">4170049459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22.6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0.3</v>
      </c>
      <c r="BK2621">
        <v>1</v>
      </c>
      <c r="BL2621">
        <v>71.2</v>
      </c>
      <c r="BM2621">
        <v>10.68</v>
      </c>
      <c r="BN2621">
        <v>81.88</v>
      </c>
      <c r="BO2621">
        <v>81.88</v>
      </c>
      <c r="BQ2621" t="s">
        <v>160</v>
      </c>
      <c r="BR2621" t="s">
        <v>84</v>
      </c>
      <c r="BS2621" s="3">
        <v>45859</v>
      </c>
      <c r="BT2621" s="4">
        <v>0.41111111111111109</v>
      </c>
      <c r="BU2621" t="s">
        <v>161</v>
      </c>
      <c r="BV2621" t="s">
        <v>98</v>
      </c>
      <c r="BY2621">
        <v>1350</v>
      </c>
      <c r="CA2621" t="s">
        <v>162</v>
      </c>
      <c r="CC2621" t="s">
        <v>80</v>
      </c>
      <c r="CD2621">
        <v>7441</v>
      </c>
      <c r="CE2621" t="s">
        <v>158</v>
      </c>
      <c r="CF2621" s="3">
        <v>45860</v>
      </c>
      <c r="CI2621">
        <v>1</v>
      </c>
      <c r="CJ2621">
        <v>1</v>
      </c>
      <c r="CK2621">
        <v>21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"080066658842"</f>
        <v>080066658842</v>
      </c>
      <c r="F2622" s="3">
        <v>45856</v>
      </c>
      <c r="G2622">
        <v>202604</v>
      </c>
      <c r="H2622" t="s">
        <v>75</v>
      </c>
      <c r="I2622" t="s">
        <v>76</v>
      </c>
      <c r="J2622" t="s">
        <v>77</v>
      </c>
      <c r="K2622" t="s">
        <v>78</v>
      </c>
      <c r="L2622" t="s">
        <v>92</v>
      </c>
      <c r="M2622" t="s">
        <v>93</v>
      </c>
      <c r="N2622" t="s">
        <v>737</v>
      </c>
      <c r="O2622" t="s">
        <v>82</v>
      </c>
      <c r="P2622" t="str">
        <f>"4170049627                    "</f>
        <v xml:space="preserve">4170049627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22.6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0.3</v>
      </c>
      <c r="BK2622">
        <v>1</v>
      </c>
      <c r="BL2622">
        <v>71.2</v>
      </c>
      <c r="BM2622">
        <v>10.68</v>
      </c>
      <c r="BN2622">
        <v>81.88</v>
      </c>
      <c r="BO2622">
        <v>81.88</v>
      </c>
      <c r="BQ2622" t="s">
        <v>738</v>
      </c>
      <c r="BR2622" t="s">
        <v>84</v>
      </c>
      <c r="BS2622" s="3">
        <v>45859</v>
      </c>
      <c r="BT2622" s="4">
        <v>0.86458333333333337</v>
      </c>
      <c r="BU2622" t="s">
        <v>2937</v>
      </c>
      <c r="BV2622" t="s">
        <v>86</v>
      </c>
      <c r="BW2622" t="s">
        <v>194</v>
      </c>
      <c r="BX2622" t="s">
        <v>1174</v>
      </c>
      <c r="BY2622">
        <v>1350</v>
      </c>
      <c r="CA2622" t="s">
        <v>2934</v>
      </c>
      <c r="CC2622" t="s">
        <v>93</v>
      </c>
      <c r="CD2622">
        <v>4001</v>
      </c>
      <c r="CE2622" t="s">
        <v>158</v>
      </c>
      <c r="CF2622" s="3">
        <v>45860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"080066658847"</f>
        <v>080066658847</v>
      </c>
      <c r="F2623" s="3">
        <v>45856</v>
      </c>
      <c r="G2623">
        <v>202604</v>
      </c>
      <c r="H2623" t="s">
        <v>75</v>
      </c>
      <c r="I2623" t="s">
        <v>76</v>
      </c>
      <c r="J2623" t="s">
        <v>77</v>
      </c>
      <c r="K2623" t="s">
        <v>78</v>
      </c>
      <c r="L2623" t="s">
        <v>151</v>
      </c>
      <c r="M2623" t="s">
        <v>152</v>
      </c>
      <c r="N2623" t="s">
        <v>153</v>
      </c>
      <c r="O2623" t="s">
        <v>82</v>
      </c>
      <c r="P2623" t="str">
        <f>"4170049414                    "</f>
        <v xml:space="preserve">4170049414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22.6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1.7</v>
      </c>
      <c r="BK2623">
        <v>2</v>
      </c>
      <c r="BL2623">
        <v>71.2</v>
      </c>
      <c r="BM2623">
        <v>10.68</v>
      </c>
      <c r="BN2623">
        <v>81.88</v>
      </c>
      <c r="BO2623">
        <v>81.88</v>
      </c>
      <c r="BQ2623" t="s">
        <v>154</v>
      </c>
      <c r="BR2623" t="s">
        <v>84</v>
      </c>
      <c r="BS2623" s="3">
        <v>45859</v>
      </c>
      <c r="BT2623" s="4">
        <v>0.3298611111111111</v>
      </c>
      <c r="BU2623" t="s">
        <v>155</v>
      </c>
      <c r="BV2623" t="s">
        <v>98</v>
      </c>
      <c r="BY2623">
        <v>8512</v>
      </c>
      <c r="CA2623" t="s">
        <v>156</v>
      </c>
      <c r="CC2623" t="s">
        <v>152</v>
      </c>
      <c r="CD2623" s="5" t="s">
        <v>157</v>
      </c>
      <c r="CE2623" t="s">
        <v>145</v>
      </c>
      <c r="CF2623" s="3">
        <v>45859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"080066658868"</f>
        <v>080066658868</v>
      </c>
      <c r="F2624" s="3">
        <v>45856</v>
      </c>
      <c r="G2624">
        <v>202604</v>
      </c>
      <c r="H2624" t="s">
        <v>75</v>
      </c>
      <c r="I2624" t="s">
        <v>76</v>
      </c>
      <c r="J2624" t="s">
        <v>77</v>
      </c>
      <c r="K2624" t="s">
        <v>78</v>
      </c>
      <c r="L2624" t="s">
        <v>554</v>
      </c>
      <c r="M2624" t="s">
        <v>555</v>
      </c>
      <c r="N2624" t="s">
        <v>1255</v>
      </c>
      <c r="O2624" t="s">
        <v>82</v>
      </c>
      <c r="P2624" t="str">
        <f>"4170049423                    "</f>
        <v xml:space="preserve">4170049423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22.6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0.3</v>
      </c>
      <c r="BK2624">
        <v>1</v>
      </c>
      <c r="BL2624">
        <v>71.2</v>
      </c>
      <c r="BM2624">
        <v>10.68</v>
      </c>
      <c r="BN2624">
        <v>81.88</v>
      </c>
      <c r="BO2624">
        <v>81.88</v>
      </c>
      <c r="BQ2624" t="s">
        <v>1256</v>
      </c>
      <c r="BR2624" t="s">
        <v>84</v>
      </c>
      <c r="BS2624" s="3">
        <v>45859</v>
      </c>
      <c r="BT2624" s="4">
        <v>0.42083333333333334</v>
      </c>
      <c r="BU2624" t="s">
        <v>1257</v>
      </c>
      <c r="BV2624" t="s">
        <v>98</v>
      </c>
      <c r="BY2624">
        <v>1350</v>
      </c>
      <c r="CA2624" t="s">
        <v>1258</v>
      </c>
      <c r="CC2624" t="s">
        <v>555</v>
      </c>
      <c r="CD2624" s="5" t="s">
        <v>560</v>
      </c>
      <c r="CE2624" t="s">
        <v>158</v>
      </c>
      <c r="CF2624" s="3">
        <v>45859</v>
      </c>
      <c r="CI2624">
        <v>1</v>
      </c>
      <c r="CJ2624">
        <v>1</v>
      </c>
      <c r="CK2624">
        <v>21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"080066658883"</f>
        <v>080066658883</v>
      </c>
      <c r="F2625" s="3">
        <v>45856</v>
      </c>
      <c r="G2625">
        <v>202604</v>
      </c>
      <c r="H2625" t="s">
        <v>75</v>
      </c>
      <c r="I2625" t="s">
        <v>76</v>
      </c>
      <c r="J2625" t="s">
        <v>77</v>
      </c>
      <c r="K2625" t="s">
        <v>78</v>
      </c>
      <c r="L2625" t="s">
        <v>168</v>
      </c>
      <c r="M2625" t="s">
        <v>169</v>
      </c>
      <c r="N2625" t="s">
        <v>202</v>
      </c>
      <c r="O2625" t="s">
        <v>82</v>
      </c>
      <c r="P2625" t="str">
        <f>"4170049606                    "</f>
        <v xml:space="preserve">4170049606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22.6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71.2</v>
      </c>
      <c r="BM2625">
        <v>10.68</v>
      </c>
      <c r="BN2625">
        <v>81.88</v>
      </c>
      <c r="BO2625">
        <v>81.88</v>
      </c>
      <c r="BQ2625" t="s">
        <v>203</v>
      </c>
      <c r="BR2625" t="s">
        <v>84</v>
      </c>
      <c r="BS2625" s="3">
        <v>45859</v>
      </c>
      <c r="BT2625" s="4">
        <v>0.38263888888888886</v>
      </c>
      <c r="BU2625" t="s">
        <v>204</v>
      </c>
      <c r="BV2625" t="s">
        <v>98</v>
      </c>
      <c r="BY2625">
        <v>1200</v>
      </c>
      <c r="CA2625" t="s">
        <v>205</v>
      </c>
      <c r="CC2625" t="s">
        <v>169</v>
      </c>
      <c r="CD2625">
        <v>6001</v>
      </c>
      <c r="CE2625" t="s">
        <v>121</v>
      </c>
      <c r="CF2625" s="3">
        <v>45859</v>
      </c>
      <c r="CI2625">
        <v>1</v>
      </c>
      <c r="CJ2625">
        <v>1</v>
      </c>
      <c r="CK2625">
        <v>21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"080066658885"</f>
        <v>080066658885</v>
      </c>
      <c r="F2626" s="3">
        <v>45856</v>
      </c>
      <c r="G2626">
        <v>202604</v>
      </c>
      <c r="H2626" t="s">
        <v>75</v>
      </c>
      <c r="I2626" t="s">
        <v>76</v>
      </c>
      <c r="J2626" t="s">
        <v>77</v>
      </c>
      <c r="K2626" t="s">
        <v>78</v>
      </c>
      <c r="L2626" t="s">
        <v>135</v>
      </c>
      <c r="M2626" t="s">
        <v>136</v>
      </c>
      <c r="N2626" t="s">
        <v>416</v>
      </c>
      <c r="O2626" t="s">
        <v>82</v>
      </c>
      <c r="P2626" t="str">
        <f>"4170049436                    "</f>
        <v xml:space="preserve">4170049436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22.6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0.3</v>
      </c>
      <c r="BK2626">
        <v>1</v>
      </c>
      <c r="BL2626">
        <v>71.2</v>
      </c>
      <c r="BM2626">
        <v>10.68</v>
      </c>
      <c r="BN2626">
        <v>81.88</v>
      </c>
      <c r="BO2626">
        <v>81.88</v>
      </c>
      <c r="BQ2626" t="s">
        <v>417</v>
      </c>
      <c r="BR2626" t="s">
        <v>84</v>
      </c>
      <c r="BS2626" s="3">
        <v>45859</v>
      </c>
      <c r="BT2626" s="4">
        <v>0.41666666666666669</v>
      </c>
      <c r="BU2626" t="s">
        <v>650</v>
      </c>
      <c r="BV2626" t="s">
        <v>98</v>
      </c>
      <c r="BY2626">
        <v>1350</v>
      </c>
      <c r="CC2626" t="s">
        <v>136</v>
      </c>
      <c r="CD2626">
        <v>3201</v>
      </c>
      <c r="CE2626" t="s">
        <v>158</v>
      </c>
      <c r="CF2626" s="3">
        <v>45860</v>
      </c>
      <c r="CI2626">
        <v>1</v>
      </c>
      <c r="CJ2626">
        <v>1</v>
      </c>
      <c r="CK2626">
        <v>21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"080066658901"</f>
        <v>080066658901</v>
      </c>
      <c r="F2627" s="3">
        <v>45856</v>
      </c>
      <c r="G2627">
        <v>202604</v>
      </c>
      <c r="H2627" t="s">
        <v>75</v>
      </c>
      <c r="I2627" t="s">
        <v>76</v>
      </c>
      <c r="J2627" t="s">
        <v>77</v>
      </c>
      <c r="K2627" t="s">
        <v>78</v>
      </c>
      <c r="L2627" t="s">
        <v>79</v>
      </c>
      <c r="M2627" t="s">
        <v>80</v>
      </c>
      <c r="N2627" t="s">
        <v>2319</v>
      </c>
      <c r="O2627" t="s">
        <v>82</v>
      </c>
      <c r="P2627" t="str">
        <f>"4170049738                    "</f>
        <v xml:space="preserve">4170049738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39.53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</v>
      </c>
      <c r="BJ2627">
        <v>3.4</v>
      </c>
      <c r="BK2627">
        <v>3.5</v>
      </c>
      <c r="BL2627">
        <v>124.55</v>
      </c>
      <c r="BM2627">
        <v>18.68</v>
      </c>
      <c r="BN2627">
        <v>143.22999999999999</v>
      </c>
      <c r="BO2627">
        <v>143.22999999999999</v>
      </c>
      <c r="BQ2627" t="s">
        <v>2320</v>
      </c>
      <c r="BR2627" t="s">
        <v>84</v>
      </c>
      <c r="BS2627" s="3">
        <v>45859</v>
      </c>
      <c r="BT2627" s="4">
        <v>0.34236111111111112</v>
      </c>
      <c r="BU2627" t="s">
        <v>2321</v>
      </c>
      <c r="BV2627" t="s">
        <v>98</v>
      </c>
      <c r="BY2627">
        <v>16965</v>
      </c>
      <c r="CA2627" t="s">
        <v>289</v>
      </c>
      <c r="CC2627" t="s">
        <v>80</v>
      </c>
      <c r="CD2627">
        <v>7530</v>
      </c>
      <c r="CE2627" t="s">
        <v>145</v>
      </c>
      <c r="CF2627" s="3">
        <v>45860</v>
      </c>
      <c r="CI2627">
        <v>1</v>
      </c>
      <c r="CJ2627">
        <v>1</v>
      </c>
      <c r="CK2627">
        <v>21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"080066658915"</f>
        <v>080066658915</v>
      </c>
      <c r="F2628" s="3">
        <v>45856</v>
      </c>
      <c r="G2628">
        <v>202604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1579</v>
      </c>
      <c r="O2628" t="s">
        <v>82</v>
      </c>
      <c r="P2628" t="str">
        <f>"4170049477                    "</f>
        <v xml:space="preserve">4170049477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17.649999999999999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0.3</v>
      </c>
      <c r="BK2628">
        <v>1</v>
      </c>
      <c r="BL2628">
        <v>55.61</v>
      </c>
      <c r="BM2628">
        <v>8.34</v>
      </c>
      <c r="BN2628">
        <v>63.95</v>
      </c>
      <c r="BO2628">
        <v>63.95</v>
      </c>
      <c r="BQ2628" t="s">
        <v>1580</v>
      </c>
      <c r="BR2628" t="s">
        <v>84</v>
      </c>
      <c r="BS2628" s="3">
        <v>45859</v>
      </c>
      <c r="BT2628" s="4">
        <v>0.2951388888888889</v>
      </c>
      <c r="BU2628" t="s">
        <v>1326</v>
      </c>
      <c r="BV2628" t="s">
        <v>98</v>
      </c>
      <c r="BY2628">
        <v>1350</v>
      </c>
      <c r="CA2628" t="s">
        <v>213</v>
      </c>
      <c r="CC2628" t="s">
        <v>76</v>
      </c>
      <c r="CD2628">
        <v>1600</v>
      </c>
      <c r="CE2628" t="s">
        <v>158</v>
      </c>
      <c r="CF2628" s="3">
        <v>45860</v>
      </c>
      <c r="CI2628">
        <v>1</v>
      </c>
      <c r="CJ2628">
        <v>1</v>
      </c>
      <c r="CK2628">
        <v>22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"080066658935"</f>
        <v>080066658935</v>
      </c>
      <c r="F2629" s="3">
        <v>45856</v>
      </c>
      <c r="G2629">
        <v>202604</v>
      </c>
      <c r="H2629" t="s">
        <v>75</v>
      </c>
      <c r="I2629" t="s">
        <v>76</v>
      </c>
      <c r="J2629" t="s">
        <v>77</v>
      </c>
      <c r="K2629" t="s">
        <v>78</v>
      </c>
      <c r="L2629" t="s">
        <v>441</v>
      </c>
      <c r="M2629" t="s">
        <v>442</v>
      </c>
      <c r="N2629" t="s">
        <v>443</v>
      </c>
      <c r="O2629" t="s">
        <v>82</v>
      </c>
      <c r="P2629" t="str">
        <f>"4170049583                    "</f>
        <v xml:space="preserve">4170049583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182.19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9</v>
      </c>
      <c r="BJ2629">
        <v>2.2999999999999998</v>
      </c>
      <c r="BK2629">
        <v>9</v>
      </c>
      <c r="BL2629">
        <v>573.99</v>
      </c>
      <c r="BM2629">
        <v>86.1</v>
      </c>
      <c r="BN2629">
        <v>660.09</v>
      </c>
      <c r="BO2629">
        <v>660.09</v>
      </c>
      <c r="BQ2629" t="s">
        <v>444</v>
      </c>
      <c r="BR2629" t="s">
        <v>84</v>
      </c>
      <c r="BS2629" s="3">
        <v>45859</v>
      </c>
      <c r="BT2629" s="4">
        <v>0.53680555555555554</v>
      </c>
      <c r="BU2629" t="s">
        <v>2938</v>
      </c>
      <c r="BV2629" t="s">
        <v>98</v>
      </c>
      <c r="BY2629">
        <v>11664</v>
      </c>
      <c r="CA2629" t="s">
        <v>2598</v>
      </c>
      <c r="CC2629" t="s">
        <v>442</v>
      </c>
      <c r="CD2629">
        <v>7185</v>
      </c>
      <c r="CE2629" t="s">
        <v>91</v>
      </c>
      <c r="CF2629" s="3">
        <v>45860</v>
      </c>
      <c r="CI2629">
        <v>2</v>
      </c>
      <c r="CJ2629">
        <v>1</v>
      </c>
      <c r="CK2629">
        <v>23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"080066658949"</f>
        <v>080066658949</v>
      </c>
      <c r="F2630" s="3">
        <v>45856</v>
      </c>
      <c r="G2630">
        <v>202604</v>
      </c>
      <c r="H2630" t="s">
        <v>75</v>
      </c>
      <c r="I2630" t="s">
        <v>76</v>
      </c>
      <c r="J2630" t="s">
        <v>77</v>
      </c>
      <c r="K2630" t="s">
        <v>78</v>
      </c>
      <c r="L2630" t="s">
        <v>128</v>
      </c>
      <c r="M2630" t="s">
        <v>129</v>
      </c>
      <c r="N2630" t="s">
        <v>2038</v>
      </c>
      <c r="O2630" t="s">
        <v>82</v>
      </c>
      <c r="P2630" t="str">
        <f>"4170049648                    "</f>
        <v xml:space="preserve">4170049648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43.78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0.3</v>
      </c>
      <c r="BK2630">
        <v>1</v>
      </c>
      <c r="BL2630">
        <v>137.94</v>
      </c>
      <c r="BM2630">
        <v>20.69</v>
      </c>
      <c r="BN2630">
        <v>158.63</v>
      </c>
      <c r="BO2630">
        <v>158.63</v>
      </c>
      <c r="BQ2630" t="s">
        <v>2039</v>
      </c>
      <c r="BR2630" t="s">
        <v>84</v>
      </c>
      <c r="BS2630" s="3">
        <v>45859</v>
      </c>
      <c r="BT2630" s="4">
        <v>0.43402777777777779</v>
      </c>
      <c r="BU2630" t="s">
        <v>2939</v>
      </c>
      <c r="BV2630" t="s">
        <v>98</v>
      </c>
      <c r="BY2630">
        <v>1350</v>
      </c>
      <c r="CA2630" t="s">
        <v>2284</v>
      </c>
      <c r="CC2630" t="s">
        <v>129</v>
      </c>
      <c r="CD2630" s="5" t="s">
        <v>134</v>
      </c>
      <c r="CE2630" t="s">
        <v>158</v>
      </c>
      <c r="CF2630" s="3">
        <v>45860</v>
      </c>
      <c r="CI2630">
        <v>1</v>
      </c>
      <c r="CJ2630">
        <v>1</v>
      </c>
      <c r="CK2630">
        <v>23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"080066658985"</f>
        <v>080066658985</v>
      </c>
      <c r="F2631" s="3">
        <v>45856</v>
      </c>
      <c r="G2631">
        <v>202604</v>
      </c>
      <c r="H2631" t="s">
        <v>75</v>
      </c>
      <c r="I2631" t="s">
        <v>76</v>
      </c>
      <c r="J2631" t="s">
        <v>77</v>
      </c>
      <c r="K2631" t="s">
        <v>78</v>
      </c>
      <c r="L2631" t="s">
        <v>75</v>
      </c>
      <c r="M2631" t="s">
        <v>76</v>
      </c>
      <c r="N2631" t="s">
        <v>2892</v>
      </c>
      <c r="O2631" t="s">
        <v>82</v>
      </c>
      <c r="P2631" t="str">
        <f>"4170049728                    "</f>
        <v xml:space="preserve">4170049728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17.649999999999999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0.3</v>
      </c>
      <c r="BK2631">
        <v>1</v>
      </c>
      <c r="BL2631">
        <v>55.61</v>
      </c>
      <c r="BM2631">
        <v>8.34</v>
      </c>
      <c r="BN2631">
        <v>63.95</v>
      </c>
      <c r="BO2631">
        <v>63.95</v>
      </c>
      <c r="BQ2631" t="s">
        <v>2893</v>
      </c>
      <c r="BR2631" t="s">
        <v>84</v>
      </c>
      <c r="BS2631" s="3">
        <v>45859</v>
      </c>
      <c r="BT2631" s="4">
        <v>0.4375</v>
      </c>
      <c r="BU2631" t="s">
        <v>2894</v>
      </c>
      <c r="BV2631" t="s">
        <v>98</v>
      </c>
      <c r="BY2631">
        <v>1350</v>
      </c>
      <c r="CA2631" t="s">
        <v>1049</v>
      </c>
      <c r="CC2631" t="s">
        <v>76</v>
      </c>
      <c r="CD2631">
        <v>1600</v>
      </c>
      <c r="CE2631" t="s">
        <v>158</v>
      </c>
      <c r="CF2631" s="3">
        <v>45860</v>
      </c>
      <c r="CI2631">
        <v>1</v>
      </c>
      <c r="CJ2631">
        <v>1</v>
      </c>
      <c r="CK2631">
        <v>22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"080066659014"</f>
        <v>080066659014</v>
      </c>
      <c r="F2632" s="3">
        <v>45856</v>
      </c>
      <c r="G2632">
        <v>202604</v>
      </c>
      <c r="H2632" t="s">
        <v>75</v>
      </c>
      <c r="I2632" t="s">
        <v>76</v>
      </c>
      <c r="J2632" t="s">
        <v>77</v>
      </c>
      <c r="K2632" t="s">
        <v>78</v>
      </c>
      <c r="L2632" t="s">
        <v>151</v>
      </c>
      <c r="M2632" t="s">
        <v>152</v>
      </c>
      <c r="N2632" t="s">
        <v>1009</v>
      </c>
      <c r="O2632" t="s">
        <v>82</v>
      </c>
      <c r="P2632" t="str">
        <f>"4170049500                    "</f>
        <v xml:space="preserve">4170049500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22.6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1.1000000000000001</v>
      </c>
      <c r="BK2632">
        <v>1.5</v>
      </c>
      <c r="BL2632">
        <v>71.2</v>
      </c>
      <c r="BM2632">
        <v>10.68</v>
      </c>
      <c r="BN2632">
        <v>81.88</v>
      </c>
      <c r="BO2632">
        <v>81.88</v>
      </c>
      <c r="BQ2632" t="s">
        <v>1010</v>
      </c>
      <c r="BR2632" t="s">
        <v>84</v>
      </c>
      <c r="BS2632" s="3">
        <v>45859</v>
      </c>
      <c r="BT2632" s="4">
        <v>0.37083333333333335</v>
      </c>
      <c r="BU2632" t="s">
        <v>2940</v>
      </c>
      <c r="BV2632" t="s">
        <v>98</v>
      </c>
      <c r="BY2632">
        <v>5320</v>
      </c>
      <c r="CA2632" t="s">
        <v>2941</v>
      </c>
      <c r="CC2632" t="s">
        <v>152</v>
      </c>
      <c r="CD2632" s="5" t="s">
        <v>1013</v>
      </c>
      <c r="CE2632" t="s">
        <v>145</v>
      </c>
      <c r="CF2632" s="3">
        <v>45859</v>
      </c>
      <c r="CI2632">
        <v>1</v>
      </c>
      <c r="CJ2632">
        <v>1</v>
      </c>
      <c r="CK2632">
        <v>21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"080066659019"</f>
        <v>080066659019</v>
      </c>
      <c r="F2633" s="3">
        <v>45856</v>
      </c>
      <c r="G2633">
        <v>202604</v>
      </c>
      <c r="H2633" t="s">
        <v>75</v>
      </c>
      <c r="I2633" t="s">
        <v>76</v>
      </c>
      <c r="J2633" t="s">
        <v>77</v>
      </c>
      <c r="K2633" t="s">
        <v>78</v>
      </c>
      <c r="L2633" t="s">
        <v>1370</v>
      </c>
      <c r="M2633" t="s">
        <v>1371</v>
      </c>
      <c r="N2633" t="s">
        <v>1346</v>
      </c>
      <c r="O2633" t="s">
        <v>82</v>
      </c>
      <c r="P2633" t="str">
        <f>"4170049528                    "</f>
        <v xml:space="preserve">4170049528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43.78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0.3</v>
      </c>
      <c r="BK2633">
        <v>1</v>
      </c>
      <c r="BL2633">
        <v>137.94</v>
      </c>
      <c r="BM2633">
        <v>20.69</v>
      </c>
      <c r="BN2633">
        <v>158.63</v>
      </c>
      <c r="BO2633">
        <v>158.63</v>
      </c>
      <c r="BQ2633" t="s">
        <v>1347</v>
      </c>
      <c r="BR2633" t="s">
        <v>84</v>
      </c>
      <c r="BS2633" s="3">
        <v>45859</v>
      </c>
      <c r="BT2633" s="4">
        <v>0.52152777777777781</v>
      </c>
      <c r="BU2633" t="s">
        <v>2112</v>
      </c>
      <c r="BV2633" t="s">
        <v>98</v>
      </c>
      <c r="BY2633">
        <v>1350</v>
      </c>
      <c r="CA2633" t="s">
        <v>1375</v>
      </c>
      <c r="CC2633" t="s">
        <v>1371</v>
      </c>
      <c r="CD2633" s="5" t="s">
        <v>1376</v>
      </c>
      <c r="CE2633" t="s">
        <v>158</v>
      </c>
      <c r="CF2633" s="3">
        <v>45860</v>
      </c>
      <c r="CI2633">
        <v>1</v>
      </c>
      <c r="CJ2633">
        <v>1</v>
      </c>
      <c r="CK2633">
        <v>23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"080066659046"</f>
        <v>080066659046</v>
      </c>
      <c r="F2634" s="3">
        <v>45856</v>
      </c>
      <c r="G2634">
        <v>202604</v>
      </c>
      <c r="H2634" t="s">
        <v>75</v>
      </c>
      <c r="I2634" t="s">
        <v>76</v>
      </c>
      <c r="J2634" t="s">
        <v>77</v>
      </c>
      <c r="K2634" t="s">
        <v>78</v>
      </c>
      <c r="L2634" t="s">
        <v>168</v>
      </c>
      <c r="M2634" t="s">
        <v>169</v>
      </c>
      <c r="N2634" t="s">
        <v>438</v>
      </c>
      <c r="O2634" t="s">
        <v>82</v>
      </c>
      <c r="P2634" t="str">
        <f>"4170049572                    "</f>
        <v xml:space="preserve">4170049572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22.6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</v>
      </c>
      <c r="BJ2634">
        <v>1.1000000000000001</v>
      </c>
      <c r="BK2634">
        <v>2</v>
      </c>
      <c r="BL2634">
        <v>71.2</v>
      </c>
      <c r="BM2634">
        <v>10.68</v>
      </c>
      <c r="BN2634">
        <v>81.88</v>
      </c>
      <c r="BO2634">
        <v>81.88</v>
      </c>
      <c r="BQ2634" t="s">
        <v>439</v>
      </c>
      <c r="BR2634" t="s">
        <v>84</v>
      </c>
      <c r="BS2634" s="3">
        <v>45859</v>
      </c>
      <c r="BT2634" s="4">
        <v>0.42499999999999999</v>
      </c>
      <c r="BU2634" t="s">
        <v>440</v>
      </c>
      <c r="BV2634" t="s">
        <v>98</v>
      </c>
      <c r="BY2634">
        <v>5320</v>
      </c>
      <c r="CA2634" t="s">
        <v>423</v>
      </c>
      <c r="CC2634" t="s">
        <v>169</v>
      </c>
      <c r="CD2634">
        <v>6001</v>
      </c>
      <c r="CE2634" t="s">
        <v>145</v>
      </c>
      <c r="CF2634" s="3">
        <v>45859</v>
      </c>
      <c r="CI2634">
        <v>1</v>
      </c>
      <c r="CJ2634">
        <v>1</v>
      </c>
      <c r="CK2634">
        <v>21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"080066659048"</f>
        <v>080066659048</v>
      </c>
      <c r="F2635" s="3">
        <v>45856</v>
      </c>
      <c r="G2635">
        <v>202604</v>
      </c>
      <c r="H2635" t="s">
        <v>75</v>
      </c>
      <c r="I2635" t="s">
        <v>76</v>
      </c>
      <c r="J2635" t="s">
        <v>77</v>
      </c>
      <c r="K2635" t="s">
        <v>78</v>
      </c>
      <c r="L2635" t="s">
        <v>75</v>
      </c>
      <c r="M2635" t="s">
        <v>76</v>
      </c>
      <c r="N2635" t="s">
        <v>118</v>
      </c>
      <c r="O2635" t="s">
        <v>82</v>
      </c>
      <c r="P2635" t="str">
        <f>"4170049576                    "</f>
        <v xml:space="preserve">4170049576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17.649999999999999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0.3</v>
      </c>
      <c r="BK2635">
        <v>1</v>
      </c>
      <c r="BL2635">
        <v>55.61</v>
      </c>
      <c r="BM2635">
        <v>8.34</v>
      </c>
      <c r="BN2635">
        <v>63.95</v>
      </c>
      <c r="BO2635">
        <v>63.95</v>
      </c>
      <c r="BQ2635" t="s">
        <v>119</v>
      </c>
      <c r="BR2635" t="s">
        <v>84</v>
      </c>
      <c r="BS2635" s="3">
        <v>45859</v>
      </c>
      <c r="BT2635" s="4">
        <v>0.31388888888888888</v>
      </c>
      <c r="BU2635" t="s">
        <v>120</v>
      </c>
      <c r="BV2635" t="s">
        <v>98</v>
      </c>
      <c r="BY2635">
        <v>1350</v>
      </c>
      <c r="CC2635" t="s">
        <v>76</v>
      </c>
      <c r="CD2635">
        <v>1600</v>
      </c>
      <c r="CE2635" t="s">
        <v>158</v>
      </c>
      <c r="CF2635" s="3">
        <v>45860</v>
      </c>
      <c r="CI2635">
        <v>1</v>
      </c>
      <c r="CJ2635">
        <v>1</v>
      </c>
      <c r="CK2635">
        <v>22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"080066659085"</f>
        <v>080066659085</v>
      </c>
      <c r="F2636" s="3">
        <v>45856</v>
      </c>
      <c r="G2636">
        <v>202604</v>
      </c>
      <c r="H2636" t="s">
        <v>75</v>
      </c>
      <c r="I2636" t="s">
        <v>76</v>
      </c>
      <c r="J2636" t="s">
        <v>77</v>
      </c>
      <c r="K2636" t="s">
        <v>78</v>
      </c>
      <c r="L2636" t="s">
        <v>305</v>
      </c>
      <c r="M2636" t="s">
        <v>306</v>
      </c>
      <c r="N2636" t="s">
        <v>1154</v>
      </c>
      <c r="O2636" t="s">
        <v>82</v>
      </c>
      <c r="P2636" t="str">
        <f>"4170049602                    "</f>
        <v xml:space="preserve">4170049602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45.18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4</v>
      </c>
      <c r="BJ2636">
        <v>1.7</v>
      </c>
      <c r="BK2636">
        <v>4</v>
      </c>
      <c r="BL2636">
        <v>142.34</v>
      </c>
      <c r="BM2636">
        <v>21.35</v>
      </c>
      <c r="BN2636">
        <v>163.69</v>
      </c>
      <c r="BO2636">
        <v>163.69</v>
      </c>
      <c r="BQ2636" t="s">
        <v>1155</v>
      </c>
      <c r="BR2636" t="s">
        <v>84</v>
      </c>
      <c r="BS2636" s="3">
        <v>45859</v>
      </c>
      <c r="BT2636" s="4">
        <v>0.58680555555555558</v>
      </c>
      <c r="BU2636" t="s">
        <v>2720</v>
      </c>
      <c r="BV2636" t="s">
        <v>86</v>
      </c>
      <c r="BY2636">
        <v>8512</v>
      </c>
      <c r="CA2636" t="s">
        <v>1157</v>
      </c>
      <c r="CC2636" t="s">
        <v>306</v>
      </c>
      <c r="CD2636">
        <v>5201</v>
      </c>
      <c r="CE2636" t="s">
        <v>145</v>
      </c>
      <c r="CF2636" s="3">
        <v>45859</v>
      </c>
      <c r="CI2636">
        <v>1</v>
      </c>
      <c r="CJ2636">
        <v>1</v>
      </c>
      <c r="CK2636">
        <v>21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"080066659139"</f>
        <v>080066659139</v>
      </c>
      <c r="F2637" s="3">
        <v>45856</v>
      </c>
      <c r="G2637">
        <v>202604</v>
      </c>
      <c r="H2637" t="s">
        <v>75</v>
      </c>
      <c r="I2637" t="s">
        <v>76</v>
      </c>
      <c r="J2637" t="s">
        <v>77</v>
      </c>
      <c r="K2637" t="s">
        <v>78</v>
      </c>
      <c r="L2637" t="s">
        <v>295</v>
      </c>
      <c r="M2637" t="s">
        <v>296</v>
      </c>
      <c r="N2637" t="s">
        <v>1063</v>
      </c>
      <c r="O2637" t="s">
        <v>82</v>
      </c>
      <c r="P2637" t="str">
        <f>"4170049549                    "</f>
        <v xml:space="preserve">4170049549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17.649999999999999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0.3</v>
      </c>
      <c r="BK2637">
        <v>1</v>
      </c>
      <c r="BL2637">
        <v>55.61</v>
      </c>
      <c r="BM2637">
        <v>8.34</v>
      </c>
      <c r="BN2637">
        <v>63.95</v>
      </c>
      <c r="BO2637">
        <v>63.95</v>
      </c>
      <c r="BQ2637" t="s">
        <v>1064</v>
      </c>
      <c r="BR2637" t="s">
        <v>84</v>
      </c>
      <c r="BS2637" s="3">
        <v>45859</v>
      </c>
      <c r="BT2637" s="4">
        <v>0.30972222222222223</v>
      </c>
      <c r="BU2637" t="s">
        <v>1065</v>
      </c>
      <c r="BV2637" t="s">
        <v>98</v>
      </c>
      <c r="BY2637">
        <v>1350</v>
      </c>
      <c r="CA2637" t="s">
        <v>300</v>
      </c>
      <c r="CC2637" t="s">
        <v>296</v>
      </c>
      <c r="CD2637">
        <v>1459</v>
      </c>
      <c r="CE2637">
        <v>1</v>
      </c>
      <c r="CF2637" s="3">
        <v>45860</v>
      </c>
      <c r="CI2637">
        <v>1</v>
      </c>
      <c r="CJ2637">
        <v>1</v>
      </c>
      <c r="CK2637">
        <v>22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"080066659151"</f>
        <v>080066659151</v>
      </c>
      <c r="F2638" s="3">
        <v>45856</v>
      </c>
      <c r="G2638">
        <v>202604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118</v>
      </c>
      <c r="O2638" t="s">
        <v>82</v>
      </c>
      <c r="P2638" t="str">
        <f>"4170049582                    "</f>
        <v xml:space="preserve">4170049582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17.649999999999999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2.1</v>
      </c>
      <c r="BK2638">
        <v>3</v>
      </c>
      <c r="BL2638">
        <v>55.61</v>
      </c>
      <c r="BM2638">
        <v>8.34</v>
      </c>
      <c r="BN2638">
        <v>63.95</v>
      </c>
      <c r="BO2638">
        <v>63.95</v>
      </c>
      <c r="BQ2638" t="s">
        <v>119</v>
      </c>
      <c r="BR2638" t="s">
        <v>84</v>
      </c>
      <c r="BS2638" s="3">
        <v>45859</v>
      </c>
      <c r="BT2638" s="4">
        <v>0.29375000000000001</v>
      </c>
      <c r="BU2638" t="s">
        <v>120</v>
      </c>
      <c r="BV2638" t="s">
        <v>98</v>
      </c>
      <c r="BY2638">
        <v>10640</v>
      </c>
      <c r="CC2638" t="s">
        <v>76</v>
      </c>
      <c r="CD2638">
        <v>1600</v>
      </c>
      <c r="CE2638" t="s">
        <v>145</v>
      </c>
      <c r="CF2638" s="3">
        <v>45860</v>
      </c>
      <c r="CI2638">
        <v>1</v>
      </c>
      <c r="CJ2638">
        <v>1</v>
      </c>
      <c r="CK2638">
        <v>22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"080066659175"</f>
        <v>080066659175</v>
      </c>
      <c r="F2639" s="3">
        <v>45856</v>
      </c>
      <c r="G2639">
        <v>202604</v>
      </c>
      <c r="H2639" t="s">
        <v>75</v>
      </c>
      <c r="I2639" t="s">
        <v>76</v>
      </c>
      <c r="J2639" t="s">
        <v>77</v>
      </c>
      <c r="K2639" t="s">
        <v>78</v>
      </c>
      <c r="L2639" t="s">
        <v>75</v>
      </c>
      <c r="M2639" t="s">
        <v>76</v>
      </c>
      <c r="N2639" t="s">
        <v>562</v>
      </c>
      <c r="O2639" t="s">
        <v>82</v>
      </c>
      <c r="P2639" t="str">
        <f>"4170049659                    "</f>
        <v xml:space="preserve">4170049659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17.649999999999999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0.3</v>
      </c>
      <c r="BK2639">
        <v>1</v>
      </c>
      <c r="BL2639">
        <v>55.61</v>
      </c>
      <c r="BM2639">
        <v>8.34</v>
      </c>
      <c r="BN2639">
        <v>63.95</v>
      </c>
      <c r="BO2639">
        <v>63.95</v>
      </c>
      <c r="BQ2639" t="s">
        <v>563</v>
      </c>
      <c r="BR2639" t="s">
        <v>84</v>
      </c>
      <c r="BS2639" s="3">
        <v>45859</v>
      </c>
      <c r="BT2639" s="4">
        <v>0.4375</v>
      </c>
      <c r="BU2639" t="s">
        <v>2155</v>
      </c>
      <c r="BV2639" t="s">
        <v>98</v>
      </c>
      <c r="BY2639">
        <v>1350</v>
      </c>
      <c r="CA2639" t="s">
        <v>565</v>
      </c>
      <c r="CC2639" t="s">
        <v>76</v>
      </c>
      <c r="CD2639">
        <v>1619</v>
      </c>
      <c r="CE2639" t="s">
        <v>158</v>
      </c>
      <c r="CF2639" s="3">
        <v>45860</v>
      </c>
      <c r="CI2639">
        <v>1</v>
      </c>
      <c r="CJ2639">
        <v>1</v>
      </c>
      <c r="CK2639">
        <v>22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"080066659365"</f>
        <v>080066659365</v>
      </c>
      <c r="F2640" s="3">
        <v>45856</v>
      </c>
      <c r="G2640">
        <v>202604</v>
      </c>
      <c r="H2640" t="s">
        <v>75</v>
      </c>
      <c r="I2640" t="s">
        <v>76</v>
      </c>
      <c r="J2640" t="s">
        <v>77</v>
      </c>
      <c r="K2640" t="s">
        <v>78</v>
      </c>
      <c r="L2640" t="s">
        <v>151</v>
      </c>
      <c r="M2640" t="s">
        <v>152</v>
      </c>
      <c r="N2640" t="s">
        <v>352</v>
      </c>
      <c r="O2640" t="s">
        <v>82</v>
      </c>
      <c r="P2640" t="str">
        <f>"4170049515                    "</f>
        <v xml:space="preserve">4170049515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22.6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2</v>
      </c>
      <c r="BJ2640">
        <v>1.7</v>
      </c>
      <c r="BK2640">
        <v>2</v>
      </c>
      <c r="BL2640">
        <v>71.2</v>
      </c>
      <c r="BM2640">
        <v>10.68</v>
      </c>
      <c r="BN2640">
        <v>81.88</v>
      </c>
      <c r="BO2640">
        <v>81.88</v>
      </c>
      <c r="BQ2640" t="s">
        <v>353</v>
      </c>
      <c r="BR2640" t="s">
        <v>84</v>
      </c>
      <c r="BS2640" s="3">
        <v>45859</v>
      </c>
      <c r="BT2640" s="4">
        <v>0.52916666666666667</v>
      </c>
      <c r="BU2640" t="s">
        <v>2942</v>
      </c>
      <c r="BV2640" t="s">
        <v>86</v>
      </c>
      <c r="BW2640" t="s">
        <v>395</v>
      </c>
      <c r="BX2640" t="s">
        <v>2943</v>
      </c>
      <c r="BY2640">
        <v>8512</v>
      </c>
      <c r="CC2640" t="s">
        <v>152</v>
      </c>
      <c r="CD2640" s="5" t="s">
        <v>717</v>
      </c>
      <c r="CE2640" t="s">
        <v>145</v>
      </c>
      <c r="CF2640" s="3">
        <v>45859</v>
      </c>
      <c r="CI2640">
        <v>1</v>
      </c>
      <c r="CJ2640">
        <v>1</v>
      </c>
      <c r="CK2640">
        <v>21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"080066659418"</f>
        <v>080066659418</v>
      </c>
      <c r="F2641" s="3">
        <v>45856</v>
      </c>
      <c r="G2641">
        <v>202604</v>
      </c>
      <c r="H2641" t="s">
        <v>75</v>
      </c>
      <c r="I2641" t="s">
        <v>76</v>
      </c>
      <c r="J2641" t="s">
        <v>77</v>
      </c>
      <c r="K2641" t="s">
        <v>78</v>
      </c>
      <c r="L2641" t="s">
        <v>151</v>
      </c>
      <c r="M2641" t="s">
        <v>152</v>
      </c>
      <c r="N2641" t="s">
        <v>1212</v>
      </c>
      <c r="O2641" t="s">
        <v>95</v>
      </c>
      <c r="P2641" t="str">
        <f>"4170049505                    "</f>
        <v xml:space="preserve">4170049505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43.7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8</v>
      </c>
      <c r="BJ2641">
        <v>11.6</v>
      </c>
      <c r="BK2641">
        <v>12</v>
      </c>
      <c r="BL2641">
        <v>143.55000000000001</v>
      </c>
      <c r="BM2641">
        <v>21.53</v>
      </c>
      <c r="BN2641">
        <v>165.08</v>
      </c>
      <c r="BO2641">
        <v>165.08</v>
      </c>
      <c r="BQ2641" t="s">
        <v>1213</v>
      </c>
      <c r="BR2641" t="s">
        <v>84</v>
      </c>
      <c r="BS2641" s="3">
        <v>45859</v>
      </c>
      <c r="BT2641" s="4">
        <v>0.41666666666666669</v>
      </c>
      <c r="BU2641" t="s">
        <v>1570</v>
      </c>
      <c r="BV2641" t="s">
        <v>98</v>
      </c>
      <c r="BY2641">
        <v>57760</v>
      </c>
      <c r="CA2641" t="s">
        <v>716</v>
      </c>
      <c r="CC2641" t="s">
        <v>152</v>
      </c>
      <c r="CD2641" s="5" t="s">
        <v>717</v>
      </c>
      <c r="CE2641" t="s">
        <v>2420</v>
      </c>
      <c r="CF2641" s="3">
        <v>45859</v>
      </c>
      <c r="CI2641">
        <v>1</v>
      </c>
      <c r="CJ2641">
        <v>1</v>
      </c>
      <c r="CK2641">
        <v>41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"080066659451"</f>
        <v>080066659451</v>
      </c>
      <c r="F2642" s="3">
        <v>45856</v>
      </c>
      <c r="G2642">
        <v>202604</v>
      </c>
      <c r="H2642" t="s">
        <v>75</v>
      </c>
      <c r="I2642" t="s">
        <v>76</v>
      </c>
      <c r="J2642" t="s">
        <v>77</v>
      </c>
      <c r="K2642" t="s">
        <v>78</v>
      </c>
      <c r="L2642" t="s">
        <v>329</v>
      </c>
      <c r="M2642" t="s">
        <v>330</v>
      </c>
      <c r="N2642" t="s">
        <v>331</v>
      </c>
      <c r="O2642" t="s">
        <v>82</v>
      </c>
      <c r="P2642" t="str">
        <f>"4170049488                    "</f>
        <v xml:space="preserve">4170049488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43.78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1.1000000000000001</v>
      </c>
      <c r="BK2642">
        <v>1.5</v>
      </c>
      <c r="BL2642">
        <v>137.94</v>
      </c>
      <c r="BM2642">
        <v>20.69</v>
      </c>
      <c r="BN2642">
        <v>158.63</v>
      </c>
      <c r="BO2642">
        <v>158.63</v>
      </c>
      <c r="BQ2642" t="s">
        <v>332</v>
      </c>
      <c r="BR2642" t="s">
        <v>84</v>
      </c>
      <c r="BS2642" s="3">
        <v>45859</v>
      </c>
      <c r="BT2642" s="4">
        <v>0.51736111111111116</v>
      </c>
      <c r="BU2642" t="s">
        <v>2900</v>
      </c>
      <c r="BV2642" t="s">
        <v>98</v>
      </c>
      <c r="BY2642">
        <v>5320</v>
      </c>
      <c r="CA2642" t="s">
        <v>1153</v>
      </c>
      <c r="CC2642" t="s">
        <v>330</v>
      </c>
      <c r="CD2642">
        <v>6300</v>
      </c>
      <c r="CE2642" t="s">
        <v>145</v>
      </c>
      <c r="CF2642" s="3">
        <v>45859</v>
      </c>
      <c r="CI2642">
        <v>2</v>
      </c>
      <c r="CJ2642">
        <v>1</v>
      </c>
      <c r="CK2642">
        <v>23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"080066659517"</f>
        <v>080066659517</v>
      </c>
      <c r="F2643" s="3">
        <v>45856</v>
      </c>
      <c r="G2643">
        <v>202604</v>
      </c>
      <c r="H2643" t="s">
        <v>75</v>
      </c>
      <c r="I2643" t="s">
        <v>76</v>
      </c>
      <c r="J2643" t="s">
        <v>77</v>
      </c>
      <c r="K2643" t="s">
        <v>78</v>
      </c>
      <c r="L2643" t="s">
        <v>79</v>
      </c>
      <c r="M2643" t="s">
        <v>80</v>
      </c>
      <c r="N2643" t="s">
        <v>931</v>
      </c>
      <c r="O2643" t="s">
        <v>82</v>
      </c>
      <c r="P2643" t="str">
        <f>"4170049611                    "</f>
        <v xml:space="preserve">4170049611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33.89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3</v>
      </c>
      <c r="BJ2643">
        <v>1.7</v>
      </c>
      <c r="BK2643">
        <v>3</v>
      </c>
      <c r="BL2643">
        <v>106.77</v>
      </c>
      <c r="BM2643">
        <v>16.02</v>
      </c>
      <c r="BN2643">
        <v>122.79</v>
      </c>
      <c r="BO2643">
        <v>122.79</v>
      </c>
      <c r="BQ2643" t="s">
        <v>932</v>
      </c>
      <c r="BR2643" t="s">
        <v>84</v>
      </c>
      <c r="BS2643" s="3">
        <v>45859</v>
      </c>
      <c r="BT2643" s="4">
        <v>0.41666666666666669</v>
      </c>
      <c r="BU2643" t="s">
        <v>2944</v>
      </c>
      <c r="BV2643" t="s">
        <v>98</v>
      </c>
      <c r="BY2643">
        <v>8512</v>
      </c>
      <c r="CA2643" t="s">
        <v>2311</v>
      </c>
      <c r="CC2643" t="s">
        <v>80</v>
      </c>
      <c r="CD2643">
        <v>7535</v>
      </c>
      <c r="CE2643" t="s">
        <v>145</v>
      </c>
      <c r="CF2643" s="3">
        <v>45860</v>
      </c>
      <c r="CI2643">
        <v>1</v>
      </c>
      <c r="CJ2643">
        <v>1</v>
      </c>
      <c r="CK2643">
        <v>21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"080066659618"</f>
        <v>080066659618</v>
      </c>
      <c r="F2644" s="3">
        <v>45856</v>
      </c>
      <c r="G2644">
        <v>202604</v>
      </c>
      <c r="H2644" t="s">
        <v>75</v>
      </c>
      <c r="I2644" t="s">
        <v>76</v>
      </c>
      <c r="J2644" t="s">
        <v>77</v>
      </c>
      <c r="K2644" t="s">
        <v>78</v>
      </c>
      <c r="L2644" t="s">
        <v>295</v>
      </c>
      <c r="M2644" t="s">
        <v>296</v>
      </c>
      <c r="N2644" t="s">
        <v>2945</v>
      </c>
      <c r="O2644" t="s">
        <v>82</v>
      </c>
      <c r="P2644" t="str">
        <f>"4170049626                    "</f>
        <v xml:space="preserve">4170049626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17.649999999999999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1.1000000000000001</v>
      </c>
      <c r="BK2644">
        <v>2</v>
      </c>
      <c r="BL2644">
        <v>55.61</v>
      </c>
      <c r="BM2644">
        <v>8.34</v>
      </c>
      <c r="BN2644">
        <v>63.95</v>
      </c>
      <c r="BO2644">
        <v>63.95</v>
      </c>
      <c r="BQ2644" t="s">
        <v>2946</v>
      </c>
      <c r="BR2644" t="s">
        <v>84</v>
      </c>
      <c r="BS2644" s="3">
        <v>45859</v>
      </c>
      <c r="BT2644" s="4">
        <v>0.34583333333333333</v>
      </c>
      <c r="BU2644" t="s">
        <v>2947</v>
      </c>
      <c r="BV2644" t="s">
        <v>98</v>
      </c>
      <c r="BY2644">
        <v>5320</v>
      </c>
      <c r="CA2644" t="s">
        <v>300</v>
      </c>
      <c r="CC2644" t="s">
        <v>296</v>
      </c>
      <c r="CD2644">
        <v>1459</v>
      </c>
      <c r="CE2644" t="s">
        <v>145</v>
      </c>
      <c r="CF2644" s="3">
        <v>45860</v>
      </c>
      <c r="CI2644">
        <v>1</v>
      </c>
      <c r="CJ2644">
        <v>1</v>
      </c>
      <c r="CK2644">
        <v>22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"080066659643"</f>
        <v>080066659643</v>
      </c>
      <c r="F2645" s="3">
        <v>45856</v>
      </c>
      <c r="G2645">
        <v>202604</v>
      </c>
      <c r="H2645" t="s">
        <v>75</v>
      </c>
      <c r="I2645" t="s">
        <v>76</v>
      </c>
      <c r="J2645" t="s">
        <v>77</v>
      </c>
      <c r="K2645" t="s">
        <v>78</v>
      </c>
      <c r="L2645" t="s">
        <v>808</v>
      </c>
      <c r="M2645" t="s">
        <v>808</v>
      </c>
      <c r="N2645" t="s">
        <v>809</v>
      </c>
      <c r="O2645" t="s">
        <v>311</v>
      </c>
      <c r="P2645" t="str">
        <f>"4170049432                    "</f>
        <v xml:space="preserve">4170049432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165.3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9</v>
      </c>
      <c r="BJ2645">
        <v>4.3</v>
      </c>
      <c r="BK2645">
        <v>9</v>
      </c>
      <c r="BL2645">
        <v>520.79</v>
      </c>
      <c r="BM2645">
        <v>78.12</v>
      </c>
      <c r="BN2645">
        <v>598.91</v>
      </c>
      <c r="BO2645">
        <v>598.91</v>
      </c>
      <c r="BQ2645" t="s">
        <v>810</v>
      </c>
      <c r="BR2645" t="s">
        <v>84</v>
      </c>
      <c r="BS2645" s="3">
        <v>45859</v>
      </c>
      <c r="BT2645" s="4">
        <v>0.5444444444444444</v>
      </c>
      <c r="BU2645" t="s">
        <v>2191</v>
      </c>
      <c r="BV2645" t="s">
        <v>98</v>
      </c>
      <c r="BY2645">
        <v>21489</v>
      </c>
      <c r="CA2645" t="s">
        <v>251</v>
      </c>
      <c r="CC2645" t="s">
        <v>808</v>
      </c>
      <c r="CD2645">
        <v>1491</v>
      </c>
      <c r="CE2645" t="s">
        <v>145</v>
      </c>
      <c r="CF2645" s="3">
        <v>45860</v>
      </c>
      <c r="CI2645">
        <v>1</v>
      </c>
      <c r="CJ2645">
        <v>1</v>
      </c>
      <c r="CK2645">
        <v>34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"080066659672"</f>
        <v>080066659672</v>
      </c>
      <c r="F2646" s="3">
        <v>45856</v>
      </c>
      <c r="G2646">
        <v>202604</v>
      </c>
      <c r="H2646" t="s">
        <v>75</v>
      </c>
      <c r="I2646" t="s">
        <v>76</v>
      </c>
      <c r="J2646" t="s">
        <v>77</v>
      </c>
      <c r="K2646" t="s">
        <v>78</v>
      </c>
      <c r="L2646" t="s">
        <v>168</v>
      </c>
      <c r="M2646" t="s">
        <v>169</v>
      </c>
      <c r="N2646" t="s">
        <v>206</v>
      </c>
      <c r="O2646" t="s">
        <v>82</v>
      </c>
      <c r="P2646" t="str">
        <f>"4170049571                    "</f>
        <v xml:space="preserve">4170049571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22.6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0.9</v>
      </c>
      <c r="BK2646">
        <v>1</v>
      </c>
      <c r="BL2646">
        <v>71.2</v>
      </c>
      <c r="BM2646">
        <v>10.68</v>
      </c>
      <c r="BN2646">
        <v>81.88</v>
      </c>
      <c r="BO2646">
        <v>81.88</v>
      </c>
      <c r="BQ2646" t="s">
        <v>207</v>
      </c>
      <c r="BR2646" t="s">
        <v>84</v>
      </c>
      <c r="BS2646" s="3">
        <v>45859</v>
      </c>
      <c r="BT2646" s="4">
        <v>0.38541666666666669</v>
      </c>
      <c r="BU2646" t="s">
        <v>208</v>
      </c>
      <c r="BV2646" t="s">
        <v>98</v>
      </c>
      <c r="BY2646">
        <v>4275</v>
      </c>
      <c r="CA2646" t="s">
        <v>196</v>
      </c>
      <c r="CC2646" t="s">
        <v>169</v>
      </c>
      <c r="CD2646">
        <v>6001</v>
      </c>
      <c r="CE2646" t="s">
        <v>259</v>
      </c>
      <c r="CF2646" s="3">
        <v>45859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"080066659721"</f>
        <v>080066659721</v>
      </c>
      <c r="F2647" s="3">
        <v>45856</v>
      </c>
      <c r="G2647">
        <v>202604</v>
      </c>
      <c r="H2647" t="s">
        <v>75</v>
      </c>
      <c r="I2647" t="s">
        <v>76</v>
      </c>
      <c r="J2647" t="s">
        <v>77</v>
      </c>
      <c r="K2647" t="s">
        <v>78</v>
      </c>
      <c r="L2647" t="s">
        <v>79</v>
      </c>
      <c r="M2647" t="s">
        <v>80</v>
      </c>
      <c r="N2647" t="s">
        <v>286</v>
      </c>
      <c r="O2647" t="s">
        <v>82</v>
      </c>
      <c r="P2647" t="str">
        <f>"4170049614                    "</f>
        <v xml:space="preserve">4170049614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79.05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7</v>
      </c>
      <c r="BJ2647">
        <v>2.8</v>
      </c>
      <c r="BK2647">
        <v>7</v>
      </c>
      <c r="BL2647">
        <v>249.05</v>
      </c>
      <c r="BM2647">
        <v>37.36</v>
      </c>
      <c r="BN2647">
        <v>286.41000000000003</v>
      </c>
      <c r="BO2647">
        <v>286.41000000000003</v>
      </c>
      <c r="BQ2647" t="s">
        <v>287</v>
      </c>
      <c r="BR2647" t="s">
        <v>84</v>
      </c>
      <c r="BS2647" s="3">
        <v>45859</v>
      </c>
      <c r="BT2647" s="4">
        <v>0.32291666666666669</v>
      </c>
      <c r="BU2647" t="s">
        <v>288</v>
      </c>
      <c r="BV2647" t="s">
        <v>98</v>
      </c>
      <c r="BY2647">
        <v>14112</v>
      </c>
      <c r="CA2647" t="s">
        <v>289</v>
      </c>
      <c r="CC2647" t="s">
        <v>80</v>
      </c>
      <c r="CD2647">
        <v>7530</v>
      </c>
      <c r="CE2647" t="s">
        <v>91</v>
      </c>
      <c r="CF2647" s="3">
        <v>45860</v>
      </c>
      <c r="CI2647">
        <v>1</v>
      </c>
      <c r="CJ2647">
        <v>1</v>
      </c>
      <c r="CK2647">
        <v>21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"080066659750"</f>
        <v>080066659750</v>
      </c>
      <c r="F2648" s="3">
        <v>45856</v>
      </c>
      <c r="G2648">
        <v>202604</v>
      </c>
      <c r="H2648" t="s">
        <v>75</v>
      </c>
      <c r="I2648" t="s">
        <v>76</v>
      </c>
      <c r="J2648" t="s">
        <v>77</v>
      </c>
      <c r="K2648" t="s">
        <v>78</v>
      </c>
      <c r="L2648" t="s">
        <v>168</v>
      </c>
      <c r="M2648" t="s">
        <v>169</v>
      </c>
      <c r="N2648" t="s">
        <v>206</v>
      </c>
      <c r="O2648" t="s">
        <v>82</v>
      </c>
      <c r="P2648" t="str">
        <f>"4170049507                    "</f>
        <v xml:space="preserve">4170049507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90.34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8</v>
      </c>
      <c r="BJ2648">
        <v>7.9</v>
      </c>
      <c r="BK2648">
        <v>8</v>
      </c>
      <c r="BL2648">
        <v>284.62</v>
      </c>
      <c r="BM2648">
        <v>42.69</v>
      </c>
      <c r="BN2648">
        <v>327.31</v>
      </c>
      <c r="BO2648">
        <v>327.31</v>
      </c>
      <c r="BQ2648" t="s">
        <v>207</v>
      </c>
      <c r="BR2648" t="s">
        <v>84</v>
      </c>
      <c r="BS2648" s="3">
        <v>45859</v>
      </c>
      <c r="BT2648" s="4">
        <v>0.38541666666666669</v>
      </c>
      <c r="BU2648" t="s">
        <v>208</v>
      </c>
      <c r="BV2648" t="s">
        <v>98</v>
      </c>
      <c r="BY2648">
        <v>39744</v>
      </c>
      <c r="CA2648" t="s">
        <v>196</v>
      </c>
      <c r="CC2648" t="s">
        <v>169</v>
      </c>
      <c r="CD2648">
        <v>6001</v>
      </c>
      <c r="CE2648" t="s">
        <v>145</v>
      </c>
      <c r="CF2648" s="3">
        <v>45859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"080066659776"</f>
        <v>080066659776</v>
      </c>
      <c r="F2649" s="3">
        <v>45856</v>
      </c>
      <c r="G2649">
        <v>202604</v>
      </c>
      <c r="H2649" t="s">
        <v>75</v>
      </c>
      <c r="I2649" t="s">
        <v>76</v>
      </c>
      <c r="J2649" t="s">
        <v>77</v>
      </c>
      <c r="K2649" t="s">
        <v>78</v>
      </c>
      <c r="L2649" t="s">
        <v>295</v>
      </c>
      <c r="M2649" t="s">
        <v>296</v>
      </c>
      <c r="N2649" t="s">
        <v>539</v>
      </c>
      <c r="O2649" t="s">
        <v>82</v>
      </c>
      <c r="P2649" t="str">
        <f>"4170049415                    "</f>
        <v xml:space="preserve">4170049415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17.649999999999999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0.9</v>
      </c>
      <c r="BK2649">
        <v>1</v>
      </c>
      <c r="BL2649">
        <v>55.61</v>
      </c>
      <c r="BM2649">
        <v>8.34</v>
      </c>
      <c r="BN2649">
        <v>63.95</v>
      </c>
      <c r="BO2649">
        <v>63.95</v>
      </c>
      <c r="BQ2649" t="s">
        <v>540</v>
      </c>
      <c r="BR2649" t="s">
        <v>84</v>
      </c>
      <c r="BS2649" s="3">
        <v>45859</v>
      </c>
      <c r="BT2649" s="4">
        <v>0.32083333333333336</v>
      </c>
      <c r="BU2649" t="s">
        <v>541</v>
      </c>
      <c r="BV2649" t="s">
        <v>98</v>
      </c>
      <c r="BY2649">
        <v>4560</v>
      </c>
      <c r="CA2649" t="s">
        <v>300</v>
      </c>
      <c r="CC2649" t="s">
        <v>296</v>
      </c>
      <c r="CD2649">
        <v>1459</v>
      </c>
      <c r="CE2649" t="s">
        <v>145</v>
      </c>
      <c r="CF2649" s="3">
        <v>45860</v>
      </c>
      <c r="CI2649">
        <v>1</v>
      </c>
      <c r="CJ2649">
        <v>1</v>
      </c>
      <c r="CK2649">
        <v>22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"080066659836"</f>
        <v>080066659836</v>
      </c>
      <c r="F2650" s="3">
        <v>45856</v>
      </c>
      <c r="G2650">
        <v>202604</v>
      </c>
      <c r="H2650" t="s">
        <v>75</v>
      </c>
      <c r="I2650" t="s">
        <v>76</v>
      </c>
      <c r="J2650" t="s">
        <v>77</v>
      </c>
      <c r="K2650" t="s">
        <v>78</v>
      </c>
      <c r="L2650" t="s">
        <v>75</v>
      </c>
      <c r="M2650" t="s">
        <v>76</v>
      </c>
      <c r="N2650" t="s">
        <v>118</v>
      </c>
      <c r="O2650" t="s">
        <v>311</v>
      </c>
      <c r="P2650" t="str">
        <f>"4170049603                    "</f>
        <v xml:space="preserve">4170049603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23.6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11</v>
      </c>
      <c r="BJ2650">
        <v>3.1</v>
      </c>
      <c r="BK2650">
        <v>11</v>
      </c>
      <c r="BL2650">
        <v>74.349999999999994</v>
      </c>
      <c r="BM2650">
        <v>11.15</v>
      </c>
      <c r="BN2650">
        <v>85.5</v>
      </c>
      <c r="BO2650">
        <v>85.5</v>
      </c>
      <c r="BQ2650" t="s">
        <v>119</v>
      </c>
      <c r="BR2650" t="s">
        <v>84</v>
      </c>
      <c r="BS2650" s="3">
        <v>45859</v>
      </c>
      <c r="BT2650" s="4">
        <v>0.31319444444444444</v>
      </c>
      <c r="BU2650" t="s">
        <v>120</v>
      </c>
      <c r="BV2650" t="s">
        <v>98</v>
      </c>
      <c r="BY2650">
        <v>15680</v>
      </c>
      <c r="CC2650" t="s">
        <v>76</v>
      </c>
      <c r="CD2650">
        <v>1600</v>
      </c>
      <c r="CE2650" t="s">
        <v>91</v>
      </c>
      <c r="CF2650" s="3">
        <v>45860</v>
      </c>
      <c r="CI2650">
        <v>1</v>
      </c>
      <c r="CJ2650">
        <v>1</v>
      </c>
      <c r="CK2650">
        <v>32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"080066659872"</f>
        <v>080066659872</v>
      </c>
      <c r="F2651" s="3">
        <v>45856</v>
      </c>
      <c r="G2651">
        <v>202604</v>
      </c>
      <c r="H2651" t="s">
        <v>75</v>
      </c>
      <c r="I2651" t="s">
        <v>76</v>
      </c>
      <c r="J2651" t="s">
        <v>77</v>
      </c>
      <c r="K2651" t="s">
        <v>78</v>
      </c>
      <c r="L2651" t="s">
        <v>75</v>
      </c>
      <c r="M2651" t="s">
        <v>76</v>
      </c>
      <c r="N2651" t="s">
        <v>2343</v>
      </c>
      <c r="O2651" t="s">
        <v>82</v>
      </c>
      <c r="P2651" t="str">
        <f>"4170049509                    "</f>
        <v xml:space="preserve">4170049509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17.649999999999999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</v>
      </c>
      <c r="BJ2651">
        <v>3.1</v>
      </c>
      <c r="BK2651">
        <v>4</v>
      </c>
      <c r="BL2651">
        <v>55.61</v>
      </c>
      <c r="BM2651">
        <v>8.34</v>
      </c>
      <c r="BN2651">
        <v>63.95</v>
      </c>
      <c r="BO2651">
        <v>63.95</v>
      </c>
      <c r="BQ2651" t="s">
        <v>2344</v>
      </c>
      <c r="BR2651" t="s">
        <v>84</v>
      </c>
      <c r="BS2651" s="3">
        <v>45859</v>
      </c>
      <c r="BT2651" s="4">
        <v>0.4375</v>
      </c>
      <c r="BU2651" t="s">
        <v>2514</v>
      </c>
      <c r="BV2651" t="s">
        <v>98</v>
      </c>
      <c r="BY2651">
        <v>15360</v>
      </c>
      <c r="CA2651" t="s">
        <v>1799</v>
      </c>
      <c r="CC2651" t="s">
        <v>76</v>
      </c>
      <c r="CD2651">
        <v>1614</v>
      </c>
      <c r="CE2651" t="s">
        <v>145</v>
      </c>
      <c r="CF2651" s="3">
        <v>45860</v>
      </c>
      <c r="CI2651">
        <v>1</v>
      </c>
      <c r="CJ2651">
        <v>1</v>
      </c>
      <c r="CK2651">
        <v>22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"080066659977"</f>
        <v>080066659977</v>
      </c>
      <c r="F2652" s="3">
        <v>45856</v>
      </c>
      <c r="G2652">
        <v>202604</v>
      </c>
      <c r="H2652" t="s">
        <v>75</v>
      </c>
      <c r="I2652" t="s">
        <v>76</v>
      </c>
      <c r="J2652" t="s">
        <v>77</v>
      </c>
      <c r="K2652" t="s">
        <v>78</v>
      </c>
      <c r="L2652" t="s">
        <v>79</v>
      </c>
      <c r="M2652" t="s">
        <v>80</v>
      </c>
      <c r="N2652" t="s">
        <v>492</v>
      </c>
      <c r="O2652" t="s">
        <v>82</v>
      </c>
      <c r="P2652" t="str">
        <f>"4170049552                    "</f>
        <v xml:space="preserve">4170049552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45.18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4</v>
      </c>
      <c r="BJ2652">
        <v>2</v>
      </c>
      <c r="BK2652">
        <v>4</v>
      </c>
      <c r="BL2652">
        <v>142.34</v>
      </c>
      <c r="BM2652">
        <v>21.35</v>
      </c>
      <c r="BN2652">
        <v>163.69</v>
      </c>
      <c r="BO2652">
        <v>163.69</v>
      </c>
      <c r="BQ2652" t="s">
        <v>493</v>
      </c>
      <c r="BR2652" t="s">
        <v>84</v>
      </c>
      <c r="BS2652" s="3">
        <v>45859</v>
      </c>
      <c r="BT2652" s="4">
        <v>0.42430555555555555</v>
      </c>
      <c r="BU2652" t="s">
        <v>494</v>
      </c>
      <c r="BV2652" t="s">
        <v>98</v>
      </c>
      <c r="BY2652">
        <v>10192</v>
      </c>
      <c r="CA2652" t="s">
        <v>495</v>
      </c>
      <c r="CC2652" t="s">
        <v>80</v>
      </c>
      <c r="CD2652">
        <v>7800</v>
      </c>
      <c r="CE2652" t="s">
        <v>91</v>
      </c>
      <c r="CF2652" s="3">
        <v>45860</v>
      </c>
      <c r="CI2652">
        <v>1</v>
      </c>
      <c r="CJ2652">
        <v>1</v>
      </c>
      <c r="CK2652">
        <v>21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"080066660085"</f>
        <v>080066660085</v>
      </c>
      <c r="F2653" s="3">
        <v>45856</v>
      </c>
      <c r="G2653">
        <v>202604</v>
      </c>
      <c r="H2653" t="s">
        <v>75</v>
      </c>
      <c r="I2653" t="s">
        <v>76</v>
      </c>
      <c r="J2653" t="s">
        <v>77</v>
      </c>
      <c r="K2653" t="s">
        <v>78</v>
      </c>
      <c r="L2653" t="s">
        <v>503</v>
      </c>
      <c r="M2653" t="s">
        <v>504</v>
      </c>
      <c r="N2653" t="s">
        <v>505</v>
      </c>
      <c r="O2653" t="s">
        <v>82</v>
      </c>
      <c r="P2653" t="str">
        <f>"4170049516                    "</f>
        <v xml:space="preserve">4170049516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122.87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6</v>
      </c>
      <c r="BJ2653">
        <v>3.1</v>
      </c>
      <c r="BK2653">
        <v>6</v>
      </c>
      <c r="BL2653">
        <v>387.11</v>
      </c>
      <c r="BM2653">
        <v>58.07</v>
      </c>
      <c r="BN2653">
        <v>445.18</v>
      </c>
      <c r="BO2653">
        <v>445.18</v>
      </c>
      <c r="BQ2653" t="s">
        <v>506</v>
      </c>
      <c r="BR2653" t="s">
        <v>84</v>
      </c>
      <c r="BS2653" s="3">
        <v>45859</v>
      </c>
      <c r="BT2653" s="4">
        <v>0.4909722222222222</v>
      </c>
      <c r="BU2653" t="s">
        <v>507</v>
      </c>
      <c r="BV2653" t="s">
        <v>98</v>
      </c>
      <c r="BY2653">
        <v>15360</v>
      </c>
      <c r="CA2653" t="s">
        <v>508</v>
      </c>
      <c r="CC2653" t="s">
        <v>504</v>
      </c>
      <c r="CD2653">
        <v>7130</v>
      </c>
      <c r="CE2653" t="s">
        <v>145</v>
      </c>
      <c r="CF2653" s="3">
        <v>45860</v>
      </c>
      <c r="CI2653">
        <v>1</v>
      </c>
      <c r="CJ2653">
        <v>1</v>
      </c>
      <c r="CK2653">
        <v>23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"080066660129"</f>
        <v>080066660129</v>
      </c>
      <c r="F2654" s="3">
        <v>45856</v>
      </c>
      <c r="G2654">
        <v>202604</v>
      </c>
      <c r="H2654" t="s">
        <v>75</v>
      </c>
      <c r="I2654" t="s">
        <v>76</v>
      </c>
      <c r="J2654" t="s">
        <v>77</v>
      </c>
      <c r="K2654" t="s">
        <v>78</v>
      </c>
      <c r="L2654" t="s">
        <v>75</v>
      </c>
      <c r="M2654" t="s">
        <v>76</v>
      </c>
      <c r="N2654" t="s">
        <v>701</v>
      </c>
      <c r="O2654" t="s">
        <v>82</v>
      </c>
      <c r="P2654" t="str">
        <f>"4170049385                    "</f>
        <v xml:space="preserve">4170049385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17.649999999999999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1.9</v>
      </c>
      <c r="BK2654">
        <v>2</v>
      </c>
      <c r="BL2654">
        <v>55.61</v>
      </c>
      <c r="BM2654">
        <v>8.34</v>
      </c>
      <c r="BN2654">
        <v>63.95</v>
      </c>
      <c r="BO2654">
        <v>63.95</v>
      </c>
      <c r="BQ2654" t="s">
        <v>702</v>
      </c>
      <c r="BR2654" t="s">
        <v>84</v>
      </c>
      <c r="BS2654" s="3">
        <v>45859</v>
      </c>
      <c r="BT2654" s="4">
        <v>0.39166666666666666</v>
      </c>
      <c r="BU2654" t="s">
        <v>2911</v>
      </c>
      <c r="BV2654" t="s">
        <v>98</v>
      </c>
      <c r="BY2654">
        <v>9600</v>
      </c>
      <c r="CA2654" t="s">
        <v>617</v>
      </c>
      <c r="CC2654" t="s">
        <v>76</v>
      </c>
      <c r="CD2654">
        <v>1645</v>
      </c>
      <c r="CE2654" t="s">
        <v>145</v>
      </c>
      <c r="CF2654" s="3">
        <v>45860</v>
      </c>
      <c r="CI2654">
        <v>1</v>
      </c>
      <c r="CJ2654">
        <v>1</v>
      </c>
      <c r="CK2654">
        <v>22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"080066660190"</f>
        <v>080066660190</v>
      </c>
      <c r="F2655" s="3">
        <v>45856</v>
      </c>
      <c r="G2655">
        <v>202604</v>
      </c>
      <c r="H2655" t="s">
        <v>75</v>
      </c>
      <c r="I2655" t="s">
        <v>76</v>
      </c>
      <c r="J2655" t="s">
        <v>77</v>
      </c>
      <c r="K2655" t="s">
        <v>78</v>
      </c>
      <c r="L2655" t="s">
        <v>427</v>
      </c>
      <c r="M2655" t="s">
        <v>428</v>
      </c>
      <c r="N2655" t="s">
        <v>429</v>
      </c>
      <c r="O2655" t="s">
        <v>82</v>
      </c>
      <c r="P2655" t="str">
        <f>"4170049511                    "</f>
        <v xml:space="preserve">4170049511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73.44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2</v>
      </c>
      <c r="BJ2655">
        <v>3.1</v>
      </c>
      <c r="BK2655">
        <v>3.5</v>
      </c>
      <c r="BL2655">
        <v>231.38</v>
      </c>
      <c r="BM2655">
        <v>34.71</v>
      </c>
      <c r="BN2655">
        <v>266.08999999999997</v>
      </c>
      <c r="BO2655">
        <v>266.08999999999997</v>
      </c>
      <c r="BQ2655" t="s">
        <v>430</v>
      </c>
      <c r="BR2655" t="s">
        <v>84</v>
      </c>
      <c r="BS2655" s="3">
        <v>45859</v>
      </c>
      <c r="BT2655" s="4">
        <v>0.61944444444444446</v>
      </c>
      <c r="BU2655" t="s">
        <v>2948</v>
      </c>
      <c r="BV2655" t="s">
        <v>98</v>
      </c>
      <c r="BY2655">
        <v>15360</v>
      </c>
      <c r="CA2655" t="s">
        <v>432</v>
      </c>
      <c r="CC2655" t="s">
        <v>428</v>
      </c>
      <c r="CD2655">
        <v>9880</v>
      </c>
      <c r="CE2655" t="s">
        <v>145</v>
      </c>
      <c r="CF2655" s="3">
        <v>45860</v>
      </c>
      <c r="CI2655">
        <v>1</v>
      </c>
      <c r="CJ2655">
        <v>1</v>
      </c>
      <c r="CK2655">
        <v>23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"080066660221"</f>
        <v>080066660221</v>
      </c>
      <c r="F2656" s="3">
        <v>45856</v>
      </c>
      <c r="G2656">
        <v>202604</v>
      </c>
      <c r="H2656" t="s">
        <v>75</v>
      </c>
      <c r="I2656" t="s">
        <v>76</v>
      </c>
      <c r="J2656" t="s">
        <v>77</v>
      </c>
      <c r="K2656" t="s">
        <v>78</v>
      </c>
      <c r="L2656" t="s">
        <v>168</v>
      </c>
      <c r="M2656" t="s">
        <v>169</v>
      </c>
      <c r="N2656" t="s">
        <v>206</v>
      </c>
      <c r="O2656" t="s">
        <v>82</v>
      </c>
      <c r="P2656" t="str">
        <f>"4170049555                    "</f>
        <v xml:space="preserve">4170049555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56.47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5</v>
      </c>
      <c r="BJ2656">
        <v>3.4</v>
      </c>
      <c r="BK2656">
        <v>5</v>
      </c>
      <c r="BL2656">
        <v>177.91</v>
      </c>
      <c r="BM2656">
        <v>26.69</v>
      </c>
      <c r="BN2656">
        <v>204.6</v>
      </c>
      <c r="BO2656">
        <v>204.6</v>
      </c>
      <c r="BQ2656" t="s">
        <v>207</v>
      </c>
      <c r="BR2656" t="s">
        <v>84</v>
      </c>
      <c r="BS2656" s="3">
        <v>45859</v>
      </c>
      <c r="BT2656" s="4">
        <v>0.38541666666666669</v>
      </c>
      <c r="BU2656" t="s">
        <v>208</v>
      </c>
      <c r="BV2656" t="s">
        <v>98</v>
      </c>
      <c r="BY2656">
        <v>16965</v>
      </c>
      <c r="CA2656" t="s">
        <v>196</v>
      </c>
      <c r="CC2656" t="s">
        <v>169</v>
      </c>
      <c r="CD2656">
        <v>6001</v>
      </c>
      <c r="CE2656" t="s">
        <v>145</v>
      </c>
      <c r="CF2656" s="3">
        <v>45859</v>
      </c>
      <c r="CI2656">
        <v>1</v>
      </c>
      <c r="CJ2656">
        <v>1</v>
      </c>
      <c r="CK2656">
        <v>21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"080066660260"</f>
        <v>080066660260</v>
      </c>
      <c r="F2657" s="3">
        <v>45856</v>
      </c>
      <c r="G2657">
        <v>202604</v>
      </c>
      <c r="H2657" t="s">
        <v>75</v>
      </c>
      <c r="I2657" t="s">
        <v>76</v>
      </c>
      <c r="J2657" t="s">
        <v>77</v>
      </c>
      <c r="K2657" t="s">
        <v>78</v>
      </c>
      <c r="L2657" t="s">
        <v>168</v>
      </c>
      <c r="M2657" t="s">
        <v>169</v>
      </c>
      <c r="N2657" t="s">
        <v>206</v>
      </c>
      <c r="O2657" t="s">
        <v>82</v>
      </c>
      <c r="P2657" t="str">
        <f>"4170049532                    "</f>
        <v xml:space="preserve">4170049532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22.6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0.6</v>
      </c>
      <c r="BK2657">
        <v>1</v>
      </c>
      <c r="BL2657">
        <v>71.2</v>
      </c>
      <c r="BM2657">
        <v>10.68</v>
      </c>
      <c r="BN2657">
        <v>81.88</v>
      </c>
      <c r="BO2657">
        <v>81.88</v>
      </c>
      <c r="BQ2657" t="s">
        <v>207</v>
      </c>
      <c r="BR2657" t="s">
        <v>84</v>
      </c>
      <c r="BS2657" s="3">
        <v>45859</v>
      </c>
      <c r="BT2657" s="4">
        <v>0.38541666666666669</v>
      </c>
      <c r="BU2657" t="s">
        <v>208</v>
      </c>
      <c r="BV2657" t="s">
        <v>98</v>
      </c>
      <c r="BY2657">
        <v>3192</v>
      </c>
      <c r="CA2657" t="s">
        <v>196</v>
      </c>
      <c r="CC2657" t="s">
        <v>169</v>
      </c>
      <c r="CD2657">
        <v>6001</v>
      </c>
      <c r="CE2657" t="s">
        <v>145</v>
      </c>
      <c r="CF2657" s="3">
        <v>45859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"080066660297"</f>
        <v>080066660297</v>
      </c>
      <c r="F2658" s="3">
        <v>45856</v>
      </c>
      <c r="G2658">
        <v>202604</v>
      </c>
      <c r="H2658" t="s">
        <v>75</v>
      </c>
      <c r="I2658" t="s">
        <v>76</v>
      </c>
      <c r="J2658" t="s">
        <v>77</v>
      </c>
      <c r="K2658" t="s">
        <v>78</v>
      </c>
      <c r="L2658" t="s">
        <v>92</v>
      </c>
      <c r="M2658" t="s">
        <v>93</v>
      </c>
      <c r="N2658" t="s">
        <v>334</v>
      </c>
      <c r="O2658" t="s">
        <v>82</v>
      </c>
      <c r="P2658" t="str">
        <f>"4170049493                    "</f>
        <v xml:space="preserve">4170049493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169.37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2</v>
      </c>
      <c r="BI2658">
        <v>15</v>
      </c>
      <c r="BJ2658">
        <v>9</v>
      </c>
      <c r="BK2658">
        <v>15</v>
      </c>
      <c r="BL2658">
        <v>533.61</v>
      </c>
      <c r="BM2658">
        <v>80.040000000000006</v>
      </c>
      <c r="BN2658">
        <v>613.65</v>
      </c>
      <c r="BO2658">
        <v>613.65</v>
      </c>
      <c r="BQ2658" t="s">
        <v>335</v>
      </c>
      <c r="BR2658" t="s">
        <v>84</v>
      </c>
      <c r="BS2658" s="3">
        <v>45859</v>
      </c>
      <c r="BT2658" s="4">
        <v>0.39583333333333331</v>
      </c>
      <c r="BU2658" t="s">
        <v>2897</v>
      </c>
      <c r="BV2658" t="s">
        <v>98</v>
      </c>
      <c r="BY2658">
        <v>45152</v>
      </c>
      <c r="CA2658" t="s">
        <v>337</v>
      </c>
      <c r="CC2658" t="s">
        <v>93</v>
      </c>
      <c r="CD2658">
        <v>4052</v>
      </c>
      <c r="CE2658" t="s">
        <v>91</v>
      </c>
      <c r="CF2658" s="3">
        <v>45859</v>
      </c>
      <c r="CI2658">
        <v>1</v>
      </c>
      <c r="CJ2658">
        <v>1</v>
      </c>
      <c r="CK2658">
        <v>21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"080011557933"</f>
        <v>080011557933</v>
      </c>
      <c r="F2659" s="3">
        <v>45842</v>
      </c>
      <c r="G2659">
        <v>202604</v>
      </c>
      <c r="H2659" t="s">
        <v>128</v>
      </c>
      <c r="I2659" t="s">
        <v>129</v>
      </c>
      <c r="J2659" t="s">
        <v>2949</v>
      </c>
      <c r="K2659" t="s">
        <v>78</v>
      </c>
      <c r="L2659" t="s">
        <v>75</v>
      </c>
      <c r="M2659" t="s">
        <v>76</v>
      </c>
      <c r="N2659" t="s">
        <v>228</v>
      </c>
      <c r="O2659" t="s">
        <v>95</v>
      </c>
      <c r="P2659" t="str">
        <f>"ZA1001394458                  "</f>
        <v xml:space="preserve">ZA1001394458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152.93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18.600000000000001</v>
      </c>
      <c r="BJ2659">
        <v>43.2</v>
      </c>
      <c r="BK2659">
        <v>44</v>
      </c>
      <c r="BL2659">
        <v>487.68</v>
      </c>
      <c r="BM2659">
        <v>73.150000000000006</v>
      </c>
      <c r="BN2659">
        <v>560.83000000000004</v>
      </c>
      <c r="BO2659">
        <v>560.83000000000004</v>
      </c>
      <c r="BP2659" t="s">
        <v>2950</v>
      </c>
      <c r="BQ2659" t="s">
        <v>230</v>
      </c>
      <c r="BR2659" t="s">
        <v>2951</v>
      </c>
      <c r="BS2659" s="3">
        <v>45845</v>
      </c>
      <c r="BT2659" s="4">
        <v>0.41666666666666669</v>
      </c>
      <c r="BU2659" t="s">
        <v>2650</v>
      </c>
      <c r="BV2659" t="s">
        <v>98</v>
      </c>
      <c r="BY2659">
        <v>216000</v>
      </c>
      <c r="BZ2659" t="s">
        <v>108</v>
      </c>
      <c r="CC2659" t="s">
        <v>76</v>
      </c>
      <c r="CD2659">
        <v>1619</v>
      </c>
      <c r="CE2659" t="s">
        <v>233</v>
      </c>
      <c r="CF2659" s="3">
        <v>45845</v>
      </c>
      <c r="CI2659">
        <v>1</v>
      </c>
      <c r="CJ2659">
        <v>1</v>
      </c>
      <c r="CK2659">
        <v>43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"R080066286711"</f>
        <v>R080066286711</v>
      </c>
      <c r="F2660" s="3">
        <v>45842</v>
      </c>
      <c r="G2660">
        <v>202604</v>
      </c>
      <c r="H2660" t="s">
        <v>530</v>
      </c>
      <c r="I2660" t="s">
        <v>531</v>
      </c>
      <c r="J2660" t="s">
        <v>532</v>
      </c>
      <c r="K2660" t="s">
        <v>78</v>
      </c>
      <c r="L2660" t="s">
        <v>530</v>
      </c>
      <c r="M2660" t="s">
        <v>531</v>
      </c>
      <c r="N2660" t="s">
        <v>532</v>
      </c>
      <c r="O2660" t="s">
        <v>95</v>
      </c>
      <c r="P2660" t="str">
        <f>"4170046358                    "</f>
        <v xml:space="preserve">4170046358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153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69</v>
      </c>
      <c r="BJ2660">
        <v>135.80000000000001</v>
      </c>
      <c r="BK2660">
        <v>136</v>
      </c>
      <c r="BL2660">
        <v>487.91</v>
      </c>
      <c r="BM2660">
        <v>73.19</v>
      </c>
      <c r="BN2660">
        <v>561.1</v>
      </c>
      <c r="BO2660">
        <v>561.1</v>
      </c>
      <c r="BQ2660" t="s">
        <v>2952</v>
      </c>
      <c r="BR2660" t="s">
        <v>533</v>
      </c>
      <c r="BS2660" s="3">
        <v>45846</v>
      </c>
      <c r="BT2660" s="4">
        <v>0.51944444444444449</v>
      </c>
      <c r="BU2660" t="s">
        <v>2953</v>
      </c>
      <c r="BV2660" t="s">
        <v>86</v>
      </c>
      <c r="BY2660">
        <v>678960</v>
      </c>
      <c r="BZ2660" t="s">
        <v>108</v>
      </c>
      <c r="CA2660" t="s">
        <v>522</v>
      </c>
      <c r="CC2660" t="s">
        <v>531</v>
      </c>
      <c r="CD2660">
        <v>1541</v>
      </c>
      <c r="CE2660" t="s">
        <v>536</v>
      </c>
      <c r="CF2660" s="3">
        <v>45847</v>
      </c>
      <c r="CI2660">
        <v>1</v>
      </c>
      <c r="CJ2660">
        <v>2</v>
      </c>
      <c r="CK2660">
        <v>42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"080066394891"</f>
        <v>080066394891</v>
      </c>
      <c r="F2661" s="3">
        <v>45845</v>
      </c>
      <c r="G2661">
        <v>202604</v>
      </c>
      <c r="H2661" t="s">
        <v>75</v>
      </c>
      <c r="I2661" t="s">
        <v>76</v>
      </c>
      <c r="J2661" t="s">
        <v>77</v>
      </c>
      <c r="K2661" t="s">
        <v>78</v>
      </c>
      <c r="L2661" t="s">
        <v>92</v>
      </c>
      <c r="M2661" t="s">
        <v>93</v>
      </c>
      <c r="N2661" t="s">
        <v>2954</v>
      </c>
      <c r="O2661" t="s">
        <v>95</v>
      </c>
      <c r="P2661" t="str">
        <f>"4170045463                    "</f>
        <v xml:space="preserve">4170045463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87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3</v>
      </c>
      <c r="BI2661">
        <v>39</v>
      </c>
      <c r="BJ2661">
        <v>17.8</v>
      </c>
      <c r="BK2661">
        <v>39</v>
      </c>
      <c r="BL2661">
        <v>279.97000000000003</v>
      </c>
      <c r="BM2661">
        <v>42</v>
      </c>
      <c r="BN2661">
        <v>321.97000000000003</v>
      </c>
      <c r="BO2661">
        <v>321.97000000000003</v>
      </c>
      <c r="BQ2661" t="s">
        <v>2955</v>
      </c>
      <c r="BR2661" t="s">
        <v>84</v>
      </c>
      <c r="BS2661" s="3">
        <v>45848</v>
      </c>
      <c r="BT2661" s="4">
        <v>0.3840277777777778</v>
      </c>
      <c r="BU2661" t="s">
        <v>2956</v>
      </c>
      <c r="BV2661" t="s">
        <v>86</v>
      </c>
      <c r="BW2661" t="s">
        <v>194</v>
      </c>
      <c r="BX2661" t="s">
        <v>1174</v>
      </c>
      <c r="BY2661">
        <v>29624</v>
      </c>
      <c r="BZ2661" t="s">
        <v>108</v>
      </c>
      <c r="CA2661" t="s">
        <v>337</v>
      </c>
      <c r="CC2661" t="s">
        <v>93</v>
      </c>
      <c r="CD2661">
        <v>4052</v>
      </c>
      <c r="CE2661" t="s">
        <v>1495</v>
      </c>
      <c r="CF2661" s="3">
        <v>45848</v>
      </c>
      <c r="CI2661">
        <v>1</v>
      </c>
      <c r="CJ2661">
        <v>3</v>
      </c>
      <c r="CK2661">
        <v>41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"080066689743"</f>
        <v>080066689743</v>
      </c>
      <c r="F2662" s="3">
        <v>45859</v>
      </c>
      <c r="G2662">
        <v>202604</v>
      </c>
      <c r="H2662" t="s">
        <v>75</v>
      </c>
      <c r="I2662" t="s">
        <v>76</v>
      </c>
      <c r="J2662" t="s">
        <v>77</v>
      </c>
      <c r="K2662" t="s">
        <v>78</v>
      </c>
      <c r="L2662" t="s">
        <v>1291</v>
      </c>
      <c r="M2662" t="s">
        <v>1292</v>
      </c>
      <c r="N2662" t="s">
        <v>1293</v>
      </c>
      <c r="O2662" t="s">
        <v>82</v>
      </c>
      <c r="P2662" t="str">
        <f>"4170049394                    "</f>
        <v xml:space="preserve">4170049394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43.78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137.94</v>
      </c>
      <c r="BM2662">
        <v>20.69</v>
      </c>
      <c r="BN2662">
        <v>158.63</v>
      </c>
      <c r="BO2662">
        <v>158.63</v>
      </c>
      <c r="BQ2662" t="s">
        <v>1294</v>
      </c>
      <c r="BR2662" t="s">
        <v>84</v>
      </c>
      <c r="BS2662" s="3">
        <v>45860</v>
      </c>
      <c r="BT2662" s="4">
        <v>0.63680555555555551</v>
      </c>
      <c r="BU2662" t="s">
        <v>2570</v>
      </c>
      <c r="BV2662" t="s">
        <v>98</v>
      </c>
      <c r="BY2662">
        <v>1200</v>
      </c>
      <c r="CA2662" t="s">
        <v>1296</v>
      </c>
      <c r="CC2662" t="s">
        <v>1292</v>
      </c>
      <c r="CD2662">
        <v>3370</v>
      </c>
      <c r="CE2662" t="s">
        <v>121</v>
      </c>
      <c r="CF2662" s="3">
        <v>45861</v>
      </c>
      <c r="CI2662">
        <v>2</v>
      </c>
      <c r="CJ2662">
        <v>1</v>
      </c>
      <c r="CK2662">
        <v>23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"080066689830"</f>
        <v>080066689830</v>
      </c>
      <c r="F2663" s="3">
        <v>45859</v>
      </c>
      <c r="G2663">
        <v>202604</v>
      </c>
      <c r="H2663" t="s">
        <v>75</v>
      </c>
      <c r="I2663" t="s">
        <v>76</v>
      </c>
      <c r="J2663" t="s">
        <v>77</v>
      </c>
      <c r="K2663" t="s">
        <v>78</v>
      </c>
      <c r="L2663" t="s">
        <v>197</v>
      </c>
      <c r="M2663" t="s">
        <v>198</v>
      </c>
      <c r="N2663" t="s">
        <v>1192</v>
      </c>
      <c r="O2663" t="s">
        <v>82</v>
      </c>
      <c r="P2663" t="str">
        <f>"4170049731                    "</f>
        <v xml:space="preserve">4170049731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17.649999999999999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55.61</v>
      </c>
      <c r="BM2663">
        <v>8.34</v>
      </c>
      <c r="BN2663">
        <v>63.95</v>
      </c>
      <c r="BO2663">
        <v>63.95</v>
      </c>
      <c r="BQ2663" t="s">
        <v>1193</v>
      </c>
      <c r="BR2663" t="s">
        <v>84</v>
      </c>
      <c r="BS2663" s="3">
        <v>45860</v>
      </c>
      <c r="BT2663" s="4">
        <v>0.3576388888888889</v>
      </c>
      <c r="BU2663" t="s">
        <v>2887</v>
      </c>
      <c r="BV2663" t="s">
        <v>98</v>
      </c>
      <c r="BY2663">
        <v>1200</v>
      </c>
      <c r="CA2663" t="s">
        <v>318</v>
      </c>
      <c r="CC2663" t="s">
        <v>198</v>
      </c>
      <c r="CD2663">
        <v>1428</v>
      </c>
      <c r="CE2663" t="s">
        <v>121</v>
      </c>
      <c r="CF2663" s="3">
        <v>45860</v>
      </c>
      <c r="CI2663">
        <v>1</v>
      </c>
      <c r="CJ2663">
        <v>1</v>
      </c>
      <c r="CK2663">
        <v>22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"080066689811"</f>
        <v>080066689811</v>
      </c>
      <c r="F2664" s="3">
        <v>45859</v>
      </c>
      <c r="G2664">
        <v>202604</v>
      </c>
      <c r="H2664" t="s">
        <v>75</v>
      </c>
      <c r="I2664" t="s">
        <v>76</v>
      </c>
      <c r="J2664" t="s">
        <v>77</v>
      </c>
      <c r="K2664" t="s">
        <v>78</v>
      </c>
      <c r="L2664" t="s">
        <v>168</v>
      </c>
      <c r="M2664" t="s">
        <v>169</v>
      </c>
      <c r="N2664" t="s">
        <v>206</v>
      </c>
      <c r="O2664" t="s">
        <v>82</v>
      </c>
      <c r="P2664" t="str">
        <f>"4170049668                    "</f>
        <v xml:space="preserve">4170049668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22.6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71.2</v>
      </c>
      <c r="BM2664">
        <v>10.68</v>
      </c>
      <c r="BN2664">
        <v>81.88</v>
      </c>
      <c r="BO2664">
        <v>81.88</v>
      </c>
      <c r="BQ2664" t="s">
        <v>207</v>
      </c>
      <c r="BR2664" t="s">
        <v>84</v>
      </c>
      <c r="BS2664" s="3">
        <v>45861</v>
      </c>
      <c r="BT2664" s="4">
        <v>0.40138888888888891</v>
      </c>
      <c r="BU2664" t="s">
        <v>2957</v>
      </c>
      <c r="BV2664" t="s">
        <v>86</v>
      </c>
      <c r="BW2664" t="s">
        <v>194</v>
      </c>
      <c r="BX2664" t="s">
        <v>816</v>
      </c>
      <c r="BY2664">
        <v>1200</v>
      </c>
      <c r="CA2664" t="s">
        <v>196</v>
      </c>
      <c r="CC2664" t="s">
        <v>169</v>
      </c>
      <c r="CD2664">
        <v>6001</v>
      </c>
      <c r="CE2664" t="s">
        <v>121</v>
      </c>
      <c r="CF2664" s="3">
        <v>45861</v>
      </c>
      <c r="CI2664">
        <v>1</v>
      </c>
      <c r="CJ2664">
        <v>2</v>
      </c>
      <c r="CK2664">
        <v>21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"080066688190"</f>
        <v>080066688190</v>
      </c>
      <c r="F2665" s="3">
        <v>45859</v>
      </c>
      <c r="G2665">
        <v>202604</v>
      </c>
      <c r="H2665" t="s">
        <v>75</v>
      </c>
      <c r="I2665" t="s">
        <v>76</v>
      </c>
      <c r="J2665" t="s">
        <v>77</v>
      </c>
      <c r="K2665" t="s">
        <v>78</v>
      </c>
      <c r="L2665" t="s">
        <v>102</v>
      </c>
      <c r="M2665" t="s">
        <v>103</v>
      </c>
      <c r="N2665" t="s">
        <v>104</v>
      </c>
      <c r="O2665" t="s">
        <v>82</v>
      </c>
      <c r="P2665" t="str">
        <f>"4170049531                    "</f>
        <v xml:space="preserve">4170049531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31.78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100.13</v>
      </c>
      <c r="BM2665">
        <v>15.02</v>
      </c>
      <c r="BN2665">
        <v>115.15</v>
      </c>
      <c r="BO2665">
        <v>115.15</v>
      </c>
      <c r="BQ2665" t="s">
        <v>833</v>
      </c>
      <c r="BR2665" t="s">
        <v>84</v>
      </c>
      <c r="BS2665" s="3">
        <v>45860</v>
      </c>
      <c r="BT2665" s="4">
        <v>0.36736111111111114</v>
      </c>
      <c r="BU2665" t="s">
        <v>796</v>
      </c>
      <c r="BV2665" t="s">
        <v>98</v>
      </c>
      <c r="BY2665">
        <v>1200</v>
      </c>
      <c r="CA2665" t="s">
        <v>2602</v>
      </c>
      <c r="CC2665" t="s">
        <v>103</v>
      </c>
      <c r="CD2665">
        <v>1748</v>
      </c>
      <c r="CE2665" t="s">
        <v>121</v>
      </c>
      <c r="CF2665" s="3">
        <v>45861</v>
      </c>
      <c r="CI2665">
        <v>1</v>
      </c>
      <c r="CJ2665">
        <v>1</v>
      </c>
      <c r="CK2665">
        <v>24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"080066682112"</f>
        <v>080066682112</v>
      </c>
      <c r="F2666" s="3">
        <v>45859</v>
      </c>
      <c r="G2666">
        <v>202604</v>
      </c>
      <c r="H2666" t="s">
        <v>75</v>
      </c>
      <c r="I2666" t="s">
        <v>76</v>
      </c>
      <c r="J2666" t="s">
        <v>77</v>
      </c>
      <c r="K2666" t="s">
        <v>78</v>
      </c>
      <c r="L2666" t="s">
        <v>240</v>
      </c>
      <c r="M2666" t="s">
        <v>241</v>
      </c>
      <c r="N2666" t="s">
        <v>2958</v>
      </c>
      <c r="O2666" t="s">
        <v>95</v>
      </c>
      <c r="P2666" t="str">
        <f>"4170049710                    "</f>
        <v xml:space="preserve">4170049710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102.73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85</v>
      </c>
      <c r="BJ2666">
        <v>81.7</v>
      </c>
      <c r="BK2666">
        <v>85</v>
      </c>
      <c r="BL2666">
        <v>329.52</v>
      </c>
      <c r="BM2666">
        <v>49.43</v>
      </c>
      <c r="BN2666">
        <v>378.95</v>
      </c>
      <c r="BO2666">
        <v>378.95</v>
      </c>
      <c r="BQ2666" t="s">
        <v>2959</v>
      </c>
      <c r="BR2666" t="s">
        <v>84</v>
      </c>
      <c r="BS2666" s="3">
        <v>45860</v>
      </c>
      <c r="BT2666" s="4">
        <v>0.45833333333333331</v>
      </c>
      <c r="BU2666" t="s">
        <v>2960</v>
      </c>
      <c r="BV2666" t="s">
        <v>98</v>
      </c>
      <c r="BY2666">
        <v>408483</v>
      </c>
      <c r="CC2666" t="s">
        <v>241</v>
      </c>
      <c r="CD2666">
        <v>2169</v>
      </c>
      <c r="CE2666" t="s">
        <v>2858</v>
      </c>
      <c r="CF2666" s="3">
        <v>45860</v>
      </c>
      <c r="CI2666">
        <v>1</v>
      </c>
      <c r="CJ2666">
        <v>1</v>
      </c>
      <c r="CK2666">
        <v>42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"080066684466"</f>
        <v>080066684466</v>
      </c>
      <c r="F2667" s="3">
        <v>45859</v>
      </c>
      <c r="G2667">
        <v>202604</v>
      </c>
      <c r="H2667" t="s">
        <v>75</v>
      </c>
      <c r="I2667" t="s">
        <v>76</v>
      </c>
      <c r="J2667" t="s">
        <v>77</v>
      </c>
      <c r="K2667" t="s">
        <v>78</v>
      </c>
      <c r="L2667" t="s">
        <v>580</v>
      </c>
      <c r="M2667" t="s">
        <v>581</v>
      </c>
      <c r="N2667" t="s">
        <v>582</v>
      </c>
      <c r="O2667" t="s">
        <v>82</v>
      </c>
      <c r="P2667" t="str">
        <f>"4170049666                    "</f>
        <v xml:space="preserve">4170049666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39.53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3</v>
      </c>
      <c r="BJ2667">
        <v>3.4</v>
      </c>
      <c r="BK2667">
        <v>3.5</v>
      </c>
      <c r="BL2667">
        <v>124.55</v>
      </c>
      <c r="BM2667">
        <v>18.68</v>
      </c>
      <c r="BN2667">
        <v>143.22999999999999</v>
      </c>
      <c r="BO2667">
        <v>143.22999999999999</v>
      </c>
      <c r="BQ2667" t="s">
        <v>583</v>
      </c>
      <c r="BR2667" t="s">
        <v>84</v>
      </c>
      <c r="BS2667" s="3">
        <v>45860</v>
      </c>
      <c r="BT2667" s="4">
        <v>0.40277777777777779</v>
      </c>
      <c r="BU2667" t="s">
        <v>584</v>
      </c>
      <c r="BV2667" t="s">
        <v>98</v>
      </c>
      <c r="BY2667">
        <v>16965</v>
      </c>
      <c r="CA2667" t="s">
        <v>585</v>
      </c>
      <c r="CC2667" t="s">
        <v>581</v>
      </c>
      <c r="CD2667">
        <v>4302</v>
      </c>
      <c r="CE2667" t="s">
        <v>145</v>
      </c>
      <c r="CF2667" s="3">
        <v>45861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"080066684504"</f>
        <v>080066684504</v>
      </c>
      <c r="F2668" s="3">
        <v>45859</v>
      </c>
      <c r="G2668">
        <v>202604</v>
      </c>
      <c r="H2668" t="s">
        <v>75</v>
      </c>
      <c r="I2668" t="s">
        <v>76</v>
      </c>
      <c r="J2668" t="s">
        <v>77</v>
      </c>
      <c r="K2668" t="s">
        <v>78</v>
      </c>
      <c r="L2668" t="s">
        <v>135</v>
      </c>
      <c r="M2668" t="s">
        <v>136</v>
      </c>
      <c r="N2668" t="s">
        <v>379</v>
      </c>
      <c r="O2668" t="s">
        <v>82</v>
      </c>
      <c r="P2668" t="str">
        <f>"4170049661                    "</f>
        <v xml:space="preserve">4170049661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22.6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1.8</v>
      </c>
      <c r="BK2668">
        <v>2</v>
      </c>
      <c r="BL2668">
        <v>71.2</v>
      </c>
      <c r="BM2668">
        <v>10.68</v>
      </c>
      <c r="BN2668">
        <v>81.88</v>
      </c>
      <c r="BO2668">
        <v>81.88</v>
      </c>
      <c r="BQ2668" t="s">
        <v>380</v>
      </c>
      <c r="BR2668" t="s">
        <v>84</v>
      </c>
      <c r="BS2668" s="3">
        <v>45860</v>
      </c>
      <c r="BT2668" s="4">
        <v>0.41666666666666669</v>
      </c>
      <c r="BU2668" t="s">
        <v>2019</v>
      </c>
      <c r="BV2668" t="s">
        <v>98</v>
      </c>
      <c r="BY2668">
        <v>9044</v>
      </c>
      <c r="CA2668" t="s">
        <v>382</v>
      </c>
      <c r="CC2668" t="s">
        <v>136</v>
      </c>
      <c r="CD2668">
        <v>3212</v>
      </c>
      <c r="CE2668" t="s">
        <v>145</v>
      </c>
      <c r="CF2668" s="3">
        <v>45861</v>
      </c>
      <c r="CI2668">
        <v>2</v>
      </c>
      <c r="CJ2668">
        <v>1</v>
      </c>
      <c r="CK2668">
        <v>21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"080066684831"</f>
        <v>080066684831</v>
      </c>
      <c r="F2669" s="3">
        <v>45859</v>
      </c>
      <c r="G2669">
        <v>202604</v>
      </c>
      <c r="H2669" t="s">
        <v>75</v>
      </c>
      <c r="I2669" t="s">
        <v>76</v>
      </c>
      <c r="J2669" t="s">
        <v>77</v>
      </c>
      <c r="K2669" t="s">
        <v>78</v>
      </c>
      <c r="L2669" t="s">
        <v>79</v>
      </c>
      <c r="M2669" t="s">
        <v>80</v>
      </c>
      <c r="N2669" t="s">
        <v>576</v>
      </c>
      <c r="O2669" t="s">
        <v>82</v>
      </c>
      <c r="P2669" t="str">
        <f>"4170049646                    "</f>
        <v xml:space="preserve">4170049646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22.6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71.2</v>
      </c>
      <c r="BM2669">
        <v>10.68</v>
      </c>
      <c r="BN2669">
        <v>81.88</v>
      </c>
      <c r="BO2669">
        <v>81.88</v>
      </c>
      <c r="BQ2669" t="s">
        <v>577</v>
      </c>
      <c r="BR2669" t="s">
        <v>84</v>
      </c>
      <c r="BS2669" s="3">
        <v>45860</v>
      </c>
      <c r="BT2669" s="4">
        <v>0.39166666666666666</v>
      </c>
      <c r="BU2669" t="s">
        <v>1092</v>
      </c>
      <c r="BV2669" t="s">
        <v>98</v>
      </c>
      <c r="BY2669">
        <v>1200</v>
      </c>
      <c r="CA2669" t="s">
        <v>579</v>
      </c>
      <c r="CC2669" t="s">
        <v>80</v>
      </c>
      <c r="CD2669">
        <v>7480</v>
      </c>
      <c r="CE2669" t="s">
        <v>121</v>
      </c>
      <c r="CF2669" s="3">
        <v>45861</v>
      </c>
      <c r="CI2669">
        <v>1</v>
      </c>
      <c r="CJ2669">
        <v>1</v>
      </c>
      <c r="CK2669">
        <v>21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"080066684856"</f>
        <v>080066684856</v>
      </c>
      <c r="F2670" s="3">
        <v>45859</v>
      </c>
      <c r="G2670">
        <v>202604</v>
      </c>
      <c r="H2670" t="s">
        <v>75</v>
      </c>
      <c r="I2670" t="s">
        <v>76</v>
      </c>
      <c r="J2670" t="s">
        <v>77</v>
      </c>
      <c r="K2670" t="s">
        <v>78</v>
      </c>
      <c r="L2670" t="s">
        <v>168</v>
      </c>
      <c r="M2670" t="s">
        <v>169</v>
      </c>
      <c r="N2670" t="s">
        <v>206</v>
      </c>
      <c r="O2670" t="s">
        <v>82</v>
      </c>
      <c r="P2670" t="str">
        <f>"4170049540                    "</f>
        <v xml:space="preserve">4170049540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22.6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1.6</v>
      </c>
      <c r="BK2670">
        <v>2</v>
      </c>
      <c r="BL2670">
        <v>71.2</v>
      </c>
      <c r="BM2670">
        <v>10.68</v>
      </c>
      <c r="BN2670">
        <v>81.88</v>
      </c>
      <c r="BO2670">
        <v>81.88</v>
      </c>
      <c r="BQ2670" t="s">
        <v>207</v>
      </c>
      <c r="BR2670" t="s">
        <v>84</v>
      </c>
      <c r="BS2670" s="3">
        <v>45860</v>
      </c>
      <c r="BT2670" s="4">
        <v>0.38333333333333336</v>
      </c>
      <c r="BU2670" t="s">
        <v>208</v>
      </c>
      <c r="BV2670" t="s">
        <v>98</v>
      </c>
      <c r="BY2670">
        <v>7980</v>
      </c>
      <c r="CA2670" t="s">
        <v>196</v>
      </c>
      <c r="CC2670" t="s">
        <v>169</v>
      </c>
      <c r="CD2670">
        <v>6001</v>
      </c>
      <c r="CE2670" t="s">
        <v>110</v>
      </c>
      <c r="CF2670" s="3">
        <v>45860</v>
      </c>
      <c r="CI2670">
        <v>1</v>
      </c>
      <c r="CJ2670">
        <v>1</v>
      </c>
      <c r="CK2670">
        <v>21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"080066684987"</f>
        <v>080066684987</v>
      </c>
      <c r="F2671" s="3">
        <v>45859</v>
      </c>
      <c r="G2671">
        <v>202604</v>
      </c>
      <c r="H2671" t="s">
        <v>75</v>
      </c>
      <c r="I2671" t="s">
        <v>76</v>
      </c>
      <c r="J2671" t="s">
        <v>77</v>
      </c>
      <c r="K2671" t="s">
        <v>78</v>
      </c>
      <c r="L2671" t="s">
        <v>503</v>
      </c>
      <c r="M2671" t="s">
        <v>504</v>
      </c>
      <c r="N2671" t="s">
        <v>505</v>
      </c>
      <c r="O2671" t="s">
        <v>82</v>
      </c>
      <c r="P2671" t="str">
        <f>"4170049718                    "</f>
        <v xml:space="preserve">4170049718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43.78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2</v>
      </c>
      <c r="BJ2671">
        <v>1.7</v>
      </c>
      <c r="BK2671">
        <v>2</v>
      </c>
      <c r="BL2671">
        <v>137.94</v>
      </c>
      <c r="BM2671">
        <v>20.69</v>
      </c>
      <c r="BN2671">
        <v>158.63</v>
      </c>
      <c r="BO2671">
        <v>158.63</v>
      </c>
      <c r="BQ2671" t="s">
        <v>506</v>
      </c>
      <c r="BR2671" t="s">
        <v>84</v>
      </c>
      <c r="BS2671" s="3">
        <v>45860</v>
      </c>
      <c r="BT2671" s="4">
        <v>0.43194444444444446</v>
      </c>
      <c r="BU2671" t="s">
        <v>507</v>
      </c>
      <c r="BV2671" t="s">
        <v>98</v>
      </c>
      <c r="BY2671">
        <v>8512</v>
      </c>
      <c r="CA2671" t="s">
        <v>508</v>
      </c>
      <c r="CC2671" t="s">
        <v>504</v>
      </c>
      <c r="CD2671">
        <v>7130</v>
      </c>
      <c r="CE2671" t="s">
        <v>145</v>
      </c>
      <c r="CF2671" s="3">
        <v>45861</v>
      </c>
      <c r="CI2671">
        <v>1</v>
      </c>
      <c r="CJ2671">
        <v>1</v>
      </c>
      <c r="CK2671">
        <v>23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"080066685033"</f>
        <v>080066685033</v>
      </c>
      <c r="F2672" s="3">
        <v>45859</v>
      </c>
      <c r="G2672">
        <v>202604</v>
      </c>
      <c r="H2672" t="s">
        <v>75</v>
      </c>
      <c r="I2672" t="s">
        <v>76</v>
      </c>
      <c r="J2672" t="s">
        <v>77</v>
      </c>
      <c r="K2672" t="s">
        <v>78</v>
      </c>
      <c r="L2672" t="s">
        <v>122</v>
      </c>
      <c r="M2672" t="s">
        <v>123</v>
      </c>
      <c r="N2672" t="s">
        <v>124</v>
      </c>
      <c r="O2672" t="s">
        <v>82</v>
      </c>
      <c r="P2672" t="str">
        <f>"4170049703                    "</f>
        <v xml:space="preserve">4170049703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22.6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0.9</v>
      </c>
      <c r="BK2672">
        <v>1</v>
      </c>
      <c r="BL2672">
        <v>71.2</v>
      </c>
      <c r="BM2672">
        <v>10.68</v>
      </c>
      <c r="BN2672">
        <v>81.88</v>
      </c>
      <c r="BO2672">
        <v>81.88</v>
      </c>
      <c r="BQ2672" t="s">
        <v>125</v>
      </c>
      <c r="BR2672" t="s">
        <v>84</v>
      </c>
      <c r="BS2672" s="3">
        <v>45860</v>
      </c>
      <c r="BT2672" s="4">
        <v>0.45833333333333331</v>
      </c>
      <c r="BU2672" t="s">
        <v>2961</v>
      </c>
      <c r="BV2672" t="s">
        <v>86</v>
      </c>
      <c r="BW2672" t="s">
        <v>194</v>
      </c>
      <c r="BX2672" t="s">
        <v>1174</v>
      </c>
      <c r="BY2672">
        <v>4560</v>
      </c>
      <c r="CA2672" t="s">
        <v>127</v>
      </c>
      <c r="CC2672" t="s">
        <v>123</v>
      </c>
      <c r="CD2672">
        <v>4037</v>
      </c>
      <c r="CE2672" t="s">
        <v>145</v>
      </c>
      <c r="CF2672" s="3">
        <v>45860</v>
      </c>
      <c r="CI2672">
        <v>1</v>
      </c>
      <c r="CJ2672">
        <v>1</v>
      </c>
      <c r="CK2672">
        <v>21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"080066685212"</f>
        <v>080066685212</v>
      </c>
      <c r="F2673" s="3">
        <v>45859</v>
      </c>
      <c r="G2673">
        <v>202604</v>
      </c>
      <c r="H2673" t="s">
        <v>75</v>
      </c>
      <c r="I2673" t="s">
        <v>76</v>
      </c>
      <c r="J2673" t="s">
        <v>77</v>
      </c>
      <c r="K2673" t="s">
        <v>78</v>
      </c>
      <c r="L2673" t="s">
        <v>168</v>
      </c>
      <c r="M2673" t="s">
        <v>169</v>
      </c>
      <c r="N2673" t="s">
        <v>206</v>
      </c>
      <c r="O2673" t="s">
        <v>82</v>
      </c>
      <c r="P2673" t="str">
        <f>"4170049594                    "</f>
        <v xml:space="preserve">4170049594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22.6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71.2</v>
      </c>
      <c r="BM2673">
        <v>10.68</v>
      </c>
      <c r="BN2673">
        <v>81.88</v>
      </c>
      <c r="BO2673">
        <v>81.88</v>
      </c>
      <c r="BQ2673" t="s">
        <v>207</v>
      </c>
      <c r="BR2673" t="s">
        <v>84</v>
      </c>
      <c r="BS2673" s="3">
        <v>45860</v>
      </c>
      <c r="BT2673" s="4">
        <v>0.38333333333333336</v>
      </c>
      <c r="BU2673" t="s">
        <v>208</v>
      </c>
      <c r="BV2673" t="s">
        <v>98</v>
      </c>
      <c r="BY2673">
        <v>1200</v>
      </c>
      <c r="CA2673" t="s">
        <v>196</v>
      </c>
      <c r="CC2673" t="s">
        <v>169</v>
      </c>
      <c r="CD2673">
        <v>6001</v>
      </c>
      <c r="CE2673" t="s">
        <v>121</v>
      </c>
      <c r="CF2673" s="3">
        <v>45861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"080066685235"</f>
        <v>080066685235</v>
      </c>
      <c r="F2674" s="3">
        <v>45859</v>
      </c>
      <c r="G2674">
        <v>202604</v>
      </c>
      <c r="H2674" t="s">
        <v>75</v>
      </c>
      <c r="I2674" t="s">
        <v>76</v>
      </c>
      <c r="J2674" t="s">
        <v>77</v>
      </c>
      <c r="K2674" t="s">
        <v>78</v>
      </c>
      <c r="L2674" t="s">
        <v>92</v>
      </c>
      <c r="M2674" t="s">
        <v>93</v>
      </c>
      <c r="N2674" t="s">
        <v>291</v>
      </c>
      <c r="O2674" t="s">
        <v>82</v>
      </c>
      <c r="P2674" t="str">
        <f>"4170050010                    "</f>
        <v xml:space="preserve">4170050010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39.53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2</v>
      </c>
      <c r="BJ2674">
        <v>3.1</v>
      </c>
      <c r="BK2674">
        <v>3.5</v>
      </c>
      <c r="BL2674">
        <v>124.55</v>
      </c>
      <c r="BM2674">
        <v>18.68</v>
      </c>
      <c r="BN2674">
        <v>143.22999999999999</v>
      </c>
      <c r="BO2674">
        <v>143.22999999999999</v>
      </c>
      <c r="BQ2674" t="s">
        <v>292</v>
      </c>
      <c r="BR2674" t="s">
        <v>84</v>
      </c>
      <c r="BS2674" s="3">
        <v>45860</v>
      </c>
      <c r="BT2674" s="4">
        <v>0.34861111111111109</v>
      </c>
      <c r="BU2674" t="s">
        <v>847</v>
      </c>
      <c r="BV2674" t="s">
        <v>98</v>
      </c>
      <c r="BY2674">
        <v>15360</v>
      </c>
      <c r="CA2674" t="s">
        <v>294</v>
      </c>
      <c r="CC2674" t="s">
        <v>93</v>
      </c>
      <c r="CD2674">
        <v>4051</v>
      </c>
      <c r="CE2674" t="s">
        <v>145</v>
      </c>
      <c r="CF2674" s="3">
        <v>45860</v>
      </c>
      <c r="CI2674">
        <v>1</v>
      </c>
      <c r="CJ2674">
        <v>1</v>
      </c>
      <c r="CK2674">
        <v>21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"080066685262"</f>
        <v>080066685262</v>
      </c>
      <c r="F2675" s="3">
        <v>45859</v>
      </c>
      <c r="G2675">
        <v>202604</v>
      </c>
      <c r="H2675" t="s">
        <v>75</v>
      </c>
      <c r="I2675" t="s">
        <v>76</v>
      </c>
      <c r="J2675" t="s">
        <v>77</v>
      </c>
      <c r="K2675" t="s">
        <v>78</v>
      </c>
      <c r="L2675" t="s">
        <v>79</v>
      </c>
      <c r="M2675" t="s">
        <v>80</v>
      </c>
      <c r="N2675" t="s">
        <v>188</v>
      </c>
      <c r="O2675" t="s">
        <v>82</v>
      </c>
      <c r="P2675" t="str">
        <f>"4170050004                    "</f>
        <v xml:space="preserve">4170050004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22.6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1.3</v>
      </c>
      <c r="BK2675">
        <v>1.5</v>
      </c>
      <c r="BL2675">
        <v>71.2</v>
      </c>
      <c r="BM2675">
        <v>10.68</v>
      </c>
      <c r="BN2675">
        <v>81.88</v>
      </c>
      <c r="BO2675">
        <v>81.88</v>
      </c>
      <c r="BQ2675" t="s">
        <v>189</v>
      </c>
      <c r="BR2675" t="s">
        <v>84</v>
      </c>
      <c r="BS2675" s="3">
        <v>45860</v>
      </c>
      <c r="BT2675" s="4">
        <v>0.36458333333333331</v>
      </c>
      <c r="BU2675" t="s">
        <v>1216</v>
      </c>
      <c r="BV2675" t="s">
        <v>98</v>
      </c>
      <c r="BY2675">
        <v>6384</v>
      </c>
      <c r="CA2675" t="s">
        <v>144</v>
      </c>
      <c r="CC2675" t="s">
        <v>80</v>
      </c>
      <c r="CD2675">
        <v>7441</v>
      </c>
      <c r="CE2675" t="s">
        <v>145</v>
      </c>
      <c r="CF2675" s="3">
        <v>45861</v>
      </c>
      <c r="CI2675">
        <v>1</v>
      </c>
      <c r="CJ2675">
        <v>1</v>
      </c>
      <c r="CK2675">
        <v>21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"080066685311"</f>
        <v>080066685311</v>
      </c>
      <c r="F2676" s="3">
        <v>45859</v>
      </c>
      <c r="G2676">
        <v>202604</v>
      </c>
      <c r="H2676" t="s">
        <v>75</v>
      </c>
      <c r="I2676" t="s">
        <v>76</v>
      </c>
      <c r="J2676" t="s">
        <v>77</v>
      </c>
      <c r="K2676" t="s">
        <v>78</v>
      </c>
      <c r="L2676" t="s">
        <v>92</v>
      </c>
      <c r="M2676" t="s">
        <v>93</v>
      </c>
      <c r="N2676" t="s">
        <v>334</v>
      </c>
      <c r="O2676" t="s">
        <v>82</v>
      </c>
      <c r="P2676" t="str">
        <f>"4170049584                    "</f>
        <v xml:space="preserve">4170049584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22.6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1.7</v>
      </c>
      <c r="BK2676">
        <v>2</v>
      </c>
      <c r="BL2676">
        <v>71.2</v>
      </c>
      <c r="BM2676">
        <v>10.68</v>
      </c>
      <c r="BN2676">
        <v>81.88</v>
      </c>
      <c r="BO2676">
        <v>81.88</v>
      </c>
      <c r="BQ2676" t="s">
        <v>335</v>
      </c>
      <c r="BR2676" t="s">
        <v>84</v>
      </c>
      <c r="BS2676" s="3">
        <v>45860</v>
      </c>
      <c r="BT2676" s="4">
        <v>0.40347222222222223</v>
      </c>
      <c r="BU2676" t="s">
        <v>1365</v>
      </c>
      <c r="BV2676" t="s">
        <v>98</v>
      </c>
      <c r="BY2676">
        <v>8512</v>
      </c>
      <c r="CA2676" t="s">
        <v>337</v>
      </c>
      <c r="CC2676" t="s">
        <v>93</v>
      </c>
      <c r="CD2676">
        <v>4052</v>
      </c>
      <c r="CE2676" t="s">
        <v>145</v>
      </c>
      <c r="CF2676" s="3">
        <v>45861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"080066685375"</f>
        <v>080066685375</v>
      </c>
      <c r="F2677" s="3">
        <v>45859</v>
      </c>
      <c r="G2677">
        <v>202604</v>
      </c>
      <c r="H2677" t="s">
        <v>75</v>
      </c>
      <c r="I2677" t="s">
        <v>76</v>
      </c>
      <c r="J2677" t="s">
        <v>77</v>
      </c>
      <c r="K2677" t="s">
        <v>78</v>
      </c>
      <c r="L2677" t="s">
        <v>240</v>
      </c>
      <c r="M2677" t="s">
        <v>241</v>
      </c>
      <c r="N2677" t="s">
        <v>1204</v>
      </c>
      <c r="O2677" t="s">
        <v>82</v>
      </c>
      <c r="P2677" t="str">
        <f>"4170049664                    "</f>
        <v xml:space="preserve">4170049664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17.649999999999999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3.4</v>
      </c>
      <c r="BK2677">
        <v>4</v>
      </c>
      <c r="BL2677">
        <v>55.61</v>
      </c>
      <c r="BM2677">
        <v>8.34</v>
      </c>
      <c r="BN2677">
        <v>63.95</v>
      </c>
      <c r="BO2677">
        <v>63.95</v>
      </c>
      <c r="BQ2677" t="s">
        <v>1205</v>
      </c>
      <c r="BR2677" t="s">
        <v>84</v>
      </c>
      <c r="BS2677" s="3">
        <v>45860</v>
      </c>
      <c r="BT2677" s="4">
        <v>0.34861111111111109</v>
      </c>
      <c r="BU2677" t="s">
        <v>1601</v>
      </c>
      <c r="BV2677" t="s">
        <v>98</v>
      </c>
      <c r="BY2677">
        <v>16965</v>
      </c>
      <c r="CA2677" t="s">
        <v>617</v>
      </c>
      <c r="CC2677" t="s">
        <v>241</v>
      </c>
      <c r="CD2677">
        <v>2157</v>
      </c>
      <c r="CE2677" t="s">
        <v>145</v>
      </c>
      <c r="CF2677" s="3">
        <v>45860</v>
      </c>
      <c r="CI2677">
        <v>1</v>
      </c>
      <c r="CJ2677">
        <v>1</v>
      </c>
      <c r="CK2677">
        <v>22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"080066685528"</f>
        <v>080066685528</v>
      </c>
      <c r="F2678" s="3">
        <v>45859</v>
      </c>
      <c r="G2678">
        <v>202604</v>
      </c>
      <c r="H2678" t="s">
        <v>75</v>
      </c>
      <c r="I2678" t="s">
        <v>76</v>
      </c>
      <c r="J2678" t="s">
        <v>77</v>
      </c>
      <c r="K2678" t="s">
        <v>78</v>
      </c>
      <c r="L2678" t="s">
        <v>1768</v>
      </c>
      <c r="M2678" t="s">
        <v>1769</v>
      </c>
      <c r="N2678" t="s">
        <v>1928</v>
      </c>
      <c r="O2678" t="s">
        <v>82</v>
      </c>
      <c r="P2678" t="str">
        <f>"4170049701                    "</f>
        <v xml:space="preserve">4170049701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43.78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</v>
      </c>
      <c r="BJ2678">
        <v>1.1000000000000001</v>
      </c>
      <c r="BK2678">
        <v>2</v>
      </c>
      <c r="BL2678">
        <v>137.94</v>
      </c>
      <c r="BM2678">
        <v>20.69</v>
      </c>
      <c r="BN2678">
        <v>158.63</v>
      </c>
      <c r="BO2678">
        <v>158.63</v>
      </c>
      <c r="BQ2678" t="s">
        <v>1929</v>
      </c>
      <c r="BR2678" t="s">
        <v>84</v>
      </c>
      <c r="BS2678" s="3">
        <v>45860</v>
      </c>
      <c r="BT2678" s="4">
        <v>0.37708333333333333</v>
      </c>
      <c r="BU2678" t="s">
        <v>2962</v>
      </c>
      <c r="BV2678" t="s">
        <v>98</v>
      </c>
      <c r="BY2678">
        <v>5320</v>
      </c>
      <c r="CA2678" t="s">
        <v>1773</v>
      </c>
      <c r="CC2678" t="s">
        <v>1769</v>
      </c>
      <c r="CD2678">
        <v>2302</v>
      </c>
      <c r="CE2678" t="s">
        <v>145</v>
      </c>
      <c r="CF2678" s="3">
        <v>45860</v>
      </c>
      <c r="CI2678">
        <v>1</v>
      </c>
      <c r="CJ2678">
        <v>1</v>
      </c>
      <c r="CK2678">
        <v>23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"080066685642"</f>
        <v>080066685642</v>
      </c>
      <c r="F2679" s="3">
        <v>45859</v>
      </c>
      <c r="G2679">
        <v>202604</v>
      </c>
      <c r="H2679" t="s">
        <v>75</v>
      </c>
      <c r="I2679" t="s">
        <v>76</v>
      </c>
      <c r="J2679" t="s">
        <v>77</v>
      </c>
      <c r="K2679" t="s">
        <v>78</v>
      </c>
      <c r="L2679" t="s">
        <v>146</v>
      </c>
      <c r="M2679" t="s">
        <v>146</v>
      </c>
      <c r="N2679" t="s">
        <v>147</v>
      </c>
      <c r="O2679" t="s">
        <v>82</v>
      </c>
      <c r="P2679" t="str">
        <f>"4170049609                    "</f>
        <v xml:space="preserve">4170049609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43.78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</v>
      </c>
      <c r="BJ2679">
        <v>1.7</v>
      </c>
      <c r="BK2679">
        <v>2</v>
      </c>
      <c r="BL2679">
        <v>137.94</v>
      </c>
      <c r="BM2679">
        <v>20.69</v>
      </c>
      <c r="BN2679">
        <v>158.63</v>
      </c>
      <c r="BO2679">
        <v>158.63</v>
      </c>
      <c r="BQ2679" t="s">
        <v>764</v>
      </c>
      <c r="BR2679" t="s">
        <v>84</v>
      </c>
      <c r="BS2679" s="3">
        <v>45860</v>
      </c>
      <c r="BT2679" s="4">
        <v>0.53819444444444442</v>
      </c>
      <c r="BU2679" t="s">
        <v>149</v>
      </c>
      <c r="BV2679" t="s">
        <v>98</v>
      </c>
      <c r="BY2679">
        <v>8512</v>
      </c>
      <c r="CA2679" t="s">
        <v>150</v>
      </c>
      <c r="CC2679" t="s">
        <v>146</v>
      </c>
      <c r="CD2679">
        <v>7646</v>
      </c>
      <c r="CE2679" t="s">
        <v>145</v>
      </c>
      <c r="CF2679" s="3">
        <v>45861</v>
      </c>
      <c r="CI2679">
        <v>1</v>
      </c>
      <c r="CJ2679">
        <v>1</v>
      </c>
      <c r="CK2679">
        <v>23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"080066686469"</f>
        <v>080066686469</v>
      </c>
      <c r="F2680" s="3">
        <v>45859</v>
      </c>
      <c r="G2680">
        <v>202604</v>
      </c>
      <c r="H2680" t="s">
        <v>75</v>
      </c>
      <c r="I2680" t="s">
        <v>76</v>
      </c>
      <c r="J2680" t="s">
        <v>77</v>
      </c>
      <c r="K2680" t="s">
        <v>78</v>
      </c>
      <c r="L2680" t="s">
        <v>75</v>
      </c>
      <c r="M2680" t="s">
        <v>76</v>
      </c>
      <c r="N2680" t="s">
        <v>809</v>
      </c>
      <c r="O2680" t="s">
        <v>82</v>
      </c>
      <c r="P2680" t="str">
        <f>"4170049601                    "</f>
        <v xml:space="preserve">4170049601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17.649999999999999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55.61</v>
      </c>
      <c r="BM2680">
        <v>8.34</v>
      </c>
      <c r="BN2680">
        <v>63.95</v>
      </c>
      <c r="BO2680">
        <v>63.95</v>
      </c>
      <c r="BQ2680" t="s">
        <v>810</v>
      </c>
      <c r="BR2680" t="s">
        <v>84</v>
      </c>
      <c r="BS2680" s="3">
        <v>45860</v>
      </c>
      <c r="BT2680" s="4">
        <v>0.36805555555555558</v>
      </c>
      <c r="BU2680" t="s">
        <v>882</v>
      </c>
      <c r="BV2680" t="s">
        <v>98</v>
      </c>
      <c r="BY2680">
        <v>1200</v>
      </c>
      <c r="CA2680" t="s">
        <v>883</v>
      </c>
      <c r="CC2680" t="s">
        <v>76</v>
      </c>
      <c r="CD2680">
        <v>1666</v>
      </c>
      <c r="CE2680" t="s">
        <v>121</v>
      </c>
      <c r="CF2680" s="3">
        <v>45860</v>
      </c>
      <c r="CI2680">
        <v>1</v>
      </c>
      <c r="CJ2680">
        <v>1</v>
      </c>
      <c r="CK2680">
        <v>22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"080066686562"</f>
        <v>080066686562</v>
      </c>
      <c r="F2681" s="3">
        <v>45859</v>
      </c>
      <c r="G2681">
        <v>202604</v>
      </c>
      <c r="H2681" t="s">
        <v>75</v>
      </c>
      <c r="I2681" t="s">
        <v>76</v>
      </c>
      <c r="J2681" t="s">
        <v>77</v>
      </c>
      <c r="K2681" t="s">
        <v>78</v>
      </c>
      <c r="L2681" t="s">
        <v>146</v>
      </c>
      <c r="M2681" t="s">
        <v>146</v>
      </c>
      <c r="N2681" t="s">
        <v>2422</v>
      </c>
      <c r="O2681" t="s">
        <v>82</v>
      </c>
      <c r="P2681" t="str">
        <f>"4170049693                    "</f>
        <v xml:space="preserve">4170049693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43.78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137.94</v>
      </c>
      <c r="BM2681">
        <v>20.69</v>
      </c>
      <c r="BN2681">
        <v>158.63</v>
      </c>
      <c r="BO2681">
        <v>158.63</v>
      </c>
      <c r="BQ2681" t="s">
        <v>2423</v>
      </c>
      <c r="BR2681" t="s">
        <v>84</v>
      </c>
      <c r="BS2681" s="3">
        <v>45860</v>
      </c>
      <c r="BT2681" s="4">
        <v>0.51388888888888884</v>
      </c>
      <c r="BU2681" t="s">
        <v>2963</v>
      </c>
      <c r="BV2681" t="s">
        <v>98</v>
      </c>
      <c r="BY2681">
        <v>1200</v>
      </c>
      <c r="BZ2681" t="s">
        <v>89</v>
      </c>
      <c r="CC2681" t="s">
        <v>146</v>
      </c>
      <c r="CD2681">
        <v>7646</v>
      </c>
      <c r="CE2681" t="s">
        <v>239</v>
      </c>
      <c r="CF2681" s="3">
        <v>45861</v>
      </c>
      <c r="CI2681">
        <v>1</v>
      </c>
      <c r="CJ2681">
        <v>1</v>
      </c>
      <c r="CK2681">
        <v>23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"080066686650"</f>
        <v>080066686650</v>
      </c>
      <c r="F2682" s="3">
        <v>45859</v>
      </c>
      <c r="G2682">
        <v>202604</v>
      </c>
      <c r="H2682" t="s">
        <v>75</v>
      </c>
      <c r="I2682" t="s">
        <v>76</v>
      </c>
      <c r="J2682" t="s">
        <v>77</v>
      </c>
      <c r="K2682" t="s">
        <v>78</v>
      </c>
      <c r="L2682" t="s">
        <v>168</v>
      </c>
      <c r="M2682" t="s">
        <v>169</v>
      </c>
      <c r="N2682" t="s">
        <v>202</v>
      </c>
      <c r="O2682" t="s">
        <v>82</v>
      </c>
      <c r="P2682" t="str">
        <f>"4170049665                    "</f>
        <v xml:space="preserve">4170049665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22.6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71.2</v>
      </c>
      <c r="BM2682">
        <v>10.68</v>
      </c>
      <c r="BN2682">
        <v>81.88</v>
      </c>
      <c r="BO2682">
        <v>81.88</v>
      </c>
      <c r="BQ2682" t="s">
        <v>203</v>
      </c>
      <c r="BR2682" t="s">
        <v>84</v>
      </c>
      <c r="BS2682" s="3">
        <v>45860</v>
      </c>
      <c r="BT2682" s="4">
        <v>0.34722222222222221</v>
      </c>
      <c r="BU2682" t="s">
        <v>1127</v>
      </c>
      <c r="BV2682" t="s">
        <v>98</v>
      </c>
      <c r="BY2682">
        <v>1200</v>
      </c>
      <c r="BZ2682" t="s">
        <v>89</v>
      </c>
      <c r="CA2682" t="s">
        <v>205</v>
      </c>
      <c r="CC2682" t="s">
        <v>169</v>
      </c>
      <c r="CD2682">
        <v>6001</v>
      </c>
      <c r="CE2682" t="s">
        <v>239</v>
      </c>
      <c r="CF2682" s="3">
        <v>45860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"080066686923"</f>
        <v>080066686923</v>
      </c>
      <c r="F2683" s="3">
        <v>45859</v>
      </c>
      <c r="G2683">
        <v>202604</v>
      </c>
      <c r="H2683" t="s">
        <v>75</v>
      </c>
      <c r="I2683" t="s">
        <v>76</v>
      </c>
      <c r="J2683" t="s">
        <v>77</v>
      </c>
      <c r="K2683" t="s">
        <v>78</v>
      </c>
      <c r="L2683" t="s">
        <v>1370</v>
      </c>
      <c r="M2683" t="s">
        <v>1371</v>
      </c>
      <c r="N2683" t="s">
        <v>2796</v>
      </c>
      <c r="O2683" t="s">
        <v>82</v>
      </c>
      <c r="P2683" t="str">
        <f>"4170049649                    "</f>
        <v xml:space="preserve">4170049649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43.78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137.94</v>
      </c>
      <c r="BM2683">
        <v>20.69</v>
      </c>
      <c r="BN2683">
        <v>158.63</v>
      </c>
      <c r="BO2683">
        <v>158.63</v>
      </c>
      <c r="BQ2683" t="s">
        <v>2797</v>
      </c>
      <c r="BR2683" t="s">
        <v>84</v>
      </c>
      <c r="BS2683" s="3">
        <v>45861</v>
      </c>
      <c r="BT2683" s="4">
        <v>0.40555555555555556</v>
      </c>
      <c r="BU2683" t="s">
        <v>2964</v>
      </c>
      <c r="BV2683" t="s">
        <v>86</v>
      </c>
      <c r="BW2683" t="s">
        <v>818</v>
      </c>
      <c r="BX2683" t="s">
        <v>819</v>
      </c>
      <c r="BY2683">
        <v>1200</v>
      </c>
      <c r="CA2683" t="s">
        <v>2798</v>
      </c>
      <c r="CC2683" t="s">
        <v>1371</v>
      </c>
      <c r="CD2683" s="5" t="s">
        <v>1376</v>
      </c>
      <c r="CE2683" t="s">
        <v>121</v>
      </c>
      <c r="CF2683" s="3">
        <v>45862</v>
      </c>
      <c r="CI2683">
        <v>1</v>
      </c>
      <c r="CJ2683">
        <v>2</v>
      </c>
      <c r="CK2683">
        <v>23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"080066687042"</f>
        <v>080066687042</v>
      </c>
      <c r="F2684" s="3">
        <v>45859</v>
      </c>
      <c r="G2684">
        <v>202604</v>
      </c>
      <c r="H2684" t="s">
        <v>75</v>
      </c>
      <c r="I2684" t="s">
        <v>76</v>
      </c>
      <c r="J2684" t="s">
        <v>77</v>
      </c>
      <c r="K2684" t="s">
        <v>78</v>
      </c>
      <c r="L2684" t="s">
        <v>79</v>
      </c>
      <c r="M2684" t="s">
        <v>80</v>
      </c>
      <c r="N2684" t="s">
        <v>1919</v>
      </c>
      <c r="O2684" t="s">
        <v>82</v>
      </c>
      <c r="P2684" t="str">
        <f>"4170049683                    "</f>
        <v xml:space="preserve">4170049683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33.89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3</v>
      </c>
      <c r="BJ2684">
        <v>1.1000000000000001</v>
      </c>
      <c r="BK2684">
        <v>3</v>
      </c>
      <c r="BL2684">
        <v>106.77</v>
      </c>
      <c r="BM2684">
        <v>16.02</v>
      </c>
      <c r="BN2684">
        <v>122.79</v>
      </c>
      <c r="BO2684">
        <v>122.79</v>
      </c>
      <c r="BQ2684" t="s">
        <v>1920</v>
      </c>
      <c r="BR2684" t="s">
        <v>84</v>
      </c>
      <c r="BS2684" s="3">
        <v>45860</v>
      </c>
      <c r="BT2684" s="4">
        <v>0.42569444444444443</v>
      </c>
      <c r="BU2684" t="s">
        <v>2965</v>
      </c>
      <c r="BV2684" t="s">
        <v>98</v>
      </c>
      <c r="BY2684">
        <v>5320</v>
      </c>
      <c r="CA2684" t="s">
        <v>579</v>
      </c>
      <c r="CC2684" t="s">
        <v>80</v>
      </c>
      <c r="CD2684">
        <v>7460</v>
      </c>
      <c r="CE2684" t="s">
        <v>145</v>
      </c>
      <c r="CF2684" s="3">
        <v>45861</v>
      </c>
      <c r="CI2684">
        <v>1</v>
      </c>
      <c r="CJ2684">
        <v>1</v>
      </c>
      <c r="CK2684">
        <v>21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"080066687129"</f>
        <v>080066687129</v>
      </c>
      <c r="F2685" s="3">
        <v>45859</v>
      </c>
      <c r="G2685">
        <v>202604</v>
      </c>
      <c r="H2685" t="s">
        <v>75</v>
      </c>
      <c r="I2685" t="s">
        <v>76</v>
      </c>
      <c r="J2685" t="s">
        <v>77</v>
      </c>
      <c r="K2685" t="s">
        <v>78</v>
      </c>
      <c r="L2685" t="s">
        <v>102</v>
      </c>
      <c r="M2685" t="s">
        <v>103</v>
      </c>
      <c r="N2685" t="s">
        <v>104</v>
      </c>
      <c r="O2685" t="s">
        <v>82</v>
      </c>
      <c r="P2685" t="str">
        <f>"4170049550                    "</f>
        <v xml:space="preserve">4170049550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31.78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</v>
      </c>
      <c r="BJ2685">
        <v>1.1000000000000001</v>
      </c>
      <c r="BK2685">
        <v>2</v>
      </c>
      <c r="BL2685">
        <v>100.13</v>
      </c>
      <c r="BM2685">
        <v>15.02</v>
      </c>
      <c r="BN2685">
        <v>115.15</v>
      </c>
      <c r="BO2685">
        <v>115.15</v>
      </c>
      <c r="BQ2685" t="s">
        <v>833</v>
      </c>
      <c r="BR2685" t="s">
        <v>84</v>
      </c>
      <c r="BS2685" s="3">
        <v>45860</v>
      </c>
      <c r="BT2685" s="4">
        <v>0.36319444444444443</v>
      </c>
      <c r="BU2685" t="s">
        <v>796</v>
      </c>
      <c r="BV2685" t="s">
        <v>98</v>
      </c>
      <c r="BY2685">
        <v>5320</v>
      </c>
      <c r="CA2685" t="s">
        <v>2602</v>
      </c>
      <c r="CC2685" t="s">
        <v>103</v>
      </c>
      <c r="CD2685">
        <v>1748</v>
      </c>
      <c r="CE2685" t="s">
        <v>145</v>
      </c>
      <c r="CF2685" s="3">
        <v>45861</v>
      </c>
      <c r="CI2685">
        <v>1</v>
      </c>
      <c r="CJ2685">
        <v>1</v>
      </c>
      <c r="CK2685">
        <v>24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"080066687169"</f>
        <v>080066687169</v>
      </c>
      <c r="F2686" s="3">
        <v>45859</v>
      </c>
      <c r="G2686">
        <v>202604</v>
      </c>
      <c r="H2686" t="s">
        <v>75</v>
      </c>
      <c r="I2686" t="s">
        <v>76</v>
      </c>
      <c r="J2686" t="s">
        <v>77</v>
      </c>
      <c r="K2686" t="s">
        <v>78</v>
      </c>
      <c r="L2686" t="s">
        <v>503</v>
      </c>
      <c r="M2686" t="s">
        <v>504</v>
      </c>
      <c r="N2686" t="s">
        <v>505</v>
      </c>
      <c r="O2686" t="s">
        <v>82</v>
      </c>
      <c r="P2686" t="str">
        <f>"4170049658                    "</f>
        <v xml:space="preserve">4170049658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43.78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137.94</v>
      </c>
      <c r="BM2686">
        <v>20.69</v>
      </c>
      <c r="BN2686">
        <v>158.63</v>
      </c>
      <c r="BO2686">
        <v>158.63</v>
      </c>
      <c r="BQ2686" t="s">
        <v>506</v>
      </c>
      <c r="BR2686" t="s">
        <v>84</v>
      </c>
      <c r="BS2686" s="3">
        <v>45860</v>
      </c>
      <c r="BT2686" s="4">
        <v>0.43194444444444446</v>
      </c>
      <c r="BU2686" t="s">
        <v>507</v>
      </c>
      <c r="BV2686" t="s">
        <v>98</v>
      </c>
      <c r="BY2686">
        <v>1200</v>
      </c>
      <c r="CA2686" t="s">
        <v>508</v>
      </c>
      <c r="CC2686" t="s">
        <v>504</v>
      </c>
      <c r="CD2686">
        <v>7130</v>
      </c>
      <c r="CE2686" t="s">
        <v>121</v>
      </c>
      <c r="CF2686" s="3">
        <v>45861</v>
      </c>
      <c r="CI2686">
        <v>1</v>
      </c>
      <c r="CJ2686">
        <v>1</v>
      </c>
      <c r="CK2686">
        <v>23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"080066687176"</f>
        <v>080066687176</v>
      </c>
      <c r="F2687" s="3">
        <v>45859</v>
      </c>
      <c r="G2687">
        <v>202604</v>
      </c>
      <c r="H2687" t="s">
        <v>75</v>
      </c>
      <c r="I2687" t="s">
        <v>76</v>
      </c>
      <c r="J2687" t="s">
        <v>77</v>
      </c>
      <c r="K2687" t="s">
        <v>78</v>
      </c>
      <c r="L2687" t="s">
        <v>79</v>
      </c>
      <c r="M2687" t="s">
        <v>80</v>
      </c>
      <c r="N2687" t="s">
        <v>1816</v>
      </c>
      <c r="O2687" t="s">
        <v>82</v>
      </c>
      <c r="P2687" t="str">
        <f>"4170049598                    "</f>
        <v xml:space="preserve">4170049598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180.66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2</v>
      </c>
      <c r="BI2687">
        <v>16</v>
      </c>
      <c r="BJ2687">
        <v>9.1999999999999993</v>
      </c>
      <c r="BK2687">
        <v>16</v>
      </c>
      <c r="BL2687">
        <v>569.17999999999995</v>
      </c>
      <c r="BM2687">
        <v>85.38</v>
      </c>
      <c r="BN2687">
        <v>654.55999999999995</v>
      </c>
      <c r="BO2687">
        <v>654.55999999999995</v>
      </c>
      <c r="BQ2687" t="s">
        <v>1817</v>
      </c>
      <c r="BR2687" t="s">
        <v>84</v>
      </c>
      <c r="BS2687" s="3">
        <v>45860</v>
      </c>
      <c r="BT2687" s="4">
        <v>0.65625</v>
      </c>
      <c r="BU2687" t="s">
        <v>1419</v>
      </c>
      <c r="BV2687" t="s">
        <v>86</v>
      </c>
      <c r="BW2687" t="s">
        <v>1395</v>
      </c>
      <c r="BX2687" t="s">
        <v>1420</v>
      </c>
      <c r="BY2687">
        <v>23120</v>
      </c>
      <c r="CA2687" t="s">
        <v>90</v>
      </c>
      <c r="CC2687" t="s">
        <v>80</v>
      </c>
      <c r="CD2687">
        <v>7550</v>
      </c>
      <c r="CE2687" t="s">
        <v>2966</v>
      </c>
      <c r="CF2687" s="3">
        <v>45861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"080066687308"</f>
        <v>080066687308</v>
      </c>
      <c r="F2688" s="3">
        <v>45859</v>
      </c>
      <c r="G2688">
        <v>202604</v>
      </c>
      <c r="H2688" t="s">
        <v>75</v>
      </c>
      <c r="I2688" t="s">
        <v>76</v>
      </c>
      <c r="J2688" t="s">
        <v>77</v>
      </c>
      <c r="K2688" t="s">
        <v>78</v>
      </c>
      <c r="L2688" t="s">
        <v>75</v>
      </c>
      <c r="M2688" t="s">
        <v>76</v>
      </c>
      <c r="N2688" t="s">
        <v>622</v>
      </c>
      <c r="O2688" t="s">
        <v>82</v>
      </c>
      <c r="P2688" t="str">
        <f>"4170049697                    "</f>
        <v xml:space="preserve">4170049697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17.649999999999999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55.61</v>
      </c>
      <c r="BM2688">
        <v>8.34</v>
      </c>
      <c r="BN2688">
        <v>63.95</v>
      </c>
      <c r="BO2688">
        <v>63.95</v>
      </c>
      <c r="BQ2688" t="s">
        <v>623</v>
      </c>
      <c r="BR2688" t="s">
        <v>84</v>
      </c>
      <c r="BS2688" s="3">
        <v>45860</v>
      </c>
      <c r="BT2688" s="4">
        <v>0.34791666666666665</v>
      </c>
      <c r="BU2688" t="s">
        <v>1048</v>
      </c>
      <c r="BV2688" t="s">
        <v>98</v>
      </c>
      <c r="BY2688">
        <v>1200</v>
      </c>
      <c r="CA2688" t="s">
        <v>304</v>
      </c>
      <c r="CC2688" t="s">
        <v>76</v>
      </c>
      <c r="CD2688">
        <v>1601</v>
      </c>
      <c r="CE2688" t="s">
        <v>2967</v>
      </c>
      <c r="CF2688" s="3">
        <v>45860</v>
      </c>
      <c r="CI2688">
        <v>1</v>
      </c>
      <c r="CJ2688">
        <v>1</v>
      </c>
      <c r="CK2688">
        <v>22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"080066687338"</f>
        <v>080066687338</v>
      </c>
      <c r="F2689" s="3">
        <v>45859</v>
      </c>
      <c r="G2689">
        <v>202604</v>
      </c>
      <c r="H2689" t="s">
        <v>75</v>
      </c>
      <c r="I2689" t="s">
        <v>76</v>
      </c>
      <c r="J2689" t="s">
        <v>77</v>
      </c>
      <c r="K2689" t="s">
        <v>78</v>
      </c>
      <c r="L2689" t="s">
        <v>473</v>
      </c>
      <c r="M2689" t="s">
        <v>474</v>
      </c>
      <c r="N2689" t="s">
        <v>1646</v>
      </c>
      <c r="O2689" t="s">
        <v>82</v>
      </c>
      <c r="P2689" t="str">
        <f>"4170049689                    "</f>
        <v xml:space="preserve">4170049689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22.6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71.2</v>
      </c>
      <c r="BM2689">
        <v>10.68</v>
      </c>
      <c r="BN2689">
        <v>81.88</v>
      </c>
      <c r="BO2689">
        <v>81.88</v>
      </c>
      <c r="BQ2689" t="s">
        <v>1647</v>
      </c>
      <c r="BR2689" t="s">
        <v>84</v>
      </c>
      <c r="BS2689" s="3">
        <v>45860</v>
      </c>
      <c r="BT2689" s="4">
        <v>0.37569444444444444</v>
      </c>
      <c r="BU2689" t="s">
        <v>2968</v>
      </c>
      <c r="BV2689" t="s">
        <v>98</v>
      </c>
      <c r="BY2689">
        <v>1200</v>
      </c>
      <c r="CA2689" t="s">
        <v>337</v>
      </c>
      <c r="CC2689" t="s">
        <v>474</v>
      </c>
      <c r="CD2689">
        <v>4026</v>
      </c>
      <c r="CE2689" t="s">
        <v>121</v>
      </c>
      <c r="CF2689" s="3">
        <v>45861</v>
      </c>
      <c r="CI2689">
        <v>1</v>
      </c>
      <c r="CJ2689">
        <v>1</v>
      </c>
      <c r="CK2689">
        <v>21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"080066687373"</f>
        <v>080066687373</v>
      </c>
      <c r="F2690" s="3">
        <v>45859</v>
      </c>
      <c r="G2690">
        <v>202604</v>
      </c>
      <c r="H2690" t="s">
        <v>75</v>
      </c>
      <c r="I2690" t="s">
        <v>76</v>
      </c>
      <c r="J2690" t="s">
        <v>77</v>
      </c>
      <c r="K2690" t="s">
        <v>78</v>
      </c>
      <c r="L2690" t="s">
        <v>1768</v>
      </c>
      <c r="M2690" t="s">
        <v>1769</v>
      </c>
      <c r="N2690" t="s">
        <v>1928</v>
      </c>
      <c r="O2690" t="s">
        <v>82</v>
      </c>
      <c r="P2690" t="str">
        <f>"4170049702                    "</f>
        <v xml:space="preserve">4170049702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43.78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137.94</v>
      </c>
      <c r="BM2690">
        <v>20.69</v>
      </c>
      <c r="BN2690">
        <v>158.63</v>
      </c>
      <c r="BO2690">
        <v>158.63</v>
      </c>
      <c r="BQ2690" t="s">
        <v>1929</v>
      </c>
      <c r="BR2690" t="s">
        <v>84</v>
      </c>
      <c r="BS2690" s="3">
        <v>45860</v>
      </c>
      <c r="BT2690" s="4">
        <v>0.37847222222222221</v>
      </c>
      <c r="BU2690" t="s">
        <v>2962</v>
      </c>
      <c r="BV2690" t="s">
        <v>98</v>
      </c>
      <c r="BY2690">
        <v>1200</v>
      </c>
      <c r="CA2690" t="s">
        <v>1773</v>
      </c>
      <c r="CC2690" t="s">
        <v>1769</v>
      </c>
      <c r="CD2690">
        <v>2302</v>
      </c>
      <c r="CE2690" t="s">
        <v>121</v>
      </c>
      <c r="CF2690" s="3">
        <v>45860</v>
      </c>
      <c r="CI2690">
        <v>1</v>
      </c>
      <c r="CJ2690">
        <v>1</v>
      </c>
      <c r="CK2690">
        <v>23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"080066687518"</f>
        <v>080066687518</v>
      </c>
      <c r="F2691" s="3">
        <v>45859</v>
      </c>
      <c r="G2691">
        <v>202604</v>
      </c>
      <c r="H2691" t="s">
        <v>75</v>
      </c>
      <c r="I2691" t="s">
        <v>76</v>
      </c>
      <c r="J2691" t="s">
        <v>77</v>
      </c>
      <c r="K2691" t="s">
        <v>78</v>
      </c>
      <c r="L2691" t="s">
        <v>151</v>
      </c>
      <c r="M2691" t="s">
        <v>152</v>
      </c>
      <c r="N2691" t="s">
        <v>1349</v>
      </c>
      <c r="O2691" t="s">
        <v>82</v>
      </c>
      <c r="P2691" t="str">
        <f>"4170049644                    "</f>
        <v xml:space="preserve">4170049644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22.6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71.2</v>
      </c>
      <c r="BM2691">
        <v>10.68</v>
      </c>
      <c r="BN2691">
        <v>81.88</v>
      </c>
      <c r="BO2691">
        <v>81.88</v>
      </c>
      <c r="BQ2691" t="s">
        <v>1350</v>
      </c>
      <c r="BR2691" t="s">
        <v>84</v>
      </c>
      <c r="BS2691" s="3">
        <v>45860</v>
      </c>
      <c r="BT2691" s="4">
        <v>0.33333333333333331</v>
      </c>
      <c r="BU2691" t="s">
        <v>1092</v>
      </c>
      <c r="BV2691" t="s">
        <v>98</v>
      </c>
      <c r="BY2691">
        <v>1200</v>
      </c>
      <c r="CA2691" t="s">
        <v>1352</v>
      </c>
      <c r="CC2691" t="s">
        <v>152</v>
      </c>
      <c r="CD2691" s="5" t="s">
        <v>157</v>
      </c>
      <c r="CE2691" t="s">
        <v>121</v>
      </c>
      <c r="CF2691" s="3">
        <v>45860</v>
      </c>
      <c r="CI2691">
        <v>1</v>
      </c>
      <c r="CJ2691">
        <v>1</v>
      </c>
      <c r="CK2691">
        <v>21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"080066688090"</f>
        <v>080066688090</v>
      </c>
      <c r="F2692" s="3">
        <v>45859</v>
      </c>
      <c r="G2692">
        <v>202604</v>
      </c>
      <c r="H2692" t="s">
        <v>75</v>
      </c>
      <c r="I2692" t="s">
        <v>76</v>
      </c>
      <c r="J2692" t="s">
        <v>77</v>
      </c>
      <c r="K2692" t="s">
        <v>78</v>
      </c>
      <c r="L2692" t="s">
        <v>151</v>
      </c>
      <c r="M2692" t="s">
        <v>152</v>
      </c>
      <c r="N2692" t="s">
        <v>272</v>
      </c>
      <c r="O2692" t="s">
        <v>82</v>
      </c>
      <c r="P2692" t="str">
        <f>"4170049562                    "</f>
        <v xml:space="preserve">4170049562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22.6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71.2</v>
      </c>
      <c r="BM2692">
        <v>10.68</v>
      </c>
      <c r="BN2692">
        <v>81.88</v>
      </c>
      <c r="BO2692">
        <v>81.88</v>
      </c>
      <c r="BQ2692" t="s">
        <v>273</v>
      </c>
      <c r="BR2692" t="s">
        <v>84</v>
      </c>
      <c r="BS2692" s="3">
        <v>45860</v>
      </c>
      <c r="BT2692" s="4">
        <v>0.41319444444444442</v>
      </c>
      <c r="BU2692" t="s">
        <v>2625</v>
      </c>
      <c r="BV2692" t="s">
        <v>98</v>
      </c>
      <c r="BY2692">
        <v>1200</v>
      </c>
      <c r="CA2692" t="s">
        <v>275</v>
      </c>
      <c r="CC2692" t="s">
        <v>152</v>
      </c>
      <c r="CD2692" s="5" t="s">
        <v>276</v>
      </c>
      <c r="CE2692" t="s">
        <v>121</v>
      </c>
      <c r="CF2692" s="3">
        <v>45860</v>
      </c>
      <c r="CI2692">
        <v>1</v>
      </c>
      <c r="CJ2692">
        <v>1</v>
      </c>
      <c r="CK2692">
        <v>21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"080066688093"</f>
        <v>080066688093</v>
      </c>
      <c r="F2693" s="3">
        <v>45859</v>
      </c>
      <c r="G2693">
        <v>202604</v>
      </c>
      <c r="H2693" t="s">
        <v>75</v>
      </c>
      <c r="I2693" t="s">
        <v>76</v>
      </c>
      <c r="J2693" t="s">
        <v>77</v>
      </c>
      <c r="K2693" t="s">
        <v>78</v>
      </c>
      <c r="L2693" t="s">
        <v>580</v>
      </c>
      <c r="M2693" t="s">
        <v>581</v>
      </c>
      <c r="N2693" t="s">
        <v>582</v>
      </c>
      <c r="O2693" t="s">
        <v>82</v>
      </c>
      <c r="P2693" t="str">
        <f>"4170049604                    "</f>
        <v xml:space="preserve">4170049604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158.08000000000001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2</v>
      </c>
      <c r="BI2693">
        <v>14</v>
      </c>
      <c r="BJ2693">
        <v>8.4</v>
      </c>
      <c r="BK2693">
        <v>14</v>
      </c>
      <c r="BL2693">
        <v>498.04</v>
      </c>
      <c r="BM2693">
        <v>74.709999999999994</v>
      </c>
      <c r="BN2693">
        <v>572.75</v>
      </c>
      <c r="BO2693">
        <v>572.75</v>
      </c>
      <c r="BQ2693" t="s">
        <v>583</v>
      </c>
      <c r="BR2693" t="s">
        <v>84</v>
      </c>
      <c r="BS2693" s="3">
        <v>45860</v>
      </c>
      <c r="BT2693" s="4">
        <v>0.40277777777777779</v>
      </c>
      <c r="BU2693" t="s">
        <v>584</v>
      </c>
      <c r="BV2693" t="s">
        <v>98</v>
      </c>
      <c r="BY2693">
        <v>41907</v>
      </c>
      <c r="CA2693" t="s">
        <v>585</v>
      </c>
      <c r="CC2693" t="s">
        <v>581</v>
      </c>
      <c r="CD2693">
        <v>4302</v>
      </c>
      <c r="CE2693" t="s">
        <v>145</v>
      </c>
      <c r="CF2693" s="3">
        <v>45861</v>
      </c>
      <c r="CI2693">
        <v>1</v>
      </c>
      <c r="CJ2693">
        <v>1</v>
      </c>
      <c r="CK2693">
        <v>21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"080066688124"</f>
        <v>080066688124</v>
      </c>
      <c r="F2694" s="3">
        <v>45859</v>
      </c>
      <c r="G2694">
        <v>202604</v>
      </c>
      <c r="H2694" t="s">
        <v>75</v>
      </c>
      <c r="I2694" t="s">
        <v>76</v>
      </c>
      <c r="J2694" t="s">
        <v>77</v>
      </c>
      <c r="K2694" t="s">
        <v>78</v>
      </c>
      <c r="L2694" t="s">
        <v>111</v>
      </c>
      <c r="M2694" t="s">
        <v>112</v>
      </c>
      <c r="N2694" t="s">
        <v>884</v>
      </c>
      <c r="O2694" t="s">
        <v>82</v>
      </c>
      <c r="P2694" t="str">
        <f>"4170049406                    "</f>
        <v xml:space="preserve">4170049406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43.78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137.94</v>
      </c>
      <c r="BM2694">
        <v>20.69</v>
      </c>
      <c r="BN2694">
        <v>158.63</v>
      </c>
      <c r="BO2694">
        <v>158.63</v>
      </c>
      <c r="BQ2694" t="s">
        <v>885</v>
      </c>
      <c r="BR2694" t="s">
        <v>84</v>
      </c>
      <c r="BS2694" s="3">
        <v>45860</v>
      </c>
      <c r="BT2694" s="4">
        <v>0.4375</v>
      </c>
      <c r="BU2694" t="s">
        <v>2969</v>
      </c>
      <c r="BV2694" t="s">
        <v>98</v>
      </c>
      <c r="BY2694">
        <v>1200</v>
      </c>
      <c r="CA2694" t="s">
        <v>116</v>
      </c>
      <c r="CC2694" t="s">
        <v>112</v>
      </c>
      <c r="CD2694">
        <v>1871</v>
      </c>
      <c r="CE2694" t="s">
        <v>121</v>
      </c>
      <c r="CF2694" s="3">
        <v>45861</v>
      </c>
      <c r="CI2694">
        <v>1</v>
      </c>
      <c r="CJ2694">
        <v>1</v>
      </c>
      <c r="CK2694">
        <v>23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"080066688151"</f>
        <v>080066688151</v>
      </c>
      <c r="F2695" s="3">
        <v>45859</v>
      </c>
      <c r="G2695">
        <v>202604</v>
      </c>
      <c r="H2695" t="s">
        <v>75</v>
      </c>
      <c r="I2695" t="s">
        <v>76</v>
      </c>
      <c r="J2695" t="s">
        <v>77</v>
      </c>
      <c r="K2695" t="s">
        <v>78</v>
      </c>
      <c r="L2695" t="s">
        <v>151</v>
      </c>
      <c r="M2695" t="s">
        <v>152</v>
      </c>
      <c r="N2695" t="s">
        <v>2557</v>
      </c>
      <c r="O2695" t="s">
        <v>82</v>
      </c>
      <c r="P2695" t="str">
        <f>"4170049696                    "</f>
        <v xml:space="preserve">4170049696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22.6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71.2</v>
      </c>
      <c r="BM2695">
        <v>10.68</v>
      </c>
      <c r="BN2695">
        <v>81.88</v>
      </c>
      <c r="BO2695">
        <v>81.88</v>
      </c>
      <c r="BQ2695" t="s">
        <v>2558</v>
      </c>
      <c r="BR2695" t="s">
        <v>84</v>
      </c>
      <c r="BS2695" s="3">
        <v>45860</v>
      </c>
      <c r="BT2695" s="4">
        <v>0.37569444444444444</v>
      </c>
      <c r="BU2695" t="s">
        <v>2970</v>
      </c>
      <c r="BV2695" t="s">
        <v>98</v>
      </c>
      <c r="BY2695">
        <v>1200</v>
      </c>
      <c r="CA2695" t="s">
        <v>716</v>
      </c>
      <c r="CC2695" t="s">
        <v>152</v>
      </c>
      <c r="CD2695" s="5" t="s">
        <v>717</v>
      </c>
      <c r="CE2695" t="s">
        <v>2967</v>
      </c>
      <c r="CF2695" s="3">
        <v>45860</v>
      </c>
      <c r="CI2695">
        <v>1</v>
      </c>
      <c r="CJ2695">
        <v>1</v>
      </c>
      <c r="CK2695">
        <v>21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"080066688166"</f>
        <v>080066688166</v>
      </c>
      <c r="F2696" s="3">
        <v>45859</v>
      </c>
      <c r="G2696">
        <v>202604</v>
      </c>
      <c r="H2696" t="s">
        <v>75</v>
      </c>
      <c r="I2696" t="s">
        <v>76</v>
      </c>
      <c r="J2696" t="s">
        <v>77</v>
      </c>
      <c r="K2696" t="s">
        <v>78</v>
      </c>
      <c r="L2696" t="s">
        <v>79</v>
      </c>
      <c r="M2696" t="s">
        <v>80</v>
      </c>
      <c r="N2696" t="s">
        <v>286</v>
      </c>
      <c r="O2696" t="s">
        <v>82</v>
      </c>
      <c r="P2696" t="str">
        <f>"4170049680                    "</f>
        <v xml:space="preserve">4170049680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45.18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</v>
      </c>
      <c r="BJ2696">
        <v>2.4</v>
      </c>
      <c r="BK2696">
        <v>4</v>
      </c>
      <c r="BL2696">
        <v>142.34</v>
      </c>
      <c r="BM2696">
        <v>21.35</v>
      </c>
      <c r="BN2696">
        <v>163.69</v>
      </c>
      <c r="BO2696">
        <v>163.69</v>
      </c>
      <c r="BQ2696" t="s">
        <v>287</v>
      </c>
      <c r="BR2696" t="s">
        <v>84</v>
      </c>
      <c r="BS2696" s="3">
        <v>45860</v>
      </c>
      <c r="BT2696" s="4">
        <v>0.30625000000000002</v>
      </c>
      <c r="BU2696" t="s">
        <v>288</v>
      </c>
      <c r="BV2696" t="s">
        <v>98</v>
      </c>
      <c r="BY2696">
        <v>11760</v>
      </c>
      <c r="CA2696" t="s">
        <v>289</v>
      </c>
      <c r="CC2696" t="s">
        <v>80</v>
      </c>
      <c r="CD2696">
        <v>7530</v>
      </c>
      <c r="CE2696" t="s">
        <v>91</v>
      </c>
      <c r="CF2696" s="3">
        <v>45861</v>
      </c>
      <c r="CI2696">
        <v>1</v>
      </c>
      <c r="CJ2696">
        <v>1</v>
      </c>
      <c r="CK2696">
        <v>21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"080066688242"</f>
        <v>080066688242</v>
      </c>
      <c r="F2697" s="3">
        <v>45859</v>
      </c>
      <c r="G2697">
        <v>202604</v>
      </c>
      <c r="H2697" t="s">
        <v>75</v>
      </c>
      <c r="I2697" t="s">
        <v>76</v>
      </c>
      <c r="J2697" t="s">
        <v>77</v>
      </c>
      <c r="K2697" t="s">
        <v>78</v>
      </c>
      <c r="L2697" t="s">
        <v>75</v>
      </c>
      <c r="M2697" t="s">
        <v>76</v>
      </c>
      <c r="N2697" t="s">
        <v>1158</v>
      </c>
      <c r="O2697" t="s">
        <v>82</v>
      </c>
      <c r="P2697" t="str">
        <f>"4170049654                    "</f>
        <v xml:space="preserve">4170049654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17.649999999999999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55.61</v>
      </c>
      <c r="BM2697">
        <v>8.34</v>
      </c>
      <c r="BN2697">
        <v>63.95</v>
      </c>
      <c r="BO2697">
        <v>63.95</v>
      </c>
      <c r="BQ2697" t="s">
        <v>1159</v>
      </c>
      <c r="BR2697" t="s">
        <v>84</v>
      </c>
      <c r="BS2697" s="3">
        <v>45860</v>
      </c>
      <c r="BT2697" s="4">
        <v>0.40763888888888888</v>
      </c>
      <c r="BU2697" t="s">
        <v>1718</v>
      </c>
      <c r="BV2697" t="s">
        <v>98</v>
      </c>
      <c r="BY2697">
        <v>1200</v>
      </c>
      <c r="CA2697" t="s">
        <v>304</v>
      </c>
      <c r="CC2697" t="s">
        <v>76</v>
      </c>
      <c r="CD2697">
        <v>1619</v>
      </c>
      <c r="CE2697" t="s">
        <v>121</v>
      </c>
      <c r="CF2697" s="3">
        <v>45860</v>
      </c>
      <c r="CI2697">
        <v>1</v>
      </c>
      <c r="CJ2697">
        <v>1</v>
      </c>
      <c r="CK2697">
        <v>22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"080066688269"</f>
        <v>080066688269</v>
      </c>
      <c r="F2698" s="3">
        <v>45859</v>
      </c>
      <c r="G2698">
        <v>202604</v>
      </c>
      <c r="H2698" t="s">
        <v>75</v>
      </c>
      <c r="I2698" t="s">
        <v>76</v>
      </c>
      <c r="J2698" t="s">
        <v>77</v>
      </c>
      <c r="K2698" t="s">
        <v>78</v>
      </c>
      <c r="L2698" t="s">
        <v>75</v>
      </c>
      <c r="M2698" t="s">
        <v>76</v>
      </c>
      <c r="N2698" t="s">
        <v>2892</v>
      </c>
      <c r="O2698" t="s">
        <v>82</v>
      </c>
      <c r="P2698" t="str">
        <f>"4170049722                    "</f>
        <v xml:space="preserve">4170049722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17.649999999999999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55.61</v>
      </c>
      <c r="BM2698">
        <v>8.34</v>
      </c>
      <c r="BN2698">
        <v>63.95</v>
      </c>
      <c r="BO2698">
        <v>63.95</v>
      </c>
      <c r="BQ2698" t="s">
        <v>2893</v>
      </c>
      <c r="BR2698" t="s">
        <v>84</v>
      </c>
      <c r="BS2698" s="3">
        <v>45860</v>
      </c>
      <c r="BT2698" s="4">
        <v>0.39513888888888887</v>
      </c>
      <c r="BU2698" t="s">
        <v>2971</v>
      </c>
      <c r="BV2698" t="s">
        <v>98</v>
      </c>
      <c r="BY2698">
        <v>1200</v>
      </c>
      <c r="CA2698" t="s">
        <v>304</v>
      </c>
      <c r="CC2698" t="s">
        <v>76</v>
      </c>
      <c r="CD2698">
        <v>1600</v>
      </c>
      <c r="CE2698" t="s">
        <v>121</v>
      </c>
      <c r="CF2698" s="3">
        <v>45860</v>
      </c>
      <c r="CI2698">
        <v>1</v>
      </c>
      <c r="CJ2698">
        <v>1</v>
      </c>
      <c r="CK2698">
        <v>22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"080066688285"</f>
        <v>080066688285</v>
      </c>
      <c r="F2699" s="3">
        <v>45859</v>
      </c>
      <c r="G2699">
        <v>202604</v>
      </c>
      <c r="H2699" t="s">
        <v>75</v>
      </c>
      <c r="I2699" t="s">
        <v>76</v>
      </c>
      <c r="J2699" t="s">
        <v>77</v>
      </c>
      <c r="K2699" t="s">
        <v>78</v>
      </c>
      <c r="L2699" t="s">
        <v>1762</v>
      </c>
      <c r="M2699" t="s">
        <v>1763</v>
      </c>
      <c r="N2699" t="s">
        <v>1764</v>
      </c>
      <c r="O2699" t="s">
        <v>82</v>
      </c>
      <c r="P2699" t="str">
        <f>"4170049438                    "</f>
        <v xml:space="preserve">4170049438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43.78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137.94</v>
      </c>
      <c r="BM2699">
        <v>20.69</v>
      </c>
      <c r="BN2699">
        <v>158.63</v>
      </c>
      <c r="BO2699">
        <v>158.63</v>
      </c>
      <c r="BQ2699" t="s">
        <v>1765</v>
      </c>
      <c r="BR2699" t="s">
        <v>84</v>
      </c>
      <c r="BS2699" s="3">
        <v>45860</v>
      </c>
      <c r="BT2699" s="4">
        <v>0.63263888888888886</v>
      </c>
      <c r="BU2699" t="s">
        <v>2972</v>
      </c>
      <c r="BV2699" t="s">
        <v>98</v>
      </c>
      <c r="BY2699">
        <v>1200</v>
      </c>
      <c r="CA2699" t="s">
        <v>1767</v>
      </c>
      <c r="CC2699" t="s">
        <v>1763</v>
      </c>
      <c r="CD2699">
        <v>1389</v>
      </c>
      <c r="CE2699" t="s">
        <v>121</v>
      </c>
      <c r="CF2699" s="3">
        <v>45860</v>
      </c>
      <c r="CI2699">
        <v>1</v>
      </c>
      <c r="CJ2699">
        <v>1</v>
      </c>
      <c r="CK2699">
        <v>23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"080066688299"</f>
        <v>080066688299</v>
      </c>
      <c r="F2700" s="3">
        <v>45859</v>
      </c>
      <c r="G2700">
        <v>202604</v>
      </c>
      <c r="H2700" t="s">
        <v>75</v>
      </c>
      <c r="I2700" t="s">
        <v>76</v>
      </c>
      <c r="J2700" t="s">
        <v>77</v>
      </c>
      <c r="K2700" t="s">
        <v>78</v>
      </c>
      <c r="L2700" t="s">
        <v>79</v>
      </c>
      <c r="M2700" t="s">
        <v>80</v>
      </c>
      <c r="N2700" t="s">
        <v>141</v>
      </c>
      <c r="O2700" t="s">
        <v>82</v>
      </c>
      <c r="P2700" t="str">
        <f>"4170049504                    "</f>
        <v xml:space="preserve">4170049504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22.6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1.7</v>
      </c>
      <c r="BK2700">
        <v>2</v>
      </c>
      <c r="BL2700">
        <v>71.2</v>
      </c>
      <c r="BM2700">
        <v>10.68</v>
      </c>
      <c r="BN2700">
        <v>81.88</v>
      </c>
      <c r="BO2700">
        <v>81.88</v>
      </c>
      <c r="BQ2700" t="s">
        <v>142</v>
      </c>
      <c r="BR2700" t="s">
        <v>84</v>
      </c>
      <c r="BS2700" s="3">
        <v>45860</v>
      </c>
      <c r="BT2700" s="4">
        <v>0.41458333333333336</v>
      </c>
      <c r="BU2700" t="s">
        <v>143</v>
      </c>
      <c r="BV2700" t="s">
        <v>98</v>
      </c>
      <c r="BY2700">
        <v>8550</v>
      </c>
      <c r="CA2700" t="s">
        <v>144</v>
      </c>
      <c r="CC2700" t="s">
        <v>80</v>
      </c>
      <c r="CD2700">
        <v>7441</v>
      </c>
      <c r="CE2700" t="s">
        <v>145</v>
      </c>
      <c r="CF2700" s="3">
        <v>45861</v>
      </c>
      <c r="CI2700">
        <v>1</v>
      </c>
      <c r="CJ2700">
        <v>1</v>
      </c>
      <c r="CK2700">
        <v>21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"080066688357"</f>
        <v>080066688357</v>
      </c>
      <c r="F2701" s="3">
        <v>45859</v>
      </c>
      <c r="G2701">
        <v>202604</v>
      </c>
      <c r="H2701" t="s">
        <v>75</v>
      </c>
      <c r="I2701" t="s">
        <v>76</v>
      </c>
      <c r="J2701" t="s">
        <v>77</v>
      </c>
      <c r="K2701" t="s">
        <v>78</v>
      </c>
      <c r="L2701" t="s">
        <v>79</v>
      </c>
      <c r="M2701" t="s">
        <v>80</v>
      </c>
      <c r="N2701" t="s">
        <v>141</v>
      </c>
      <c r="O2701" t="s">
        <v>82</v>
      </c>
      <c r="P2701" t="str">
        <f>"4170049512                    "</f>
        <v xml:space="preserve">4170049512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112.92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10</v>
      </c>
      <c r="BJ2701">
        <v>3.4</v>
      </c>
      <c r="BK2701">
        <v>10</v>
      </c>
      <c r="BL2701">
        <v>355.76</v>
      </c>
      <c r="BM2701">
        <v>53.36</v>
      </c>
      <c r="BN2701">
        <v>409.12</v>
      </c>
      <c r="BO2701">
        <v>409.12</v>
      </c>
      <c r="BQ2701" t="s">
        <v>142</v>
      </c>
      <c r="BR2701" t="s">
        <v>84</v>
      </c>
      <c r="BS2701" s="3">
        <v>45860</v>
      </c>
      <c r="BT2701" s="4">
        <v>0.41458333333333336</v>
      </c>
      <c r="BU2701" t="s">
        <v>143</v>
      </c>
      <c r="BV2701" t="s">
        <v>98</v>
      </c>
      <c r="BY2701">
        <v>16965</v>
      </c>
      <c r="CA2701" t="s">
        <v>144</v>
      </c>
      <c r="CC2701" t="s">
        <v>80</v>
      </c>
      <c r="CD2701">
        <v>7441</v>
      </c>
      <c r="CE2701" t="s">
        <v>145</v>
      </c>
      <c r="CF2701" s="3">
        <v>45861</v>
      </c>
      <c r="CI2701">
        <v>1</v>
      </c>
      <c r="CJ2701">
        <v>1</v>
      </c>
      <c r="CK2701">
        <v>21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"080066688361"</f>
        <v>080066688361</v>
      </c>
      <c r="F2702" s="3">
        <v>45859</v>
      </c>
      <c r="G2702">
        <v>202604</v>
      </c>
      <c r="H2702" t="s">
        <v>75</v>
      </c>
      <c r="I2702" t="s">
        <v>76</v>
      </c>
      <c r="J2702" t="s">
        <v>77</v>
      </c>
      <c r="K2702" t="s">
        <v>78</v>
      </c>
      <c r="L2702" t="s">
        <v>75</v>
      </c>
      <c r="M2702" t="s">
        <v>76</v>
      </c>
      <c r="N2702" t="s">
        <v>1158</v>
      </c>
      <c r="O2702" t="s">
        <v>82</v>
      </c>
      <c r="P2702" t="str">
        <f>"4170049720                    "</f>
        <v xml:space="preserve">4170049720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17.649999999999999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55.61</v>
      </c>
      <c r="BM2702">
        <v>8.34</v>
      </c>
      <c r="BN2702">
        <v>63.95</v>
      </c>
      <c r="BO2702">
        <v>63.95</v>
      </c>
      <c r="BQ2702" t="s">
        <v>1159</v>
      </c>
      <c r="BR2702" t="s">
        <v>84</v>
      </c>
      <c r="BS2702" s="3">
        <v>45860</v>
      </c>
      <c r="BT2702" s="4">
        <v>0.40763888888888888</v>
      </c>
      <c r="BU2702" t="s">
        <v>1718</v>
      </c>
      <c r="BV2702" t="s">
        <v>98</v>
      </c>
      <c r="BY2702">
        <v>1200</v>
      </c>
      <c r="CA2702" t="s">
        <v>304</v>
      </c>
      <c r="CC2702" t="s">
        <v>76</v>
      </c>
      <c r="CD2702">
        <v>1619</v>
      </c>
      <c r="CE2702" t="s">
        <v>121</v>
      </c>
      <c r="CF2702" s="3">
        <v>45860</v>
      </c>
      <c r="CI2702">
        <v>1</v>
      </c>
      <c r="CJ2702">
        <v>1</v>
      </c>
      <c r="CK2702">
        <v>22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"080066688422"</f>
        <v>080066688422</v>
      </c>
      <c r="F2703" s="3">
        <v>45859</v>
      </c>
      <c r="G2703">
        <v>202604</v>
      </c>
      <c r="H2703" t="s">
        <v>75</v>
      </c>
      <c r="I2703" t="s">
        <v>76</v>
      </c>
      <c r="J2703" t="s">
        <v>77</v>
      </c>
      <c r="K2703" t="s">
        <v>78</v>
      </c>
      <c r="L2703" t="s">
        <v>92</v>
      </c>
      <c r="M2703" t="s">
        <v>93</v>
      </c>
      <c r="N2703" t="s">
        <v>291</v>
      </c>
      <c r="O2703" t="s">
        <v>82</v>
      </c>
      <c r="P2703" t="str">
        <f>"4170049610                    "</f>
        <v xml:space="preserve">4170049610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107.28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9</v>
      </c>
      <c r="BJ2703">
        <v>9.1</v>
      </c>
      <c r="BK2703">
        <v>9.5</v>
      </c>
      <c r="BL2703">
        <v>337.98</v>
      </c>
      <c r="BM2703">
        <v>50.7</v>
      </c>
      <c r="BN2703">
        <v>388.68</v>
      </c>
      <c r="BO2703">
        <v>388.68</v>
      </c>
      <c r="BQ2703" t="s">
        <v>292</v>
      </c>
      <c r="BR2703" t="s">
        <v>84</v>
      </c>
      <c r="BS2703" s="3">
        <v>45860</v>
      </c>
      <c r="BT2703" s="4">
        <v>0.34861111111111109</v>
      </c>
      <c r="BU2703" t="s">
        <v>847</v>
      </c>
      <c r="BV2703" t="s">
        <v>98</v>
      </c>
      <c r="BY2703">
        <v>45375</v>
      </c>
      <c r="CA2703" t="s">
        <v>294</v>
      </c>
      <c r="CC2703" t="s">
        <v>93</v>
      </c>
      <c r="CD2703">
        <v>4051</v>
      </c>
      <c r="CE2703" t="s">
        <v>2742</v>
      </c>
      <c r="CF2703" s="3">
        <v>45860</v>
      </c>
      <c r="CI2703">
        <v>1</v>
      </c>
      <c r="CJ2703">
        <v>1</v>
      </c>
      <c r="CK2703">
        <v>21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"080066688423"</f>
        <v>080066688423</v>
      </c>
      <c r="F2704" s="3">
        <v>45859</v>
      </c>
      <c r="G2704">
        <v>202604</v>
      </c>
      <c r="H2704" t="s">
        <v>75</v>
      </c>
      <c r="I2704" t="s">
        <v>76</v>
      </c>
      <c r="J2704" t="s">
        <v>77</v>
      </c>
      <c r="K2704" t="s">
        <v>78</v>
      </c>
      <c r="L2704" t="s">
        <v>122</v>
      </c>
      <c r="M2704" t="s">
        <v>123</v>
      </c>
      <c r="N2704" t="s">
        <v>267</v>
      </c>
      <c r="O2704" t="s">
        <v>82</v>
      </c>
      <c r="P2704" t="str">
        <f>"4170049653                    "</f>
        <v xml:space="preserve">4170049653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22.6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71.2</v>
      </c>
      <c r="BM2704">
        <v>10.68</v>
      </c>
      <c r="BN2704">
        <v>81.88</v>
      </c>
      <c r="BO2704">
        <v>81.88</v>
      </c>
      <c r="BQ2704" t="s">
        <v>268</v>
      </c>
      <c r="BR2704" t="s">
        <v>84</v>
      </c>
      <c r="BS2704" s="3">
        <v>45860</v>
      </c>
      <c r="BT2704" s="4">
        <v>0.61736111111111114</v>
      </c>
      <c r="BU2704" t="s">
        <v>2973</v>
      </c>
      <c r="BV2704" t="s">
        <v>86</v>
      </c>
      <c r="BW2704" t="s">
        <v>194</v>
      </c>
      <c r="BX2704" t="s">
        <v>1174</v>
      </c>
      <c r="BY2704">
        <v>1200</v>
      </c>
      <c r="CA2704" t="s">
        <v>2974</v>
      </c>
      <c r="CC2704" t="s">
        <v>123</v>
      </c>
      <c r="CD2704">
        <v>3610</v>
      </c>
      <c r="CE2704" t="s">
        <v>121</v>
      </c>
      <c r="CF2704" s="3">
        <v>45861</v>
      </c>
      <c r="CI2704">
        <v>1</v>
      </c>
      <c r="CJ2704">
        <v>1</v>
      </c>
      <c r="CK2704">
        <v>21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"080066688454"</f>
        <v>080066688454</v>
      </c>
      <c r="F2705" s="3">
        <v>45859</v>
      </c>
      <c r="G2705">
        <v>202604</v>
      </c>
      <c r="H2705" t="s">
        <v>75</v>
      </c>
      <c r="I2705" t="s">
        <v>76</v>
      </c>
      <c r="J2705" t="s">
        <v>77</v>
      </c>
      <c r="K2705" t="s">
        <v>78</v>
      </c>
      <c r="L2705" t="s">
        <v>151</v>
      </c>
      <c r="M2705" t="s">
        <v>152</v>
      </c>
      <c r="N2705" t="s">
        <v>902</v>
      </c>
      <c r="O2705" t="s">
        <v>82</v>
      </c>
      <c r="P2705" t="str">
        <f>"4170049453                    "</f>
        <v xml:space="preserve">4170049453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22.6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71.2</v>
      </c>
      <c r="BM2705">
        <v>10.68</v>
      </c>
      <c r="BN2705">
        <v>81.88</v>
      </c>
      <c r="BO2705">
        <v>81.88</v>
      </c>
      <c r="BQ2705" t="s">
        <v>903</v>
      </c>
      <c r="BR2705" t="s">
        <v>84</v>
      </c>
      <c r="BS2705" s="3">
        <v>45860</v>
      </c>
      <c r="BT2705" s="4">
        <v>0.41736111111111113</v>
      </c>
      <c r="BU2705" t="s">
        <v>1119</v>
      </c>
      <c r="BV2705" t="s">
        <v>98</v>
      </c>
      <c r="BY2705">
        <v>1200</v>
      </c>
      <c r="CA2705" t="s">
        <v>906</v>
      </c>
      <c r="CC2705" t="s">
        <v>152</v>
      </c>
      <c r="CD2705" s="5" t="s">
        <v>907</v>
      </c>
      <c r="CE2705" t="s">
        <v>121</v>
      </c>
      <c r="CF2705" s="3">
        <v>45860</v>
      </c>
      <c r="CI2705">
        <v>1</v>
      </c>
      <c r="CJ2705">
        <v>1</v>
      </c>
      <c r="CK2705">
        <v>21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"080066688463"</f>
        <v>080066688463</v>
      </c>
      <c r="F2706" s="3">
        <v>45859</v>
      </c>
      <c r="G2706">
        <v>202604</v>
      </c>
      <c r="H2706" t="s">
        <v>75</v>
      </c>
      <c r="I2706" t="s">
        <v>76</v>
      </c>
      <c r="J2706" t="s">
        <v>77</v>
      </c>
      <c r="K2706" t="s">
        <v>78</v>
      </c>
      <c r="L2706" t="s">
        <v>197</v>
      </c>
      <c r="M2706" t="s">
        <v>198</v>
      </c>
      <c r="N2706" t="s">
        <v>954</v>
      </c>
      <c r="O2706" t="s">
        <v>82</v>
      </c>
      <c r="P2706" t="str">
        <f>"4170049579                    "</f>
        <v xml:space="preserve">4170049579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17.649999999999999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3.4</v>
      </c>
      <c r="BK2706">
        <v>4</v>
      </c>
      <c r="BL2706">
        <v>55.61</v>
      </c>
      <c r="BM2706">
        <v>8.34</v>
      </c>
      <c r="BN2706">
        <v>63.95</v>
      </c>
      <c r="BO2706">
        <v>63.95</v>
      </c>
      <c r="BQ2706" t="s">
        <v>955</v>
      </c>
      <c r="BR2706" t="s">
        <v>84</v>
      </c>
      <c r="BS2706" s="3">
        <v>45860</v>
      </c>
      <c r="BT2706" s="4">
        <v>0.34305555555555556</v>
      </c>
      <c r="BU2706" t="s">
        <v>2975</v>
      </c>
      <c r="BV2706" t="s">
        <v>98</v>
      </c>
      <c r="BY2706">
        <v>16965</v>
      </c>
      <c r="CA2706" t="s">
        <v>1799</v>
      </c>
      <c r="CC2706" t="s">
        <v>198</v>
      </c>
      <c r="CD2706">
        <v>1401</v>
      </c>
      <c r="CE2706" t="s">
        <v>145</v>
      </c>
      <c r="CF2706" s="3">
        <v>45860</v>
      </c>
      <c r="CI2706">
        <v>1</v>
      </c>
      <c r="CJ2706">
        <v>1</v>
      </c>
      <c r="CK2706">
        <v>22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"080066688515"</f>
        <v>080066688515</v>
      </c>
      <c r="F2707" s="3">
        <v>45859</v>
      </c>
      <c r="G2707">
        <v>202604</v>
      </c>
      <c r="H2707" t="s">
        <v>75</v>
      </c>
      <c r="I2707" t="s">
        <v>76</v>
      </c>
      <c r="J2707" t="s">
        <v>77</v>
      </c>
      <c r="K2707" t="s">
        <v>78</v>
      </c>
      <c r="L2707" t="s">
        <v>363</v>
      </c>
      <c r="M2707" t="s">
        <v>364</v>
      </c>
      <c r="N2707" t="s">
        <v>365</v>
      </c>
      <c r="O2707" t="s">
        <v>82</v>
      </c>
      <c r="P2707" t="str">
        <f>"4170049698                    "</f>
        <v xml:space="preserve">4170049698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43.78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137.94</v>
      </c>
      <c r="BM2707">
        <v>20.69</v>
      </c>
      <c r="BN2707">
        <v>158.63</v>
      </c>
      <c r="BO2707">
        <v>158.63</v>
      </c>
      <c r="BQ2707" t="s">
        <v>1118</v>
      </c>
      <c r="BR2707" t="s">
        <v>84</v>
      </c>
      <c r="BS2707" s="3">
        <v>45860</v>
      </c>
      <c r="BT2707" s="4">
        <v>0.54861111111111116</v>
      </c>
      <c r="BU2707" t="s">
        <v>1696</v>
      </c>
      <c r="BV2707" t="s">
        <v>98</v>
      </c>
      <c r="BY2707">
        <v>1200</v>
      </c>
      <c r="CC2707" t="s">
        <v>364</v>
      </c>
      <c r="CD2707">
        <v>7299</v>
      </c>
      <c r="CE2707" t="s">
        <v>121</v>
      </c>
      <c r="CF2707" s="3">
        <v>45861</v>
      </c>
      <c r="CI2707">
        <v>1</v>
      </c>
      <c r="CJ2707">
        <v>1</v>
      </c>
      <c r="CK2707">
        <v>23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"080066688540"</f>
        <v>080066688540</v>
      </c>
      <c r="F2708" s="3">
        <v>45859</v>
      </c>
      <c r="G2708">
        <v>202604</v>
      </c>
      <c r="H2708" t="s">
        <v>75</v>
      </c>
      <c r="I2708" t="s">
        <v>76</v>
      </c>
      <c r="J2708" t="s">
        <v>77</v>
      </c>
      <c r="K2708" t="s">
        <v>78</v>
      </c>
      <c r="L2708" t="s">
        <v>146</v>
      </c>
      <c r="M2708" t="s">
        <v>146</v>
      </c>
      <c r="N2708" t="s">
        <v>2976</v>
      </c>
      <c r="O2708" t="s">
        <v>82</v>
      </c>
      <c r="P2708" t="str">
        <f>"4170049510                    "</f>
        <v xml:space="preserve">4170049510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93.21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4</v>
      </c>
      <c r="BJ2708">
        <v>4.5</v>
      </c>
      <c r="BK2708">
        <v>4.5</v>
      </c>
      <c r="BL2708">
        <v>293.67</v>
      </c>
      <c r="BM2708">
        <v>44.05</v>
      </c>
      <c r="BN2708">
        <v>337.72</v>
      </c>
      <c r="BO2708">
        <v>337.72</v>
      </c>
      <c r="BQ2708" t="s">
        <v>2977</v>
      </c>
      <c r="BR2708" t="s">
        <v>84</v>
      </c>
      <c r="BS2708" s="3">
        <v>45860</v>
      </c>
      <c r="BT2708" s="4">
        <v>0.47361111111111109</v>
      </c>
      <c r="BU2708" t="s">
        <v>2978</v>
      </c>
      <c r="BV2708" t="s">
        <v>98</v>
      </c>
      <c r="BY2708">
        <v>22620</v>
      </c>
      <c r="CA2708" t="s">
        <v>150</v>
      </c>
      <c r="CC2708" t="s">
        <v>146</v>
      </c>
      <c r="CD2708">
        <v>7646</v>
      </c>
      <c r="CE2708" t="s">
        <v>145</v>
      </c>
      <c r="CF2708" s="3">
        <v>45861</v>
      </c>
      <c r="CI2708">
        <v>1</v>
      </c>
      <c r="CJ2708">
        <v>1</v>
      </c>
      <c r="CK2708">
        <v>23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"080066688566"</f>
        <v>080066688566</v>
      </c>
      <c r="F2709" s="3">
        <v>45859</v>
      </c>
      <c r="G2709">
        <v>202604</v>
      </c>
      <c r="H2709" t="s">
        <v>75</v>
      </c>
      <c r="I2709" t="s">
        <v>76</v>
      </c>
      <c r="J2709" t="s">
        <v>77</v>
      </c>
      <c r="K2709" t="s">
        <v>78</v>
      </c>
      <c r="L2709" t="s">
        <v>79</v>
      </c>
      <c r="M2709" t="s">
        <v>80</v>
      </c>
      <c r="N2709" t="s">
        <v>286</v>
      </c>
      <c r="O2709" t="s">
        <v>82</v>
      </c>
      <c r="P2709" t="str">
        <f>"4170049522                    "</f>
        <v xml:space="preserve">4170049522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22.6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71.2</v>
      </c>
      <c r="BM2709">
        <v>10.68</v>
      </c>
      <c r="BN2709">
        <v>81.88</v>
      </c>
      <c r="BO2709">
        <v>81.88</v>
      </c>
      <c r="BQ2709" t="s">
        <v>287</v>
      </c>
      <c r="BR2709" t="s">
        <v>84</v>
      </c>
      <c r="BS2709" s="3">
        <v>45860</v>
      </c>
      <c r="BT2709" s="4">
        <v>0.30625000000000002</v>
      </c>
      <c r="BU2709" t="s">
        <v>288</v>
      </c>
      <c r="BV2709" t="s">
        <v>98</v>
      </c>
      <c r="BY2709">
        <v>1200</v>
      </c>
      <c r="CA2709" t="s">
        <v>289</v>
      </c>
      <c r="CC2709" t="s">
        <v>80</v>
      </c>
      <c r="CD2709">
        <v>7530</v>
      </c>
      <c r="CE2709" t="s">
        <v>121</v>
      </c>
      <c r="CF2709" s="3">
        <v>45861</v>
      </c>
      <c r="CI2709">
        <v>1</v>
      </c>
      <c r="CJ2709">
        <v>1</v>
      </c>
      <c r="CK2709">
        <v>21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"080066688646"</f>
        <v>080066688646</v>
      </c>
      <c r="F2710" s="3">
        <v>45859</v>
      </c>
      <c r="G2710">
        <v>202604</v>
      </c>
      <c r="H2710" t="s">
        <v>75</v>
      </c>
      <c r="I2710" t="s">
        <v>76</v>
      </c>
      <c r="J2710" t="s">
        <v>77</v>
      </c>
      <c r="K2710" t="s">
        <v>78</v>
      </c>
      <c r="L2710" t="s">
        <v>452</v>
      </c>
      <c r="M2710" t="s">
        <v>453</v>
      </c>
      <c r="N2710" t="s">
        <v>1192</v>
      </c>
      <c r="O2710" t="s">
        <v>82</v>
      </c>
      <c r="P2710" t="str">
        <f>"4170049491                    "</f>
        <v xml:space="preserve">4170049491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17.649999999999999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55.61</v>
      </c>
      <c r="BM2710">
        <v>8.34</v>
      </c>
      <c r="BN2710">
        <v>63.95</v>
      </c>
      <c r="BO2710">
        <v>63.95</v>
      </c>
      <c r="BQ2710" t="s">
        <v>1193</v>
      </c>
      <c r="BR2710" t="s">
        <v>84</v>
      </c>
      <c r="BS2710" s="3">
        <v>45860</v>
      </c>
      <c r="BT2710" s="4">
        <v>0.43194444444444446</v>
      </c>
      <c r="BU2710" t="s">
        <v>2979</v>
      </c>
      <c r="BV2710" t="s">
        <v>98</v>
      </c>
      <c r="BY2710">
        <v>1200</v>
      </c>
      <c r="CA2710" t="s">
        <v>1541</v>
      </c>
      <c r="CC2710" t="s">
        <v>453</v>
      </c>
      <c r="CD2710">
        <v>1559</v>
      </c>
      <c r="CE2710" t="s">
        <v>121</v>
      </c>
      <c r="CF2710" s="3">
        <v>45860</v>
      </c>
      <c r="CI2710">
        <v>1</v>
      </c>
      <c r="CJ2710">
        <v>1</v>
      </c>
      <c r="CK2710">
        <v>22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"080066688713"</f>
        <v>080066688713</v>
      </c>
      <c r="F2711" s="3">
        <v>45859</v>
      </c>
      <c r="G2711">
        <v>202604</v>
      </c>
      <c r="H2711" t="s">
        <v>75</v>
      </c>
      <c r="I2711" t="s">
        <v>76</v>
      </c>
      <c r="J2711" t="s">
        <v>77</v>
      </c>
      <c r="K2711" t="s">
        <v>78</v>
      </c>
      <c r="L2711" t="s">
        <v>75</v>
      </c>
      <c r="M2711" t="s">
        <v>76</v>
      </c>
      <c r="N2711" t="s">
        <v>2892</v>
      </c>
      <c r="O2711" t="s">
        <v>82</v>
      </c>
      <c r="P2711" t="str">
        <f>"4170049724                    "</f>
        <v xml:space="preserve">4170049724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17.649999999999999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55.61</v>
      </c>
      <c r="BM2711">
        <v>8.34</v>
      </c>
      <c r="BN2711">
        <v>63.95</v>
      </c>
      <c r="BO2711">
        <v>63.95</v>
      </c>
      <c r="BQ2711" t="s">
        <v>2893</v>
      </c>
      <c r="BR2711" t="s">
        <v>84</v>
      </c>
      <c r="BS2711" s="3">
        <v>45860</v>
      </c>
      <c r="BT2711" s="4">
        <v>0.39513888888888887</v>
      </c>
      <c r="BU2711" t="s">
        <v>2980</v>
      </c>
      <c r="BV2711" t="s">
        <v>98</v>
      </c>
      <c r="BY2711">
        <v>1200</v>
      </c>
      <c r="CA2711" t="s">
        <v>304</v>
      </c>
      <c r="CC2711" t="s">
        <v>76</v>
      </c>
      <c r="CD2711">
        <v>1600</v>
      </c>
      <c r="CE2711" t="s">
        <v>121</v>
      </c>
      <c r="CF2711" s="3">
        <v>45860</v>
      </c>
      <c r="CI2711">
        <v>1</v>
      </c>
      <c r="CJ2711">
        <v>1</v>
      </c>
      <c r="CK2711">
        <v>22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"080066688755"</f>
        <v>080066688755</v>
      </c>
      <c r="F2712" s="3">
        <v>45859</v>
      </c>
      <c r="G2712">
        <v>202604</v>
      </c>
      <c r="H2712" t="s">
        <v>75</v>
      </c>
      <c r="I2712" t="s">
        <v>76</v>
      </c>
      <c r="J2712" t="s">
        <v>77</v>
      </c>
      <c r="K2712" t="s">
        <v>78</v>
      </c>
      <c r="L2712" t="s">
        <v>542</v>
      </c>
      <c r="M2712" t="s">
        <v>543</v>
      </c>
      <c r="N2712" t="s">
        <v>352</v>
      </c>
      <c r="O2712" t="s">
        <v>82</v>
      </c>
      <c r="P2712" t="str">
        <f>"4170049577                    "</f>
        <v xml:space="preserve">4170049577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17.649999999999999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0.9</v>
      </c>
      <c r="BK2712">
        <v>1</v>
      </c>
      <c r="BL2712">
        <v>55.61</v>
      </c>
      <c r="BM2712">
        <v>8.34</v>
      </c>
      <c r="BN2712">
        <v>63.95</v>
      </c>
      <c r="BO2712">
        <v>63.95</v>
      </c>
      <c r="BQ2712" t="s">
        <v>353</v>
      </c>
      <c r="BR2712" t="s">
        <v>84</v>
      </c>
      <c r="BS2712" s="3">
        <v>45860</v>
      </c>
      <c r="BT2712" s="4">
        <v>0.44374999999999998</v>
      </c>
      <c r="BU2712" t="s">
        <v>2981</v>
      </c>
      <c r="BV2712" t="s">
        <v>86</v>
      </c>
      <c r="BY2712">
        <v>4275</v>
      </c>
      <c r="CA2712" t="s">
        <v>2374</v>
      </c>
      <c r="CC2712" t="s">
        <v>543</v>
      </c>
      <c r="CD2712">
        <v>1451</v>
      </c>
      <c r="CE2712" t="s">
        <v>259</v>
      </c>
      <c r="CF2712" s="3">
        <v>45860</v>
      </c>
      <c r="CI2712">
        <v>1</v>
      </c>
      <c r="CJ2712">
        <v>1</v>
      </c>
      <c r="CK2712">
        <v>22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"080066688822"</f>
        <v>080066688822</v>
      </c>
      <c r="F2713" s="3">
        <v>45859</v>
      </c>
      <c r="G2713">
        <v>202604</v>
      </c>
      <c r="H2713" t="s">
        <v>75</v>
      </c>
      <c r="I2713" t="s">
        <v>76</v>
      </c>
      <c r="J2713" t="s">
        <v>77</v>
      </c>
      <c r="K2713" t="s">
        <v>78</v>
      </c>
      <c r="L2713" t="s">
        <v>75</v>
      </c>
      <c r="M2713" t="s">
        <v>76</v>
      </c>
      <c r="N2713" t="s">
        <v>562</v>
      </c>
      <c r="O2713" t="s">
        <v>82</v>
      </c>
      <c r="P2713" t="str">
        <f>"4170049671                    "</f>
        <v xml:space="preserve">4170049671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17.649999999999999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8</v>
      </c>
      <c r="BJ2713">
        <v>3.4</v>
      </c>
      <c r="BK2713">
        <v>8</v>
      </c>
      <c r="BL2713">
        <v>55.61</v>
      </c>
      <c r="BM2713">
        <v>8.34</v>
      </c>
      <c r="BN2713">
        <v>63.95</v>
      </c>
      <c r="BO2713">
        <v>63.95</v>
      </c>
      <c r="BQ2713" t="s">
        <v>563</v>
      </c>
      <c r="BR2713" t="s">
        <v>84</v>
      </c>
      <c r="BS2713" s="3">
        <v>45860</v>
      </c>
      <c r="BT2713" s="4">
        <v>0.38194444444444442</v>
      </c>
      <c r="BU2713" t="s">
        <v>2155</v>
      </c>
      <c r="BV2713" t="s">
        <v>98</v>
      </c>
      <c r="BY2713">
        <v>16965</v>
      </c>
      <c r="CA2713" t="s">
        <v>565</v>
      </c>
      <c r="CC2713" t="s">
        <v>76</v>
      </c>
      <c r="CD2713">
        <v>1619</v>
      </c>
      <c r="CE2713" t="s">
        <v>145</v>
      </c>
      <c r="CF2713" s="3">
        <v>45860</v>
      </c>
      <c r="CI2713">
        <v>1</v>
      </c>
      <c r="CJ2713">
        <v>1</v>
      </c>
      <c r="CK2713">
        <v>22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"080066688896"</f>
        <v>080066688896</v>
      </c>
      <c r="F2714" s="3">
        <v>45859</v>
      </c>
      <c r="G2714">
        <v>202604</v>
      </c>
      <c r="H2714" t="s">
        <v>75</v>
      </c>
      <c r="I2714" t="s">
        <v>76</v>
      </c>
      <c r="J2714" t="s">
        <v>77</v>
      </c>
      <c r="K2714" t="s">
        <v>78</v>
      </c>
      <c r="L2714" t="s">
        <v>79</v>
      </c>
      <c r="M2714" t="s">
        <v>80</v>
      </c>
      <c r="N2714" t="s">
        <v>1083</v>
      </c>
      <c r="O2714" t="s">
        <v>82</v>
      </c>
      <c r="P2714" t="str">
        <f>"4170049690                    "</f>
        <v xml:space="preserve">4170049690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22.6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2</v>
      </c>
      <c r="BJ2714">
        <v>1.9</v>
      </c>
      <c r="BK2714">
        <v>2</v>
      </c>
      <c r="BL2714">
        <v>71.2</v>
      </c>
      <c r="BM2714">
        <v>10.68</v>
      </c>
      <c r="BN2714">
        <v>81.88</v>
      </c>
      <c r="BO2714">
        <v>81.88</v>
      </c>
      <c r="BQ2714" t="s">
        <v>1084</v>
      </c>
      <c r="BR2714" t="s">
        <v>84</v>
      </c>
      <c r="BS2714" s="3">
        <v>45860</v>
      </c>
      <c r="BT2714" s="4">
        <v>0.40902777777777777</v>
      </c>
      <c r="BU2714" t="s">
        <v>378</v>
      </c>
      <c r="BV2714" t="s">
        <v>98</v>
      </c>
      <c r="BY2714">
        <v>9600</v>
      </c>
      <c r="CA2714" t="s">
        <v>144</v>
      </c>
      <c r="CC2714" t="s">
        <v>80</v>
      </c>
      <c r="CD2714">
        <v>8001</v>
      </c>
      <c r="CE2714" t="s">
        <v>145</v>
      </c>
      <c r="CF2714" s="3">
        <v>45861</v>
      </c>
      <c r="CI2714">
        <v>1</v>
      </c>
      <c r="CJ2714">
        <v>1</v>
      </c>
      <c r="CK2714">
        <v>21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"080066688915"</f>
        <v>080066688915</v>
      </c>
      <c r="F2715" s="3">
        <v>45859</v>
      </c>
      <c r="G2715">
        <v>202604</v>
      </c>
      <c r="H2715" t="s">
        <v>75</v>
      </c>
      <c r="I2715" t="s">
        <v>76</v>
      </c>
      <c r="J2715" t="s">
        <v>77</v>
      </c>
      <c r="K2715" t="s">
        <v>78</v>
      </c>
      <c r="L2715" t="s">
        <v>168</v>
      </c>
      <c r="M2715" t="s">
        <v>169</v>
      </c>
      <c r="N2715" t="s">
        <v>206</v>
      </c>
      <c r="O2715" t="s">
        <v>82</v>
      </c>
      <c r="P2715" t="str">
        <f>"4170049420                    "</f>
        <v xml:space="preserve">4170049420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22.6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71.2</v>
      </c>
      <c r="BM2715">
        <v>10.68</v>
      </c>
      <c r="BN2715">
        <v>81.88</v>
      </c>
      <c r="BO2715">
        <v>81.88</v>
      </c>
      <c r="BQ2715" t="s">
        <v>207</v>
      </c>
      <c r="BR2715" t="s">
        <v>84</v>
      </c>
      <c r="BS2715" s="3">
        <v>45860</v>
      </c>
      <c r="BT2715" s="4">
        <v>0.38333333333333336</v>
      </c>
      <c r="BU2715" t="s">
        <v>208</v>
      </c>
      <c r="BV2715" t="s">
        <v>98</v>
      </c>
      <c r="BY2715">
        <v>1200</v>
      </c>
      <c r="CA2715" t="s">
        <v>196</v>
      </c>
      <c r="CC2715" t="s">
        <v>169</v>
      </c>
      <c r="CD2715">
        <v>6001</v>
      </c>
      <c r="CE2715" t="s">
        <v>121</v>
      </c>
      <c r="CF2715" s="3">
        <v>45860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"080066688977"</f>
        <v>080066688977</v>
      </c>
      <c r="F2716" s="3">
        <v>45859</v>
      </c>
      <c r="G2716">
        <v>202604</v>
      </c>
      <c r="H2716" t="s">
        <v>75</v>
      </c>
      <c r="I2716" t="s">
        <v>76</v>
      </c>
      <c r="J2716" t="s">
        <v>77</v>
      </c>
      <c r="K2716" t="s">
        <v>78</v>
      </c>
      <c r="L2716" t="s">
        <v>135</v>
      </c>
      <c r="M2716" t="s">
        <v>136</v>
      </c>
      <c r="N2716" t="s">
        <v>1093</v>
      </c>
      <c r="O2716" t="s">
        <v>82</v>
      </c>
      <c r="P2716" t="str">
        <f>"4170049599                    "</f>
        <v xml:space="preserve">4170049599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22.6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2</v>
      </c>
      <c r="BJ2716">
        <v>1.1000000000000001</v>
      </c>
      <c r="BK2716">
        <v>2</v>
      </c>
      <c r="BL2716">
        <v>71.2</v>
      </c>
      <c r="BM2716">
        <v>10.68</v>
      </c>
      <c r="BN2716">
        <v>81.88</v>
      </c>
      <c r="BO2716">
        <v>81.88</v>
      </c>
      <c r="BQ2716" t="s">
        <v>1094</v>
      </c>
      <c r="BR2716" t="s">
        <v>84</v>
      </c>
      <c r="BS2716" s="3">
        <v>45860</v>
      </c>
      <c r="BT2716" s="4">
        <v>0.41666666666666669</v>
      </c>
      <c r="BU2716" t="s">
        <v>1944</v>
      </c>
      <c r="BV2716" t="s">
        <v>98</v>
      </c>
      <c r="BY2716">
        <v>5320</v>
      </c>
      <c r="CA2716" t="s">
        <v>1602</v>
      </c>
      <c r="CC2716" t="s">
        <v>136</v>
      </c>
      <c r="CD2716">
        <v>3201</v>
      </c>
      <c r="CE2716" t="s">
        <v>145</v>
      </c>
      <c r="CF2716" s="3">
        <v>45861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"080066689047"</f>
        <v>080066689047</v>
      </c>
      <c r="F2717" s="3">
        <v>45859</v>
      </c>
      <c r="G2717">
        <v>202604</v>
      </c>
      <c r="H2717" t="s">
        <v>75</v>
      </c>
      <c r="I2717" t="s">
        <v>76</v>
      </c>
      <c r="J2717" t="s">
        <v>77</v>
      </c>
      <c r="K2717" t="s">
        <v>78</v>
      </c>
      <c r="L2717" t="s">
        <v>122</v>
      </c>
      <c r="M2717" t="s">
        <v>123</v>
      </c>
      <c r="N2717" t="s">
        <v>1176</v>
      </c>
      <c r="O2717" t="s">
        <v>82</v>
      </c>
      <c r="P2717" t="str">
        <f>"4170049685                    "</f>
        <v xml:space="preserve">4170049685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22.6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1.1000000000000001</v>
      </c>
      <c r="BK2717">
        <v>1.5</v>
      </c>
      <c r="BL2717">
        <v>71.2</v>
      </c>
      <c r="BM2717">
        <v>10.68</v>
      </c>
      <c r="BN2717">
        <v>81.88</v>
      </c>
      <c r="BO2717">
        <v>81.88</v>
      </c>
      <c r="BQ2717" t="s">
        <v>1177</v>
      </c>
      <c r="BR2717" t="s">
        <v>84</v>
      </c>
      <c r="BS2717" s="3">
        <v>45860</v>
      </c>
      <c r="BT2717" s="4">
        <v>0.36388888888888887</v>
      </c>
      <c r="BU2717" t="s">
        <v>1345</v>
      </c>
      <c r="BV2717" t="s">
        <v>98</v>
      </c>
      <c r="BY2717">
        <v>5320</v>
      </c>
      <c r="CA2717" t="s">
        <v>187</v>
      </c>
      <c r="CC2717" t="s">
        <v>123</v>
      </c>
      <c r="CD2717">
        <v>3610</v>
      </c>
      <c r="CE2717" t="s">
        <v>145</v>
      </c>
      <c r="CF2717" s="3">
        <v>45861</v>
      </c>
      <c r="CI2717">
        <v>1</v>
      </c>
      <c r="CJ2717">
        <v>1</v>
      </c>
      <c r="CK2717">
        <v>21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"080066689098"</f>
        <v>080066689098</v>
      </c>
      <c r="F2718" s="3">
        <v>45859</v>
      </c>
      <c r="G2718">
        <v>202604</v>
      </c>
      <c r="H2718" t="s">
        <v>75</v>
      </c>
      <c r="I2718" t="s">
        <v>76</v>
      </c>
      <c r="J2718" t="s">
        <v>77</v>
      </c>
      <c r="K2718" t="s">
        <v>78</v>
      </c>
      <c r="L2718" t="s">
        <v>1370</v>
      </c>
      <c r="M2718" t="s">
        <v>1371</v>
      </c>
      <c r="N2718" t="s">
        <v>2982</v>
      </c>
      <c r="O2718" t="s">
        <v>82</v>
      </c>
      <c r="P2718" t="str">
        <f>"4170049569                    "</f>
        <v xml:space="preserve">4170049569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43.78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137.94</v>
      </c>
      <c r="BM2718">
        <v>20.69</v>
      </c>
      <c r="BN2718">
        <v>158.63</v>
      </c>
      <c r="BO2718">
        <v>158.63</v>
      </c>
      <c r="BQ2718" t="s">
        <v>2983</v>
      </c>
      <c r="BR2718" t="s">
        <v>84</v>
      </c>
      <c r="BS2718" s="3">
        <v>45861</v>
      </c>
      <c r="BT2718" s="4">
        <v>0.41249999999999998</v>
      </c>
      <c r="BU2718" t="s">
        <v>481</v>
      </c>
      <c r="BV2718" t="s">
        <v>86</v>
      </c>
      <c r="BW2718" t="s">
        <v>818</v>
      </c>
      <c r="BX2718" t="s">
        <v>819</v>
      </c>
      <c r="BY2718">
        <v>1200</v>
      </c>
      <c r="CC2718" t="s">
        <v>1371</v>
      </c>
      <c r="CD2718" s="5" t="s">
        <v>1376</v>
      </c>
      <c r="CE2718" t="s">
        <v>121</v>
      </c>
      <c r="CF2718" s="3">
        <v>45862</v>
      </c>
      <c r="CI2718">
        <v>1</v>
      </c>
      <c r="CJ2718">
        <v>2</v>
      </c>
      <c r="CK2718">
        <v>23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"080066689122"</f>
        <v>080066689122</v>
      </c>
      <c r="F2719" s="3">
        <v>45859</v>
      </c>
      <c r="G2719">
        <v>202604</v>
      </c>
      <c r="H2719" t="s">
        <v>75</v>
      </c>
      <c r="I2719" t="s">
        <v>76</v>
      </c>
      <c r="J2719" t="s">
        <v>77</v>
      </c>
      <c r="K2719" t="s">
        <v>78</v>
      </c>
      <c r="L2719" t="s">
        <v>305</v>
      </c>
      <c r="M2719" t="s">
        <v>306</v>
      </c>
      <c r="N2719" t="s">
        <v>640</v>
      </c>
      <c r="O2719" t="s">
        <v>82</v>
      </c>
      <c r="P2719" t="str">
        <f>"4170049682                    "</f>
        <v xml:space="preserve">4170049682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22.6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71.2</v>
      </c>
      <c r="BM2719">
        <v>10.68</v>
      </c>
      <c r="BN2719">
        <v>81.88</v>
      </c>
      <c r="BO2719">
        <v>81.88</v>
      </c>
      <c r="BQ2719" t="s">
        <v>641</v>
      </c>
      <c r="BR2719" t="s">
        <v>84</v>
      </c>
      <c r="BS2719" s="3">
        <v>45860</v>
      </c>
      <c r="BT2719" s="4">
        <v>0.68055555555555558</v>
      </c>
      <c r="BU2719" t="s">
        <v>2984</v>
      </c>
      <c r="BV2719" t="s">
        <v>86</v>
      </c>
      <c r="BY2719">
        <v>1200</v>
      </c>
      <c r="CA2719" t="s">
        <v>310</v>
      </c>
      <c r="CC2719" t="s">
        <v>306</v>
      </c>
      <c r="CD2719">
        <v>5201</v>
      </c>
      <c r="CE2719" t="s">
        <v>121</v>
      </c>
      <c r="CF2719" s="3">
        <v>45862</v>
      </c>
      <c r="CI2719">
        <v>1</v>
      </c>
      <c r="CJ2719">
        <v>1</v>
      </c>
      <c r="CK2719">
        <v>21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"080066689131"</f>
        <v>080066689131</v>
      </c>
      <c r="F2720" s="3">
        <v>45859</v>
      </c>
      <c r="G2720">
        <v>202604</v>
      </c>
      <c r="H2720" t="s">
        <v>75</v>
      </c>
      <c r="I2720" t="s">
        <v>76</v>
      </c>
      <c r="J2720" t="s">
        <v>77</v>
      </c>
      <c r="K2720" t="s">
        <v>78</v>
      </c>
      <c r="L2720" t="s">
        <v>146</v>
      </c>
      <c r="M2720" t="s">
        <v>146</v>
      </c>
      <c r="N2720" t="s">
        <v>147</v>
      </c>
      <c r="O2720" t="s">
        <v>82</v>
      </c>
      <c r="P2720" t="str">
        <f>"4170049565                    "</f>
        <v xml:space="preserve">4170049565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300.82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15</v>
      </c>
      <c r="BJ2720">
        <v>10.4</v>
      </c>
      <c r="BK2720">
        <v>15</v>
      </c>
      <c r="BL2720">
        <v>947.74</v>
      </c>
      <c r="BM2720">
        <v>142.16</v>
      </c>
      <c r="BN2720">
        <v>1089.9000000000001</v>
      </c>
      <c r="BO2720">
        <v>1089.9000000000001</v>
      </c>
      <c r="BQ2720" t="s">
        <v>764</v>
      </c>
      <c r="BR2720" t="s">
        <v>84</v>
      </c>
      <c r="BS2720" s="3">
        <v>45860</v>
      </c>
      <c r="BT2720" s="4">
        <v>0.53819444444444442</v>
      </c>
      <c r="BU2720" t="s">
        <v>149</v>
      </c>
      <c r="BV2720" t="s">
        <v>98</v>
      </c>
      <c r="BY2720">
        <v>52200</v>
      </c>
      <c r="CA2720" t="s">
        <v>150</v>
      </c>
      <c r="CC2720" t="s">
        <v>146</v>
      </c>
      <c r="CD2720">
        <v>7646</v>
      </c>
      <c r="CE2720" t="s">
        <v>91</v>
      </c>
      <c r="CF2720" s="3">
        <v>45861</v>
      </c>
      <c r="CI2720">
        <v>1</v>
      </c>
      <c r="CJ2720">
        <v>1</v>
      </c>
      <c r="CK2720">
        <v>23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"080066689200"</f>
        <v>080066689200</v>
      </c>
      <c r="F2721" s="3">
        <v>45859</v>
      </c>
      <c r="G2721">
        <v>202604</v>
      </c>
      <c r="H2721" t="s">
        <v>75</v>
      </c>
      <c r="I2721" t="s">
        <v>76</v>
      </c>
      <c r="J2721" t="s">
        <v>77</v>
      </c>
      <c r="K2721" t="s">
        <v>78</v>
      </c>
      <c r="L2721" t="s">
        <v>135</v>
      </c>
      <c r="M2721" t="s">
        <v>136</v>
      </c>
      <c r="N2721" t="s">
        <v>379</v>
      </c>
      <c r="O2721" t="s">
        <v>95</v>
      </c>
      <c r="P2721" t="str">
        <f>"4170049485                    "</f>
        <v xml:space="preserve">4170049485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106.85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2</v>
      </c>
      <c r="BI2721">
        <v>33</v>
      </c>
      <c r="BJ2721">
        <v>49.9</v>
      </c>
      <c r="BK2721">
        <v>50</v>
      </c>
      <c r="BL2721">
        <v>342.5</v>
      </c>
      <c r="BM2721">
        <v>51.38</v>
      </c>
      <c r="BN2721">
        <v>393.88</v>
      </c>
      <c r="BO2721">
        <v>393.88</v>
      </c>
      <c r="BQ2721" t="s">
        <v>380</v>
      </c>
      <c r="BR2721" t="s">
        <v>84</v>
      </c>
      <c r="BS2721" s="3">
        <v>45860</v>
      </c>
      <c r="BT2721" s="4">
        <v>0.57499999999999996</v>
      </c>
      <c r="BU2721" t="s">
        <v>2019</v>
      </c>
      <c r="BV2721" t="s">
        <v>98</v>
      </c>
      <c r="BY2721">
        <v>249600</v>
      </c>
      <c r="CA2721" t="s">
        <v>382</v>
      </c>
      <c r="CC2721" t="s">
        <v>136</v>
      </c>
      <c r="CD2721">
        <v>3212</v>
      </c>
      <c r="CE2721" t="s">
        <v>91</v>
      </c>
      <c r="CF2721" s="3">
        <v>45861</v>
      </c>
      <c r="CI2721">
        <v>3</v>
      </c>
      <c r="CJ2721">
        <v>1</v>
      </c>
      <c r="CK2721">
        <v>41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"080066689239"</f>
        <v>080066689239</v>
      </c>
      <c r="F2722" s="3">
        <v>45859</v>
      </c>
      <c r="G2722">
        <v>202604</v>
      </c>
      <c r="H2722" t="s">
        <v>75</v>
      </c>
      <c r="I2722" t="s">
        <v>76</v>
      </c>
      <c r="J2722" t="s">
        <v>77</v>
      </c>
      <c r="K2722" t="s">
        <v>78</v>
      </c>
      <c r="L2722" t="s">
        <v>168</v>
      </c>
      <c r="M2722" t="s">
        <v>169</v>
      </c>
      <c r="N2722" t="s">
        <v>412</v>
      </c>
      <c r="O2722" t="s">
        <v>82</v>
      </c>
      <c r="P2722" t="str">
        <f>"4170049672                    "</f>
        <v xml:space="preserve">4170049672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45.18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4</v>
      </c>
      <c r="BJ2722">
        <v>3.4</v>
      </c>
      <c r="BK2722">
        <v>4</v>
      </c>
      <c r="BL2722">
        <v>142.34</v>
      </c>
      <c r="BM2722">
        <v>21.35</v>
      </c>
      <c r="BN2722">
        <v>163.69</v>
      </c>
      <c r="BO2722">
        <v>163.69</v>
      </c>
      <c r="BQ2722" t="s">
        <v>413</v>
      </c>
      <c r="BR2722" t="s">
        <v>84</v>
      </c>
      <c r="BS2722" s="3">
        <v>45860</v>
      </c>
      <c r="BT2722" s="4">
        <v>0.36041666666666666</v>
      </c>
      <c r="BU2722" t="s">
        <v>414</v>
      </c>
      <c r="BV2722" t="s">
        <v>98</v>
      </c>
      <c r="BY2722">
        <v>16965</v>
      </c>
      <c r="CA2722" t="s">
        <v>415</v>
      </c>
      <c r="CC2722" t="s">
        <v>169</v>
      </c>
      <c r="CD2722">
        <v>6001</v>
      </c>
      <c r="CE2722" t="s">
        <v>145</v>
      </c>
      <c r="CF2722" s="3">
        <v>45860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"080066689260"</f>
        <v>080066689260</v>
      </c>
      <c r="F2723" s="3">
        <v>45859</v>
      </c>
      <c r="G2723">
        <v>202604</v>
      </c>
      <c r="H2723" t="s">
        <v>75</v>
      </c>
      <c r="I2723" t="s">
        <v>76</v>
      </c>
      <c r="J2723" t="s">
        <v>77</v>
      </c>
      <c r="K2723" t="s">
        <v>78</v>
      </c>
      <c r="L2723" t="s">
        <v>79</v>
      </c>
      <c r="M2723" t="s">
        <v>80</v>
      </c>
      <c r="N2723" t="s">
        <v>931</v>
      </c>
      <c r="O2723" t="s">
        <v>82</v>
      </c>
      <c r="P2723" t="str">
        <f>"4170049444                    "</f>
        <v xml:space="preserve">4170049444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39.53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3.4</v>
      </c>
      <c r="BK2723">
        <v>3.5</v>
      </c>
      <c r="BL2723">
        <v>124.55</v>
      </c>
      <c r="BM2723">
        <v>18.68</v>
      </c>
      <c r="BN2723">
        <v>143.22999999999999</v>
      </c>
      <c r="BO2723">
        <v>143.22999999999999</v>
      </c>
      <c r="BQ2723" t="s">
        <v>932</v>
      </c>
      <c r="BR2723" t="s">
        <v>84</v>
      </c>
      <c r="BS2723" s="3">
        <v>45860</v>
      </c>
      <c r="BT2723" s="4">
        <v>0.39652777777777776</v>
      </c>
      <c r="BU2723" t="s">
        <v>933</v>
      </c>
      <c r="BV2723" t="s">
        <v>98</v>
      </c>
      <c r="BY2723">
        <v>16965</v>
      </c>
      <c r="CA2723" t="s">
        <v>934</v>
      </c>
      <c r="CC2723" t="s">
        <v>80</v>
      </c>
      <c r="CD2723">
        <v>7535</v>
      </c>
      <c r="CE2723" t="s">
        <v>145</v>
      </c>
      <c r="CF2723" s="3">
        <v>45861</v>
      </c>
      <c r="CI2723">
        <v>1</v>
      </c>
      <c r="CJ2723">
        <v>1</v>
      </c>
      <c r="CK2723">
        <v>21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"080066689285"</f>
        <v>080066689285</v>
      </c>
      <c r="F2724" s="3">
        <v>45859</v>
      </c>
      <c r="G2724">
        <v>202604</v>
      </c>
      <c r="H2724" t="s">
        <v>75</v>
      </c>
      <c r="I2724" t="s">
        <v>76</v>
      </c>
      <c r="J2724" t="s">
        <v>77</v>
      </c>
      <c r="K2724" t="s">
        <v>78</v>
      </c>
      <c r="L2724" t="s">
        <v>503</v>
      </c>
      <c r="M2724" t="s">
        <v>504</v>
      </c>
      <c r="N2724" t="s">
        <v>505</v>
      </c>
      <c r="O2724" t="s">
        <v>82</v>
      </c>
      <c r="P2724" t="str">
        <f>"4170049575                    "</f>
        <v xml:space="preserve">4170049575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43.78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0.9</v>
      </c>
      <c r="BK2724">
        <v>1</v>
      </c>
      <c r="BL2724">
        <v>137.94</v>
      </c>
      <c r="BM2724">
        <v>20.69</v>
      </c>
      <c r="BN2724">
        <v>158.63</v>
      </c>
      <c r="BO2724">
        <v>158.63</v>
      </c>
      <c r="BQ2724" t="s">
        <v>506</v>
      </c>
      <c r="BR2724" t="s">
        <v>84</v>
      </c>
      <c r="BS2724" s="3">
        <v>45860</v>
      </c>
      <c r="BT2724" s="4">
        <v>0.43194444444444446</v>
      </c>
      <c r="BU2724" t="s">
        <v>507</v>
      </c>
      <c r="BV2724" t="s">
        <v>98</v>
      </c>
      <c r="BY2724">
        <v>4275</v>
      </c>
      <c r="CA2724" t="s">
        <v>508</v>
      </c>
      <c r="CC2724" t="s">
        <v>504</v>
      </c>
      <c r="CD2724">
        <v>7130</v>
      </c>
      <c r="CE2724" t="s">
        <v>259</v>
      </c>
      <c r="CF2724" s="3">
        <v>45861</v>
      </c>
      <c r="CI2724">
        <v>1</v>
      </c>
      <c r="CJ2724">
        <v>1</v>
      </c>
      <c r="CK2724">
        <v>23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"080066689305"</f>
        <v>080066689305</v>
      </c>
      <c r="F2725" s="3">
        <v>45859</v>
      </c>
      <c r="G2725">
        <v>202604</v>
      </c>
      <c r="H2725" t="s">
        <v>75</v>
      </c>
      <c r="I2725" t="s">
        <v>76</v>
      </c>
      <c r="J2725" t="s">
        <v>77</v>
      </c>
      <c r="K2725" t="s">
        <v>78</v>
      </c>
      <c r="L2725" t="s">
        <v>151</v>
      </c>
      <c r="M2725" t="s">
        <v>152</v>
      </c>
      <c r="N2725" t="s">
        <v>968</v>
      </c>
      <c r="O2725" t="s">
        <v>82</v>
      </c>
      <c r="P2725" t="str">
        <f>"4170049655                    "</f>
        <v xml:space="preserve">4170049655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22.6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2</v>
      </c>
      <c r="BJ2725">
        <v>1.1000000000000001</v>
      </c>
      <c r="BK2725">
        <v>2</v>
      </c>
      <c r="BL2725">
        <v>71.2</v>
      </c>
      <c r="BM2725">
        <v>10.68</v>
      </c>
      <c r="BN2725">
        <v>81.88</v>
      </c>
      <c r="BO2725">
        <v>81.88</v>
      </c>
      <c r="BQ2725" t="s">
        <v>969</v>
      </c>
      <c r="BR2725" t="s">
        <v>84</v>
      </c>
      <c r="BS2725" s="3">
        <v>45860</v>
      </c>
      <c r="BT2725" s="4">
        <v>0.39374999999999999</v>
      </c>
      <c r="BU2725" t="s">
        <v>2985</v>
      </c>
      <c r="BV2725" t="s">
        <v>98</v>
      </c>
      <c r="BY2725">
        <v>5472</v>
      </c>
      <c r="CA2725" t="s">
        <v>716</v>
      </c>
      <c r="CC2725" t="s">
        <v>152</v>
      </c>
      <c r="CD2725" s="5" t="s">
        <v>717</v>
      </c>
      <c r="CE2725" t="s">
        <v>91</v>
      </c>
      <c r="CF2725" s="3">
        <v>45860</v>
      </c>
      <c r="CI2725">
        <v>1</v>
      </c>
      <c r="CJ2725">
        <v>1</v>
      </c>
      <c r="CK2725">
        <v>21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"080066689333"</f>
        <v>080066689333</v>
      </c>
      <c r="F2726" s="3">
        <v>45859</v>
      </c>
      <c r="G2726">
        <v>202604</v>
      </c>
      <c r="H2726" t="s">
        <v>75</v>
      </c>
      <c r="I2726" t="s">
        <v>76</v>
      </c>
      <c r="J2726" t="s">
        <v>77</v>
      </c>
      <c r="K2726" t="s">
        <v>78</v>
      </c>
      <c r="L2726" t="s">
        <v>75</v>
      </c>
      <c r="M2726" t="s">
        <v>76</v>
      </c>
      <c r="N2726" t="s">
        <v>2343</v>
      </c>
      <c r="O2726" t="s">
        <v>82</v>
      </c>
      <c r="P2726" t="str">
        <f>"4170049645                    "</f>
        <v xml:space="preserve">4170049645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17.649999999999999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0.6</v>
      </c>
      <c r="BK2726">
        <v>1</v>
      </c>
      <c r="BL2726">
        <v>55.61</v>
      </c>
      <c r="BM2726">
        <v>8.34</v>
      </c>
      <c r="BN2726">
        <v>63.95</v>
      </c>
      <c r="BO2726">
        <v>63.95</v>
      </c>
      <c r="BQ2726" t="s">
        <v>2344</v>
      </c>
      <c r="BR2726" t="s">
        <v>84</v>
      </c>
      <c r="BS2726" s="3">
        <v>45860</v>
      </c>
      <c r="BT2726" s="4">
        <v>0.38263888888888886</v>
      </c>
      <c r="BU2726" t="s">
        <v>2514</v>
      </c>
      <c r="BV2726" t="s">
        <v>98</v>
      </c>
      <c r="BY2726">
        <v>3192</v>
      </c>
      <c r="CA2726" t="s">
        <v>1799</v>
      </c>
      <c r="CC2726" t="s">
        <v>76</v>
      </c>
      <c r="CD2726">
        <v>1614</v>
      </c>
      <c r="CE2726" t="s">
        <v>259</v>
      </c>
      <c r="CF2726" s="3">
        <v>45860</v>
      </c>
      <c r="CI2726">
        <v>1</v>
      </c>
      <c r="CJ2726">
        <v>1</v>
      </c>
      <c r="CK2726">
        <v>22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"080066689391"</f>
        <v>080066689391</v>
      </c>
      <c r="F2727" s="3">
        <v>45859</v>
      </c>
      <c r="G2727">
        <v>202604</v>
      </c>
      <c r="H2727" t="s">
        <v>75</v>
      </c>
      <c r="I2727" t="s">
        <v>76</v>
      </c>
      <c r="J2727" t="s">
        <v>77</v>
      </c>
      <c r="K2727" t="s">
        <v>78</v>
      </c>
      <c r="L2727" t="s">
        <v>305</v>
      </c>
      <c r="M2727" t="s">
        <v>306</v>
      </c>
      <c r="N2727" t="s">
        <v>1154</v>
      </c>
      <c r="O2727" t="s">
        <v>82</v>
      </c>
      <c r="P2727" t="str">
        <f>"4170049662                    "</f>
        <v xml:space="preserve">4170049662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33.89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</v>
      </c>
      <c r="BJ2727">
        <v>1.1000000000000001</v>
      </c>
      <c r="BK2727">
        <v>3</v>
      </c>
      <c r="BL2727">
        <v>106.77</v>
      </c>
      <c r="BM2727">
        <v>16.02</v>
      </c>
      <c r="BN2727">
        <v>122.79</v>
      </c>
      <c r="BO2727">
        <v>122.79</v>
      </c>
      <c r="BQ2727" t="s">
        <v>1155</v>
      </c>
      <c r="BR2727" t="s">
        <v>84</v>
      </c>
      <c r="BS2727" s="3">
        <v>45861</v>
      </c>
      <c r="BT2727" s="4">
        <v>0.90972222222222221</v>
      </c>
      <c r="BU2727" t="s">
        <v>2986</v>
      </c>
      <c r="BV2727" t="s">
        <v>86</v>
      </c>
      <c r="BY2727">
        <v>5320</v>
      </c>
      <c r="CC2727" t="s">
        <v>306</v>
      </c>
      <c r="CD2727">
        <v>5201</v>
      </c>
      <c r="CE2727" t="s">
        <v>145</v>
      </c>
      <c r="CF2727" s="3">
        <v>45861</v>
      </c>
      <c r="CI2727">
        <v>1</v>
      </c>
      <c r="CJ2727">
        <v>2</v>
      </c>
      <c r="CK2727">
        <v>21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"080066689519"</f>
        <v>080066689519</v>
      </c>
      <c r="F2728" s="3">
        <v>45859</v>
      </c>
      <c r="G2728">
        <v>202604</v>
      </c>
      <c r="H2728" t="s">
        <v>75</v>
      </c>
      <c r="I2728" t="s">
        <v>76</v>
      </c>
      <c r="J2728" t="s">
        <v>77</v>
      </c>
      <c r="K2728" t="s">
        <v>78</v>
      </c>
      <c r="L2728" t="s">
        <v>79</v>
      </c>
      <c r="M2728" t="s">
        <v>80</v>
      </c>
      <c r="N2728" t="s">
        <v>141</v>
      </c>
      <c r="O2728" t="s">
        <v>82</v>
      </c>
      <c r="P2728" t="str">
        <f>"4170049585                    "</f>
        <v xml:space="preserve">4170049585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22.6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2</v>
      </c>
      <c r="BK2728">
        <v>2</v>
      </c>
      <c r="BL2728">
        <v>71.2</v>
      </c>
      <c r="BM2728">
        <v>10.68</v>
      </c>
      <c r="BN2728">
        <v>81.88</v>
      </c>
      <c r="BO2728">
        <v>81.88</v>
      </c>
      <c r="BQ2728" t="s">
        <v>142</v>
      </c>
      <c r="BR2728" t="s">
        <v>84</v>
      </c>
      <c r="BS2728" s="3">
        <v>45860</v>
      </c>
      <c r="BT2728" s="4">
        <v>0.41458333333333336</v>
      </c>
      <c r="BU2728" t="s">
        <v>143</v>
      </c>
      <c r="BV2728" t="s">
        <v>98</v>
      </c>
      <c r="BY2728">
        <v>9900</v>
      </c>
      <c r="CA2728" t="s">
        <v>144</v>
      </c>
      <c r="CC2728" t="s">
        <v>80</v>
      </c>
      <c r="CD2728">
        <v>7441</v>
      </c>
      <c r="CE2728" t="s">
        <v>145</v>
      </c>
      <c r="CF2728" s="3">
        <v>45861</v>
      </c>
      <c r="CI2728">
        <v>1</v>
      </c>
      <c r="CJ2728">
        <v>1</v>
      </c>
      <c r="CK2728">
        <v>21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"080066689559"</f>
        <v>080066689559</v>
      </c>
      <c r="F2729" s="3">
        <v>45859</v>
      </c>
      <c r="G2729">
        <v>202604</v>
      </c>
      <c r="H2729" t="s">
        <v>75</v>
      </c>
      <c r="I2729" t="s">
        <v>76</v>
      </c>
      <c r="J2729" t="s">
        <v>77</v>
      </c>
      <c r="K2729" t="s">
        <v>78</v>
      </c>
      <c r="L2729" t="s">
        <v>79</v>
      </c>
      <c r="M2729" t="s">
        <v>80</v>
      </c>
      <c r="N2729" t="s">
        <v>376</v>
      </c>
      <c r="O2729" t="s">
        <v>82</v>
      </c>
      <c r="P2729" t="str">
        <f>"4170049730                    "</f>
        <v xml:space="preserve">4170049730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22.6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1.1000000000000001</v>
      </c>
      <c r="BK2729">
        <v>1.5</v>
      </c>
      <c r="BL2729">
        <v>71.2</v>
      </c>
      <c r="BM2729">
        <v>10.68</v>
      </c>
      <c r="BN2729">
        <v>81.88</v>
      </c>
      <c r="BO2729">
        <v>81.88</v>
      </c>
      <c r="BQ2729" t="s">
        <v>377</v>
      </c>
      <c r="BR2729" t="s">
        <v>84</v>
      </c>
      <c r="BS2729" s="3">
        <v>45860</v>
      </c>
      <c r="BT2729" s="4">
        <v>0.40902777777777777</v>
      </c>
      <c r="BU2729" t="s">
        <v>378</v>
      </c>
      <c r="BV2729" t="s">
        <v>98</v>
      </c>
      <c r="BY2729">
        <v>5320</v>
      </c>
      <c r="CA2729" t="s">
        <v>144</v>
      </c>
      <c r="CC2729" t="s">
        <v>80</v>
      </c>
      <c r="CD2729">
        <v>8001</v>
      </c>
      <c r="CE2729" t="s">
        <v>145</v>
      </c>
      <c r="CF2729" s="3">
        <v>45861</v>
      </c>
      <c r="CI2729">
        <v>1</v>
      </c>
      <c r="CJ2729">
        <v>1</v>
      </c>
      <c r="CK2729">
        <v>21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"080066689613"</f>
        <v>080066689613</v>
      </c>
      <c r="F2730" s="3">
        <v>45859</v>
      </c>
      <c r="G2730">
        <v>202604</v>
      </c>
      <c r="H2730" t="s">
        <v>75</v>
      </c>
      <c r="I2730" t="s">
        <v>76</v>
      </c>
      <c r="J2730" t="s">
        <v>77</v>
      </c>
      <c r="K2730" t="s">
        <v>78</v>
      </c>
      <c r="L2730" t="s">
        <v>79</v>
      </c>
      <c r="M2730" t="s">
        <v>80</v>
      </c>
      <c r="N2730" t="s">
        <v>1775</v>
      </c>
      <c r="O2730" t="s">
        <v>82</v>
      </c>
      <c r="P2730" t="str">
        <f>"4170049714                    "</f>
        <v xml:space="preserve">4170049714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50.82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4.0999999999999996</v>
      </c>
      <c r="BK2730">
        <v>4.5</v>
      </c>
      <c r="BL2730">
        <v>160.12</v>
      </c>
      <c r="BM2730">
        <v>24.02</v>
      </c>
      <c r="BN2730">
        <v>184.14</v>
      </c>
      <c r="BO2730">
        <v>184.14</v>
      </c>
      <c r="BQ2730" t="s">
        <v>1776</v>
      </c>
      <c r="BR2730" t="s">
        <v>84</v>
      </c>
      <c r="BS2730" s="3">
        <v>45860</v>
      </c>
      <c r="BT2730" s="4">
        <v>0.39652777777777776</v>
      </c>
      <c r="BU2730" t="s">
        <v>933</v>
      </c>
      <c r="BV2730" t="s">
        <v>98</v>
      </c>
      <c r="BY2730">
        <v>20358</v>
      </c>
      <c r="CA2730" t="s">
        <v>934</v>
      </c>
      <c r="CC2730" t="s">
        <v>80</v>
      </c>
      <c r="CD2730">
        <v>7535</v>
      </c>
      <c r="CE2730" t="s">
        <v>110</v>
      </c>
      <c r="CF2730" s="3">
        <v>45861</v>
      </c>
      <c r="CI2730">
        <v>1</v>
      </c>
      <c r="CJ2730">
        <v>1</v>
      </c>
      <c r="CK2730">
        <v>21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"080066689642"</f>
        <v>080066689642</v>
      </c>
      <c r="F2731" s="3">
        <v>45859</v>
      </c>
      <c r="G2731">
        <v>202604</v>
      </c>
      <c r="H2731" t="s">
        <v>75</v>
      </c>
      <c r="I2731" t="s">
        <v>76</v>
      </c>
      <c r="J2731" t="s">
        <v>77</v>
      </c>
      <c r="K2731" t="s">
        <v>78</v>
      </c>
      <c r="L2731" t="s">
        <v>102</v>
      </c>
      <c r="M2731" t="s">
        <v>103</v>
      </c>
      <c r="N2731" t="s">
        <v>104</v>
      </c>
      <c r="O2731" t="s">
        <v>82</v>
      </c>
      <c r="P2731" t="str">
        <f>"4170049608                    "</f>
        <v xml:space="preserve">4170049608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31.78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2</v>
      </c>
      <c r="BK2731">
        <v>2</v>
      </c>
      <c r="BL2731">
        <v>100.13</v>
      </c>
      <c r="BM2731">
        <v>15.02</v>
      </c>
      <c r="BN2731">
        <v>115.15</v>
      </c>
      <c r="BO2731">
        <v>115.15</v>
      </c>
      <c r="BQ2731" t="s">
        <v>833</v>
      </c>
      <c r="BR2731" t="s">
        <v>84</v>
      </c>
      <c r="BS2731" s="3">
        <v>45860</v>
      </c>
      <c r="BT2731" s="4">
        <v>0.34236111111111112</v>
      </c>
      <c r="BU2731" t="s">
        <v>796</v>
      </c>
      <c r="BV2731" t="s">
        <v>98</v>
      </c>
      <c r="BY2731">
        <v>9918</v>
      </c>
      <c r="CA2731" t="s">
        <v>2602</v>
      </c>
      <c r="CC2731" t="s">
        <v>103</v>
      </c>
      <c r="CD2731">
        <v>1748</v>
      </c>
      <c r="CE2731" t="s">
        <v>110</v>
      </c>
      <c r="CF2731" s="3">
        <v>45861</v>
      </c>
      <c r="CI2731">
        <v>1</v>
      </c>
      <c r="CJ2731">
        <v>1</v>
      </c>
      <c r="CK2731">
        <v>24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"080066689665"</f>
        <v>080066689665</v>
      </c>
      <c r="F2732" s="3">
        <v>45859</v>
      </c>
      <c r="G2732">
        <v>202604</v>
      </c>
      <c r="H2732" t="s">
        <v>75</v>
      </c>
      <c r="I2732" t="s">
        <v>76</v>
      </c>
      <c r="J2732" t="s">
        <v>77</v>
      </c>
      <c r="K2732" t="s">
        <v>78</v>
      </c>
      <c r="L2732" t="s">
        <v>452</v>
      </c>
      <c r="M2732" t="s">
        <v>453</v>
      </c>
      <c r="N2732" t="s">
        <v>968</v>
      </c>
      <c r="O2732" t="s">
        <v>82</v>
      </c>
      <c r="P2732" t="str">
        <f>"4170049472                    "</f>
        <v xml:space="preserve">4170049472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17.649999999999999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</v>
      </c>
      <c r="BJ2732">
        <v>2</v>
      </c>
      <c r="BK2732">
        <v>2</v>
      </c>
      <c r="BL2732">
        <v>55.61</v>
      </c>
      <c r="BM2732">
        <v>8.34</v>
      </c>
      <c r="BN2732">
        <v>63.95</v>
      </c>
      <c r="BO2732">
        <v>63.95</v>
      </c>
      <c r="BQ2732" t="s">
        <v>969</v>
      </c>
      <c r="BR2732" t="s">
        <v>84</v>
      </c>
      <c r="BS2732" s="3">
        <v>45860</v>
      </c>
      <c r="BT2732" s="4">
        <v>0.42430555555555555</v>
      </c>
      <c r="BU2732" t="s">
        <v>2987</v>
      </c>
      <c r="BV2732" t="s">
        <v>98</v>
      </c>
      <c r="BY2732">
        <v>9918</v>
      </c>
      <c r="CA2732" t="s">
        <v>1541</v>
      </c>
      <c r="CC2732" t="s">
        <v>453</v>
      </c>
      <c r="CD2732">
        <v>1559</v>
      </c>
      <c r="CE2732" t="s">
        <v>110</v>
      </c>
      <c r="CF2732" s="3">
        <v>45860</v>
      </c>
      <c r="CI2732">
        <v>1</v>
      </c>
      <c r="CJ2732">
        <v>1</v>
      </c>
      <c r="CK2732">
        <v>22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"080066689700"</f>
        <v>080066689700</v>
      </c>
      <c r="F2733" s="3">
        <v>45859</v>
      </c>
      <c r="G2733">
        <v>202604</v>
      </c>
      <c r="H2733" t="s">
        <v>75</v>
      </c>
      <c r="I2733" t="s">
        <v>76</v>
      </c>
      <c r="J2733" t="s">
        <v>77</v>
      </c>
      <c r="K2733" t="s">
        <v>78</v>
      </c>
      <c r="L2733" t="s">
        <v>240</v>
      </c>
      <c r="M2733" t="s">
        <v>241</v>
      </c>
      <c r="N2733" t="s">
        <v>2958</v>
      </c>
      <c r="O2733" t="s">
        <v>82</v>
      </c>
      <c r="P2733" t="str">
        <f>"4170050044                    "</f>
        <v xml:space="preserve">4170050044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17.649999999999999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55.61</v>
      </c>
      <c r="BM2733">
        <v>8.34</v>
      </c>
      <c r="BN2733">
        <v>63.95</v>
      </c>
      <c r="BO2733">
        <v>63.95</v>
      </c>
      <c r="BQ2733" t="s">
        <v>2959</v>
      </c>
      <c r="BR2733" t="s">
        <v>84</v>
      </c>
      <c r="BS2733" s="3">
        <v>45860</v>
      </c>
      <c r="BT2733" s="4">
        <v>0.5</v>
      </c>
      <c r="BU2733" t="s">
        <v>757</v>
      </c>
      <c r="BV2733" t="s">
        <v>86</v>
      </c>
      <c r="BY2733">
        <v>1200</v>
      </c>
      <c r="CA2733" t="s">
        <v>1344</v>
      </c>
      <c r="CC2733" t="s">
        <v>241</v>
      </c>
      <c r="CD2733">
        <v>2169</v>
      </c>
      <c r="CE2733" t="s">
        <v>110</v>
      </c>
      <c r="CF2733" s="3">
        <v>45861</v>
      </c>
      <c r="CI2733">
        <v>1</v>
      </c>
      <c r="CJ2733">
        <v>1</v>
      </c>
      <c r="CK2733">
        <v>22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"080066689797"</f>
        <v>080066689797</v>
      </c>
      <c r="F2734" s="3">
        <v>45859</v>
      </c>
      <c r="G2734">
        <v>202604</v>
      </c>
      <c r="H2734" t="s">
        <v>75</v>
      </c>
      <c r="I2734" t="s">
        <v>76</v>
      </c>
      <c r="J2734" t="s">
        <v>77</v>
      </c>
      <c r="K2734" t="s">
        <v>78</v>
      </c>
      <c r="L2734" t="s">
        <v>122</v>
      </c>
      <c r="M2734" t="s">
        <v>123</v>
      </c>
      <c r="N2734" t="s">
        <v>163</v>
      </c>
      <c r="O2734" t="s">
        <v>82</v>
      </c>
      <c r="P2734" t="str">
        <f>"4170049530                    "</f>
        <v xml:space="preserve">4170049530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22.6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71.2</v>
      </c>
      <c r="BM2734">
        <v>10.68</v>
      </c>
      <c r="BN2734">
        <v>81.88</v>
      </c>
      <c r="BO2734">
        <v>81.88</v>
      </c>
      <c r="BQ2734" t="s">
        <v>164</v>
      </c>
      <c r="BR2734" t="s">
        <v>84</v>
      </c>
      <c r="BS2734" s="3">
        <v>45860</v>
      </c>
      <c r="BT2734" s="4">
        <v>0.58333333333333337</v>
      </c>
      <c r="BU2734" t="s">
        <v>2988</v>
      </c>
      <c r="BV2734" t="s">
        <v>86</v>
      </c>
      <c r="BW2734" t="s">
        <v>194</v>
      </c>
      <c r="BX2734" t="s">
        <v>1174</v>
      </c>
      <c r="BY2734">
        <v>1200</v>
      </c>
      <c r="CA2734" t="s">
        <v>2974</v>
      </c>
      <c r="CC2734" t="s">
        <v>123</v>
      </c>
      <c r="CD2734">
        <v>3600</v>
      </c>
      <c r="CE2734" t="s">
        <v>121</v>
      </c>
      <c r="CF2734" s="3">
        <v>45861</v>
      </c>
      <c r="CI2734">
        <v>1</v>
      </c>
      <c r="CJ2734">
        <v>1</v>
      </c>
      <c r="CK2734">
        <v>21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"080066689857"</f>
        <v>080066689857</v>
      </c>
      <c r="F2735" s="3">
        <v>45859</v>
      </c>
      <c r="G2735">
        <v>202604</v>
      </c>
      <c r="H2735" t="s">
        <v>75</v>
      </c>
      <c r="I2735" t="s">
        <v>76</v>
      </c>
      <c r="J2735" t="s">
        <v>77</v>
      </c>
      <c r="K2735" t="s">
        <v>78</v>
      </c>
      <c r="L2735" t="s">
        <v>79</v>
      </c>
      <c r="M2735" t="s">
        <v>80</v>
      </c>
      <c r="N2735" t="s">
        <v>1775</v>
      </c>
      <c r="O2735" t="s">
        <v>82</v>
      </c>
      <c r="P2735" t="str">
        <f>"4170049711                    "</f>
        <v xml:space="preserve">4170049711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22.6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71.2</v>
      </c>
      <c r="BM2735">
        <v>10.68</v>
      </c>
      <c r="BN2735">
        <v>81.88</v>
      </c>
      <c r="BO2735">
        <v>81.88</v>
      </c>
      <c r="BQ2735" t="s">
        <v>1776</v>
      </c>
      <c r="BR2735" t="s">
        <v>84</v>
      </c>
      <c r="BS2735" s="3">
        <v>45860</v>
      </c>
      <c r="BT2735" s="4">
        <v>0.39652777777777776</v>
      </c>
      <c r="BU2735" t="s">
        <v>933</v>
      </c>
      <c r="BV2735" t="s">
        <v>98</v>
      </c>
      <c r="BY2735">
        <v>1200</v>
      </c>
      <c r="CA2735" t="s">
        <v>934</v>
      </c>
      <c r="CC2735" t="s">
        <v>80</v>
      </c>
      <c r="CD2735">
        <v>7535</v>
      </c>
      <c r="CE2735" t="s">
        <v>121</v>
      </c>
      <c r="CF2735" s="3">
        <v>45861</v>
      </c>
      <c r="CI2735">
        <v>1</v>
      </c>
      <c r="CJ2735">
        <v>1</v>
      </c>
      <c r="CK2735">
        <v>21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"080066689884"</f>
        <v>080066689884</v>
      </c>
      <c r="F2736" s="3">
        <v>45859</v>
      </c>
      <c r="G2736">
        <v>202604</v>
      </c>
      <c r="H2736" t="s">
        <v>75</v>
      </c>
      <c r="I2736" t="s">
        <v>76</v>
      </c>
      <c r="J2736" t="s">
        <v>77</v>
      </c>
      <c r="K2736" t="s">
        <v>78</v>
      </c>
      <c r="L2736" t="s">
        <v>92</v>
      </c>
      <c r="M2736" t="s">
        <v>93</v>
      </c>
      <c r="N2736" t="s">
        <v>291</v>
      </c>
      <c r="O2736" t="s">
        <v>82</v>
      </c>
      <c r="P2736" t="str">
        <f>"4170049451                    "</f>
        <v xml:space="preserve">4170049451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22.6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71.2</v>
      </c>
      <c r="BM2736">
        <v>10.68</v>
      </c>
      <c r="BN2736">
        <v>81.88</v>
      </c>
      <c r="BO2736">
        <v>81.88</v>
      </c>
      <c r="BQ2736" t="s">
        <v>292</v>
      </c>
      <c r="BR2736" t="s">
        <v>84</v>
      </c>
      <c r="BS2736" s="3">
        <v>45860</v>
      </c>
      <c r="BT2736" s="4">
        <v>0.34861111111111109</v>
      </c>
      <c r="BU2736" t="s">
        <v>847</v>
      </c>
      <c r="BV2736" t="s">
        <v>98</v>
      </c>
      <c r="BY2736">
        <v>1200</v>
      </c>
      <c r="CA2736" t="s">
        <v>294</v>
      </c>
      <c r="CC2736" t="s">
        <v>93</v>
      </c>
      <c r="CD2736">
        <v>4000</v>
      </c>
      <c r="CE2736" t="s">
        <v>121</v>
      </c>
      <c r="CF2736" s="3">
        <v>45860</v>
      </c>
      <c r="CI2736">
        <v>1</v>
      </c>
      <c r="CJ2736">
        <v>1</v>
      </c>
      <c r="CK2736">
        <v>21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"080066689924"</f>
        <v>080066689924</v>
      </c>
      <c r="F2737" s="3">
        <v>45859</v>
      </c>
      <c r="G2737">
        <v>202604</v>
      </c>
      <c r="H2737" t="s">
        <v>75</v>
      </c>
      <c r="I2737" t="s">
        <v>76</v>
      </c>
      <c r="J2737" t="s">
        <v>77</v>
      </c>
      <c r="K2737" t="s">
        <v>78</v>
      </c>
      <c r="L2737" t="s">
        <v>350</v>
      </c>
      <c r="M2737" t="s">
        <v>351</v>
      </c>
      <c r="N2737" t="s">
        <v>1271</v>
      </c>
      <c r="O2737" t="s">
        <v>82</v>
      </c>
      <c r="P2737" t="str">
        <f>"4170049647                    "</f>
        <v xml:space="preserve">4170049647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22.6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16.739999999999998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87.94</v>
      </c>
      <c r="BM2737">
        <v>13.19</v>
      </c>
      <c r="BN2737">
        <v>101.13</v>
      </c>
      <c r="BO2737">
        <v>101.13</v>
      </c>
      <c r="BQ2737" t="s">
        <v>1272</v>
      </c>
      <c r="BR2737" t="s">
        <v>84</v>
      </c>
      <c r="BS2737" s="3">
        <v>45860</v>
      </c>
      <c r="BT2737" s="4">
        <v>0.43194444444444446</v>
      </c>
      <c r="BU2737" t="s">
        <v>2956</v>
      </c>
      <c r="BV2737" t="s">
        <v>98</v>
      </c>
      <c r="BY2737">
        <v>1200</v>
      </c>
      <c r="BZ2737" t="s">
        <v>30</v>
      </c>
      <c r="CA2737" t="s">
        <v>337</v>
      </c>
      <c r="CC2737" t="s">
        <v>351</v>
      </c>
      <c r="CD2737">
        <v>4133</v>
      </c>
      <c r="CE2737" t="s">
        <v>121</v>
      </c>
      <c r="CF2737" s="3">
        <v>45861</v>
      </c>
      <c r="CI2737">
        <v>1</v>
      </c>
      <c r="CJ2737">
        <v>1</v>
      </c>
      <c r="CK2737">
        <v>21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"080066689964"</f>
        <v>080066689964</v>
      </c>
      <c r="F2738" s="3">
        <v>45859</v>
      </c>
      <c r="G2738">
        <v>202604</v>
      </c>
      <c r="H2738" t="s">
        <v>75</v>
      </c>
      <c r="I2738" t="s">
        <v>76</v>
      </c>
      <c r="J2738" t="s">
        <v>77</v>
      </c>
      <c r="K2738" t="s">
        <v>78</v>
      </c>
      <c r="L2738" t="s">
        <v>79</v>
      </c>
      <c r="M2738" t="s">
        <v>80</v>
      </c>
      <c r="N2738" t="s">
        <v>141</v>
      </c>
      <c r="O2738" t="s">
        <v>82</v>
      </c>
      <c r="P2738" t="str">
        <f>"4170049695                    "</f>
        <v xml:space="preserve">4170049695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71.2</v>
      </c>
      <c r="BM2738">
        <v>10.68</v>
      </c>
      <c r="BN2738">
        <v>81.88</v>
      </c>
      <c r="BO2738">
        <v>81.88</v>
      </c>
      <c r="BQ2738" t="s">
        <v>142</v>
      </c>
      <c r="BR2738" t="s">
        <v>84</v>
      </c>
      <c r="BS2738" s="3">
        <v>45860</v>
      </c>
      <c r="BT2738" s="4">
        <v>0.41458333333333336</v>
      </c>
      <c r="BU2738" t="s">
        <v>143</v>
      </c>
      <c r="BV2738" t="s">
        <v>98</v>
      </c>
      <c r="BY2738">
        <v>1200</v>
      </c>
      <c r="CA2738" t="s">
        <v>144</v>
      </c>
      <c r="CC2738" t="s">
        <v>80</v>
      </c>
      <c r="CD2738">
        <v>7441</v>
      </c>
      <c r="CE2738" t="s">
        <v>121</v>
      </c>
      <c r="CF2738" s="3">
        <v>45861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"080066689992"</f>
        <v>080066689992</v>
      </c>
      <c r="F2739" s="3">
        <v>45859</v>
      </c>
      <c r="G2739">
        <v>202604</v>
      </c>
      <c r="H2739" t="s">
        <v>75</v>
      </c>
      <c r="I2739" t="s">
        <v>76</v>
      </c>
      <c r="J2739" t="s">
        <v>77</v>
      </c>
      <c r="K2739" t="s">
        <v>78</v>
      </c>
      <c r="L2739" t="s">
        <v>305</v>
      </c>
      <c r="M2739" t="s">
        <v>306</v>
      </c>
      <c r="N2739" t="s">
        <v>640</v>
      </c>
      <c r="O2739" t="s">
        <v>82</v>
      </c>
      <c r="P2739" t="str">
        <f>"4170049643                    "</f>
        <v xml:space="preserve">4170049643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22.6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71.2</v>
      </c>
      <c r="BM2739">
        <v>10.68</v>
      </c>
      <c r="BN2739">
        <v>81.88</v>
      </c>
      <c r="BO2739">
        <v>81.88</v>
      </c>
      <c r="BQ2739" t="s">
        <v>641</v>
      </c>
      <c r="BR2739" t="s">
        <v>84</v>
      </c>
      <c r="BS2739" s="3">
        <v>45860</v>
      </c>
      <c r="BT2739" s="4">
        <v>0.68055555555555558</v>
      </c>
      <c r="BU2739" t="s">
        <v>2984</v>
      </c>
      <c r="BV2739" t="s">
        <v>86</v>
      </c>
      <c r="BY2739">
        <v>1200</v>
      </c>
      <c r="CA2739" t="s">
        <v>310</v>
      </c>
      <c r="CC2739" t="s">
        <v>306</v>
      </c>
      <c r="CD2739">
        <v>5201</v>
      </c>
      <c r="CE2739" t="s">
        <v>121</v>
      </c>
      <c r="CF2739" s="3">
        <v>45862</v>
      </c>
      <c r="CI2739">
        <v>1</v>
      </c>
      <c r="CJ2739">
        <v>1</v>
      </c>
      <c r="CK2739">
        <v>21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"080066690021"</f>
        <v>080066690021</v>
      </c>
      <c r="F2740" s="3">
        <v>45859</v>
      </c>
      <c r="G2740">
        <v>202604</v>
      </c>
      <c r="H2740" t="s">
        <v>75</v>
      </c>
      <c r="I2740" t="s">
        <v>76</v>
      </c>
      <c r="J2740" t="s">
        <v>77</v>
      </c>
      <c r="K2740" t="s">
        <v>78</v>
      </c>
      <c r="L2740" t="s">
        <v>305</v>
      </c>
      <c r="M2740" t="s">
        <v>306</v>
      </c>
      <c r="N2740" t="s">
        <v>1304</v>
      </c>
      <c r="O2740" t="s">
        <v>82</v>
      </c>
      <c r="P2740" t="str">
        <f>"4170049915                    "</f>
        <v xml:space="preserve">4170049915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22.6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71.2</v>
      </c>
      <c r="BM2740">
        <v>10.68</v>
      </c>
      <c r="BN2740">
        <v>81.88</v>
      </c>
      <c r="BO2740">
        <v>81.88</v>
      </c>
      <c r="BQ2740" t="s">
        <v>1305</v>
      </c>
      <c r="BR2740" t="s">
        <v>84</v>
      </c>
      <c r="BS2740" s="3">
        <v>45860</v>
      </c>
      <c r="BT2740" s="4">
        <v>0.68125000000000002</v>
      </c>
      <c r="BU2740" t="s">
        <v>2989</v>
      </c>
      <c r="BV2740" t="s">
        <v>98</v>
      </c>
      <c r="BY2740">
        <v>1200</v>
      </c>
      <c r="CA2740" t="s">
        <v>575</v>
      </c>
      <c r="CC2740" t="s">
        <v>306</v>
      </c>
      <c r="CD2740">
        <v>5201</v>
      </c>
      <c r="CE2740" t="s">
        <v>121</v>
      </c>
      <c r="CF2740" s="3">
        <v>45860</v>
      </c>
      <c r="CI2740">
        <v>5</v>
      </c>
      <c r="CJ2740">
        <v>1</v>
      </c>
      <c r="CK2740">
        <v>21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"080066690022"</f>
        <v>080066690022</v>
      </c>
      <c r="F2741" s="3">
        <v>45859</v>
      </c>
      <c r="G2741">
        <v>202604</v>
      </c>
      <c r="H2741" t="s">
        <v>75</v>
      </c>
      <c r="I2741" t="s">
        <v>76</v>
      </c>
      <c r="J2741" t="s">
        <v>77</v>
      </c>
      <c r="K2741" t="s">
        <v>78</v>
      </c>
      <c r="L2741" t="s">
        <v>122</v>
      </c>
      <c r="M2741" t="s">
        <v>123</v>
      </c>
      <c r="N2741" t="s">
        <v>2097</v>
      </c>
      <c r="O2741" t="s">
        <v>82</v>
      </c>
      <c r="P2741" t="str">
        <f>"4170049824                    "</f>
        <v xml:space="preserve">4170049824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22.6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71.2</v>
      </c>
      <c r="BM2741">
        <v>10.68</v>
      </c>
      <c r="BN2741">
        <v>81.88</v>
      </c>
      <c r="BO2741">
        <v>81.88</v>
      </c>
      <c r="BQ2741" t="s">
        <v>2098</v>
      </c>
      <c r="BR2741" t="s">
        <v>84</v>
      </c>
      <c r="BS2741" s="3">
        <v>45860</v>
      </c>
      <c r="BT2741" s="4">
        <v>0.41249999999999998</v>
      </c>
      <c r="BU2741" t="s">
        <v>2099</v>
      </c>
      <c r="BV2741" t="s">
        <v>98</v>
      </c>
      <c r="BY2741">
        <v>1200</v>
      </c>
      <c r="CA2741" t="s">
        <v>187</v>
      </c>
      <c r="CC2741" t="s">
        <v>123</v>
      </c>
      <c r="CD2741">
        <v>3600</v>
      </c>
      <c r="CE2741" t="s">
        <v>121</v>
      </c>
      <c r="CF2741" s="3">
        <v>45861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"080066690041"</f>
        <v>080066690041</v>
      </c>
      <c r="F2742" s="3">
        <v>45859</v>
      </c>
      <c r="G2742">
        <v>202604</v>
      </c>
      <c r="H2742" t="s">
        <v>75</v>
      </c>
      <c r="I2742" t="s">
        <v>76</v>
      </c>
      <c r="J2742" t="s">
        <v>77</v>
      </c>
      <c r="K2742" t="s">
        <v>78</v>
      </c>
      <c r="L2742" t="s">
        <v>168</v>
      </c>
      <c r="M2742" t="s">
        <v>169</v>
      </c>
      <c r="N2742" t="s">
        <v>487</v>
      </c>
      <c r="O2742" t="s">
        <v>82</v>
      </c>
      <c r="P2742" t="str">
        <f>"4170049753                    "</f>
        <v xml:space="preserve">4170049753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22.6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71.2</v>
      </c>
      <c r="BM2742">
        <v>10.68</v>
      </c>
      <c r="BN2742">
        <v>81.88</v>
      </c>
      <c r="BO2742">
        <v>81.88</v>
      </c>
      <c r="BQ2742" t="s">
        <v>488</v>
      </c>
      <c r="BR2742" t="s">
        <v>84</v>
      </c>
      <c r="BS2742" s="3">
        <v>45860</v>
      </c>
      <c r="BT2742" s="4">
        <v>0.3888888888888889</v>
      </c>
      <c r="BU2742" t="s">
        <v>1844</v>
      </c>
      <c r="BV2742" t="s">
        <v>98</v>
      </c>
      <c r="BY2742">
        <v>1200</v>
      </c>
      <c r="CA2742" t="s">
        <v>415</v>
      </c>
      <c r="CC2742" t="s">
        <v>169</v>
      </c>
      <c r="CD2742">
        <v>6012</v>
      </c>
      <c r="CE2742" t="s">
        <v>121</v>
      </c>
      <c r="CF2742" s="3">
        <v>45860</v>
      </c>
      <c r="CI2742">
        <v>1</v>
      </c>
      <c r="CJ2742">
        <v>1</v>
      </c>
      <c r="CK2742">
        <v>21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"080066690048"</f>
        <v>080066690048</v>
      </c>
      <c r="F2743" s="3">
        <v>45859</v>
      </c>
      <c r="G2743">
        <v>202604</v>
      </c>
      <c r="H2743" t="s">
        <v>75</v>
      </c>
      <c r="I2743" t="s">
        <v>76</v>
      </c>
      <c r="J2743" t="s">
        <v>77</v>
      </c>
      <c r="K2743" t="s">
        <v>78</v>
      </c>
      <c r="L2743" t="s">
        <v>566</v>
      </c>
      <c r="M2743" t="s">
        <v>567</v>
      </c>
      <c r="N2743" t="s">
        <v>568</v>
      </c>
      <c r="O2743" t="s">
        <v>82</v>
      </c>
      <c r="P2743" t="str">
        <f>"4170049734                    "</f>
        <v xml:space="preserve">4170049734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31.78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100.13</v>
      </c>
      <c r="BM2743">
        <v>15.02</v>
      </c>
      <c r="BN2743">
        <v>115.15</v>
      </c>
      <c r="BO2743">
        <v>115.15</v>
      </c>
      <c r="BQ2743" t="s">
        <v>569</v>
      </c>
      <c r="BR2743" t="s">
        <v>84</v>
      </c>
      <c r="BS2743" s="3">
        <v>45860</v>
      </c>
      <c r="BT2743" s="4">
        <v>0.36875000000000002</v>
      </c>
      <c r="BU2743" t="s">
        <v>2165</v>
      </c>
      <c r="BV2743" t="s">
        <v>98</v>
      </c>
      <c r="BY2743">
        <v>1200</v>
      </c>
      <c r="CA2743" t="s">
        <v>571</v>
      </c>
      <c r="CC2743" t="s">
        <v>567</v>
      </c>
      <c r="CD2743">
        <v>2210</v>
      </c>
      <c r="CE2743" t="s">
        <v>121</v>
      </c>
      <c r="CF2743" s="3">
        <v>45860</v>
      </c>
      <c r="CI2743">
        <v>1</v>
      </c>
      <c r="CJ2743">
        <v>1</v>
      </c>
      <c r="CK2743">
        <v>24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"080066690056"</f>
        <v>080066690056</v>
      </c>
      <c r="F2744" s="3">
        <v>45859</v>
      </c>
      <c r="G2744">
        <v>202604</v>
      </c>
      <c r="H2744" t="s">
        <v>75</v>
      </c>
      <c r="I2744" t="s">
        <v>76</v>
      </c>
      <c r="J2744" t="s">
        <v>77</v>
      </c>
      <c r="K2744" t="s">
        <v>78</v>
      </c>
      <c r="L2744" t="s">
        <v>79</v>
      </c>
      <c r="M2744" t="s">
        <v>80</v>
      </c>
      <c r="N2744" t="s">
        <v>141</v>
      </c>
      <c r="O2744" t="s">
        <v>82</v>
      </c>
      <c r="P2744" t="str">
        <f>"4170049867                    "</f>
        <v xml:space="preserve">4170049867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22.6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71.2</v>
      </c>
      <c r="BM2744">
        <v>10.68</v>
      </c>
      <c r="BN2744">
        <v>81.88</v>
      </c>
      <c r="BO2744">
        <v>81.88</v>
      </c>
      <c r="BQ2744" t="s">
        <v>142</v>
      </c>
      <c r="BR2744" t="s">
        <v>84</v>
      </c>
      <c r="BS2744" s="3">
        <v>45860</v>
      </c>
      <c r="BT2744" s="4">
        <v>0.41458333333333336</v>
      </c>
      <c r="BU2744" t="s">
        <v>143</v>
      </c>
      <c r="BV2744" t="s">
        <v>98</v>
      </c>
      <c r="BY2744">
        <v>1200</v>
      </c>
      <c r="CA2744" t="s">
        <v>144</v>
      </c>
      <c r="CC2744" t="s">
        <v>80</v>
      </c>
      <c r="CD2744">
        <v>7441</v>
      </c>
      <c r="CE2744" t="s">
        <v>121</v>
      </c>
      <c r="CF2744" s="3">
        <v>45861</v>
      </c>
      <c r="CI2744">
        <v>1</v>
      </c>
      <c r="CJ2744">
        <v>1</v>
      </c>
      <c r="CK2744">
        <v>21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"080066690065"</f>
        <v>080066690065</v>
      </c>
      <c r="F2745" s="3">
        <v>45859</v>
      </c>
      <c r="G2745">
        <v>202604</v>
      </c>
      <c r="H2745" t="s">
        <v>75</v>
      </c>
      <c r="I2745" t="s">
        <v>76</v>
      </c>
      <c r="J2745" t="s">
        <v>77</v>
      </c>
      <c r="K2745" t="s">
        <v>78</v>
      </c>
      <c r="L2745" t="s">
        <v>75</v>
      </c>
      <c r="M2745" t="s">
        <v>76</v>
      </c>
      <c r="N2745" t="s">
        <v>562</v>
      </c>
      <c r="O2745" t="s">
        <v>82</v>
      </c>
      <c r="P2745" t="str">
        <f>"4170049447                    "</f>
        <v xml:space="preserve">4170049447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17.649999999999999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55.61</v>
      </c>
      <c r="BM2745">
        <v>8.34</v>
      </c>
      <c r="BN2745">
        <v>63.95</v>
      </c>
      <c r="BO2745">
        <v>63.95</v>
      </c>
      <c r="BQ2745" t="s">
        <v>563</v>
      </c>
      <c r="BR2745" t="s">
        <v>84</v>
      </c>
      <c r="BS2745" s="3">
        <v>45860</v>
      </c>
      <c r="BT2745" s="4">
        <v>0.38194444444444442</v>
      </c>
      <c r="BU2745" t="s">
        <v>2155</v>
      </c>
      <c r="BV2745" t="s">
        <v>98</v>
      </c>
      <c r="BY2745">
        <v>1200</v>
      </c>
      <c r="CA2745" t="s">
        <v>565</v>
      </c>
      <c r="CC2745" t="s">
        <v>76</v>
      </c>
      <c r="CD2745">
        <v>1619</v>
      </c>
      <c r="CE2745" t="s">
        <v>121</v>
      </c>
      <c r="CF2745" s="3">
        <v>45860</v>
      </c>
      <c r="CI2745">
        <v>1</v>
      </c>
      <c r="CJ2745">
        <v>1</v>
      </c>
      <c r="CK2745">
        <v>22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"080066690087"</f>
        <v>080066690087</v>
      </c>
      <c r="F2746" s="3">
        <v>45859</v>
      </c>
      <c r="G2746">
        <v>202604</v>
      </c>
      <c r="H2746" t="s">
        <v>75</v>
      </c>
      <c r="I2746" t="s">
        <v>76</v>
      </c>
      <c r="J2746" t="s">
        <v>77</v>
      </c>
      <c r="K2746" t="s">
        <v>78</v>
      </c>
      <c r="L2746" t="s">
        <v>240</v>
      </c>
      <c r="M2746" t="s">
        <v>241</v>
      </c>
      <c r="N2746" t="s">
        <v>447</v>
      </c>
      <c r="O2746" t="s">
        <v>82</v>
      </c>
      <c r="P2746" t="str">
        <f>"4170049857                    "</f>
        <v xml:space="preserve">4170049857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17.649999999999999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55.61</v>
      </c>
      <c r="BM2746">
        <v>8.34</v>
      </c>
      <c r="BN2746">
        <v>63.95</v>
      </c>
      <c r="BO2746">
        <v>63.95</v>
      </c>
      <c r="BQ2746" t="s">
        <v>448</v>
      </c>
      <c r="BR2746" t="s">
        <v>84</v>
      </c>
      <c r="BS2746" s="3">
        <v>45860</v>
      </c>
      <c r="BT2746" s="4">
        <v>0.41249999999999998</v>
      </c>
      <c r="BU2746" t="s">
        <v>2014</v>
      </c>
      <c r="BV2746" t="s">
        <v>98</v>
      </c>
      <c r="BY2746">
        <v>1200</v>
      </c>
      <c r="CA2746" t="s">
        <v>451</v>
      </c>
      <c r="CC2746" t="s">
        <v>241</v>
      </c>
      <c r="CD2746">
        <v>2094</v>
      </c>
      <c r="CE2746" t="s">
        <v>121</v>
      </c>
      <c r="CF2746" s="3">
        <v>45860</v>
      </c>
      <c r="CI2746">
        <v>1</v>
      </c>
      <c r="CJ2746">
        <v>1</v>
      </c>
      <c r="CK2746">
        <v>22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"080066690100"</f>
        <v>080066690100</v>
      </c>
      <c r="F2747" s="3">
        <v>45859</v>
      </c>
      <c r="G2747">
        <v>202604</v>
      </c>
      <c r="H2747" t="s">
        <v>75</v>
      </c>
      <c r="I2747" t="s">
        <v>76</v>
      </c>
      <c r="J2747" t="s">
        <v>77</v>
      </c>
      <c r="K2747" t="s">
        <v>78</v>
      </c>
      <c r="L2747" t="s">
        <v>2990</v>
      </c>
      <c r="M2747" t="s">
        <v>2991</v>
      </c>
      <c r="N2747" t="s">
        <v>2992</v>
      </c>
      <c r="O2747" t="s">
        <v>82</v>
      </c>
      <c r="P2747" t="str">
        <f>"4170049906                    "</f>
        <v xml:space="preserve">4170049906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43.78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137.94</v>
      </c>
      <c r="BM2747">
        <v>20.69</v>
      </c>
      <c r="BN2747">
        <v>158.63</v>
      </c>
      <c r="BO2747">
        <v>158.63</v>
      </c>
      <c r="BQ2747" t="s">
        <v>2993</v>
      </c>
      <c r="BR2747" t="s">
        <v>84</v>
      </c>
      <c r="BS2747" s="3">
        <v>45860</v>
      </c>
      <c r="BT2747" s="4">
        <v>0.3527777777777778</v>
      </c>
      <c r="BU2747" t="s">
        <v>2994</v>
      </c>
      <c r="BV2747" t="s">
        <v>98</v>
      </c>
      <c r="BY2747">
        <v>1200</v>
      </c>
      <c r="CA2747" t="s">
        <v>2150</v>
      </c>
      <c r="CC2747" t="s">
        <v>2991</v>
      </c>
      <c r="CD2747">
        <v>7129</v>
      </c>
      <c r="CE2747" t="s">
        <v>121</v>
      </c>
      <c r="CF2747" s="3">
        <v>45861</v>
      </c>
      <c r="CI2747">
        <v>1</v>
      </c>
      <c r="CJ2747">
        <v>1</v>
      </c>
      <c r="CK2747">
        <v>23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"080066690121"</f>
        <v>080066690121</v>
      </c>
      <c r="F2748" s="3">
        <v>45859</v>
      </c>
      <c r="G2748">
        <v>202604</v>
      </c>
      <c r="H2748" t="s">
        <v>75</v>
      </c>
      <c r="I2748" t="s">
        <v>76</v>
      </c>
      <c r="J2748" t="s">
        <v>77</v>
      </c>
      <c r="K2748" t="s">
        <v>78</v>
      </c>
      <c r="L2748" t="s">
        <v>240</v>
      </c>
      <c r="M2748" t="s">
        <v>241</v>
      </c>
      <c r="N2748" t="s">
        <v>1204</v>
      </c>
      <c r="O2748" t="s">
        <v>82</v>
      </c>
      <c r="P2748" t="str">
        <f>"4170049543                    "</f>
        <v xml:space="preserve">4170049543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17.649999999999999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55.61</v>
      </c>
      <c r="BM2748">
        <v>8.34</v>
      </c>
      <c r="BN2748">
        <v>63.95</v>
      </c>
      <c r="BO2748">
        <v>63.95</v>
      </c>
      <c r="BQ2748" t="s">
        <v>1205</v>
      </c>
      <c r="BR2748" t="s">
        <v>84</v>
      </c>
      <c r="BS2748" s="3">
        <v>45860</v>
      </c>
      <c r="BT2748" s="4">
        <v>0.34791666666666665</v>
      </c>
      <c r="BU2748" t="s">
        <v>1601</v>
      </c>
      <c r="BV2748" t="s">
        <v>98</v>
      </c>
      <c r="BY2748">
        <v>1200</v>
      </c>
      <c r="CA2748" t="s">
        <v>617</v>
      </c>
      <c r="CC2748" t="s">
        <v>241</v>
      </c>
      <c r="CD2748">
        <v>2157</v>
      </c>
      <c r="CE2748" t="s">
        <v>121</v>
      </c>
      <c r="CF2748" s="3">
        <v>45860</v>
      </c>
      <c r="CI2748">
        <v>1</v>
      </c>
      <c r="CJ2748">
        <v>1</v>
      </c>
      <c r="CK2748">
        <v>22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"080066690141"</f>
        <v>080066690141</v>
      </c>
      <c r="F2749" s="3">
        <v>45859</v>
      </c>
      <c r="G2749">
        <v>202604</v>
      </c>
      <c r="H2749" t="s">
        <v>75</v>
      </c>
      <c r="I2749" t="s">
        <v>76</v>
      </c>
      <c r="J2749" t="s">
        <v>77</v>
      </c>
      <c r="K2749" t="s">
        <v>78</v>
      </c>
      <c r="L2749" t="s">
        <v>295</v>
      </c>
      <c r="M2749" t="s">
        <v>296</v>
      </c>
      <c r="N2749" t="s">
        <v>2995</v>
      </c>
      <c r="O2749" t="s">
        <v>82</v>
      </c>
      <c r="P2749" t="str">
        <f>"4170049405                    "</f>
        <v xml:space="preserve">4170049405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17.649999999999999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55.61</v>
      </c>
      <c r="BM2749">
        <v>8.34</v>
      </c>
      <c r="BN2749">
        <v>63.95</v>
      </c>
      <c r="BO2749">
        <v>63.95</v>
      </c>
      <c r="BQ2749" t="s">
        <v>2996</v>
      </c>
      <c r="BR2749" t="s">
        <v>84</v>
      </c>
      <c r="BS2749" s="3">
        <v>45860</v>
      </c>
      <c r="BT2749" s="4">
        <v>0.40694444444444444</v>
      </c>
      <c r="BU2749" t="s">
        <v>2997</v>
      </c>
      <c r="BV2749" t="s">
        <v>98</v>
      </c>
      <c r="BY2749">
        <v>1200</v>
      </c>
      <c r="CA2749" t="s">
        <v>529</v>
      </c>
      <c r="CC2749" t="s">
        <v>296</v>
      </c>
      <c r="CD2749">
        <v>1459</v>
      </c>
      <c r="CE2749" t="s">
        <v>121</v>
      </c>
      <c r="CF2749" s="3">
        <v>45860</v>
      </c>
      <c r="CI2749">
        <v>1</v>
      </c>
      <c r="CJ2749">
        <v>1</v>
      </c>
      <c r="CK2749">
        <v>22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"080066690164"</f>
        <v>080066690164</v>
      </c>
      <c r="F2750" s="3">
        <v>45859</v>
      </c>
      <c r="G2750">
        <v>202604</v>
      </c>
      <c r="H2750" t="s">
        <v>75</v>
      </c>
      <c r="I2750" t="s">
        <v>76</v>
      </c>
      <c r="J2750" t="s">
        <v>77</v>
      </c>
      <c r="K2750" t="s">
        <v>78</v>
      </c>
      <c r="L2750" t="s">
        <v>363</v>
      </c>
      <c r="M2750" t="s">
        <v>364</v>
      </c>
      <c r="N2750" t="s">
        <v>365</v>
      </c>
      <c r="O2750" t="s">
        <v>82</v>
      </c>
      <c r="P2750" t="str">
        <f>"4170049707                    "</f>
        <v xml:space="preserve">4170049707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43.78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137.94</v>
      </c>
      <c r="BM2750">
        <v>20.69</v>
      </c>
      <c r="BN2750">
        <v>158.63</v>
      </c>
      <c r="BO2750">
        <v>158.63</v>
      </c>
      <c r="BQ2750" t="s">
        <v>1118</v>
      </c>
      <c r="BR2750" t="s">
        <v>84</v>
      </c>
      <c r="BS2750" s="3">
        <v>45860</v>
      </c>
      <c r="BT2750" s="4">
        <v>0.54861111111111116</v>
      </c>
      <c r="BU2750" t="s">
        <v>1696</v>
      </c>
      <c r="BV2750" t="s">
        <v>98</v>
      </c>
      <c r="BY2750">
        <v>1200</v>
      </c>
      <c r="CC2750" t="s">
        <v>364</v>
      </c>
      <c r="CD2750">
        <v>7300</v>
      </c>
      <c r="CE2750" t="s">
        <v>121</v>
      </c>
      <c r="CF2750" s="3">
        <v>45861</v>
      </c>
      <c r="CI2750">
        <v>1</v>
      </c>
      <c r="CJ2750">
        <v>1</v>
      </c>
      <c r="CK2750">
        <v>23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"080066690174"</f>
        <v>080066690174</v>
      </c>
      <c r="F2751" s="3">
        <v>45859</v>
      </c>
      <c r="G2751">
        <v>202604</v>
      </c>
      <c r="H2751" t="s">
        <v>75</v>
      </c>
      <c r="I2751" t="s">
        <v>76</v>
      </c>
      <c r="J2751" t="s">
        <v>77</v>
      </c>
      <c r="K2751" t="s">
        <v>78</v>
      </c>
      <c r="L2751" t="s">
        <v>168</v>
      </c>
      <c r="M2751" t="s">
        <v>169</v>
      </c>
      <c r="N2751" t="s">
        <v>420</v>
      </c>
      <c r="O2751" t="s">
        <v>82</v>
      </c>
      <c r="P2751" t="str">
        <f>"4170049870                    "</f>
        <v xml:space="preserve">4170049870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22.6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71.2</v>
      </c>
      <c r="BM2751">
        <v>10.68</v>
      </c>
      <c r="BN2751">
        <v>81.88</v>
      </c>
      <c r="BO2751">
        <v>81.88</v>
      </c>
      <c r="BQ2751" t="s">
        <v>421</v>
      </c>
      <c r="BR2751" t="s">
        <v>84</v>
      </c>
      <c r="BS2751" s="3">
        <v>45860</v>
      </c>
      <c r="BT2751" s="4">
        <v>0.39930555555555558</v>
      </c>
      <c r="BU2751" t="s">
        <v>1600</v>
      </c>
      <c r="BV2751" t="s">
        <v>98</v>
      </c>
      <c r="BY2751">
        <v>1200</v>
      </c>
      <c r="CA2751" t="s">
        <v>423</v>
      </c>
      <c r="CC2751" t="s">
        <v>169</v>
      </c>
      <c r="CD2751">
        <v>6001</v>
      </c>
      <c r="CE2751" t="s">
        <v>2773</v>
      </c>
      <c r="CF2751" s="3">
        <v>45860</v>
      </c>
      <c r="CI2751">
        <v>1</v>
      </c>
      <c r="CJ2751">
        <v>1</v>
      </c>
      <c r="CK2751">
        <v>21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"080066690202"</f>
        <v>080066690202</v>
      </c>
      <c r="F2752" s="3">
        <v>45859</v>
      </c>
      <c r="G2752">
        <v>202604</v>
      </c>
      <c r="H2752" t="s">
        <v>75</v>
      </c>
      <c r="I2752" t="s">
        <v>76</v>
      </c>
      <c r="J2752" t="s">
        <v>77</v>
      </c>
      <c r="K2752" t="s">
        <v>78</v>
      </c>
      <c r="L2752" t="s">
        <v>92</v>
      </c>
      <c r="M2752" t="s">
        <v>93</v>
      </c>
      <c r="N2752" t="s">
        <v>723</v>
      </c>
      <c r="O2752" t="s">
        <v>82</v>
      </c>
      <c r="P2752" t="str">
        <f>"4170049896                    "</f>
        <v xml:space="preserve">4170049896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22.6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71.2</v>
      </c>
      <c r="BM2752">
        <v>10.68</v>
      </c>
      <c r="BN2752">
        <v>81.88</v>
      </c>
      <c r="BO2752">
        <v>81.88</v>
      </c>
      <c r="BQ2752" t="s">
        <v>724</v>
      </c>
      <c r="BR2752" t="s">
        <v>84</v>
      </c>
      <c r="BS2752" s="3">
        <v>45860</v>
      </c>
      <c r="BT2752" s="4">
        <v>0.61388888888888893</v>
      </c>
      <c r="BU2752" t="s">
        <v>2998</v>
      </c>
      <c r="BV2752" t="s">
        <v>86</v>
      </c>
      <c r="BW2752" t="s">
        <v>194</v>
      </c>
      <c r="BX2752" t="s">
        <v>1174</v>
      </c>
      <c r="BY2752">
        <v>1200</v>
      </c>
      <c r="CA2752" t="s">
        <v>2974</v>
      </c>
      <c r="CC2752" t="s">
        <v>93</v>
      </c>
      <c r="CD2752">
        <v>4000</v>
      </c>
      <c r="CE2752" t="s">
        <v>121</v>
      </c>
      <c r="CF2752" s="3">
        <v>45861</v>
      </c>
      <c r="CI2752">
        <v>1</v>
      </c>
      <c r="CJ2752">
        <v>1</v>
      </c>
      <c r="CK2752">
        <v>21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"080066690238"</f>
        <v>080066690238</v>
      </c>
      <c r="F2753" s="3">
        <v>45859</v>
      </c>
      <c r="G2753">
        <v>202604</v>
      </c>
      <c r="H2753" t="s">
        <v>75</v>
      </c>
      <c r="I2753" t="s">
        <v>76</v>
      </c>
      <c r="J2753" t="s">
        <v>77</v>
      </c>
      <c r="K2753" t="s">
        <v>78</v>
      </c>
      <c r="L2753" t="s">
        <v>79</v>
      </c>
      <c r="M2753" t="s">
        <v>80</v>
      </c>
      <c r="N2753" t="s">
        <v>2400</v>
      </c>
      <c r="O2753" t="s">
        <v>82</v>
      </c>
      <c r="P2753" t="str">
        <f>"4170049850                    "</f>
        <v xml:space="preserve">4170049850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22.6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71.2</v>
      </c>
      <c r="BM2753">
        <v>10.68</v>
      </c>
      <c r="BN2753">
        <v>81.88</v>
      </c>
      <c r="BO2753">
        <v>81.88</v>
      </c>
      <c r="BQ2753" t="s">
        <v>2401</v>
      </c>
      <c r="BR2753" t="s">
        <v>84</v>
      </c>
      <c r="BS2753" s="3">
        <v>45860</v>
      </c>
      <c r="BT2753" s="4">
        <v>0.43333333333333335</v>
      </c>
      <c r="BU2753" t="s">
        <v>2402</v>
      </c>
      <c r="BV2753" t="s">
        <v>98</v>
      </c>
      <c r="BY2753">
        <v>1200</v>
      </c>
      <c r="CA2753" t="s">
        <v>162</v>
      </c>
      <c r="CC2753" t="s">
        <v>80</v>
      </c>
      <c r="CD2753">
        <v>8001</v>
      </c>
      <c r="CE2753" t="s">
        <v>121</v>
      </c>
      <c r="CF2753" s="3">
        <v>45861</v>
      </c>
      <c r="CI2753">
        <v>1</v>
      </c>
      <c r="CJ2753">
        <v>1</v>
      </c>
      <c r="CK2753">
        <v>21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"080066690263"</f>
        <v>080066690263</v>
      </c>
      <c r="F2754" s="3">
        <v>45859</v>
      </c>
      <c r="G2754">
        <v>202604</v>
      </c>
      <c r="H2754" t="s">
        <v>75</v>
      </c>
      <c r="I2754" t="s">
        <v>76</v>
      </c>
      <c r="J2754" t="s">
        <v>77</v>
      </c>
      <c r="K2754" t="s">
        <v>78</v>
      </c>
      <c r="L2754" t="s">
        <v>168</v>
      </c>
      <c r="M2754" t="s">
        <v>169</v>
      </c>
      <c r="N2754" t="s">
        <v>191</v>
      </c>
      <c r="O2754" t="s">
        <v>82</v>
      </c>
      <c r="P2754" t="str">
        <f>"4170049469                    "</f>
        <v xml:space="preserve">4170049469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22.6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71.2</v>
      </c>
      <c r="BM2754">
        <v>10.68</v>
      </c>
      <c r="BN2754">
        <v>81.88</v>
      </c>
      <c r="BO2754">
        <v>81.88</v>
      </c>
      <c r="BQ2754" t="s">
        <v>192</v>
      </c>
      <c r="BR2754" t="s">
        <v>84</v>
      </c>
      <c r="BS2754" s="3">
        <v>45860</v>
      </c>
      <c r="BT2754" s="4">
        <v>0.42986111111111114</v>
      </c>
      <c r="BU2754" t="s">
        <v>193</v>
      </c>
      <c r="BV2754" t="s">
        <v>98</v>
      </c>
      <c r="BY2754">
        <v>1200</v>
      </c>
      <c r="CA2754" t="s">
        <v>196</v>
      </c>
      <c r="CC2754" t="s">
        <v>169</v>
      </c>
      <c r="CD2754">
        <v>6056</v>
      </c>
      <c r="CE2754" t="s">
        <v>121</v>
      </c>
      <c r="CF2754" s="3">
        <v>45860</v>
      </c>
      <c r="CI2754">
        <v>1</v>
      </c>
      <c r="CJ2754">
        <v>1</v>
      </c>
      <c r="CK2754">
        <v>21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"080066690302"</f>
        <v>080066690302</v>
      </c>
      <c r="F2755" s="3">
        <v>45859</v>
      </c>
      <c r="G2755">
        <v>202604</v>
      </c>
      <c r="H2755" t="s">
        <v>75</v>
      </c>
      <c r="I2755" t="s">
        <v>76</v>
      </c>
      <c r="J2755" t="s">
        <v>77</v>
      </c>
      <c r="K2755" t="s">
        <v>78</v>
      </c>
      <c r="L2755" t="s">
        <v>146</v>
      </c>
      <c r="M2755" t="s">
        <v>146</v>
      </c>
      <c r="N2755" t="s">
        <v>986</v>
      </c>
      <c r="O2755" t="s">
        <v>82</v>
      </c>
      <c r="P2755" t="str">
        <f>"4170049431                    "</f>
        <v xml:space="preserve">4170049431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43.78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137.94</v>
      </c>
      <c r="BM2755">
        <v>20.69</v>
      </c>
      <c r="BN2755">
        <v>158.63</v>
      </c>
      <c r="BO2755">
        <v>158.63</v>
      </c>
      <c r="BQ2755" t="s">
        <v>987</v>
      </c>
      <c r="BR2755" t="s">
        <v>84</v>
      </c>
      <c r="BS2755" s="3">
        <v>45860</v>
      </c>
      <c r="BT2755" s="4">
        <v>0.53611111111111109</v>
      </c>
      <c r="BU2755" t="s">
        <v>1115</v>
      </c>
      <c r="BV2755" t="s">
        <v>98</v>
      </c>
      <c r="BY2755">
        <v>1200</v>
      </c>
      <c r="CA2755" t="s">
        <v>150</v>
      </c>
      <c r="CC2755" t="s">
        <v>146</v>
      </c>
      <c r="CD2755">
        <v>7646</v>
      </c>
      <c r="CE2755" t="s">
        <v>121</v>
      </c>
      <c r="CF2755" s="3">
        <v>45861</v>
      </c>
      <c r="CI2755">
        <v>1</v>
      </c>
      <c r="CJ2755">
        <v>1</v>
      </c>
      <c r="CK2755">
        <v>23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"080066690361"</f>
        <v>080066690361</v>
      </c>
      <c r="F2756" s="3">
        <v>45859</v>
      </c>
      <c r="G2756">
        <v>202604</v>
      </c>
      <c r="H2756" t="s">
        <v>75</v>
      </c>
      <c r="I2756" t="s">
        <v>76</v>
      </c>
      <c r="J2756" t="s">
        <v>77</v>
      </c>
      <c r="K2756" t="s">
        <v>78</v>
      </c>
      <c r="L2756" t="s">
        <v>79</v>
      </c>
      <c r="M2756" t="s">
        <v>80</v>
      </c>
      <c r="N2756" t="s">
        <v>2774</v>
      </c>
      <c r="O2756" t="s">
        <v>82</v>
      </c>
      <c r="P2756" t="str">
        <f>"4170049632                    "</f>
        <v xml:space="preserve">4170049632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22.6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71.2</v>
      </c>
      <c r="BM2756">
        <v>10.68</v>
      </c>
      <c r="BN2756">
        <v>81.88</v>
      </c>
      <c r="BO2756">
        <v>81.88</v>
      </c>
      <c r="BQ2756" t="s">
        <v>2775</v>
      </c>
      <c r="BR2756" t="s">
        <v>84</v>
      </c>
      <c r="BS2756" s="3">
        <v>45860</v>
      </c>
      <c r="BT2756" s="4">
        <v>0.44930555555555557</v>
      </c>
      <c r="BU2756" t="s">
        <v>1121</v>
      </c>
      <c r="BV2756" t="s">
        <v>86</v>
      </c>
      <c r="BW2756" t="s">
        <v>87</v>
      </c>
      <c r="BX2756" t="s">
        <v>2999</v>
      </c>
      <c r="BY2756">
        <v>1200</v>
      </c>
      <c r="CA2756" t="s">
        <v>733</v>
      </c>
      <c r="CC2756" t="s">
        <v>80</v>
      </c>
      <c r="CD2756">
        <v>7499</v>
      </c>
      <c r="CE2756" t="s">
        <v>121</v>
      </c>
      <c r="CF2756" s="3">
        <v>45861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"080066690405"</f>
        <v>080066690405</v>
      </c>
      <c r="F2757" s="3">
        <v>45859</v>
      </c>
      <c r="G2757">
        <v>202604</v>
      </c>
      <c r="H2757" t="s">
        <v>75</v>
      </c>
      <c r="I2757" t="s">
        <v>76</v>
      </c>
      <c r="J2757" t="s">
        <v>77</v>
      </c>
      <c r="K2757" t="s">
        <v>78</v>
      </c>
      <c r="L2757" t="s">
        <v>168</v>
      </c>
      <c r="M2757" t="s">
        <v>169</v>
      </c>
      <c r="N2757" t="s">
        <v>487</v>
      </c>
      <c r="O2757" t="s">
        <v>82</v>
      </c>
      <c r="P2757" t="str">
        <f>"4170049708                    "</f>
        <v xml:space="preserve">4170049708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22.6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71.2</v>
      </c>
      <c r="BM2757">
        <v>10.68</v>
      </c>
      <c r="BN2757">
        <v>81.88</v>
      </c>
      <c r="BO2757">
        <v>81.88</v>
      </c>
      <c r="BQ2757" t="s">
        <v>488</v>
      </c>
      <c r="BR2757" t="s">
        <v>84</v>
      </c>
      <c r="BS2757" s="3">
        <v>45860</v>
      </c>
      <c r="BT2757" s="4">
        <v>0.38958333333333334</v>
      </c>
      <c r="BU2757" t="s">
        <v>1844</v>
      </c>
      <c r="BV2757" t="s">
        <v>98</v>
      </c>
      <c r="BY2757">
        <v>1200</v>
      </c>
      <c r="CA2757" t="s">
        <v>415</v>
      </c>
      <c r="CC2757" t="s">
        <v>169</v>
      </c>
      <c r="CD2757">
        <v>6012</v>
      </c>
      <c r="CE2757" t="s">
        <v>121</v>
      </c>
      <c r="CF2757" s="3">
        <v>45860</v>
      </c>
      <c r="CI2757">
        <v>1</v>
      </c>
      <c r="CJ2757">
        <v>1</v>
      </c>
      <c r="CK2757">
        <v>21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"080066690444"</f>
        <v>080066690444</v>
      </c>
      <c r="F2758" s="3">
        <v>45859</v>
      </c>
      <c r="G2758">
        <v>202604</v>
      </c>
      <c r="H2758" t="s">
        <v>75</v>
      </c>
      <c r="I2758" t="s">
        <v>76</v>
      </c>
      <c r="J2758" t="s">
        <v>77</v>
      </c>
      <c r="K2758" t="s">
        <v>78</v>
      </c>
      <c r="L2758" t="s">
        <v>168</v>
      </c>
      <c r="M2758" t="s">
        <v>169</v>
      </c>
      <c r="N2758" t="s">
        <v>202</v>
      </c>
      <c r="O2758" t="s">
        <v>82</v>
      </c>
      <c r="P2758" t="str">
        <f>"4170049839                    "</f>
        <v xml:space="preserve">4170049839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22.6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71.2</v>
      </c>
      <c r="BM2758">
        <v>10.68</v>
      </c>
      <c r="BN2758">
        <v>81.88</v>
      </c>
      <c r="BO2758">
        <v>81.88</v>
      </c>
      <c r="BQ2758" t="s">
        <v>203</v>
      </c>
      <c r="BR2758" t="s">
        <v>84</v>
      </c>
      <c r="BS2758" s="3">
        <v>45860</v>
      </c>
      <c r="BT2758" s="4">
        <v>0.34583333333333333</v>
      </c>
      <c r="BU2758" t="s">
        <v>204</v>
      </c>
      <c r="BV2758" t="s">
        <v>98</v>
      </c>
      <c r="BY2758">
        <v>1200</v>
      </c>
      <c r="CA2758" t="s">
        <v>205</v>
      </c>
      <c r="CC2758" t="s">
        <v>169</v>
      </c>
      <c r="CD2758">
        <v>6001</v>
      </c>
      <c r="CE2758" t="s">
        <v>121</v>
      </c>
      <c r="CF2758" s="3">
        <v>45860</v>
      </c>
      <c r="CI2758">
        <v>1</v>
      </c>
      <c r="CJ2758">
        <v>1</v>
      </c>
      <c r="CK2758">
        <v>21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"080066690485"</f>
        <v>080066690485</v>
      </c>
      <c r="F2759" s="3">
        <v>45859</v>
      </c>
      <c r="G2759">
        <v>202604</v>
      </c>
      <c r="H2759" t="s">
        <v>75</v>
      </c>
      <c r="I2759" t="s">
        <v>76</v>
      </c>
      <c r="J2759" t="s">
        <v>77</v>
      </c>
      <c r="K2759" t="s">
        <v>78</v>
      </c>
      <c r="L2759" t="s">
        <v>168</v>
      </c>
      <c r="M2759" t="s">
        <v>169</v>
      </c>
      <c r="N2759" t="s">
        <v>726</v>
      </c>
      <c r="O2759" t="s">
        <v>82</v>
      </c>
      <c r="P2759" t="str">
        <f>"4170049813                    "</f>
        <v xml:space="preserve">4170049813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22.6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71.2</v>
      </c>
      <c r="BM2759">
        <v>10.68</v>
      </c>
      <c r="BN2759">
        <v>81.88</v>
      </c>
      <c r="BO2759">
        <v>81.88</v>
      </c>
      <c r="BQ2759" t="s">
        <v>727</v>
      </c>
      <c r="BR2759" t="s">
        <v>84</v>
      </c>
      <c r="BS2759" s="3">
        <v>45860</v>
      </c>
      <c r="BT2759" s="4">
        <v>0.39583333333333331</v>
      </c>
      <c r="BU2759" t="s">
        <v>3000</v>
      </c>
      <c r="BV2759" t="s">
        <v>98</v>
      </c>
      <c r="BY2759">
        <v>1200</v>
      </c>
      <c r="CA2759" t="s">
        <v>423</v>
      </c>
      <c r="CC2759" t="s">
        <v>169</v>
      </c>
      <c r="CD2759">
        <v>6001</v>
      </c>
      <c r="CE2759" t="s">
        <v>121</v>
      </c>
      <c r="CF2759" s="3">
        <v>45860</v>
      </c>
      <c r="CI2759">
        <v>1</v>
      </c>
      <c r="CJ2759">
        <v>1</v>
      </c>
      <c r="CK2759">
        <v>21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"080066690531"</f>
        <v>080066690531</v>
      </c>
      <c r="F2760" s="3">
        <v>45859</v>
      </c>
      <c r="G2760">
        <v>202604</v>
      </c>
      <c r="H2760" t="s">
        <v>75</v>
      </c>
      <c r="I2760" t="s">
        <v>76</v>
      </c>
      <c r="J2760" t="s">
        <v>77</v>
      </c>
      <c r="K2760" t="s">
        <v>78</v>
      </c>
      <c r="L2760" t="s">
        <v>277</v>
      </c>
      <c r="M2760" t="s">
        <v>278</v>
      </c>
      <c r="N2760" t="s">
        <v>2683</v>
      </c>
      <c r="O2760" t="s">
        <v>82</v>
      </c>
      <c r="P2760" t="str">
        <f>"4170049882                    "</f>
        <v xml:space="preserve">4170049882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22.6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71.2</v>
      </c>
      <c r="BM2760">
        <v>10.68</v>
      </c>
      <c r="BN2760">
        <v>81.88</v>
      </c>
      <c r="BO2760">
        <v>81.88</v>
      </c>
      <c r="BQ2760" t="s">
        <v>2684</v>
      </c>
      <c r="BR2760" t="s">
        <v>84</v>
      </c>
      <c r="BS2760" s="3">
        <v>45860</v>
      </c>
      <c r="BT2760" s="4">
        <v>0.33333333333333331</v>
      </c>
      <c r="BU2760" t="s">
        <v>2859</v>
      </c>
      <c r="BV2760" t="s">
        <v>98</v>
      </c>
      <c r="BY2760">
        <v>1200</v>
      </c>
      <c r="CA2760" t="s">
        <v>282</v>
      </c>
      <c r="CC2760" t="s">
        <v>278</v>
      </c>
      <c r="CD2760">
        <v>6230</v>
      </c>
      <c r="CE2760" t="s">
        <v>121</v>
      </c>
      <c r="CF2760" s="3">
        <v>45860</v>
      </c>
      <c r="CI2760">
        <v>1</v>
      </c>
      <c r="CJ2760">
        <v>1</v>
      </c>
      <c r="CK2760">
        <v>21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"080066690583"</f>
        <v>080066690583</v>
      </c>
      <c r="F2761" s="3">
        <v>45859</v>
      </c>
      <c r="G2761">
        <v>202604</v>
      </c>
      <c r="H2761" t="s">
        <v>75</v>
      </c>
      <c r="I2761" t="s">
        <v>76</v>
      </c>
      <c r="J2761" t="s">
        <v>77</v>
      </c>
      <c r="K2761" t="s">
        <v>78</v>
      </c>
      <c r="L2761" t="s">
        <v>151</v>
      </c>
      <c r="M2761" t="s">
        <v>152</v>
      </c>
      <c r="N2761" t="s">
        <v>1983</v>
      </c>
      <c r="O2761" t="s">
        <v>82</v>
      </c>
      <c r="P2761" t="str">
        <f>"4170049705                    "</f>
        <v xml:space="preserve">4170049705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22.6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71.2</v>
      </c>
      <c r="BM2761">
        <v>10.68</v>
      </c>
      <c r="BN2761">
        <v>81.88</v>
      </c>
      <c r="BO2761">
        <v>81.88</v>
      </c>
      <c r="BQ2761" t="s">
        <v>1984</v>
      </c>
      <c r="BR2761" t="s">
        <v>84</v>
      </c>
      <c r="BS2761" s="3">
        <v>45860</v>
      </c>
      <c r="BT2761" s="4">
        <v>0.38541666666666669</v>
      </c>
      <c r="BU2761" t="s">
        <v>3001</v>
      </c>
      <c r="BV2761" t="s">
        <v>98</v>
      </c>
      <c r="BY2761">
        <v>1200</v>
      </c>
      <c r="CA2761" t="s">
        <v>513</v>
      </c>
      <c r="CC2761" t="s">
        <v>152</v>
      </c>
      <c r="CD2761" s="5" t="s">
        <v>389</v>
      </c>
      <c r="CE2761" t="s">
        <v>121</v>
      </c>
      <c r="CF2761" s="3">
        <v>45860</v>
      </c>
      <c r="CI2761">
        <v>1</v>
      </c>
      <c r="CJ2761">
        <v>1</v>
      </c>
      <c r="CK2761">
        <v>21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"080066690622"</f>
        <v>080066690622</v>
      </c>
      <c r="F2762" s="3">
        <v>45859</v>
      </c>
      <c r="G2762">
        <v>202604</v>
      </c>
      <c r="H2762" t="s">
        <v>75</v>
      </c>
      <c r="I2762" t="s">
        <v>76</v>
      </c>
      <c r="J2762" t="s">
        <v>77</v>
      </c>
      <c r="K2762" t="s">
        <v>78</v>
      </c>
      <c r="L2762" t="s">
        <v>135</v>
      </c>
      <c r="M2762" t="s">
        <v>136</v>
      </c>
      <c r="N2762" t="s">
        <v>1093</v>
      </c>
      <c r="O2762" t="s">
        <v>82</v>
      </c>
      <c r="P2762" t="str">
        <f>"4170049519                    "</f>
        <v xml:space="preserve">4170049519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22.6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71.2</v>
      </c>
      <c r="BM2762">
        <v>10.68</v>
      </c>
      <c r="BN2762">
        <v>81.88</v>
      </c>
      <c r="BO2762">
        <v>81.88</v>
      </c>
      <c r="BQ2762" t="s">
        <v>1094</v>
      </c>
      <c r="BR2762" t="s">
        <v>84</v>
      </c>
      <c r="BS2762" s="3">
        <v>45860</v>
      </c>
      <c r="BT2762" s="4">
        <v>0.41666666666666669</v>
      </c>
      <c r="BU2762" t="s">
        <v>1944</v>
      </c>
      <c r="BV2762" t="s">
        <v>98</v>
      </c>
      <c r="BY2762">
        <v>1200</v>
      </c>
      <c r="CA2762" t="s">
        <v>1602</v>
      </c>
      <c r="CC2762" t="s">
        <v>136</v>
      </c>
      <c r="CD2762">
        <v>3201</v>
      </c>
      <c r="CE2762" t="s">
        <v>121</v>
      </c>
      <c r="CF2762" s="3">
        <v>45861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"080066690623"</f>
        <v>080066690623</v>
      </c>
      <c r="F2763" s="3">
        <v>45859</v>
      </c>
      <c r="G2763">
        <v>202604</v>
      </c>
      <c r="H2763" t="s">
        <v>75</v>
      </c>
      <c r="I2763" t="s">
        <v>76</v>
      </c>
      <c r="J2763" t="s">
        <v>77</v>
      </c>
      <c r="K2763" t="s">
        <v>78</v>
      </c>
      <c r="L2763" t="s">
        <v>122</v>
      </c>
      <c r="M2763" t="s">
        <v>123</v>
      </c>
      <c r="N2763" t="s">
        <v>2340</v>
      </c>
      <c r="O2763" t="s">
        <v>82</v>
      </c>
      <c r="P2763" t="str">
        <f>"4170049749                    "</f>
        <v xml:space="preserve">4170049749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22.6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71.2</v>
      </c>
      <c r="BM2763">
        <v>10.68</v>
      </c>
      <c r="BN2763">
        <v>81.88</v>
      </c>
      <c r="BO2763">
        <v>81.88</v>
      </c>
      <c r="BQ2763" t="s">
        <v>2341</v>
      </c>
      <c r="BR2763" t="s">
        <v>84</v>
      </c>
      <c r="BS2763" s="3">
        <v>45860</v>
      </c>
      <c r="BT2763" s="4">
        <v>0.36388888888888887</v>
      </c>
      <c r="BU2763" t="s">
        <v>1345</v>
      </c>
      <c r="BV2763" t="s">
        <v>98</v>
      </c>
      <c r="BY2763">
        <v>1200</v>
      </c>
      <c r="CA2763" t="s">
        <v>187</v>
      </c>
      <c r="CC2763" t="s">
        <v>123</v>
      </c>
      <c r="CD2763">
        <v>3610</v>
      </c>
      <c r="CE2763" t="s">
        <v>121</v>
      </c>
      <c r="CF2763" s="3">
        <v>45861</v>
      </c>
      <c r="CI2763">
        <v>1</v>
      </c>
      <c r="CJ2763">
        <v>1</v>
      </c>
      <c r="CK2763">
        <v>21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"080066690664"</f>
        <v>080066690664</v>
      </c>
      <c r="F2764" s="3">
        <v>45859</v>
      </c>
      <c r="G2764">
        <v>202604</v>
      </c>
      <c r="H2764" t="s">
        <v>75</v>
      </c>
      <c r="I2764" t="s">
        <v>76</v>
      </c>
      <c r="J2764" t="s">
        <v>77</v>
      </c>
      <c r="K2764" t="s">
        <v>78</v>
      </c>
      <c r="L2764" t="s">
        <v>1462</v>
      </c>
      <c r="M2764" t="s">
        <v>1463</v>
      </c>
      <c r="N2764" t="s">
        <v>1464</v>
      </c>
      <c r="O2764" t="s">
        <v>82</v>
      </c>
      <c r="P2764" t="str">
        <f>"4170049675                    "</f>
        <v xml:space="preserve">4170049675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43.78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137.94</v>
      </c>
      <c r="BM2764">
        <v>20.69</v>
      </c>
      <c r="BN2764">
        <v>158.63</v>
      </c>
      <c r="BO2764">
        <v>158.63</v>
      </c>
      <c r="BQ2764" t="s">
        <v>1465</v>
      </c>
      <c r="BR2764" t="s">
        <v>84</v>
      </c>
      <c r="BS2764" s="3">
        <v>45860</v>
      </c>
      <c r="BT2764" s="4">
        <v>0.41666666666666669</v>
      </c>
      <c r="BU2764" t="s">
        <v>2014</v>
      </c>
      <c r="BV2764" t="s">
        <v>98</v>
      </c>
      <c r="BY2764">
        <v>1200</v>
      </c>
      <c r="BZ2764" t="s">
        <v>89</v>
      </c>
      <c r="CA2764" t="s">
        <v>2015</v>
      </c>
      <c r="CC2764" t="s">
        <v>1463</v>
      </c>
      <c r="CD2764">
        <v>3290</v>
      </c>
      <c r="CE2764" t="s">
        <v>239</v>
      </c>
      <c r="CF2764" s="3">
        <v>45861</v>
      </c>
      <c r="CI2764">
        <v>1</v>
      </c>
      <c r="CJ2764">
        <v>1</v>
      </c>
      <c r="CK2764">
        <v>23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"080066690714"</f>
        <v>080066690714</v>
      </c>
      <c r="F2765" s="3">
        <v>45859</v>
      </c>
      <c r="G2765">
        <v>202604</v>
      </c>
      <c r="H2765" t="s">
        <v>75</v>
      </c>
      <c r="I2765" t="s">
        <v>76</v>
      </c>
      <c r="J2765" t="s">
        <v>77</v>
      </c>
      <c r="K2765" t="s">
        <v>78</v>
      </c>
      <c r="L2765" t="s">
        <v>168</v>
      </c>
      <c r="M2765" t="s">
        <v>169</v>
      </c>
      <c r="N2765" t="s">
        <v>191</v>
      </c>
      <c r="O2765" t="s">
        <v>82</v>
      </c>
      <c r="P2765" t="str">
        <f>"4170049663                    "</f>
        <v xml:space="preserve">4170049663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22.6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71.2</v>
      </c>
      <c r="BM2765">
        <v>10.68</v>
      </c>
      <c r="BN2765">
        <v>81.88</v>
      </c>
      <c r="BO2765">
        <v>81.88</v>
      </c>
      <c r="BQ2765" t="s">
        <v>192</v>
      </c>
      <c r="BR2765" t="s">
        <v>84</v>
      </c>
      <c r="BS2765" s="3">
        <v>45860</v>
      </c>
      <c r="BT2765" s="4">
        <v>0.42986111111111114</v>
      </c>
      <c r="BU2765" t="s">
        <v>193</v>
      </c>
      <c r="BV2765" t="s">
        <v>98</v>
      </c>
      <c r="BY2765">
        <v>1200</v>
      </c>
      <c r="BZ2765" t="s">
        <v>89</v>
      </c>
      <c r="CA2765" t="s">
        <v>196</v>
      </c>
      <c r="CC2765" t="s">
        <v>169</v>
      </c>
      <c r="CD2765">
        <v>6056</v>
      </c>
      <c r="CE2765" t="s">
        <v>239</v>
      </c>
      <c r="CF2765" s="3">
        <v>45860</v>
      </c>
      <c r="CI2765">
        <v>1</v>
      </c>
      <c r="CJ2765">
        <v>1</v>
      </c>
      <c r="CK2765">
        <v>21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"080066690772"</f>
        <v>080066690772</v>
      </c>
      <c r="F2766" s="3">
        <v>45859</v>
      </c>
      <c r="G2766">
        <v>202604</v>
      </c>
      <c r="H2766" t="s">
        <v>75</v>
      </c>
      <c r="I2766" t="s">
        <v>76</v>
      </c>
      <c r="J2766" t="s">
        <v>77</v>
      </c>
      <c r="K2766" t="s">
        <v>78</v>
      </c>
      <c r="L2766" t="s">
        <v>168</v>
      </c>
      <c r="M2766" t="s">
        <v>169</v>
      </c>
      <c r="N2766" t="s">
        <v>202</v>
      </c>
      <c r="O2766" t="s">
        <v>82</v>
      </c>
      <c r="P2766" t="str">
        <f>"4170049804                    "</f>
        <v xml:space="preserve">4170049804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22.6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71.2</v>
      </c>
      <c r="BM2766">
        <v>10.68</v>
      </c>
      <c r="BN2766">
        <v>81.88</v>
      </c>
      <c r="BO2766">
        <v>81.88</v>
      </c>
      <c r="BQ2766" t="s">
        <v>203</v>
      </c>
      <c r="BR2766" t="s">
        <v>84</v>
      </c>
      <c r="BS2766" s="3">
        <v>45860</v>
      </c>
      <c r="BT2766" s="4">
        <v>0.34652777777777777</v>
      </c>
      <c r="BU2766" t="s">
        <v>204</v>
      </c>
      <c r="BV2766" t="s">
        <v>98</v>
      </c>
      <c r="BY2766">
        <v>1200</v>
      </c>
      <c r="CA2766" t="s">
        <v>205</v>
      </c>
      <c r="CC2766" t="s">
        <v>169</v>
      </c>
      <c r="CD2766">
        <v>6001</v>
      </c>
      <c r="CE2766" t="s">
        <v>121</v>
      </c>
      <c r="CF2766" s="3">
        <v>45860</v>
      </c>
      <c r="CI2766">
        <v>1</v>
      </c>
      <c r="CJ2766">
        <v>1</v>
      </c>
      <c r="CK2766">
        <v>21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"080066690801"</f>
        <v>080066690801</v>
      </c>
      <c r="F2767" s="3">
        <v>45859</v>
      </c>
      <c r="G2767">
        <v>202604</v>
      </c>
      <c r="H2767" t="s">
        <v>75</v>
      </c>
      <c r="I2767" t="s">
        <v>76</v>
      </c>
      <c r="J2767" t="s">
        <v>77</v>
      </c>
      <c r="K2767" t="s">
        <v>78</v>
      </c>
      <c r="L2767" t="s">
        <v>92</v>
      </c>
      <c r="M2767" t="s">
        <v>93</v>
      </c>
      <c r="N2767" t="s">
        <v>334</v>
      </c>
      <c r="O2767" t="s">
        <v>82</v>
      </c>
      <c r="P2767" t="str">
        <f>"4170049869                    "</f>
        <v xml:space="preserve">4170049869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22.6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71.2</v>
      </c>
      <c r="BM2767">
        <v>10.68</v>
      </c>
      <c r="BN2767">
        <v>81.88</v>
      </c>
      <c r="BO2767">
        <v>81.88</v>
      </c>
      <c r="BQ2767" t="s">
        <v>335</v>
      </c>
      <c r="BR2767" t="s">
        <v>84</v>
      </c>
      <c r="BS2767" s="3">
        <v>45860</v>
      </c>
      <c r="BT2767" s="4">
        <v>0.43333333333333335</v>
      </c>
      <c r="BU2767" t="s">
        <v>3002</v>
      </c>
      <c r="BV2767" t="s">
        <v>98</v>
      </c>
      <c r="BY2767">
        <v>1200</v>
      </c>
      <c r="CA2767" t="s">
        <v>491</v>
      </c>
      <c r="CC2767" t="s">
        <v>93</v>
      </c>
      <c r="CD2767">
        <v>4052</v>
      </c>
      <c r="CE2767" t="s">
        <v>121</v>
      </c>
      <c r="CF2767" s="3">
        <v>45861</v>
      </c>
      <c r="CI2767">
        <v>1</v>
      </c>
      <c r="CJ2767">
        <v>1</v>
      </c>
      <c r="CK2767">
        <v>21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"080066690823"</f>
        <v>080066690823</v>
      </c>
      <c r="F2768" s="3">
        <v>45859</v>
      </c>
      <c r="G2768">
        <v>202604</v>
      </c>
      <c r="H2768" t="s">
        <v>75</v>
      </c>
      <c r="I2768" t="s">
        <v>76</v>
      </c>
      <c r="J2768" t="s">
        <v>77</v>
      </c>
      <c r="K2768" t="s">
        <v>78</v>
      </c>
      <c r="L2768" t="s">
        <v>92</v>
      </c>
      <c r="M2768" t="s">
        <v>93</v>
      </c>
      <c r="N2768" t="s">
        <v>749</v>
      </c>
      <c r="O2768" t="s">
        <v>82</v>
      </c>
      <c r="P2768" t="str">
        <f>"4170049979                    "</f>
        <v xml:space="preserve">4170049979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22.6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71.2</v>
      </c>
      <c r="BM2768">
        <v>10.68</v>
      </c>
      <c r="BN2768">
        <v>81.88</v>
      </c>
      <c r="BO2768">
        <v>81.88</v>
      </c>
      <c r="BQ2768" t="s">
        <v>750</v>
      </c>
      <c r="BR2768" t="s">
        <v>84</v>
      </c>
      <c r="BS2768" s="3">
        <v>45860</v>
      </c>
      <c r="BT2768" s="4">
        <v>0.38958333333333334</v>
      </c>
      <c r="BU2768" t="s">
        <v>1329</v>
      </c>
      <c r="BV2768" t="s">
        <v>98</v>
      </c>
      <c r="BY2768">
        <v>1200</v>
      </c>
      <c r="CA2768" t="s">
        <v>491</v>
      </c>
      <c r="CC2768" t="s">
        <v>93</v>
      </c>
      <c r="CD2768">
        <v>4001</v>
      </c>
      <c r="CE2768" t="s">
        <v>121</v>
      </c>
      <c r="CF2768" s="3">
        <v>45861</v>
      </c>
      <c r="CI2768">
        <v>1</v>
      </c>
      <c r="CJ2768">
        <v>1</v>
      </c>
      <c r="CK2768">
        <v>21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"080066690858"</f>
        <v>080066690858</v>
      </c>
      <c r="F2769" s="3">
        <v>45859</v>
      </c>
      <c r="G2769">
        <v>202604</v>
      </c>
      <c r="H2769" t="s">
        <v>75</v>
      </c>
      <c r="I2769" t="s">
        <v>76</v>
      </c>
      <c r="J2769" t="s">
        <v>77</v>
      </c>
      <c r="K2769" t="s">
        <v>78</v>
      </c>
      <c r="L2769" t="s">
        <v>79</v>
      </c>
      <c r="M2769" t="s">
        <v>80</v>
      </c>
      <c r="N2769" t="s">
        <v>141</v>
      </c>
      <c r="O2769" t="s">
        <v>82</v>
      </c>
      <c r="P2769" t="str">
        <f>"4170049777                    "</f>
        <v xml:space="preserve">4170049777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22.6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71.2</v>
      </c>
      <c r="BM2769">
        <v>10.68</v>
      </c>
      <c r="BN2769">
        <v>81.88</v>
      </c>
      <c r="BO2769">
        <v>81.88</v>
      </c>
      <c r="BQ2769" t="s">
        <v>142</v>
      </c>
      <c r="BR2769" t="s">
        <v>84</v>
      </c>
      <c r="BS2769" s="3">
        <v>45860</v>
      </c>
      <c r="BT2769" s="4">
        <v>0.41458333333333336</v>
      </c>
      <c r="BU2769" t="s">
        <v>143</v>
      </c>
      <c r="BV2769" t="s">
        <v>98</v>
      </c>
      <c r="BY2769">
        <v>1200</v>
      </c>
      <c r="CA2769" t="s">
        <v>144</v>
      </c>
      <c r="CC2769" t="s">
        <v>80</v>
      </c>
      <c r="CD2769">
        <v>7441</v>
      </c>
      <c r="CE2769" t="s">
        <v>121</v>
      </c>
      <c r="CF2769" s="3">
        <v>45861</v>
      </c>
      <c r="CI2769">
        <v>1</v>
      </c>
      <c r="CJ2769">
        <v>1</v>
      </c>
      <c r="CK2769">
        <v>21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"080066690987"</f>
        <v>080066690987</v>
      </c>
      <c r="F2770" s="3">
        <v>45859</v>
      </c>
      <c r="G2770">
        <v>202604</v>
      </c>
      <c r="H2770" t="s">
        <v>75</v>
      </c>
      <c r="I2770" t="s">
        <v>76</v>
      </c>
      <c r="J2770" t="s">
        <v>77</v>
      </c>
      <c r="K2770" t="s">
        <v>78</v>
      </c>
      <c r="L2770" t="s">
        <v>92</v>
      </c>
      <c r="M2770" t="s">
        <v>93</v>
      </c>
      <c r="N2770" t="s">
        <v>723</v>
      </c>
      <c r="O2770" t="s">
        <v>82</v>
      </c>
      <c r="P2770" t="str">
        <f>"4170049713                    "</f>
        <v xml:space="preserve">4170049713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2</v>
      </c>
      <c r="BK2770">
        <v>2</v>
      </c>
      <c r="BL2770">
        <v>71.2</v>
      </c>
      <c r="BM2770">
        <v>10.68</v>
      </c>
      <c r="BN2770">
        <v>81.88</v>
      </c>
      <c r="BO2770">
        <v>81.88</v>
      </c>
      <c r="BQ2770" t="s">
        <v>724</v>
      </c>
      <c r="BR2770" t="s">
        <v>84</v>
      </c>
      <c r="BS2770" s="3">
        <v>45860</v>
      </c>
      <c r="BT2770" s="4">
        <v>0.61597222222222225</v>
      </c>
      <c r="BU2770" t="s">
        <v>3003</v>
      </c>
      <c r="BV2770" t="s">
        <v>86</v>
      </c>
      <c r="BW2770" t="s">
        <v>194</v>
      </c>
      <c r="BX2770" t="s">
        <v>1174</v>
      </c>
      <c r="BY2770">
        <v>9918</v>
      </c>
      <c r="CA2770" t="s">
        <v>2974</v>
      </c>
      <c r="CC2770" t="s">
        <v>93</v>
      </c>
      <c r="CD2770">
        <v>4000</v>
      </c>
      <c r="CE2770" t="s">
        <v>145</v>
      </c>
      <c r="CF2770" s="3">
        <v>45861</v>
      </c>
      <c r="CI2770">
        <v>1</v>
      </c>
      <c r="CJ2770">
        <v>1</v>
      </c>
      <c r="CK2770">
        <v>21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"080066691015"</f>
        <v>080066691015</v>
      </c>
      <c r="F2771" s="3">
        <v>45859</v>
      </c>
      <c r="G2771">
        <v>202604</v>
      </c>
      <c r="H2771" t="s">
        <v>75</v>
      </c>
      <c r="I2771" t="s">
        <v>76</v>
      </c>
      <c r="J2771" t="s">
        <v>77</v>
      </c>
      <c r="K2771" t="s">
        <v>78</v>
      </c>
      <c r="L2771" t="s">
        <v>168</v>
      </c>
      <c r="M2771" t="s">
        <v>169</v>
      </c>
      <c r="N2771" t="s">
        <v>2917</v>
      </c>
      <c r="O2771" t="s">
        <v>82</v>
      </c>
      <c r="P2771" t="str">
        <f>"4170049717                    "</f>
        <v xml:space="preserve">4170049717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22.6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16.739999999999998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1.1000000000000001</v>
      </c>
      <c r="BK2771">
        <v>1.5</v>
      </c>
      <c r="BL2771">
        <v>87.94</v>
      </c>
      <c r="BM2771">
        <v>13.19</v>
      </c>
      <c r="BN2771">
        <v>101.13</v>
      </c>
      <c r="BO2771">
        <v>101.13</v>
      </c>
      <c r="BQ2771" t="s">
        <v>2918</v>
      </c>
      <c r="BR2771" t="s">
        <v>84</v>
      </c>
      <c r="BS2771" s="3">
        <v>45860</v>
      </c>
      <c r="BT2771" s="4">
        <v>0.41111111111111109</v>
      </c>
      <c r="BU2771" t="s">
        <v>2919</v>
      </c>
      <c r="BV2771" t="s">
        <v>98</v>
      </c>
      <c r="BY2771">
        <v>5320</v>
      </c>
      <c r="BZ2771" t="s">
        <v>30</v>
      </c>
      <c r="CA2771" t="s">
        <v>173</v>
      </c>
      <c r="CC2771" t="s">
        <v>169</v>
      </c>
      <c r="CD2771">
        <v>6000</v>
      </c>
      <c r="CE2771" t="s">
        <v>145</v>
      </c>
      <c r="CF2771" s="3">
        <v>45860</v>
      </c>
      <c r="CI2771">
        <v>1</v>
      </c>
      <c r="CJ2771">
        <v>1</v>
      </c>
      <c r="CK2771">
        <v>21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"080066691016"</f>
        <v>080066691016</v>
      </c>
      <c r="F2772" s="3">
        <v>45859</v>
      </c>
      <c r="G2772">
        <v>202604</v>
      </c>
      <c r="H2772" t="s">
        <v>75</v>
      </c>
      <c r="I2772" t="s">
        <v>76</v>
      </c>
      <c r="J2772" t="s">
        <v>77</v>
      </c>
      <c r="K2772" t="s">
        <v>78</v>
      </c>
      <c r="L2772" t="s">
        <v>146</v>
      </c>
      <c r="M2772" t="s">
        <v>146</v>
      </c>
      <c r="N2772" t="s">
        <v>3004</v>
      </c>
      <c r="O2772" t="s">
        <v>82</v>
      </c>
      <c r="P2772" t="str">
        <f>"4170049443                    "</f>
        <v xml:space="preserve">4170049443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43.78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137.94</v>
      </c>
      <c r="BM2772">
        <v>20.69</v>
      </c>
      <c r="BN2772">
        <v>158.63</v>
      </c>
      <c r="BO2772">
        <v>158.63</v>
      </c>
      <c r="BQ2772" t="s">
        <v>3005</v>
      </c>
      <c r="BR2772" t="s">
        <v>84</v>
      </c>
      <c r="BS2772" s="3">
        <v>45860</v>
      </c>
      <c r="BT2772" s="4">
        <v>0.51597222222222228</v>
      </c>
      <c r="BU2772" t="s">
        <v>3006</v>
      </c>
      <c r="BV2772" t="s">
        <v>98</v>
      </c>
      <c r="BY2772">
        <v>1200</v>
      </c>
      <c r="CA2772" t="s">
        <v>150</v>
      </c>
      <c r="CC2772" t="s">
        <v>146</v>
      </c>
      <c r="CD2772">
        <v>7645</v>
      </c>
      <c r="CE2772" t="s">
        <v>121</v>
      </c>
      <c r="CF2772" s="3">
        <v>45861</v>
      </c>
      <c r="CI2772">
        <v>1</v>
      </c>
      <c r="CJ2772">
        <v>1</v>
      </c>
      <c r="CK2772">
        <v>23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"080066691061"</f>
        <v>080066691061</v>
      </c>
      <c r="F2773" s="3">
        <v>45859</v>
      </c>
      <c r="G2773">
        <v>202604</v>
      </c>
      <c r="H2773" t="s">
        <v>75</v>
      </c>
      <c r="I2773" t="s">
        <v>76</v>
      </c>
      <c r="J2773" t="s">
        <v>77</v>
      </c>
      <c r="K2773" t="s">
        <v>78</v>
      </c>
      <c r="L2773" t="s">
        <v>295</v>
      </c>
      <c r="M2773" t="s">
        <v>296</v>
      </c>
      <c r="N2773" t="s">
        <v>297</v>
      </c>
      <c r="O2773" t="s">
        <v>82</v>
      </c>
      <c r="P2773" t="str">
        <f>"4170049452                    "</f>
        <v xml:space="preserve">4170049452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17.649999999999999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55.61</v>
      </c>
      <c r="BM2773">
        <v>8.34</v>
      </c>
      <c r="BN2773">
        <v>63.95</v>
      </c>
      <c r="BO2773">
        <v>63.95</v>
      </c>
      <c r="BQ2773" t="s">
        <v>298</v>
      </c>
      <c r="BR2773" t="s">
        <v>84</v>
      </c>
      <c r="BS2773" s="3">
        <v>45860</v>
      </c>
      <c r="BT2773" s="4">
        <v>0.33055555555555555</v>
      </c>
      <c r="BU2773" t="s">
        <v>299</v>
      </c>
      <c r="BV2773" t="s">
        <v>98</v>
      </c>
      <c r="BY2773">
        <v>1200</v>
      </c>
      <c r="CA2773" t="s">
        <v>300</v>
      </c>
      <c r="CC2773" t="s">
        <v>296</v>
      </c>
      <c r="CD2773">
        <v>1459</v>
      </c>
      <c r="CE2773" t="s">
        <v>121</v>
      </c>
      <c r="CF2773" s="3">
        <v>45860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"080066691068"</f>
        <v>080066691068</v>
      </c>
      <c r="F2774" s="3">
        <v>45859</v>
      </c>
      <c r="G2774">
        <v>202604</v>
      </c>
      <c r="H2774" t="s">
        <v>75</v>
      </c>
      <c r="I2774" t="s">
        <v>76</v>
      </c>
      <c r="J2774" t="s">
        <v>77</v>
      </c>
      <c r="K2774" t="s">
        <v>78</v>
      </c>
      <c r="L2774" t="s">
        <v>305</v>
      </c>
      <c r="M2774" t="s">
        <v>306</v>
      </c>
      <c r="N2774" t="s">
        <v>1154</v>
      </c>
      <c r="O2774" t="s">
        <v>82</v>
      </c>
      <c r="P2774" t="str">
        <f>"4170049793                    "</f>
        <v xml:space="preserve">4170049793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90.34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8</v>
      </c>
      <c r="BJ2774">
        <v>2</v>
      </c>
      <c r="BK2774">
        <v>8</v>
      </c>
      <c r="BL2774">
        <v>284.62</v>
      </c>
      <c r="BM2774">
        <v>42.69</v>
      </c>
      <c r="BN2774">
        <v>327.31</v>
      </c>
      <c r="BO2774">
        <v>327.31</v>
      </c>
      <c r="BQ2774" t="s">
        <v>1155</v>
      </c>
      <c r="BR2774" t="s">
        <v>84</v>
      </c>
      <c r="BS2774" s="3">
        <v>45861</v>
      </c>
      <c r="BT2774" s="4">
        <v>0.90972222222222221</v>
      </c>
      <c r="BU2774" t="s">
        <v>2986</v>
      </c>
      <c r="BV2774" t="s">
        <v>86</v>
      </c>
      <c r="BY2774">
        <v>9918</v>
      </c>
      <c r="CC2774" t="s">
        <v>306</v>
      </c>
      <c r="CD2774">
        <v>5200</v>
      </c>
      <c r="CE2774" t="s">
        <v>145</v>
      </c>
      <c r="CF2774" s="3">
        <v>45861</v>
      </c>
      <c r="CI2774">
        <v>1</v>
      </c>
      <c r="CJ2774">
        <v>2</v>
      </c>
      <c r="CK2774">
        <v>21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"080066691093"</f>
        <v>080066691093</v>
      </c>
      <c r="F2775" s="3">
        <v>45859</v>
      </c>
      <c r="G2775">
        <v>202604</v>
      </c>
      <c r="H2775" t="s">
        <v>75</v>
      </c>
      <c r="I2775" t="s">
        <v>76</v>
      </c>
      <c r="J2775" t="s">
        <v>77</v>
      </c>
      <c r="K2775" t="s">
        <v>78</v>
      </c>
      <c r="L2775" t="s">
        <v>240</v>
      </c>
      <c r="M2775" t="s">
        <v>241</v>
      </c>
      <c r="N2775" t="s">
        <v>2580</v>
      </c>
      <c r="O2775" t="s">
        <v>82</v>
      </c>
      <c r="P2775" t="str">
        <f>"4170049545                    "</f>
        <v xml:space="preserve">4170049545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17.649999999999999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55.61</v>
      </c>
      <c r="BM2775">
        <v>8.34</v>
      </c>
      <c r="BN2775">
        <v>63.95</v>
      </c>
      <c r="BO2775">
        <v>63.95</v>
      </c>
      <c r="BQ2775" t="s">
        <v>2581</v>
      </c>
      <c r="BR2775" t="s">
        <v>84</v>
      </c>
      <c r="BS2775" s="3">
        <v>45860</v>
      </c>
      <c r="BT2775" s="4">
        <v>0.36249999999999999</v>
      </c>
      <c r="BU2775" t="s">
        <v>3007</v>
      </c>
      <c r="BV2775" t="s">
        <v>98</v>
      </c>
      <c r="BY2775">
        <v>1200</v>
      </c>
      <c r="CA2775" t="s">
        <v>451</v>
      </c>
      <c r="CC2775" t="s">
        <v>241</v>
      </c>
      <c r="CD2775">
        <v>2094</v>
      </c>
      <c r="CE2775" t="s">
        <v>121</v>
      </c>
      <c r="CF2775" s="3">
        <v>45860</v>
      </c>
      <c r="CI2775">
        <v>1</v>
      </c>
      <c r="CJ2775">
        <v>1</v>
      </c>
      <c r="CK2775">
        <v>22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"080066691143"</f>
        <v>080066691143</v>
      </c>
      <c r="F2776" s="3">
        <v>45859</v>
      </c>
      <c r="G2776">
        <v>202604</v>
      </c>
      <c r="H2776" t="s">
        <v>75</v>
      </c>
      <c r="I2776" t="s">
        <v>76</v>
      </c>
      <c r="J2776" t="s">
        <v>77</v>
      </c>
      <c r="K2776" t="s">
        <v>78</v>
      </c>
      <c r="L2776" t="s">
        <v>168</v>
      </c>
      <c r="M2776" t="s">
        <v>169</v>
      </c>
      <c r="N2776" t="s">
        <v>202</v>
      </c>
      <c r="O2776" t="s">
        <v>82</v>
      </c>
      <c r="P2776" t="str">
        <f>"4170049725                    "</f>
        <v xml:space="preserve">4170049725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101.63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9</v>
      </c>
      <c r="BJ2776">
        <v>4.4000000000000004</v>
      </c>
      <c r="BK2776">
        <v>9</v>
      </c>
      <c r="BL2776">
        <v>320.19</v>
      </c>
      <c r="BM2776">
        <v>48.03</v>
      </c>
      <c r="BN2776">
        <v>368.22</v>
      </c>
      <c r="BO2776">
        <v>368.22</v>
      </c>
      <c r="BQ2776" t="s">
        <v>203</v>
      </c>
      <c r="BR2776" t="s">
        <v>84</v>
      </c>
      <c r="BS2776" s="3">
        <v>45860</v>
      </c>
      <c r="BT2776" s="4">
        <v>0.34930555555555554</v>
      </c>
      <c r="BU2776" t="s">
        <v>1127</v>
      </c>
      <c r="BV2776" t="s">
        <v>98</v>
      </c>
      <c r="BY2776">
        <v>22016</v>
      </c>
      <c r="CA2776" t="s">
        <v>205</v>
      </c>
      <c r="CC2776" t="s">
        <v>169</v>
      </c>
      <c r="CD2776">
        <v>6001</v>
      </c>
      <c r="CE2776" t="s">
        <v>91</v>
      </c>
      <c r="CF2776" s="3">
        <v>45860</v>
      </c>
      <c r="CI2776">
        <v>1</v>
      </c>
      <c r="CJ2776">
        <v>1</v>
      </c>
      <c r="CK2776">
        <v>21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"080066691146"</f>
        <v>080066691146</v>
      </c>
      <c r="F2777" s="3">
        <v>45859</v>
      </c>
      <c r="G2777">
        <v>202604</v>
      </c>
      <c r="H2777" t="s">
        <v>75</v>
      </c>
      <c r="I2777" t="s">
        <v>76</v>
      </c>
      <c r="J2777" t="s">
        <v>77</v>
      </c>
      <c r="K2777" t="s">
        <v>78</v>
      </c>
      <c r="L2777" t="s">
        <v>75</v>
      </c>
      <c r="M2777" t="s">
        <v>76</v>
      </c>
      <c r="N2777" t="s">
        <v>562</v>
      </c>
      <c r="O2777" t="s">
        <v>82</v>
      </c>
      <c r="P2777" t="str">
        <f>"4170049679                    "</f>
        <v xml:space="preserve">4170049679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17.649999999999999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0.9</v>
      </c>
      <c r="BK2777">
        <v>1</v>
      </c>
      <c r="BL2777">
        <v>55.61</v>
      </c>
      <c r="BM2777">
        <v>8.34</v>
      </c>
      <c r="BN2777">
        <v>63.95</v>
      </c>
      <c r="BO2777">
        <v>63.95</v>
      </c>
      <c r="BQ2777" t="s">
        <v>563</v>
      </c>
      <c r="BR2777" t="s">
        <v>84</v>
      </c>
      <c r="BS2777" s="3">
        <v>45860</v>
      </c>
      <c r="BT2777" s="4">
        <v>0.38194444444444442</v>
      </c>
      <c r="BU2777" t="s">
        <v>2155</v>
      </c>
      <c r="BV2777" t="s">
        <v>98</v>
      </c>
      <c r="BY2777">
        <v>4408</v>
      </c>
      <c r="CA2777" t="s">
        <v>565</v>
      </c>
      <c r="CC2777" t="s">
        <v>76</v>
      </c>
      <c r="CD2777">
        <v>1619</v>
      </c>
      <c r="CE2777" t="s">
        <v>145</v>
      </c>
      <c r="CF2777" s="3">
        <v>45860</v>
      </c>
      <c r="CI2777">
        <v>1</v>
      </c>
      <c r="CJ2777">
        <v>1</v>
      </c>
      <c r="CK2777">
        <v>22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"080066691189"</f>
        <v>080066691189</v>
      </c>
      <c r="F2778" s="3">
        <v>45859</v>
      </c>
      <c r="G2778">
        <v>202604</v>
      </c>
      <c r="H2778" t="s">
        <v>75</v>
      </c>
      <c r="I2778" t="s">
        <v>76</v>
      </c>
      <c r="J2778" t="s">
        <v>77</v>
      </c>
      <c r="K2778" t="s">
        <v>78</v>
      </c>
      <c r="L2778" t="s">
        <v>503</v>
      </c>
      <c r="M2778" t="s">
        <v>504</v>
      </c>
      <c r="N2778" t="s">
        <v>505</v>
      </c>
      <c r="O2778" t="s">
        <v>82</v>
      </c>
      <c r="P2778" t="str">
        <f>"4170049723                    "</f>
        <v xml:space="preserve">4170049723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142.63999999999999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7</v>
      </c>
      <c r="BJ2778">
        <v>5.8</v>
      </c>
      <c r="BK2778">
        <v>7</v>
      </c>
      <c r="BL2778">
        <v>449.4</v>
      </c>
      <c r="BM2778">
        <v>67.41</v>
      </c>
      <c r="BN2778">
        <v>516.80999999999995</v>
      </c>
      <c r="BO2778">
        <v>516.80999999999995</v>
      </c>
      <c r="BQ2778" t="s">
        <v>506</v>
      </c>
      <c r="BR2778" t="s">
        <v>84</v>
      </c>
      <c r="BS2778" s="3">
        <v>45860</v>
      </c>
      <c r="BT2778" s="4">
        <v>0.43194444444444446</v>
      </c>
      <c r="BU2778" t="s">
        <v>507</v>
      </c>
      <c r="BV2778" t="s">
        <v>98</v>
      </c>
      <c r="BY2778">
        <v>29184</v>
      </c>
      <c r="CA2778" t="s">
        <v>508</v>
      </c>
      <c r="CC2778" t="s">
        <v>504</v>
      </c>
      <c r="CD2778">
        <v>7130</v>
      </c>
      <c r="CE2778" t="s">
        <v>91</v>
      </c>
      <c r="CF2778" s="3">
        <v>45861</v>
      </c>
      <c r="CI2778">
        <v>1</v>
      </c>
      <c r="CJ2778">
        <v>1</v>
      </c>
      <c r="CK2778">
        <v>23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"080066691196"</f>
        <v>080066691196</v>
      </c>
      <c r="F2779" s="3">
        <v>45859</v>
      </c>
      <c r="G2779">
        <v>202604</v>
      </c>
      <c r="H2779" t="s">
        <v>75</v>
      </c>
      <c r="I2779" t="s">
        <v>76</v>
      </c>
      <c r="J2779" t="s">
        <v>77</v>
      </c>
      <c r="K2779" t="s">
        <v>78</v>
      </c>
      <c r="L2779" t="s">
        <v>92</v>
      </c>
      <c r="M2779" t="s">
        <v>93</v>
      </c>
      <c r="N2779" t="s">
        <v>334</v>
      </c>
      <c r="O2779" t="s">
        <v>82</v>
      </c>
      <c r="P2779" t="str">
        <f>"4170049920                    "</f>
        <v xml:space="preserve">4170049920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22.6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2</v>
      </c>
      <c r="BK2779">
        <v>2</v>
      </c>
      <c r="BL2779">
        <v>71.2</v>
      </c>
      <c r="BM2779">
        <v>10.68</v>
      </c>
      <c r="BN2779">
        <v>81.88</v>
      </c>
      <c r="BO2779">
        <v>81.88</v>
      </c>
      <c r="BQ2779" t="s">
        <v>335</v>
      </c>
      <c r="BR2779" t="s">
        <v>84</v>
      </c>
      <c r="BS2779" s="3">
        <v>45860</v>
      </c>
      <c r="BT2779" s="4">
        <v>0.40347222222222223</v>
      </c>
      <c r="BU2779" t="s">
        <v>1365</v>
      </c>
      <c r="BV2779" t="s">
        <v>98</v>
      </c>
      <c r="BY2779">
        <v>10108</v>
      </c>
      <c r="CA2779" t="s">
        <v>337</v>
      </c>
      <c r="CC2779" t="s">
        <v>93</v>
      </c>
      <c r="CD2779">
        <v>4052</v>
      </c>
      <c r="CE2779" t="s">
        <v>145</v>
      </c>
      <c r="CF2779" s="3">
        <v>45861</v>
      </c>
      <c r="CI2779">
        <v>1</v>
      </c>
      <c r="CJ2779">
        <v>1</v>
      </c>
      <c r="CK2779">
        <v>21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"080066691239"</f>
        <v>080066691239</v>
      </c>
      <c r="F2780" s="3">
        <v>45859</v>
      </c>
      <c r="G2780">
        <v>202604</v>
      </c>
      <c r="H2780" t="s">
        <v>75</v>
      </c>
      <c r="I2780" t="s">
        <v>76</v>
      </c>
      <c r="J2780" t="s">
        <v>77</v>
      </c>
      <c r="K2780" t="s">
        <v>78</v>
      </c>
      <c r="L2780" t="s">
        <v>79</v>
      </c>
      <c r="M2780" t="s">
        <v>80</v>
      </c>
      <c r="N2780" t="s">
        <v>188</v>
      </c>
      <c r="O2780" t="s">
        <v>82</v>
      </c>
      <c r="P2780" t="str">
        <f>"4170049656                    "</f>
        <v xml:space="preserve">4170049656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56.47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5</v>
      </c>
      <c r="BJ2780">
        <v>3</v>
      </c>
      <c r="BK2780">
        <v>5</v>
      </c>
      <c r="BL2780">
        <v>177.91</v>
      </c>
      <c r="BM2780">
        <v>26.69</v>
      </c>
      <c r="BN2780">
        <v>204.6</v>
      </c>
      <c r="BO2780">
        <v>204.6</v>
      </c>
      <c r="BQ2780" t="s">
        <v>189</v>
      </c>
      <c r="BR2780" t="s">
        <v>84</v>
      </c>
      <c r="BS2780" s="3">
        <v>45860</v>
      </c>
      <c r="BT2780" s="4">
        <v>0.36458333333333331</v>
      </c>
      <c r="BU2780" t="s">
        <v>1216</v>
      </c>
      <c r="BV2780" t="s">
        <v>98</v>
      </c>
      <c r="BY2780">
        <v>15104</v>
      </c>
      <c r="CA2780" t="s">
        <v>144</v>
      </c>
      <c r="CC2780" t="s">
        <v>80</v>
      </c>
      <c r="CD2780">
        <v>7441</v>
      </c>
      <c r="CE2780" t="s">
        <v>91</v>
      </c>
      <c r="CF2780" s="3">
        <v>45861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"080066691253"</f>
        <v>080066691253</v>
      </c>
      <c r="F2781" s="3">
        <v>45859</v>
      </c>
      <c r="G2781">
        <v>202604</v>
      </c>
      <c r="H2781" t="s">
        <v>75</v>
      </c>
      <c r="I2781" t="s">
        <v>76</v>
      </c>
      <c r="J2781" t="s">
        <v>77</v>
      </c>
      <c r="K2781" t="s">
        <v>78</v>
      </c>
      <c r="L2781" t="s">
        <v>92</v>
      </c>
      <c r="M2781" t="s">
        <v>93</v>
      </c>
      <c r="N2781" t="s">
        <v>723</v>
      </c>
      <c r="O2781" t="s">
        <v>82</v>
      </c>
      <c r="P2781" t="str">
        <f>"4170049692                    "</f>
        <v xml:space="preserve">4170049692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28.24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</v>
      </c>
      <c r="BJ2781">
        <v>2.2999999999999998</v>
      </c>
      <c r="BK2781">
        <v>2.5</v>
      </c>
      <c r="BL2781">
        <v>88.98</v>
      </c>
      <c r="BM2781">
        <v>13.35</v>
      </c>
      <c r="BN2781">
        <v>102.33</v>
      </c>
      <c r="BO2781">
        <v>102.33</v>
      </c>
      <c r="BQ2781" t="s">
        <v>724</v>
      </c>
      <c r="BR2781" t="s">
        <v>84</v>
      </c>
      <c r="BS2781" s="3">
        <v>45860</v>
      </c>
      <c r="BT2781" s="4">
        <v>0.46527777777777779</v>
      </c>
      <c r="BU2781" t="s">
        <v>3003</v>
      </c>
      <c r="BV2781" t="s">
        <v>86</v>
      </c>
      <c r="BW2781" t="s">
        <v>194</v>
      </c>
      <c r="BX2781" t="s">
        <v>1174</v>
      </c>
      <c r="BY2781">
        <v>11310</v>
      </c>
      <c r="CA2781" t="s">
        <v>2974</v>
      </c>
      <c r="CC2781" t="s">
        <v>93</v>
      </c>
      <c r="CD2781">
        <v>4000</v>
      </c>
      <c r="CE2781" t="s">
        <v>145</v>
      </c>
      <c r="CF2781" s="3">
        <v>45861</v>
      </c>
      <c r="CI2781">
        <v>1</v>
      </c>
      <c r="CJ2781">
        <v>1</v>
      </c>
      <c r="CK2781">
        <v>21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"080066691295"</f>
        <v>080066691295</v>
      </c>
      <c r="F2782" s="3">
        <v>45859</v>
      </c>
      <c r="G2782">
        <v>202604</v>
      </c>
      <c r="H2782" t="s">
        <v>75</v>
      </c>
      <c r="I2782" t="s">
        <v>76</v>
      </c>
      <c r="J2782" t="s">
        <v>77</v>
      </c>
      <c r="K2782" t="s">
        <v>78</v>
      </c>
      <c r="L2782" t="s">
        <v>305</v>
      </c>
      <c r="M2782" t="s">
        <v>306</v>
      </c>
      <c r="N2782" t="s">
        <v>640</v>
      </c>
      <c r="O2782" t="s">
        <v>82</v>
      </c>
      <c r="P2782" t="str">
        <f>"4170049716                    "</f>
        <v xml:space="preserve">4170049716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79.05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7</v>
      </c>
      <c r="BJ2782">
        <v>4.0999999999999996</v>
      </c>
      <c r="BK2782">
        <v>7</v>
      </c>
      <c r="BL2782">
        <v>249.05</v>
      </c>
      <c r="BM2782">
        <v>37.36</v>
      </c>
      <c r="BN2782">
        <v>286.41000000000003</v>
      </c>
      <c r="BO2782">
        <v>286.41000000000003</v>
      </c>
      <c r="BQ2782" t="s">
        <v>641</v>
      </c>
      <c r="BR2782" t="s">
        <v>84</v>
      </c>
      <c r="BS2782" s="3">
        <v>45860</v>
      </c>
      <c r="BT2782" s="4">
        <v>0.68055555555555558</v>
      </c>
      <c r="BU2782" t="s">
        <v>2984</v>
      </c>
      <c r="BV2782" t="s">
        <v>86</v>
      </c>
      <c r="BY2782">
        <v>20358</v>
      </c>
      <c r="CA2782" t="s">
        <v>310</v>
      </c>
      <c r="CC2782" t="s">
        <v>306</v>
      </c>
      <c r="CD2782">
        <v>5201</v>
      </c>
      <c r="CE2782" t="s">
        <v>145</v>
      </c>
      <c r="CF2782" s="3">
        <v>45862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"080066691301"</f>
        <v>080066691301</v>
      </c>
      <c r="F2783" s="3">
        <v>45859</v>
      </c>
      <c r="G2783">
        <v>202604</v>
      </c>
      <c r="H2783" t="s">
        <v>75</v>
      </c>
      <c r="I2783" t="s">
        <v>76</v>
      </c>
      <c r="J2783" t="s">
        <v>77</v>
      </c>
      <c r="K2783" t="s">
        <v>78</v>
      </c>
      <c r="L2783" t="s">
        <v>79</v>
      </c>
      <c r="M2783" t="s">
        <v>80</v>
      </c>
      <c r="N2783" t="s">
        <v>1816</v>
      </c>
      <c r="O2783" t="s">
        <v>95</v>
      </c>
      <c r="P2783" t="str">
        <f>"4170049726                    "</f>
        <v xml:space="preserve">4170049726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63.55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2</v>
      </c>
      <c r="BI2783">
        <v>26</v>
      </c>
      <c r="BJ2783">
        <v>10.1</v>
      </c>
      <c r="BK2783">
        <v>26</v>
      </c>
      <c r="BL2783">
        <v>206.08</v>
      </c>
      <c r="BM2783">
        <v>30.91</v>
      </c>
      <c r="BN2783">
        <v>236.99</v>
      </c>
      <c r="BO2783">
        <v>236.99</v>
      </c>
      <c r="BQ2783" t="s">
        <v>1817</v>
      </c>
      <c r="BR2783" t="s">
        <v>84</v>
      </c>
      <c r="BS2783" s="3">
        <v>45861</v>
      </c>
      <c r="BT2783" s="4">
        <v>0.6381944444444444</v>
      </c>
      <c r="BU2783" t="s">
        <v>1419</v>
      </c>
      <c r="BV2783" t="s">
        <v>98</v>
      </c>
      <c r="BY2783">
        <v>25200</v>
      </c>
      <c r="CA2783" t="s">
        <v>90</v>
      </c>
      <c r="CC2783" t="s">
        <v>80</v>
      </c>
      <c r="CD2783">
        <v>7550</v>
      </c>
      <c r="CE2783" t="s">
        <v>2966</v>
      </c>
      <c r="CF2783" s="3">
        <v>45862</v>
      </c>
      <c r="CI2783">
        <v>3</v>
      </c>
      <c r="CJ2783">
        <v>2</v>
      </c>
      <c r="CK2783">
        <v>41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"080066691335"</f>
        <v>080066691335</v>
      </c>
      <c r="F2784" s="3">
        <v>45859</v>
      </c>
      <c r="G2784">
        <v>202604</v>
      </c>
      <c r="H2784" t="s">
        <v>75</v>
      </c>
      <c r="I2784" t="s">
        <v>76</v>
      </c>
      <c r="J2784" t="s">
        <v>77</v>
      </c>
      <c r="K2784" t="s">
        <v>78</v>
      </c>
      <c r="L2784" t="s">
        <v>102</v>
      </c>
      <c r="M2784" t="s">
        <v>103</v>
      </c>
      <c r="N2784" t="s">
        <v>104</v>
      </c>
      <c r="O2784" t="s">
        <v>82</v>
      </c>
      <c r="P2784" t="str">
        <f>"4170049566                    "</f>
        <v xml:space="preserve">4170049566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55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3.4</v>
      </c>
      <c r="BK2784">
        <v>3.5</v>
      </c>
      <c r="BL2784">
        <v>173.27</v>
      </c>
      <c r="BM2784">
        <v>25.99</v>
      </c>
      <c r="BN2784">
        <v>199.26</v>
      </c>
      <c r="BO2784">
        <v>199.26</v>
      </c>
      <c r="BQ2784" t="s">
        <v>833</v>
      </c>
      <c r="BR2784" t="s">
        <v>84</v>
      </c>
      <c r="BS2784" s="3">
        <v>45860</v>
      </c>
      <c r="BT2784" s="4">
        <v>0.36388888888888887</v>
      </c>
      <c r="BU2784" t="s">
        <v>796</v>
      </c>
      <c r="BV2784" t="s">
        <v>98</v>
      </c>
      <c r="BY2784">
        <v>16965</v>
      </c>
      <c r="CA2784" t="s">
        <v>2602</v>
      </c>
      <c r="CC2784" t="s">
        <v>103</v>
      </c>
      <c r="CD2784">
        <v>1748</v>
      </c>
      <c r="CE2784" t="s">
        <v>145</v>
      </c>
      <c r="CF2784" s="3">
        <v>45861</v>
      </c>
      <c r="CI2784">
        <v>1</v>
      </c>
      <c r="CJ2784">
        <v>1</v>
      </c>
      <c r="CK2784">
        <v>24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"080066691337"</f>
        <v>080066691337</v>
      </c>
      <c r="F2785" s="3">
        <v>45859</v>
      </c>
      <c r="G2785">
        <v>202604</v>
      </c>
      <c r="H2785" t="s">
        <v>75</v>
      </c>
      <c r="I2785" t="s">
        <v>76</v>
      </c>
      <c r="J2785" t="s">
        <v>77</v>
      </c>
      <c r="K2785" t="s">
        <v>78</v>
      </c>
      <c r="L2785" t="s">
        <v>151</v>
      </c>
      <c r="M2785" t="s">
        <v>152</v>
      </c>
      <c r="N2785" t="s">
        <v>153</v>
      </c>
      <c r="O2785" t="s">
        <v>82</v>
      </c>
      <c r="P2785" t="str">
        <f>"4170050022                    "</f>
        <v xml:space="preserve">4170050022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22.6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71.2</v>
      </c>
      <c r="BM2785">
        <v>10.68</v>
      </c>
      <c r="BN2785">
        <v>81.88</v>
      </c>
      <c r="BO2785">
        <v>81.88</v>
      </c>
      <c r="BQ2785" t="s">
        <v>154</v>
      </c>
      <c r="BR2785" t="s">
        <v>84</v>
      </c>
      <c r="BS2785" s="3">
        <v>45860</v>
      </c>
      <c r="BT2785" s="4">
        <v>0.34930555555555554</v>
      </c>
      <c r="BU2785" t="s">
        <v>1297</v>
      </c>
      <c r="BV2785" t="s">
        <v>98</v>
      </c>
      <c r="BY2785">
        <v>1200</v>
      </c>
      <c r="CA2785" t="s">
        <v>156</v>
      </c>
      <c r="CC2785" t="s">
        <v>152</v>
      </c>
      <c r="CD2785" s="5" t="s">
        <v>157</v>
      </c>
      <c r="CE2785" t="s">
        <v>121</v>
      </c>
      <c r="CF2785" s="3">
        <v>45860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"080066691378"</f>
        <v>080066691378</v>
      </c>
      <c r="F2786" s="3">
        <v>45859</v>
      </c>
      <c r="G2786">
        <v>202604</v>
      </c>
      <c r="H2786" t="s">
        <v>75</v>
      </c>
      <c r="I2786" t="s">
        <v>76</v>
      </c>
      <c r="J2786" t="s">
        <v>77</v>
      </c>
      <c r="K2786" t="s">
        <v>78</v>
      </c>
      <c r="L2786" t="s">
        <v>122</v>
      </c>
      <c r="M2786" t="s">
        <v>123</v>
      </c>
      <c r="N2786" t="s">
        <v>1176</v>
      </c>
      <c r="O2786" t="s">
        <v>82</v>
      </c>
      <c r="P2786" t="str">
        <f>"4170050028                    "</f>
        <v xml:space="preserve">4170050028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22.6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71.2</v>
      </c>
      <c r="BM2786">
        <v>10.68</v>
      </c>
      <c r="BN2786">
        <v>81.88</v>
      </c>
      <c r="BO2786">
        <v>81.88</v>
      </c>
      <c r="BQ2786" t="s">
        <v>1177</v>
      </c>
      <c r="BR2786" t="s">
        <v>84</v>
      </c>
      <c r="BS2786" s="3">
        <v>45860</v>
      </c>
      <c r="BT2786" s="4">
        <v>0.33611111111111114</v>
      </c>
      <c r="BU2786" t="s">
        <v>1345</v>
      </c>
      <c r="BV2786" t="s">
        <v>98</v>
      </c>
      <c r="BY2786">
        <v>1200</v>
      </c>
      <c r="CA2786" t="s">
        <v>187</v>
      </c>
      <c r="CC2786" t="s">
        <v>123</v>
      </c>
      <c r="CD2786">
        <v>3610</v>
      </c>
      <c r="CE2786" t="s">
        <v>121</v>
      </c>
      <c r="CF2786" s="3">
        <v>45861</v>
      </c>
      <c r="CI2786">
        <v>1</v>
      </c>
      <c r="CJ2786">
        <v>1</v>
      </c>
      <c r="CK2786">
        <v>21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"080066691390"</f>
        <v>080066691390</v>
      </c>
      <c r="F2787" s="3">
        <v>45859</v>
      </c>
      <c r="G2787">
        <v>202604</v>
      </c>
      <c r="H2787" t="s">
        <v>75</v>
      </c>
      <c r="I2787" t="s">
        <v>76</v>
      </c>
      <c r="J2787" t="s">
        <v>77</v>
      </c>
      <c r="K2787" t="s">
        <v>78</v>
      </c>
      <c r="L2787" t="s">
        <v>168</v>
      </c>
      <c r="M2787" t="s">
        <v>169</v>
      </c>
      <c r="N2787" t="s">
        <v>438</v>
      </c>
      <c r="O2787" t="s">
        <v>82</v>
      </c>
      <c r="P2787" t="str">
        <f>"4170049875                    "</f>
        <v xml:space="preserve">4170049875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22.6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1.1000000000000001</v>
      </c>
      <c r="BK2787">
        <v>2</v>
      </c>
      <c r="BL2787">
        <v>71.2</v>
      </c>
      <c r="BM2787">
        <v>10.68</v>
      </c>
      <c r="BN2787">
        <v>81.88</v>
      </c>
      <c r="BO2787">
        <v>81.88</v>
      </c>
      <c r="BQ2787" t="s">
        <v>439</v>
      </c>
      <c r="BR2787" t="s">
        <v>84</v>
      </c>
      <c r="BS2787" s="3">
        <v>45860</v>
      </c>
      <c r="BT2787" s="4">
        <v>0.41666666666666669</v>
      </c>
      <c r="BU2787" t="s">
        <v>1734</v>
      </c>
      <c r="BV2787" t="s">
        <v>98</v>
      </c>
      <c r="BY2787">
        <v>5320</v>
      </c>
      <c r="CA2787" t="s">
        <v>423</v>
      </c>
      <c r="CC2787" t="s">
        <v>169</v>
      </c>
      <c r="CD2787">
        <v>6001</v>
      </c>
      <c r="CE2787" t="s">
        <v>145</v>
      </c>
      <c r="CF2787" s="3">
        <v>45860</v>
      </c>
      <c r="CI2787">
        <v>1</v>
      </c>
      <c r="CJ2787">
        <v>1</v>
      </c>
      <c r="CK2787">
        <v>21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"080066691429"</f>
        <v>080066691429</v>
      </c>
      <c r="F2788" s="3">
        <v>45859</v>
      </c>
      <c r="G2788">
        <v>202604</v>
      </c>
      <c r="H2788" t="s">
        <v>75</v>
      </c>
      <c r="I2788" t="s">
        <v>76</v>
      </c>
      <c r="J2788" t="s">
        <v>77</v>
      </c>
      <c r="K2788" t="s">
        <v>78</v>
      </c>
      <c r="L2788" t="s">
        <v>580</v>
      </c>
      <c r="M2788" t="s">
        <v>581</v>
      </c>
      <c r="N2788" t="s">
        <v>582</v>
      </c>
      <c r="O2788" t="s">
        <v>82</v>
      </c>
      <c r="P2788" t="str">
        <f>"4170049547                    "</f>
        <v xml:space="preserve">4170049547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22.6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1.9</v>
      </c>
      <c r="BK2788">
        <v>2</v>
      </c>
      <c r="BL2788">
        <v>71.2</v>
      </c>
      <c r="BM2788">
        <v>10.68</v>
      </c>
      <c r="BN2788">
        <v>81.88</v>
      </c>
      <c r="BO2788">
        <v>81.88</v>
      </c>
      <c r="BQ2788" t="s">
        <v>583</v>
      </c>
      <c r="BR2788" t="s">
        <v>84</v>
      </c>
      <c r="BS2788" s="3">
        <v>45860</v>
      </c>
      <c r="BT2788" s="4">
        <v>0.40277777777777779</v>
      </c>
      <c r="BU2788" t="s">
        <v>584</v>
      </c>
      <c r="BV2788" t="s">
        <v>98</v>
      </c>
      <c r="BY2788">
        <v>9600</v>
      </c>
      <c r="CA2788" t="s">
        <v>585</v>
      </c>
      <c r="CC2788" t="s">
        <v>581</v>
      </c>
      <c r="CD2788">
        <v>4302</v>
      </c>
      <c r="CE2788" t="s">
        <v>145</v>
      </c>
      <c r="CF2788" s="3">
        <v>45861</v>
      </c>
      <c r="CI2788">
        <v>1</v>
      </c>
      <c r="CJ2788">
        <v>1</v>
      </c>
      <c r="CK2788">
        <v>21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"080066691449"</f>
        <v>080066691449</v>
      </c>
      <c r="F2789" s="3">
        <v>45859</v>
      </c>
      <c r="G2789">
        <v>202604</v>
      </c>
      <c r="H2789" t="s">
        <v>75</v>
      </c>
      <c r="I2789" t="s">
        <v>76</v>
      </c>
      <c r="J2789" t="s">
        <v>77</v>
      </c>
      <c r="K2789" t="s">
        <v>78</v>
      </c>
      <c r="L2789" t="s">
        <v>277</v>
      </c>
      <c r="M2789" t="s">
        <v>278</v>
      </c>
      <c r="N2789" t="s">
        <v>2365</v>
      </c>
      <c r="O2789" t="s">
        <v>82</v>
      </c>
      <c r="P2789" t="str">
        <f>"4170049936                    "</f>
        <v xml:space="preserve">4170049936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22.6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71.2</v>
      </c>
      <c r="BM2789">
        <v>10.68</v>
      </c>
      <c r="BN2789">
        <v>81.88</v>
      </c>
      <c r="BO2789">
        <v>81.88</v>
      </c>
      <c r="BQ2789" t="s">
        <v>2366</v>
      </c>
      <c r="BR2789" t="s">
        <v>84</v>
      </c>
      <c r="BS2789" s="3">
        <v>45860</v>
      </c>
      <c r="BT2789" s="4">
        <v>0.35625000000000001</v>
      </c>
      <c r="BU2789" t="s">
        <v>979</v>
      </c>
      <c r="BV2789" t="s">
        <v>98</v>
      </c>
      <c r="BY2789">
        <v>1200</v>
      </c>
      <c r="CA2789" t="s">
        <v>282</v>
      </c>
      <c r="CC2789" t="s">
        <v>278</v>
      </c>
      <c r="CD2789">
        <v>6230</v>
      </c>
      <c r="CE2789" t="s">
        <v>121</v>
      </c>
      <c r="CF2789" s="3">
        <v>45860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"080066691475"</f>
        <v>080066691475</v>
      </c>
      <c r="F2790" s="3">
        <v>45859</v>
      </c>
      <c r="G2790">
        <v>202604</v>
      </c>
      <c r="H2790" t="s">
        <v>75</v>
      </c>
      <c r="I2790" t="s">
        <v>76</v>
      </c>
      <c r="J2790" t="s">
        <v>77</v>
      </c>
      <c r="K2790" t="s">
        <v>78</v>
      </c>
      <c r="L2790" t="s">
        <v>151</v>
      </c>
      <c r="M2790" t="s">
        <v>152</v>
      </c>
      <c r="N2790" t="s">
        <v>153</v>
      </c>
      <c r="O2790" t="s">
        <v>82</v>
      </c>
      <c r="P2790" t="str">
        <f>"4170049681                    "</f>
        <v xml:space="preserve">4170049681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22.6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0.6</v>
      </c>
      <c r="BK2790">
        <v>1</v>
      </c>
      <c r="BL2790">
        <v>71.2</v>
      </c>
      <c r="BM2790">
        <v>10.68</v>
      </c>
      <c r="BN2790">
        <v>81.88</v>
      </c>
      <c r="BO2790">
        <v>81.88</v>
      </c>
      <c r="BQ2790" t="s">
        <v>154</v>
      </c>
      <c r="BR2790" t="s">
        <v>84</v>
      </c>
      <c r="BS2790" s="3">
        <v>45860</v>
      </c>
      <c r="BT2790" s="4">
        <v>0.34583333333333333</v>
      </c>
      <c r="BU2790" t="s">
        <v>1297</v>
      </c>
      <c r="BV2790" t="s">
        <v>98</v>
      </c>
      <c r="BY2790">
        <v>3192</v>
      </c>
      <c r="CA2790" t="s">
        <v>156</v>
      </c>
      <c r="CC2790" t="s">
        <v>152</v>
      </c>
      <c r="CD2790" s="5" t="s">
        <v>157</v>
      </c>
      <c r="CE2790" t="s">
        <v>259</v>
      </c>
      <c r="CF2790" s="3">
        <v>45860</v>
      </c>
      <c r="CI2790">
        <v>1</v>
      </c>
      <c r="CJ2790">
        <v>1</v>
      </c>
      <c r="CK2790">
        <v>21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"080066691486"</f>
        <v>080066691486</v>
      </c>
      <c r="F2791" s="3">
        <v>45859</v>
      </c>
      <c r="G2791">
        <v>202604</v>
      </c>
      <c r="H2791" t="s">
        <v>75</v>
      </c>
      <c r="I2791" t="s">
        <v>76</v>
      </c>
      <c r="J2791" t="s">
        <v>77</v>
      </c>
      <c r="K2791" t="s">
        <v>78</v>
      </c>
      <c r="L2791" t="s">
        <v>146</v>
      </c>
      <c r="M2791" t="s">
        <v>146</v>
      </c>
      <c r="N2791" t="s">
        <v>633</v>
      </c>
      <c r="O2791" t="s">
        <v>82</v>
      </c>
      <c r="P2791" t="str">
        <f>"4170049959                    "</f>
        <v xml:space="preserve">4170049959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43.78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137.94</v>
      </c>
      <c r="BM2791">
        <v>20.69</v>
      </c>
      <c r="BN2791">
        <v>158.63</v>
      </c>
      <c r="BO2791">
        <v>158.63</v>
      </c>
      <c r="BQ2791" t="s">
        <v>634</v>
      </c>
      <c r="BR2791" t="s">
        <v>84</v>
      </c>
      <c r="BS2791" s="3">
        <v>45860</v>
      </c>
      <c r="BT2791" s="4">
        <v>0.53611111111111109</v>
      </c>
      <c r="BU2791" t="s">
        <v>1115</v>
      </c>
      <c r="BV2791" t="s">
        <v>98</v>
      </c>
      <c r="BY2791">
        <v>1200</v>
      </c>
      <c r="CA2791" t="s">
        <v>150</v>
      </c>
      <c r="CC2791" t="s">
        <v>146</v>
      </c>
      <c r="CD2791">
        <v>7646</v>
      </c>
      <c r="CE2791" t="s">
        <v>121</v>
      </c>
      <c r="CF2791" s="3">
        <v>45861</v>
      </c>
      <c r="CI2791">
        <v>1</v>
      </c>
      <c r="CJ2791">
        <v>1</v>
      </c>
      <c r="CK2791">
        <v>23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"080066691519"</f>
        <v>080066691519</v>
      </c>
      <c r="F2792" s="3">
        <v>45859</v>
      </c>
      <c r="G2792">
        <v>202604</v>
      </c>
      <c r="H2792" t="s">
        <v>75</v>
      </c>
      <c r="I2792" t="s">
        <v>76</v>
      </c>
      <c r="J2792" t="s">
        <v>77</v>
      </c>
      <c r="K2792" t="s">
        <v>78</v>
      </c>
      <c r="L2792" t="s">
        <v>102</v>
      </c>
      <c r="M2792" t="s">
        <v>103</v>
      </c>
      <c r="N2792" t="s">
        <v>1643</v>
      </c>
      <c r="O2792" t="s">
        <v>82</v>
      </c>
      <c r="P2792" t="str">
        <f>"4170049715                    "</f>
        <v xml:space="preserve">4170049715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31.78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100.13</v>
      </c>
      <c r="BM2792">
        <v>15.02</v>
      </c>
      <c r="BN2792">
        <v>115.15</v>
      </c>
      <c r="BO2792">
        <v>115.15</v>
      </c>
      <c r="BQ2792" t="s">
        <v>1644</v>
      </c>
      <c r="BR2792" t="s">
        <v>84</v>
      </c>
      <c r="BS2792" s="3">
        <v>45860</v>
      </c>
      <c r="BT2792" s="4">
        <v>0.35972222222222222</v>
      </c>
      <c r="BU2792" t="s">
        <v>3008</v>
      </c>
      <c r="BV2792" t="s">
        <v>98</v>
      </c>
      <c r="BY2792">
        <v>1200</v>
      </c>
      <c r="CA2792" t="s">
        <v>2602</v>
      </c>
      <c r="CC2792" t="s">
        <v>103</v>
      </c>
      <c r="CD2792">
        <v>1748</v>
      </c>
      <c r="CE2792" t="s">
        <v>110</v>
      </c>
      <c r="CF2792" s="3">
        <v>45861</v>
      </c>
      <c r="CI2792">
        <v>1</v>
      </c>
      <c r="CJ2792">
        <v>1</v>
      </c>
      <c r="CK2792">
        <v>24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"080066691548"</f>
        <v>080066691548</v>
      </c>
      <c r="F2793" s="3">
        <v>45859</v>
      </c>
      <c r="G2793">
        <v>202604</v>
      </c>
      <c r="H2793" t="s">
        <v>75</v>
      </c>
      <c r="I2793" t="s">
        <v>76</v>
      </c>
      <c r="J2793" t="s">
        <v>77</v>
      </c>
      <c r="K2793" t="s">
        <v>78</v>
      </c>
      <c r="L2793" t="s">
        <v>75</v>
      </c>
      <c r="M2793" t="s">
        <v>76</v>
      </c>
      <c r="N2793" t="s">
        <v>562</v>
      </c>
      <c r="O2793" t="s">
        <v>82</v>
      </c>
      <c r="P2793" t="str">
        <f>"4170050030                    "</f>
        <v xml:space="preserve">4170050030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17.649999999999999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55.61</v>
      </c>
      <c r="BM2793">
        <v>8.34</v>
      </c>
      <c r="BN2793">
        <v>63.95</v>
      </c>
      <c r="BO2793">
        <v>63.95</v>
      </c>
      <c r="BQ2793" t="s">
        <v>563</v>
      </c>
      <c r="BR2793" t="s">
        <v>84</v>
      </c>
      <c r="BS2793" s="3">
        <v>45860</v>
      </c>
      <c r="BT2793" s="4">
        <v>0.38263888888888886</v>
      </c>
      <c r="BU2793" t="s">
        <v>2155</v>
      </c>
      <c r="BV2793" t="s">
        <v>98</v>
      </c>
      <c r="BY2793">
        <v>1200</v>
      </c>
      <c r="CA2793" t="s">
        <v>565</v>
      </c>
      <c r="CC2793" t="s">
        <v>76</v>
      </c>
      <c r="CD2793">
        <v>1619</v>
      </c>
      <c r="CE2793" t="s">
        <v>110</v>
      </c>
      <c r="CF2793" s="3">
        <v>45860</v>
      </c>
      <c r="CI2793">
        <v>1</v>
      </c>
      <c r="CJ2793">
        <v>1</v>
      </c>
      <c r="CK2793">
        <v>22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"080066691611"</f>
        <v>080066691611</v>
      </c>
      <c r="F2794" s="3">
        <v>45859</v>
      </c>
      <c r="G2794">
        <v>202604</v>
      </c>
      <c r="H2794" t="s">
        <v>75</v>
      </c>
      <c r="I2794" t="s">
        <v>76</v>
      </c>
      <c r="J2794" t="s">
        <v>77</v>
      </c>
      <c r="K2794" t="s">
        <v>78</v>
      </c>
      <c r="L2794" t="s">
        <v>168</v>
      </c>
      <c r="M2794" t="s">
        <v>169</v>
      </c>
      <c r="N2794" t="s">
        <v>202</v>
      </c>
      <c r="O2794" t="s">
        <v>82</v>
      </c>
      <c r="P2794" t="str">
        <f>"4170049968                    "</f>
        <v xml:space="preserve">4170049968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71.2</v>
      </c>
      <c r="BM2794">
        <v>10.68</v>
      </c>
      <c r="BN2794">
        <v>81.88</v>
      </c>
      <c r="BO2794">
        <v>81.88</v>
      </c>
      <c r="BQ2794" t="s">
        <v>203</v>
      </c>
      <c r="BR2794" t="s">
        <v>84</v>
      </c>
      <c r="BS2794" s="3">
        <v>45860</v>
      </c>
      <c r="BT2794" s="4">
        <v>0.34652777777777777</v>
      </c>
      <c r="BU2794" t="s">
        <v>1127</v>
      </c>
      <c r="BV2794" t="s">
        <v>98</v>
      </c>
      <c r="BY2794">
        <v>1200</v>
      </c>
      <c r="CA2794" t="s">
        <v>205</v>
      </c>
      <c r="CC2794" t="s">
        <v>169</v>
      </c>
      <c r="CD2794">
        <v>6000</v>
      </c>
      <c r="CE2794" t="s">
        <v>110</v>
      </c>
      <c r="CF2794" s="3">
        <v>45860</v>
      </c>
      <c r="CI2794">
        <v>1</v>
      </c>
      <c r="CJ2794">
        <v>1</v>
      </c>
      <c r="CK2794">
        <v>21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"080066692211"</f>
        <v>080066692211</v>
      </c>
      <c r="F2795" s="3">
        <v>45859</v>
      </c>
      <c r="G2795">
        <v>202604</v>
      </c>
      <c r="H2795" t="s">
        <v>75</v>
      </c>
      <c r="I2795" t="s">
        <v>76</v>
      </c>
      <c r="J2795" t="s">
        <v>77</v>
      </c>
      <c r="K2795" t="s">
        <v>78</v>
      </c>
      <c r="L2795" t="s">
        <v>1768</v>
      </c>
      <c r="M2795" t="s">
        <v>1769</v>
      </c>
      <c r="N2795" t="s">
        <v>1928</v>
      </c>
      <c r="O2795" t="s">
        <v>82</v>
      </c>
      <c r="P2795" t="str">
        <f>"4170050026                    "</f>
        <v xml:space="preserve">4170050026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43.78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2</v>
      </c>
      <c r="BJ2795">
        <v>1.1000000000000001</v>
      </c>
      <c r="BK2795">
        <v>2</v>
      </c>
      <c r="BL2795">
        <v>137.94</v>
      </c>
      <c r="BM2795">
        <v>20.69</v>
      </c>
      <c r="BN2795">
        <v>158.63</v>
      </c>
      <c r="BO2795">
        <v>158.63</v>
      </c>
      <c r="BQ2795" t="s">
        <v>1929</v>
      </c>
      <c r="BR2795" t="s">
        <v>84</v>
      </c>
      <c r="BS2795" s="3">
        <v>45860</v>
      </c>
      <c r="BT2795" s="4">
        <v>0.37638888888888888</v>
      </c>
      <c r="BU2795" t="s">
        <v>3009</v>
      </c>
      <c r="BV2795" t="s">
        <v>98</v>
      </c>
      <c r="BY2795">
        <v>5320</v>
      </c>
      <c r="CA2795" t="s">
        <v>1773</v>
      </c>
      <c r="CC2795" t="s">
        <v>1769</v>
      </c>
      <c r="CD2795">
        <v>2302</v>
      </c>
      <c r="CE2795" t="s">
        <v>145</v>
      </c>
      <c r="CF2795" s="3">
        <v>45860</v>
      </c>
      <c r="CI2795">
        <v>1</v>
      </c>
      <c r="CJ2795">
        <v>1</v>
      </c>
      <c r="CK2795">
        <v>23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"080066692237"</f>
        <v>080066692237</v>
      </c>
      <c r="F2796" s="3">
        <v>45859</v>
      </c>
      <c r="G2796">
        <v>202604</v>
      </c>
      <c r="H2796" t="s">
        <v>75</v>
      </c>
      <c r="I2796" t="s">
        <v>76</v>
      </c>
      <c r="J2796" t="s">
        <v>77</v>
      </c>
      <c r="K2796" t="s">
        <v>78</v>
      </c>
      <c r="L2796" t="s">
        <v>122</v>
      </c>
      <c r="M2796" t="s">
        <v>123</v>
      </c>
      <c r="N2796" t="s">
        <v>267</v>
      </c>
      <c r="O2796" t="s">
        <v>82</v>
      </c>
      <c r="P2796" t="str">
        <f>"4170049966                    "</f>
        <v xml:space="preserve">4170049966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22.6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1.1000000000000001</v>
      </c>
      <c r="BK2796">
        <v>1.5</v>
      </c>
      <c r="BL2796">
        <v>71.2</v>
      </c>
      <c r="BM2796">
        <v>10.68</v>
      </c>
      <c r="BN2796">
        <v>81.88</v>
      </c>
      <c r="BO2796">
        <v>81.88</v>
      </c>
      <c r="BQ2796" t="s">
        <v>268</v>
      </c>
      <c r="BR2796" t="s">
        <v>84</v>
      </c>
      <c r="BS2796" s="3">
        <v>45860</v>
      </c>
      <c r="BT2796" s="4">
        <v>0.54166666666666663</v>
      </c>
      <c r="BU2796" t="s">
        <v>2973</v>
      </c>
      <c r="BV2796" t="s">
        <v>98</v>
      </c>
      <c r="BY2796">
        <v>5320</v>
      </c>
      <c r="CA2796" t="s">
        <v>2974</v>
      </c>
      <c r="CC2796" t="s">
        <v>123</v>
      </c>
      <c r="CD2796">
        <v>3610</v>
      </c>
      <c r="CE2796" t="s">
        <v>145</v>
      </c>
      <c r="CF2796" s="3">
        <v>45861</v>
      </c>
      <c r="CI2796">
        <v>1</v>
      </c>
      <c r="CJ2796">
        <v>1</v>
      </c>
      <c r="CK2796">
        <v>21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"080066692257"</f>
        <v>080066692257</v>
      </c>
      <c r="F2797" s="3">
        <v>45859</v>
      </c>
      <c r="G2797">
        <v>202604</v>
      </c>
      <c r="H2797" t="s">
        <v>75</v>
      </c>
      <c r="I2797" t="s">
        <v>76</v>
      </c>
      <c r="J2797" t="s">
        <v>77</v>
      </c>
      <c r="K2797" t="s">
        <v>78</v>
      </c>
      <c r="L2797" t="s">
        <v>295</v>
      </c>
      <c r="M2797" t="s">
        <v>296</v>
      </c>
      <c r="N2797" t="s">
        <v>1145</v>
      </c>
      <c r="O2797" t="s">
        <v>82</v>
      </c>
      <c r="P2797" t="str">
        <f>"4170049638                    "</f>
        <v xml:space="preserve">4170049638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17.649999999999999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55.61</v>
      </c>
      <c r="BM2797">
        <v>8.34</v>
      </c>
      <c r="BN2797">
        <v>63.95</v>
      </c>
      <c r="BO2797">
        <v>63.95</v>
      </c>
      <c r="BQ2797" t="s">
        <v>1146</v>
      </c>
      <c r="BR2797" t="s">
        <v>84</v>
      </c>
      <c r="BS2797" s="3">
        <v>45860</v>
      </c>
      <c r="BT2797" s="4">
        <v>0.35416666666666669</v>
      </c>
      <c r="BU2797" t="s">
        <v>3010</v>
      </c>
      <c r="BV2797" t="s">
        <v>98</v>
      </c>
      <c r="BY2797">
        <v>1200</v>
      </c>
      <c r="CA2797" t="s">
        <v>1148</v>
      </c>
      <c r="CC2797" t="s">
        <v>296</v>
      </c>
      <c r="CD2797">
        <v>1460</v>
      </c>
      <c r="CE2797" t="s">
        <v>121</v>
      </c>
      <c r="CF2797" s="3">
        <v>45860</v>
      </c>
      <c r="CI2797">
        <v>1</v>
      </c>
      <c r="CJ2797">
        <v>1</v>
      </c>
      <c r="CK2797">
        <v>22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"080066692272"</f>
        <v>080066692272</v>
      </c>
      <c r="F2798" s="3">
        <v>45859</v>
      </c>
      <c r="G2798">
        <v>202604</v>
      </c>
      <c r="H2798" t="s">
        <v>75</v>
      </c>
      <c r="I2798" t="s">
        <v>76</v>
      </c>
      <c r="J2798" t="s">
        <v>77</v>
      </c>
      <c r="K2798" t="s">
        <v>78</v>
      </c>
      <c r="L2798" t="s">
        <v>168</v>
      </c>
      <c r="M2798" t="s">
        <v>169</v>
      </c>
      <c r="N2798" t="s">
        <v>202</v>
      </c>
      <c r="O2798" t="s">
        <v>82</v>
      </c>
      <c r="P2798" t="str">
        <f>"4170049667                    "</f>
        <v xml:space="preserve">4170049667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22.6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2</v>
      </c>
      <c r="BJ2798">
        <v>1.7</v>
      </c>
      <c r="BK2798">
        <v>2</v>
      </c>
      <c r="BL2798">
        <v>71.2</v>
      </c>
      <c r="BM2798">
        <v>10.68</v>
      </c>
      <c r="BN2798">
        <v>81.88</v>
      </c>
      <c r="BO2798">
        <v>81.88</v>
      </c>
      <c r="BQ2798" t="s">
        <v>203</v>
      </c>
      <c r="BR2798" t="s">
        <v>84</v>
      </c>
      <c r="BS2798" s="3">
        <v>45860</v>
      </c>
      <c r="BT2798" s="4">
        <v>0.34791666666666665</v>
      </c>
      <c r="BU2798" t="s">
        <v>1127</v>
      </c>
      <c r="BV2798" t="s">
        <v>98</v>
      </c>
      <c r="BY2798">
        <v>8512</v>
      </c>
      <c r="CA2798" t="s">
        <v>205</v>
      </c>
      <c r="CC2798" t="s">
        <v>169</v>
      </c>
      <c r="CD2798">
        <v>6001</v>
      </c>
      <c r="CE2798" t="s">
        <v>145</v>
      </c>
      <c r="CF2798" s="3">
        <v>45860</v>
      </c>
      <c r="CI2798">
        <v>1</v>
      </c>
      <c r="CJ2798">
        <v>1</v>
      </c>
      <c r="CK2798">
        <v>21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"080066692283"</f>
        <v>080066692283</v>
      </c>
      <c r="F2799" s="3">
        <v>45859</v>
      </c>
      <c r="G2799">
        <v>202604</v>
      </c>
      <c r="H2799" t="s">
        <v>75</v>
      </c>
      <c r="I2799" t="s">
        <v>76</v>
      </c>
      <c r="J2799" t="s">
        <v>77</v>
      </c>
      <c r="K2799" t="s">
        <v>78</v>
      </c>
      <c r="L2799" t="s">
        <v>79</v>
      </c>
      <c r="M2799" t="s">
        <v>80</v>
      </c>
      <c r="N2799" t="s">
        <v>159</v>
      </c>
      <c r="O2799" t="s">
        <v>82</v>
      </c>
      <c r="P2799" t="str">
        <f>"4170049998                    "</f>
        <v xml:space="preserve">4170049998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22.6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71.2</v>
      </c>
      <c r="BM2799">
        <v>10.68</v>
      </c>
      <c r="BN2799">
        <v>81.88</v>
      </c>
      <c r="BO2799">
        <v>81.88</v>
      </c>
      <c r="BQ2799" t="s">
        <v>160</v>
      </c>
      <c r="BR2799" t="s">
        <v>84</v>
      </c>
      <c r="BS2799" s="3">
        <v>45860</v>
      </c>
      <c r="BT2799" s="4">
        <v>0.42569444444444443</v>
      </c>
      <c r="BU2799" t="s">
        <v>161</v>
      </c>
      <c r="BV2799" t="s">
        <v>98</v>
      </c>
      <c r="BY2799">
        <v>1200</v>
      </c>
      <c r="CA2799" t="s">
        <v>162</v>
      </c>
      <c r="CC2799" t="s">
        <v>80</v>
      </c>
      <c r="CD2799">
        <v>7441</v>
      </c>
      <c r="CE2799" t="s">
        <v>121</v>
      </c>
      <c r="CF2799" s="3">
        <v>45861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"080066692306"</f>
        <v>080066692306</v>
      </c>
      <c r="F2800" s="3">
        <v>45859</v>
      </c>
      <c r="G2800">
        <v>202604</v>
      </c>
      <c r="H2800" t="s">
        <v>75</v>
      </c>
      <c r="I2800" t="s">
        <v>76</v>
      </c>
      <c r="J2800" t="s">
        <v>77</v>
      </c>
      <c r="K2800" t="s">
        <v>78</v>
      </c>
      <c r="L2800" t="s">
        <v>151</v>
      </c>
      <c r="M2800" t="s">
        <v>152</v>
      </c>
      <c r="N2800" t="s">
        <v>2250</v>
      </c>
      <c r="O2800" t="s">
        <v>82</v>
      </c>
      <c r="P2800" t="str">
        <f>"4170049838                    "</f>
        <v xml:space="preserve">4170049838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22.6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71.2</v>
      </c>
      <c r="BM2800">
        <v>10.68</v>
      </c>
      <c r="BN2800">
        <v>81.88</v>
      </c>
      <c r="BO2800">
        <v>81.88</v>
      </c>
      <c r="BQ2800" t="s">
        <v>2251</v>
      </c>
      <c r="BR2800" t="s">
        <v>84</v>
      </c>
      <c r="BS2800" s="3">
        <v>45860</v>
      </c>
      <c r="BT2800" s="4">
        <v>0.43472222222222223</v>
      </c>
      <c r="BU2800" t="s">
        <v>2801</v>
      </c>
      <c r="BV2800" t="s">
        <v>98</v>
      </c>
      <c r="BY2800">
        <v>1200</v>
      </c>
      <c r="CC2800" t="s">
        <v>152</v>
      </c>
      <c r="CD2800" s="5" t="s">
        <v>1141</v>
      </c>
      <c r="CE2800" t="s">
        <v>121</v>
      </c>
      <c r="CF2800" s="3">
        <v>45860</v>
      </c>
      <c r="CI2800">
        <v>1</v>
      </c>
      <c r="CJ2800">
        <v>1</v>
      </c>
      <c r="CK2800">
        <v>21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"080066692327"</f>
        <v>080066692327</v>
      </c>
      <c r="F2801" s="3">
        <v>45859</v>
      </c>
      <c r="G2801">
        <v>202604</v>
      </c>
      <c r="H2801" t="s">
        <v>75</v>
      </c>
      <c r="I2801" t="s">
        <v>76</v>
      </c>
      <c r="J2801" t="s">
        <v>77</v>
      </c>
      <c r="K2801" t="s">
        <v>78</v>
      </c>
      <c r="L2801" t="s">
        <v>580</v>
      </c>
      <c r="M2801" t="s">
        <v>581</v>
      </c>
      <c r="N2801" t="s">
        <v>3011</v>
      </c>
      <c r="O2801" t="s">
        <v>82</v>
      </c>
      <c r="P2801" t="str">
        <f>"4170050006                    "</f>
        <v xml:space="preserve">4170050006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33.89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1.1000000000000001</v>
      </c>
      <c r="BK2801">
        <v>3</v>
      </c>
      <c r="BL2801">
        <v>106.77</v>
      </c>
      <c r="BM2801">
        <v>16.02</v>
      </c>
      <c r="BN2801">
        <v>122.79</v>
      </c>
      <c r="BO2801">
        <v>122.79</v>
      </c>
      <c r="BQ2801" t="s">
        <v>3012</v>
      </c>
      <c r="BR2801" t="s">
        <v>84</v>
      </c>
      <c r="BS2801" s="3">
        <v>45860</v>
      </c>
      <c r="BT2801" s="4">
        <v>0.40486111111111112</v>
      </c>
      <c r="BU2801" t="s">
        <v>3013</v>
      </c>
      <c r="BV2801" t="s">
        <v>98</v>
      </c>
      <c r="BY2801">
        <v>5320</v>
      </c>
      <c r="CA2801" t="s">
        <v>585</v>
      </c>
      <c r="CC2801" t="s">
        <v>581</v>
      </c>
      <c r="CD2801">
        <v>4302</v>
      </c>
      <c r="CE2801" t="s">
        <v>145</v>
      </c>
      <c r="CF2801" s="3">
        <v>45861</v>
      </c>
      <c r="CI2801">
        <v>1</v>
      </c>
      <c r="CJ2801">
        <v>1</v>
      </c>
      <c r="CK2801">
        <v>21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"080066692331"</f>
        <v>080066692331</v>
      </c>
      <c r="F2802" s="3">
        <v>45859</v>
      </c>
      <c r="G2802">
        <v>202604</v>
      </c>
      <c r="H2802" t="s">
        <v>75</v>
      </c>
      <c r="I2802" t="s">
        <v>76</v>
      </c>
      <c r="J2802" t="s">
        <v>77</v>
      </c>
      <c r="K2802" t="s">
        <v>78</v>
      </c>
      <c r="L2802" t="s">
        <v>79</v>
      </c>
      <c r="M2802" t="s">
        <v>80</v>
      </c>
      <c r="N2802" t="s">
        <v>188</v>
      </c>
      <c r="O2802" t="s">
        <v>82</v>
      </c>
      <c r="P2802" t="str">
        <f>"4170049879                    "</f>
        <v xml:space="preserve">4170049879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22.6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71.2</v>
      </c>
      <c r="BM2802">
        <v>10.68</v>
      </c>
      <c r="BN2802">
        <v>81.88</v>
      </c>
      <c r="BO2802">
        <v>81.88</v>
      </c>
      <c r="BQ2802" t="s">
        <v>189</v>
      </c>
      <c r="BR2802" t="s">
        <v>84</v>
      </c>
      <c r="BS2802" s="3">
        <v>45860</v>
      </c>
      <c r="BT2802" s="4">
        <v>0.36458333333333331</v>
      </c>
      <c r="BU2802" t="s">
        <v>1216</v>
      </c>
      <c r="BV2802" t="s">
        <v>98</v>
      </c>
      <c r="BY2802">
        <v>1200</v>
      </c>
      <c r="CA2802" t="s">
        <v>144</v>
      </c>
      <c r="CC2802" t="s">
        <v>80</v>
      </c>
      <c r="CD2802">
        <v>7441</v>
      </c>
      <c r="CE2802" t="s">
        <v>121</v>
      </c>
      <c r="CF2802" s="3">
        <v>45861</v>
      </c>
      <c r="CI2802">
        <v>1</v>
      </c>
      <c r="CJ2802">
        <v>1</v>
      </c>
      <c r="CK2802">
        <v>21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"080066692367"</f>
        <v>080066692367</v>
      </c>
      <c r="F2803" s="3">
        <v>45859</v>
      </c>
      <c r="G2803">
        <v>202604</v>
      </c>
      <c r="H2803" t="s">
        <v>75</v>
      </c>
      <c r="I2803" t="s">
        <v>76</v>
      </c>
      <c r="J2803" t="s">
        <v>77</v>
      </c>
      <c r="K2803" t="s">
        <v>78</v>
      </c>
      <c r="L2803" t="s">
        <v>295</v>
      </c>
      <c r="M2803" t="s">
        <v>296</v>
      </c>
      <c r="N2803" t="s">
        <v>2474</v>
      </c>
      <c r="O2803" t="s">
        <v>82</v>
      </c>
      <c r="P2803" t="str">
        <f>"4170049851                    "</f>
        <v xml:space="preserve">4170049851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17.649999999999999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55.61</v>
      </c>
      <c r="BM2803">
        <v>8.34</v>
      </c>
      <c r="BN2803">
        <v>63.95</v>
      </c>
      <c r="BO2803">
        <v>63.95</v>
      </c>
      <c r="BQ2803" t="s">
        <v>2475</v>
      </c>
      <c r="BR2803" t="s">
        <v>84</v>
      </c>
      <c r="BS2803" s="3">
        <v>45860</v>
      </c>
      <c r="BT2803" s="4">
        <v>0.35208333333333336</v>
      </c>
      <c r="BU2803" t="s">
        <v>2476</v>
      </c>
      <c r="BV2803" t="s">
        <v>98</v>
      </c>
      <c r="BY2803">
        <v>1200</v>
      </c>
      <c r="CA2803" t="s">
        <v>565</v>
      </c>
      <c r="CC2803" t="s">
        <v>296</v>
      </c>
      <c r="CD2803">
        <v>1459</v>
      </c>
      <c r="CE2803" t="s">
        <v>121</v>
      </c>
      <c r="CF2803" s="3">
        <v>45860</v>
      </c>
      <c r="CI2803">
        <v>1</v>
      </c>
      <c r="CJ2803">
        <v>1</v>
      </c>
      <c r="CK2803">
        <v>22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"080066692373"</f>
        <v>080066692373</v>
      </c>
      <c r="F2804" s="3">
        <v>45859</v>
      </c>
      <c r="G2804">
        <v>202604</v>
      </c>
      <c r="H2804" t="s">
        <v>75</v>
      </c>
      <c r="I2804" t="s">
        <v>76</v>
      </c>
      <c r="J2804" t="s">
        <v>77</v>
      </c>
      <c r="K2804" t="s">
        <v>78</v>
      </c>
      <c r="L2804" t="s">
        <v>102</v>
      </c>
      <c r="M2804" t="s">
        <v>103</v>
      </c>
      <c r="N2804" t="s">
        <v>104</v>
      </c>
      <c r="O2804" t="s">
        <v>82</v>
      </c>
      <c r="P2804" t="str">
        <f>"4170049670                    "</f>
        <v xml:space="preserve">4170049670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140.11000000000001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4</v>
      </c>
      <c r="BJ2804">
        <v>8.9</v>
      </c>
      <c r="BK2804">
        <v>9</v>
      </c>
      <c r="BL2804">
        <v>441.42</v>
      </c>
      <c r="BM2804">
        <v>66.209999999999994</v>
      </c>
      <c r="BN2804">
        <v>507.63</v>
      </c>
      <c r="BO2804">
        <v>507.63</v>
      </c>
      <c r="BQ2804" t="s">
        <v>833</v>
      </c>
      <c r="BR2804" t="s">
        <v>84</v>
      </c>
      <c r="BS2804" s="3">
        <v>45860</v>
      </c>
      <c r="BT2804" s="4">
        <v>0.36666666666666664</v>
      </c>
      <c r="BU2804" t="s">
        <v>796</v>
      </c>
      <c r="BV2804" t="s">
        <v>98</v>
      </c>
      <c r="BY2804">
        <v>44640</v>
      </c>
      <c r="CA2804" t="s">
        <v>2602</v>
      </c>
      <c r="CC2804" t="s">
        <v>103</v>
      </c>
      <c r="CD2804">
        <v>1748</v>
      </c>
      <c r="CE2804" t="s">
        <v>145</v>
      </c>
      <c r="CF2804" s="3">
        <v>45861</v>
      </c>
      <c r="CI2804">
        <v>1</v>
      </c>
      <c r="CJ2804">
        <v>1</v>
      </c>
      <c r="CK2804">
        <v>24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"080066692391"</f>
        <v>080066692391</v>
      </c>
      <c r="F2805" s="3">
        <v>45859</v>
      </c>
      <c r="G2805">
        <v>202604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118</v>
      </c>
      <c r="O2805" t="s">
        <v>82</v>
      </c>
      <c r="P2805" t="str">
        <f>"4170050034                    "</f>
        <v xml:space="preserve">4170050034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17.649999999999999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55.61</v>
      </c>
      <c r="BM2805">
        <v>8.34</v>
      </c>
      <c r="BN2805">
        <v>63.95</v>
      </c>
      <c r="BO2805">
        <v>63.95</v>
      </c>
      <c r="BQ2805" t="s">
        <v>119</v>
      </c>
      <c r="BR2805" t="s">
        <v>84</v>
      </c>
      <c r="BS2805" s="3">
        <v>45860</v>
      </c>
      <c r="BT2805" s="4">
        <v>0.40694444444444444</v>
      </c>
      <c r="BU2805" t="s">
        <v>212</v>
      </c>
      <c r="BV2805" t="s">
        <v>98</v>
      </c>
      <c r="BY2805">
        <v>1200</v>
      </c>
      <c r="CA2805" t="s">
        <v>213</v>
      </c>
      <c r="CC2805" t="s">
        <v>76</v>
      </c>
      <c r="CD2805">
        <v>1600</v>
      </c>
      <c r="CE2805" t="s">
        <v>121</v>
      </c>
      <c r="CF2805" s="3">
        <v>45860</v>
      </c>
      <c r="CI2805">
        <v>1</v>
      </c>
      <c r="CJ2805">
        <v>1</v>
      </c>
      <c r="CK2805">
        <v>22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"080066692399"</f>
        <v>080066692399</v>
      </c>
      <c r="F2806" s="3">
        <v>45859</v>
      </c>
      <c r="G2806">
        <v>202604</v>
      </c>
      <c r="H2806" t="s">
        <v>75</v>
      </c>
      <c r="I2806" t="s">
        <v>76</v>
      </c>
      <c r="J2806" t="s">
        <v>77</v>
      </c>
      <c r="K2806" t="s">
        <v>78</v>
      </c>
      <c r="L2806" t="s">
        <v>92</v>
      </c>
      <c r="M2806" t="s">
        <v>93</v>
      </c>
      <c r="N2806" t="s">
        <v>334</v>
      </c>
      <c r="O2806" t="s">
        <v>95</v>
      </c>
      <c r="P2806" t="str">
        <f>"4170049492                    "</f>
        <v xml:space="preserve">4170049492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77.98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34</v>
      </c>
      <c r="BJ2806">
        <v>8.9</v>
      </c>
      <c r="BK2806">
        <v>34</v>
      </c>
      <c r="BL2806">
        <v>251.55</v>
      </c>
      <c r="BM2806">
        <v>37.729999999999997</v>
      </c>
      <c r="BN2806">
        <v>289.27999999999997</v>
      </c>
      <c r="BO2806">
        <v>289.27999999999997</v>
      </c>
      <c r="BQ2806" t="s">
        <v>335</v>
      </c>
      <c r="BR2806" t="s">
        <v>84</v>
      </c>
      <c r="BS2806" s="3">
        <v>45860</v>
      </c>
      <c r="BT2806" s="4">
        <v>0.40347222222222223</v>
      </c>
      <c r="BU2806" t="s">
        <v>1365</v>
      </c>
      <c r="BV2806" t="s">
        <v>98</v>
      </c>
      <c r="BY2806">
        <v>44640</v>
      </c>
      <c r="CA2806" t="s">
        <v>337</v>
      </c>
      <c r="CC2806" t="s">
        <v>93</v>
      </c>
      <c r="CD2806">
        <v>4052</v>
      </c>
      <c r="CE2806" t="s">
        <v>145</v>
      </c>
      <c r="CF2806" s="3">
        <v>45861</v>
      </c>
      <c r="CI2806">
        <v>1</v>
      </c>
      <c r="CJ2806">
        <v>1</v>
      </c>
      <c r="CK2806">
        <v>41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"080066692405"</f>
        <v>080066692405</v>
      </c>
      <c r="F2807" s="3">
        <v>45859</v>
      </c>
      <c r="G2807">
        <v>202604</v>
      </c>
      <c r="H2807" t="s">
        <v>75</v>
      </c>
      <c r="I2807" t="s">
        <v>76</v>
      </c>
      <c r="J2807" t="s">
        <v>77</v>
      </c>
      <c r="K2807" t="s">
        <v>78</v>
      </c>
      <c r="L2807" t="s">
        <v>79</v>
      </c>
      <c r="M2807" t="s">
        <v>80</v>
      </c>
      <c r="N2807" t="s">
        <v>576</v>
      </c>
      <c r="O2807" t="s">
        <v>82</v>
      </c>
      <c r="P2807" t="str">
        <f>"4170049745                    "</f>
        <v xml:space="preserve">4170049745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22.6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71.2</v>
      </c>
      <c r="BM2807">
        <v>10.68</v>
      </c>
      <c r="BN2807">
        <v>81.88</v>
      </c>
      <c r="BO2807">
        <v>81.88</v>
      </c>
      <c r="BQ2807" t="s">
        <v>577</v>
      </c>
      <c r="BR2807" t="s">
        <v>84</v>
      </c>
      <c r="BS2807" s="3">
        <v>45860</v>
      </c>
      <c r="BT2807" s="4">
        <v>0.39166666666666666</v>
      </c>
      <c r="BU2807" t="s">
        <v>1092</v>
      </c>
      <c r="BV2807" t="s">
        <v>98</v>
      </c>
      <c r="BY2807">
        <v>1200</v>
      </c>
      <c r="CA2807" t="s">
        <v>579</v>
      </c>
      <c r="CC2807" t="s">
        <v>80</v>
      </c>
      <c r="CD2807">
        <v>7480</v>
      </c>
      <c r="CE2807" t="s">
        <v>121</v>
      </c>
      <c r="CF2807" s="3">
        <v>45861</v>
      </c>
      <c r="CI2807">
        <v>1</v>
      </c>
      <c r="CJ2807">
        <v>1</v>
      </c>
      <c r="CK2807">
        <v>21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"080066692424"</f>
        <v>080066692424</v>
      </c>
      <c r="F2808" s="3">
        <v>45859</v>
      </c>
      <c r="G2808">
        <v>202604</v>
      </c>
      <c r="H2808" t="s">
        <v>75</v>
      </c>
      <c r="I2808" t="s">
        <v>76</v>
      </c>
      <c r="J2808" t="s">
        <v>77</v>
      </c>
      <c r="K2808" t="s">
        <v>78</v>
      </c>
      <c r="L2808" t="s">
        <v>221</v>
      </c>
      <c r="M2808" t="s">
        <v>222</v>
      </c>
      <c r="N2808" t="s">
        <v>223</v>
      </c>
      <c r="O2808" t="s">
        <v>82</v>
      </c>
      <c r="P2808" t="str">
        <f>"4170050020                    "</f>
        <v xml:space="preserve">4170050020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43.78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137.94</v>
      </c>
      <c r="BM2808">
        <v>20.69</v>
      </c>
      <c r="BN2808">
        <v>158.63</v>
      </c>
      <c r="BO2808">
        <v>158.63</v>
      </c>
      <c r="BQ2808" t="s">
        <v>224</v>
      </c>
      <c r="BR2808" t="s">
        <v>84</v>
      </c>
      <c r="BS2808" s="3">
        <v>45860</v>
      </c>
      <c r="BT2808" s="4">
        <v>0.34722222222222221</v>
      </c>
      <c r="BU2808" t="s">
        <v>1707</v>
      </c>
      <c r="BV2808" t="s">
        <v>98</v>
      </c>
      <c r="BY2808">
        <v>1200</v>
      </c>
      <c r="CC2808" t="s">
        <v>222</v>
      </c>
      <c r="CD2808">
        <v>2740</v>
      </c>
      <c r="CE2808" t="s">
        <v>121</v>
      </c>
      <c r="CF2808" s="3">
        <v>45861</v>
      </c>
      <c r="CI2808">
        <v>1</v>
      </c>
      <c r="CJ2808">
        <v>1</v>
      </c>
      <c r="CK2808">
        <v>23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"080066692425"</f>
        <v>080066692425</v>
      </c>
      <c r="F2809" s="3">
        <v>45859</v>
      </c>
      <c r="G2809">
        <v>202604</v>
      </c>
      <c r="H2809" t="s">
        <v>75</v>
      </c>
      <c r="I2809" t="s">
        <v>76</v>
      </c>
      <c r="J2809" t="s">
        <v>77</v>
      </c>
      <c r="K2809" t="s">
        <v>78</v>
      </c>
      <c r="L2809" t="s">
        <v>168</v>
      </c>
      <c r="M2809" t="s">
        <v>169</v>
      </c>
      <c r="N2809" t="s">
        <v>191</v>
      </c>
      <c r="O2809" t="s">
        <v>82</v>
      </c>
      <c r="P2809" t="str">
        <f>"4170049733                    "</f>
        <v xml:space="preserve">4170049733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22.6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1.1000000000000001</v>
      </c>
      <c r="BK2809">
        <v>1.5</v>
      </c>
      <c r="BL2809">
        <v>71.2</v>
      </c>
      <c r="BM2809">
        <v>10.68</v>
      </c>
      <c r="BN2809">
        <v>81.88</v>
      </c>
      <c r="BO2809">
        <v>81.88</v>
      </c>
      <c r="BQ2809" t="s">
        <v>192</v>
      </c>
      <c r="BR2809" t="s">
        <v>84</v>
      </c>
      <c r="BS2809" s="3">
        <v>45860</v>
      </c>
      <c r="BT2809" s="4">
        <v>0.42986111111111114</v>
      </c>
      <c r="BU2809" t="s">
        <v>193</v>
      </c>
      <c r="BV2809" t="s">
        <v>98</v>
      </c>
      <c r="BY2809">
        <v>5320</v>
      </c>
      <c r="CA2809" t="s">
        <v>196</v>
      </c>
      <c r="CC2809" t="s">
        <v>169</v>
      </c>
      <c r="CD2809">
        <v>6056</v>
      </c>
      <c r="CE2809" t="s">
        <v>145</v>
      </c>
      <c r="CF2809" s="3">
        <v>45860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"080066692444"</f>
        <v>080066692444</v>
      </c>
      <c r="F2810" s="3">
        <v>45859</v>
      </c>
      <c r="G2810">
        <v>202604</v>
      </c>
      <c r="H2810" t="s">
        <v>75</v>
      </c>
      <c r="I2810" t="s">
        <v>76</v>
      </c>
      <c r="J2810" t="s">
        <v>77</v>
      </c>
      <c r="K2810" t="s">
        <v>78</v>
      </c>
      <c r="L2810" t="s">
        <v>758</v>
      </c>
      <c r="M2810" t="s">
        <v>759</v>
      </c>
      <c r="N2810" t="s">
        <v>760</v>
      </c>
      <c r="O2810" t="s">
        <v>82</v>
      </c>
      <c r="P2810" t="str">
        <f>"4170050040                    "</f>
        <v xml:space="preserve">4170050040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43.78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137.94</v>
      </c>
      <c r="BM2810">
        <v>20.69</v>
      </c>
      <c r="BN2810">
        <v>158.63</v>
      </c>
      <c r="BO2810">
        <v>158.63</v>
      </c>
      <c r="BQ2810" t="s">
        <v>761</v>
      </c>
      <c r="BR2810" t="s">
        <v>84</v>
      </c>
      <c r="BS2810" s="3">
        <v>45860</v>
      </c>
      <c r="BT2810" s="4">
        <v>0.40069444444444446</v>
      </c>
      <c r="BU2810" t="s">
        <v>3014</v>
      </c>
      <c r="BV2810" t="s">
        <v>98</v>
      </c>
      <c r="BY2810">
        <v>1200</v>
      </c>
      <c r="CA2810" t="s">
        <v>3015</v>
      </c>
      <c r="CC2810" t="s">
        <v>759</v>
      </c>
      <c r="CD2810">
        <v>2531</v>
      </c>
      <c r="CE2810" t="s">
        <v>121</v>
      </c>
      <c r="CF2810" s="3">
        <v>45861</v>
      </c>
      <c r="CI2810">
        <v>1</v>
      </c>
      <c r="CJ2810">
        <v>1</v>
      </c>
      <c r="CK2810">
        <v>23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"080066692467"</f>
        <v>080066692467</v>
      </c>
      <c r="F2811" s="3">
        <v>45859</v>
      </c>
      <c r="G2811">
        <v>202604</v>
      </c>
      <c r="H2811" t="s">
        <v>75</v>
      </c>
      <c r="I2811" t="s">
        <v>76</v>
      </c>
      <c r="J2811" t="s">
        <v>77</v>
      </c>
      <c r="K2811" t="s">
        <v>78</v>
      </c>
      <c r="L2811" t="s">
        <v>240</v>
      </c>
      <c r="M2811" t="s">
        <v>241</v>
      </c>
      <c r="N2811" t="s">
        <v>447</v>
      </c>
      <c r="O2811" t="s">
        <v>311</v>
      </c>
      <c r="P2811" t="str">
        <f>"4170049908                    "</f>
        <v xml:space="preserve">4170049908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17.66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3</v>
      </c>
      <c r="BJ2811">
        <v>7.2</v>
      </c>
      <c r="BK2811">
        <v>8</v>
      </c>
      <c r="BL2811">
        <v>55.63</v>
      </c>
      <c r="BM2811">
        <v>8.34</v>
      </c>
      <c r="BN2811">
        <v>63.97</v>
      </c>
      <c r="BO2811">
        <v>63.97</v>
      </c>
      <c r="BQ2811" t="s">
        <v>448</v>
      </c>
      <c r="BR2811" t="s">
        <v>84</v>
      </c>
      <c r="BS2811" s="3">
        <v>45860</v>
      </c>
      <c r="BT2811" s="4">
        <v>0.41249999999999998</v>
      </c>
      <c r="BU2811" t="s">
        <v>2014</v>
      </c>
      <c r="BV2811" t="s">
        <v>98</v>
      </c>
      <c r="BY2811">
        <v>36100</v>
      </c>
      <c r="CA2811" t="s">
        <v>451</v>
      </c>
      <c r="CC2811" t="s">
        <v>241</v>
      </c>
      <c r="CD2811">
        <v>2094</v>
      </c>
      <c r="CE2811" t="s">
        <v>91</v>
      </c>
      <c r="CF2811" s="3">
        <v>45860</v>
      </c>
      <c r="CI2811">
        <v>1</v>
      </c>
      <c r="CJ2811">
        <v>1</v>
      </c>
      <c r="CK2811">
        <v>32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"080066692474"</f>
        <v>080066692474</v>
      </c>
      <c r="F2812" s="3">
        <v>45859</v>
      </c>
      <c r="G2812">
        <v>202604</v>
      </c>
      <c r="H2812" t="s">
        <v>75</v>
      </c>
      <c r="I2812" t="s">
        <v>76</v>
      </c>
      <c r="J2812" t="s">
        <v>77</v>
      </c>
      <c r="K2812" t="s">
        <v>78</v>
      </c>
      <c r="L2812" t="s">
        <v>79</v>
      </c>
      <c r="M2812" t="s">
        <v>80</v>
      </c>
      <c r="N2812" t="s">
        <v>1775</v>
      </c>
      <c r="O2812" t="s">
        <v>82</v>
      </c>
      <c r="P2812" t="str">
        <f>"4170050063                    "</f>
        <v xml:space="preserve">4170050063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22.6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71.2</v>
      </c>
      <c r="BM2812">
        <v>10.68</v>
      </c>
      <c r="BN2812">
        <v>81.88</v>
      </c>
      <c r="BO2812">
        <v>81.88</v>
      </c>
      <c r="BQ2812" t="s">
        <v>1776</v>
      </c>
      <c r="BR2812" t="s">
        <v>84</v>
      </c>
      <c r="BS2812" s="3">
        <v>45860</v>
      </c>
      <c r="BT2812" s="4">
        <v>0.39652777777777776</v>
      </c>
      <c r="BU2812" t="s">
        <v>933</v>
      </c>
      <c r="BV2812" t="s">
        <v>98</v>
      </c>
      <c r="BY2812">
        <v>1200</v>
      </c>
      <c r="CA2812" t="s">
        <v>934</v>
      </c>
      <c r="CC2812" t="s">
        <v>80</v>
      </c>
      <c r="CD2812">
        <v>7535</v>
      </c>
      <c r="CE2812" t="s">
        <v>121</v>
      </c>
      <c r="CF2812" s="3">
        <v>45861</v>
      </c>
      <c r="CI2812">
        <v>1</v>
      </c>
      <c r="CJ2812">
        <v>1</v>
      </c>
      <c r="CK2812">
        <v>21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"080066692506"</f>
        <v>080066692506</v>
      </c>
      <c r="F2813" s="3">
        <v>45859</v>
      </c>
      <c r="G2813">
        <v>202604</v>
      </c>
      <c r="H2813" t="s">
        <v>75</v>
      </c>
      <c r="I2813" t="s">
        <v>76</v>
      </c>
      <c r="J2813" t="s">
        <v>77</v>
      </c>
      <c r="K2813" t="s">
        <v>78</v>
      </c>
      <c r="L2813" t="s">
        <v>151</v>
      </c>
      <c r="M2813" t="s">
        <v>152</v>
      </c>
      <c r="N2813" t="s">
        <v>515</v>
      </c>
      <c r="O2813" t="s">
        <v>82</v>
      </c>
      <c r="P2813" t="str">
        <f>"4170049587                    "</f>
        <v xml:space="preserve">4170049587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22.6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71.2</v>
      </c>
      <c r="BM2813">
        <v>10.68</v>
      </c>
      <c r="BN2813">
        <v>81.88</v>
      </c>
      <c r="BO2813">
        <v>81.88</v>
      </c>
      <c r="BQ2813" t="s">
        <v>516</v>
      </c>
      <c r="BR2813" t="s">
        <v>84</v>
      </c>
      <c r="BS2813" s="3">
        <v>45860</v>
      </c>
      <c r="BT2813" s="4">
        <v>0.43680555555555556</v>
      </c>
      <c r="BU2813" t="s">
        <v>517</v>
      </c>
      <c r="BV2813" t="s">
        <v>98</v>
      </c>
      <c r="BY2813">
        <v>1200</v>
      </c>
      <c r="CA2813" t="s">
        <v>518</v>
      </c>
      <c r="CC2813" t="s">
        <v>152</v>
      </c>
      <c r="CD2813" s="5" t="s">
        <v>157</v>
      </c>
      <c r="CE2813" t="s">
        <v>121</v>
      </c>
      <c r="CF2813" s="3">
        <v>45860</v>
      </c>
      <c r="CI2813">
        <v>1</v>
      </c>
      <c r="CJ2813">
        <v>1</v>
      </c>
      <c r="CK2813">
        <v>21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"080066692512"</f>
        <v>080066692512</v>
      </c>
      <c r="F2814" s="3">
        <v>45859</v>
      </c>
      <c r="G2814">
        <v>202604</v>
      </c>
      <c r="H2814" t="s">
        <v>75</v>
      </c>
      <c r="I2814" t="s">
        <v>76</v>
      </c>
      <c r="J2814" t="s">
        <v>77</v>
      </c>
      <c r="K2814" t="s">
        <v>78</v>
      </c>
      <c r="L2814" t="s">
        <v>92</v>
      </c>
      <c r="M2814" t="s">
        <v>93</v>
      </c>
      <c r="N2814" t="s">
        <v>1591</v>
      </c>
      <c r="O2814" t="s">
        <v>82</v>
      </c>
      <c r="P2814" t="str">
        <f>"4170049909                    "</f>
        <v xml:space="preserve">4170049909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118.57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6</v>
      </c>
      <c r="BJ2814">
        <v>10.4</v>
      </c>
      <c r="BK2814">
        <v>10.5</v>
      </c>
      <c r="BL2814">
        <v>373.55</v>
      </c>
      <c r="BM2814">
        <v>56.03</v>
      </c>
      <c r="BN2814">
        <v>429.58</v>
      </c>
      <c r="BO2814">
        <v>429.58</v>
      </c>
      <c r="BQ2814" t="s">
        <v>1592</v>
      </c>
      <c r="BR2814" t="s">
        <v>84</v>
      </c>
      <c r="BS2814" s="3">
        <v>45860</v>
      </c>
      <c r="BT2814" s="4">
        <v>0.43472222222222223</v>
      </c>
      <c r="BU2814" t="s">
        <v>1593</v>
      </c>
      <c r="BV2814" t="s">
        <v>98</v>
      </c>
      <c r="BY2814">
        <v>51984</v>
      </c>
      <c r="CA2814" t="s">
        <v>1594</v>
      </c>
      <c r="CC2814" t="s">
        <v>93</v>
      </c>
      <c r="CD2814">
        <v>4000</v>
      </c>
      <c r="CE2814" t="s">
        <v>91</v>
      </c>
      <c r="CF2814" s="3">
        <v>45860</v>
      </c>
      <c r="CI2814">
        <v>1</v>
      </c>
      <c r="CJ2814">
        <v>1</v>
      </c>
      <c r="CK2814">
        <v>21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"080066692539"</f>
        <v>080066692539</v>
      </c>
      <c r="F2815" s="3">
        <v>45859</v>
      </c>
      <c r="G2815">
        <v>202604</v>
      </c>
      <c r="H2815" t="s">
        <v>75</v>
      </c>
      <c r="I2815" t="s">
        <v>76</v>
      </c>
      <c r="J2815" t="s">
        <v>77</v>
      </c>
      <c r="K2815" t="s">
        <v>78</v>
      </c>
      <c r="L2815" t="s">
        <v>234</v>
      </c>
      <c r="M2815" t="s">
        <v>235</v>
      </c>
      <c r="N2815" t="s">
        <v>236</v>
      </c>
      <c r="O2815" t="s">
        <v>82</v>
      </c>
      <c r="P2815" t="str">
        <f>"4170049590                    "</f>
        <v xml:space="preserve">4170049590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17.649999999999999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55.61</v>
      </c>
      <c r="BM2815">
        <v>8.34</v>
      </c>
      <c r="BN2815">
        <v>63.95</v>
      </c>
      <c r="BO2815">
        <v>63.95</v>
      </c>
      <c r="BQ2815" t="s">
        <v>237</v>
      </c>
      <c r="BR2815" t="s">
        <v>84</v>
      </c>
      <c r="BS2815" s="3">
        <v>45860</v>
      </c>
      <c r="BT2815" s="4">
        <v>0.42499999999999999</v>
      </c>
      <c r="BU2815" t="s">
        <v>2886</v>
      </c>
      <c r="BV2815" t="s">
        <v>98</v>
      </c>
      <c r="BY2815">
        <v>1200</v>
      </c>
      <c r="CA2815" t="s">
        <v>632</v>
      </c>
      <c r="CC2815" t="s">
        <v>235</v>
      </c>
      <c r="CD2815">
        <v>1682</v>
      </c>
      <c r="CE2815" t="s">
        <v>121</v>
      </c>
      <c r="CF2815" s="3">
        <v>45860</v>
      </c>
      <c r="CI2815">
        <v>1</v>
      </c>
      <c r="CJ2815">
        <v>1</v>
      </c>
      <c r="CK2815">
        <v>22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"080066692579"</f>
        <v>080066692579</v>
      </c>
      <c r="F2816" s="3">
        <v>45859</v>
      </c>
      <c r="G2816">
        <v>202604</v>
      </c>
      <c r="H2816" t="s">
        <v>75</v>
      </c>
      <c r="I2816" t="s">
        <v>76</v>
      </c>
      <c r="J2816" t="s">
        <v>77</v>
      </c>
      <c r="K2816" t="s">
        <v>78</v>
      </c>
      <c r="L2816" t="s">
        <v>102</v>
      </c>
      <c r="M2816" t="s">
        <v>103</v>
      </c>
      <c r="N2816" t="s">
        <v>2293</v>
      </c>
      <c r="O2816" t="s">
        <v>82</v>
      </c>
      <c r="P2816" t="str">
        <f>"4170049961                    "</f>
        <v xml:space="preserve">4170049961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31.78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100.13</v>
      </c>
      <c r="BM2816">
        <v>15.02</v>
      </c>
      <c r="BN2816">
        <v>115.15</v>
      </c>
      <c r="BO2816">
        <v>115.15</v>
      </c>
      <c r="BQ2816" t="s">
        <v>2294</v>
      </c>
      <c r="BR2816" t="s">
        <v>84</v>
      </c>
      <c r="BS2816" s="3">
        <v>45860</v>
      </c>
      <c r="BT2816" s="4">
        <v>0.52083333333333337</v>
      </c>
      <c r="BU2816" t="s">
        <v>2295</v>
      </c>
      <c r="BV2816" t="s">
        <v>98</v>
      </c>
      <c r="BY2816">
        <v>1200</v>
      </c>
      <c r="CA2816" t="s">
        <v>2296</v>
      </c>
      <c r="CC2816" t="s">
        <v>103</v>
      </c>
      <c r="CD2816">
        <v>1739</v>
      </c>
      <c r="CE2816" t="s">
        <v>121</v>
      </c>
      <c r="CF2816" s="3">
        <v>45860</v>
      </c>
      <c r="CI2816">
        <v>1</v>
      </c>
      <c r="CJ2816">
        <v>1</v>
      </c>
      <c r="CK2816">
        <v>24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"080066692623"</f>
        <v>080066692623</v>
      </c>
      <c r="F2817" s="3">
        <v>45859</v>
      </c>
      <c r="G2817">
        <v>202604</v>
      </c>
      <c r="H2817" t="s">
        <v>75</v>
      </c>
      <c r="I2817" t="s">
        <v>76</v>
      </c>
      <c r="J2817" t="s">
        <v>77</v>
      </c>
      <c r="K2817" t="s">
        <v>78</v>
      </c>
      <c r="L2817" t="s">
        <v>240</v>
      </c>
      <c r="M2817" t="s">
        <v>241</v>
      </c>
      <c r="N2817" t="s">
        <v>3016</v>
      </c>
      <c r="O2817" t="s">
        <v>82</v>
      </c>
      <c r="P2817" t="str">
        <f>"4170049700                    "</f>
        <v xml:space="preserve">4170049700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17.649999999999999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55.61</v>
      </c>
      <c r="BM2817">
        <v>8.34</v>
      </c>
      <c r="BN2817">
        <v>63.95</v>
      </c>
      <c r="BO2817">
        <v>63.95</v>
      </c>
      <c r="BQ2817" t="s">
        <v>3017</v>
      </c>
      <c r="BR2817" t="s">
        <v>84</v>
      </c>
      <c r="BS2817" s="3">
        <v>45860</v>
      </c>
      <c r="BT2817" s="4">
        <v>0.34027777777777779</v>
      </c>
      <c r="BU2817" t="s">
        <v>3018</v>
      </c>
      <c r="BV2817" t="s">
        <v>98</v>
      </c>
      <c r="BY2817">
        <v>1200</v>
      </c>
      <c r="CA2817" t="s">
        <v>245</v>
      </c>
      <c r="CC2817" t="s">
        <v>241</v>
      </c>
      <c r="CD2817">
        <v>2000</v>
      </c>
      <c r="CE2817" t="s">
        <v>121</v>
      </c>
      <c r="CF2817" s="3">
        <v>45861</v>
      </c>
      <c r="CI2817">
        <v>1</v>
      </c>
      <c r="CJ2817">
        <v>1</v>
      </c>
      <c r="CK2817">
        <v>22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"080066692649"</f>
        <v>080066692649</v>
      </c>
      <c r="F2818" s="3">
        <v>45859</v>
      </c>
      <c r="G2818">
        <v>202604</v>
      </c>
      <c r="H2818" t="s">
        <v>75</v>
      </c>
      <c r="I2818" t="s">
        <v>76</v>
      </c>
      <c r="J2818" t="s">
        <v>77</v>
      </c>
      <c r="K2818" t="s">
        <v>78</v>
      </c>
      <c r="L2818" t="s">
        <v>146</v>
      </c>
      <c r="M2818" t="s">
        <v>146</v>
      </c>
      <c r="N2818" t="s">
        <v>633</v>
      </c>
      <c r="O2818" t="s">
        <v>82</v>
      </c>
      <c r="P2818" t="str">
        <f>"4170049922                    "</f>
        <v xml:space="preserve">4170049922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43.78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137.94</v>
      </c>
      <c r="BM2818">
        <v>20.69</v>
      </c>
      <c r="BN2818">
        <v>158.63</v>
      </c>
      <c r="BO2818">
        <v>158.63</v>
      </c>
      <c r="BQ2818" t="s">
        <v>634</v>
      </c>
      <c r="BR2818" t="s">
        <v>84</v>
      </c>
      <c r="BS2818" s="3">
        <v>45860</v>
      </c>
      <c r="BT2818" s="4">
        <v>0.53611111111111109</v>
      </c>
      <c r="BU2818" t="s">
        <v>1115</v>
      </c>
      <c r="BV2818" t="s">
        <v>98</v>
      </c>
      <c r="BY2818">
        <v>1200</v>
      </c>
      <c r="CA2818" t="s">
        <v>150</v>
      </c>
      <c r="CC2818" t="s">
        <v>146</v>
      </c>
      <c r="CD2818">
        <v>7646</v>
      </c>
      <c r="CE2818" t="s">
        <v>121</v>
      </c>
      <c r="CF2818" s="3">
        <v>45861</v>
      </c>
      <c r="CI2818">
        <v>1</v>
      </c>
      <c r="CJ2818">
        <v>1</v>
      </c>
      <c r="CK2818">
        <v>23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"080066692677"</f>
        <v>080066692677</v>
      </c>
      <c r="F2819" s="3">
        <v>45859</v>
      </c>
      <c r="G2819">
        <v>202604</v>
      </c>
      <c r="H2819" t="s">
        <v>75</v>
      </c>
      <c r="I2819" t="s">
        <v>76</v>
      </c>
      <c r="J2819" t="s">
        <v>77</v>
      </c>
      <c r="K2819" t="s">
        <v>78</v>
      </c>
      <c r="L2819" t="s">
        <v>2837</v>
      </c>
      <c r="M2819" t="s">
        <v>2838</v>
      </c>
      <c r="N2819" t="s">
        <v>2839</v>
      </c>
      <c r="O2819" t="s">
        <v>82</v>
      </c>
      <c r="P2819" t="str">
        <f>"4170049987                    "</f>
        <v xml:space="preserve">4170049987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43.78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137.94</v>
      </c>
      <c r="BM2819">
        <v>20.69</v>
      </c>
      <c r="BN2819">
        <v>158.63</v>
      </c>
      <c r="BO2819">
        <v>158.63</v>
      </c>
      <c r="BQ2819" t="s">
        <v>2840</v>
      </c>
      <c r="BR2819" t="s">
        <v>84</v>
      </c>
      <c r="BS2819" s="3">
        <v>45860</v>
      </c>
      <c r="BT2819" s="4">
        <v>0.41319444444444442</v>
      </c>
      <c r="BU2819" t="s">
        <v>3019</v>
      </c>
      <c r="BV2819" t="s">
        <v>98</v>
      </c>
      <c r="BY2819">
        <v>1200</v>
      </c>
      <c r="CA2819" t="s">
        <v>2842</v>
      </c>
      <c r="CC2819" t="s">
        <v>2838</v>
      </c>
      <c r="CD2819">
        <v>7349</v>
      </c>
      <c r="CE2819" t="s">
        <v>121</v>
      </c>
      <c r="CF2819" s="3">
        <v>45861</v>
      </c>
      <c r="CI2819">
        <v>1</v>
      </c>
      <c r="CJ2819">
        <v>1</v>
      </c>
      <c r="CK2819">
        <v>23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"080066692701"</f>
        <v>080066692701</v>
      </c>
      <c r="F2820" s="3">
        <v>45859</v>
      </c>
      <c r="G2820">
        <v>202604</v>
      </c>
      <c r="H2820" t="s">
        <v>75</v>
      </c>
      <c r="I2820" t="s">
        <v>76</v>
      </c>
      <c r="J2820" t="s">
        <v>77</v>
      </c>
      <c r="K2820" t="s">
        <v>78</v>
      </c>
      <c r="L2820" t="s">
        <v>79</v>
      </c>
      <c r="M2820" t="s">
        <v>80</v>
      </c>
      <c r="N2820" t="s">
        <v>689</v>
      </c>
      <c r="O2820" t="s">
        <v>82</v>
      </c>
      <c r="P2820" t="str">
        <f>"4170049652                    "</f>
        <v xml:space="preserve">4170049652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22.6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71.2</v>
      </c>
      <c r="BM2820">
        <v>10.68</v>
      </c>
      <c r="BN2820">
        <v>81.88</v>
      </c>
      <c r="BO2820">
        <v>81.88</v>
      </c>
      <c r="BQ2820" t="s">
        <v>690</v>
      </c>
      <c r="BR2820" t="s">
        <v>84</v>
      </c>
      <c r="BS2820" s="3">
        <v>45860</v>
      </c>
      <c r="BT2820" s="4">
        <v>0.41249999999999998</v>
      </c>
      <c r="BU2820" t="s">
        <v>2843</v>
      </c>
      <c r="BV2820" t="s">
        <v>98</v>
      </c>
      <c r="BY2820">
        <v>1200</v>
      </c>
      <c r="CA2820" t="s">
        <v>692</v>
      </c>
      <c r="CC2820" t="s">
        <v>80</v>
      </c>
      <c r="CD2820">
        <v>7800</v>
      </c>
      <c r="CE2820" t="s">
        <v>121</v>
      </c>
      <c r="CF2820" s="3">
        <v>45861</v>
      </c>
      <c r="CI2820">
        <v>1</v>
      </c>
      <c r="CJ2820">
        <v>1</v>
      </c>
      <c r="CK2820">
        <v>21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"080066692733"</f>
        <v>080066692733</v>
      </c>
      <c r="F2821" s="3">
        <v>45859</v>
      </c>
      <c r="G2821">
        <v>202604</v>
      </c>
      <c r="H2821" t="s">
        <v>75</v>
      </c>
      <c r="I2821" t="s">
        <v>76</v>
      </c>
      <c r="J2821" t="s">
        <v>77</v>
      </c>
      <c r="K2821" t="s">
        <v>78</v>
      </c>
      <c r="L2821" t="s">
        <v>135</v>
      </c>
      <c r="M2821" t="s">
        <v>136</v>
      </c>
      <c r="N2821" t="s">
        <v>379</v>
      </c>
      <c r="O2821" t="s">
        <v>82</v>
      </c>
      <c r="P2821" t="str">
        <f>"4170049918                    "</f>
        <v xml:space="preserve">4170049918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22.6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71.2</v>
      </c>
      <c r="BM2821">
        <v>10.68</v>
      </c>
      <c r="BN2821">
        <v>81.88</v>
      </c>
      <c r="BO2821">
        <v>81.88</v>
      </c>
      <c r="BQ2821" t="s">
        <v>380</v>
      </c>
      <c r="BR2821" t="s">
        <v>84</v>
      </c>
      <c r="BS2821" s="3">
        <v>45860</v>
      </c>
      <c r="BT2821" s="4">
        <v>0.41666666666666669</v>
      </c>
      <c r="BU2821" t="s">
        <v>2019</v>
      </c>
      <c r="BV2821" t="s">
        <v>98</v>
      </c>
      <c r="BY2821">
        <v>1200</v>
      </c>
      <c r="CA2821" t="s">
        <v>382</v>
      </c>
      <c r="CC2821" t="s">
        <v>136</v>
      </c>
      <c r="CD2821">
        <v>3212</v>
      </c>
      <c r="CE2821" t="s">
        <v>121</v>
      </c>
      <c r="CF2821" s="3">
        <v>45861</v>
      </c>
      <c r="CI2821">
        <v>2</v>
      </c>
      <c r="CJ2821">
        <v>1</v>
      </c>
      <c r="CK2821">
        <v>21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"080066692753"</f>
        <v>080066692753</v>
      </c>
      <c r="F2822" s="3">
        <v>45859</v>
      </c>
      <c r="G2822">
        <v>202604</v>
      </c>
      <c r="H2822" t="s">
        <v>75</v>
      </c>
      <c r="I2822" t="s">
        <v>76</v>
      </c>
      <c r="J2822" t="s">
        <v>77</v>
      </c>
      <c r="K2822" t="s">
        <v>78</v>
      </c>
      <c r="L2822" t="s">
        <v>542</v>
      </c>
      <c r="M2822" t="s">
        <v>543</v>
      </c>
      <c r="N2822" t="s">
        <v>352</v>
      </c>
      <c r="O2822" t="s">
        <v>82</v>
      </c>
      <c r="P2822" t="str">
        <f>"4170050031                    "</f>
        <v xml:space="preserve">4170050031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17.649999999999999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55.61</v>
      </c>
      <c r="BM2822">
        <v>8.34</v>
      </c>
      <c r="BN2822">
        <v>63.95</v>
      </c>
      <c r="BO2822">
        <v>63.95</v>
      </c>
      <c r="BQ2822" t="s">
        <v>353</v>
      </c>
      <c r="BR2822" t="s">
        <v>84</v>
      </c>
      <c r="BS2822" s="3">
        <v>45860</v>
      </c>
      <c r="BT2822" s="4">
        <v>0.44305555555555554</v>
      </c>
      <c r="BU2822" t="s">
        <v>2981</v>
      </c>
      <c r="BV2822" t="s">
        <v>86</v>
      </c>
      <c r="BY2822">
        <v>1200</v>
      </c>
      <c r="CA2822" t="s">
        <v>2374</v>
      </c>
      <c r="CC2822" t="s">
        <v>543</v>
      </c>
      <c r="CD2822">
        <v>1451</v>
      </c>
      <c r="CE2822" t="s">
        <v>121</v>
      </c>
      <c r="CF2822" s="3">
        <v>45860</v>
      </c>
      <c r="CI2822">
        <v>1</v>
      </c>
      <c r="CJ2822">
        <v>1</v>
      </c>
      <c r="CK2822">
        <v>22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"080066692769"</f>
        <v>080066692769</v>
      </c>
      <c r="F2823" s="3">
        <v>45859</v>
      </c>
      <c r="G2823">
        <v>202604</v>
      </c>
      <c r="H2823" t="s">
        <v>75</v>
      </c>
      <c r="I2823" t="s">
        <v>76</v>
      </c>
      <c r="J2823" t="s">
        <v>77</v>
      </c>
      <c r="K2823" t="s">
        <v>78</v>
      </c>
      <c r="L2823" t="s">
        <v>79</v>
      </c>
      <c r="M2823" t="s">
        <v>80</v>
      </c>
      <c r="N2823" t="s">
        <v>376</v>
      </c>
      <c r="O2823" t="s">
        <v>82</v>
      </c>
      <c r="P2823" t="str">
        <f>"4170049964                    "</f>
        <v xml:space="preserve">4170049964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22.6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71.2</v>
      </c>
      <c r="BM2823">
        <v>10.68</v>
      </c>
      <c r="BN2823">
        <v>81.88</v>
      </c>
      <c r="BO2823">
        <v>81.88</v>
      </c>
      <c r="BQ2823" t="s">
        <v>377</v>
      </c>
      <c r="BR2823" t="s">
        <v>84</v>
      </c>
      <c r="BS2823" s="3">
        <v>45860</v>
      </c>
      <c r="BT2823" s="4">
        <v>0.40902777777777777</v>
      </c>
      <c r="BU2823" t="s">
        <v>378</v>
      </c>
      <c r="BV2823" t="s">
        <v>98</v>
      </c>
      <c r="BY2823">
        <v>1200</v>
      </c>
      <c r="CA2823" t="s">
        <v>144</v>
      </c>
      <c r="CC2823" t="s">
        <v>80</v>
      </c>
      <c r="CD2823">
        <v>8001</v>
      </c>
      <c r="CE2823" t="s">
        <v>121</v>
      </c>
      <c r="CF2823" s="3">
        <v>45861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"080066692794"</f>
        <v>080066692794</v>
      </c>
      <c r="F2824" s="3">
        <v>45859</v>
      </c>
      <c r="G2824">
        <v>202604</v>
      </c>
      <c r="H2824" t="s">
        <v>75</v>
      </c>
      <c r="I2824" t="s">
        <v>76</v>
      </c>
      <c r="J2824" t="s">
        <v>77</v>
      </c>
      <c r="K2824" t="s">
        <v>78</v>
      </c>
      <c r="L2824" t="s">
        <v>168</v>
      </c>
      <c r="M2824" t="s">
        <v>169</v>
      </c>
      <c r="N2824" t="s">
        <v>813</v>
      </c>
      <c r="O2824" t="s">
        <v>82</v>
      </c>
      <c r="P2824" t="str">
        <f>"4170049747                    "</f>
        <v xml:space="preserve">4170049747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22.6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71.2</v>
      </c>
      <c r="BM2824">
        <v>10.68</v>
      </c>
      <c r="BN2824">
        <v>81.88</v>
      </c>
      <c r="BO2824">
        <v>81.88</v>
      </c>
      <c r="BQ2824" t="s">
        <v>814</v>
      </c>
      <c r="BR2824" t="s">
        <v>84</v>
      </c>
      <c r="BS2824" s="3">
        <v>45860</v>
      </c>
      <c r="BT2824" s="4">
        <v>0.37847222222222221</v>
      </c>
      <c r="BU2824" t="s">
        <v>3020</v>
      </c>
      <c r="BV2824" t="s">
        <v>98</v>
      </c>
      <c r="BY2824">
        <v>1200</v>
      </c>
      <c r="CC2824" t="s">
        <v>169</v>
      </c>
      <c r="CD2824">
        <v>6001</v>
      </c>
      <c r="CE2824" t="s">
        <v>121</v>
      </c>
      <c r="CF2824" s="3">
        <v>45860</v>
      </c>
      <c r="CI2824">
        <v>1</v>
      </c>
      <c r="CJ2824">
        <v>1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"080066692811"</f>
        <v>080066692811</v>
      </c>
      <c r="F2825" s="3">
        <v>45859</v>
      </c>
      <c r="G2825">
        <v>202604</v>
      </c>
      <c r="H2825" t="s">
        <v>75</v>
      </c>
      <c r="I2825" t="s">
        <v>76</v>
      </c>
      <c r="J2825" t="s">
        <v>77</v>
      </c>
      <c r="K2825" t="s">
        <v>78</v>
      </c>
      <c r="L2825" t="s">
        <v>580</v>
      </c>
      <c r="M2825" t="s">
        <v>581</v>
      </c>
      <c r="N2825" t="s">
        <v>582</v>
      </c>
      <c r="O2825" t="s">
        <v>82</v>
      </c>
      <c r="P2825" t="str">
        <f>"4170049871                    "</f>
        <v xml:space="preserve">4170049871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22.6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71.2</v>
      </c>
      <c r="BM2825">
        <v>10.68</v>
      </c>
      <c r="BN2825">
        <v>81.88</v>
      </c>
      <c r="BO2825">
        <v>81.88</v>
      </c>
      <c r="BQ2825" t="s">
        <v>583</v>
      </c>
      <c r="BR2825" t="s">
        <v>84</v>
      </c>
      <c r="BS2825" s="3">
        <v>45860</v>
      </c>
      <c r="BT2825" s="4">
        <v>0.40277777777777779</v>
      </c>
      <c r="BU2825" t="s">
        <v>584</v>
      </c>
      <c r="BV2825" t="s">
        <v>98</v>
      </c>
      <c r="BY2825">
        <v>1200</v>
      </c>
      <c r="CA2825" t="s">
        <v>585</v>
      </c>
      <c r="CC2825" t="s">
        <v>581</v>
      </c>
      <c r="CD2825">
        <v>4302</v>
      </c>
      <c r="CE2825" t="s">
        <v>121</v>
      </c>
      <c r="CF2825" s="3">
        <v>45861</v>
      </c>
      <c r="CI2825">
        <v>1</v>
      </c>
      <c r="CJ2825">
        <v>1</v>
      </c>
      <c r="CK2825">
        <v>21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"080066692828"</f>
        <v>080066692828</v>
      </c>
      <c r="F2826" s="3">
        <v>45859</v>
      </c>
      <c r="G2826">
        <v>202604</v>
      </c>
      <c r="H2826" t="s">
        <v>75</v>
      </c>
      <c r="I2826" t="s">
        <v>76</v>
      </c>
      <c r="J2826" t="s">
        <v>77</v>
      </c>
      <c r="K2826" t="s">
        <v>78</v>
      </c>
      <c r="L2826" t="s">
        <v>168</v>
      </c>
      <c r="M2826" t="s">
        <v>169</v>
      </c>
      <c r="N2826" t="s">
        <v>206</v>
      </c>
      <c r="O2826" t="s">
        <v>82</v>
      </c>
      <c r="P2826" t="str">
        <f>"4170050009                    "</f>
        <v xml:space="preserve">4170050009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22.6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71.2</v>
      </c>
      <c r="BM2826">
        <v>10.68</v>
      </c>
      <c r="BN2826">
        <v>81.88</v>
      </c>
      <c r="BO2826">
        <v>81.88</v>
      </c>
      <c r="BQ2826" t="s">
        <v>207</v>
      </c>
      <c r="BR2826" t="s">
        <v>84</v>
      </c>
      <c r="BS2826" s="3">
        <v>45860</v>
      </c>
      <c r="BT2826" s="4">
        <v>0.38333333333333336</v>
      </c>
      <c r="BU2826" t="s">
        <v>208</v>
      </c>
      <c r="BV2826" t="s">
        <v>98</v>
      </c>
      <c r="BY2826">
        <v>1200</v>
      </c>
      <c r="CA2826" t="s">
        <v>196</v>
      </c>
      <c r="CC2826" t="s">
        <v>169</v>
      </c>
      <c r="CD2826">
        <v>6001</v>
      </c>
      <c r="CE2826" t="s">
        <v>121</v>
      </c>
      <c r="CF2826" s="3">
        <v>45860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"080066692851"</f>
        <v>080066692851</v>
      </c>
      <c r="F2827" s="3">
        <v>45859</v>
      </c>
      <c r="G2827">
        <v>202604</v>
      </c>
      <c r="H2827" t="s">
        <v>75</v>
      </c>
      <c r="I2827" t="s">
        <v>76</v>
      </c>
      <c r="J2827" t="s">
        <v>77</v>
      </c>
      <c r="K2827" t="s">
        <v>78</v>
      </c>
      <c r="L2827" t="s">
        <v>79</v>
      </c>
      <c r="M2827" t="s">
        <v>80</v>
      </c>
      <c r="N2827" t="s">
        <v>141</v>
      </c>
      <c r="O2827" t="s">
        <v>82</v>
      </c>
      <c r="P2827" t="str">
        <f>"4170050029                    "</f>
        <v xml:space="preserve">4170050029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22.6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71.2</v>
      </c>
      <c r="BM2827">
        <v>10.68</v>
      </c>
      <c r="BN2827">
        <v>81.88</v>
      </c>
      <c r="BO2827">
        <v>81.88</v>
      </c>
      <c r="BQ2827" t="s">
        <v>142</v>
      </c>
      <c r="BR2827" t="s">
        <v>84</v>
      </c>
      <c r="BS2827" s="3">
        <v>45860</v>
      </c>
      <c r="BT2827" s="4">
        <v>0.41458333333333336</v>
      </c>
      <c r="BU2827" t="s">
        <v>143</v>
      </c>
      <c r="BV2827" t="s">
        <v>98</v>
      </c>
      <c r="BY2827">
        <v>1200</v>
      </c>
      <c r="CA2827" t="s">
        <v>144</v>
      </c>
      <c r="CC2827" t="s">
        <v>80</v>
      </c>
      <c r="CD2827">
        <v>7441</v>
      </c>
      <c r="CE2827" t="s">
        <v>121</v>
      </c>
      <c r="CF2827" s="3">
        <v>45861</v>
      </c>
      <c r="CI2827">
        <v>1</v>
      </c>
      <c r="CJ2827">
        <v>1</v>
      </c>
      <c r="CK2827">
        <v>21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"080066692888"</f>
        <v>080066692888</v>
      </c>
      <c r="F2828" s="3">
        <v>45859</v>
      </c>
      <c r="G2828">
        <v>202604</v>
      </c>
      <c r="H2828" t="s">
        <v>75</v>
      </c>
      <c r="I2828" t="s">
        <v>76</v>
      </c>
      <c r="J2828" t="s">
        <v>77</v>
      </c>
      <c r="K2828" t="s">
        <v>78</v>
      </c>
      <c r="L2828" t="s">
        <v>168</v>
      </c>
      <c r="M2828" t="s">
        <v>169</v>
      </c>
      <c r="N2828" t="s">
        <v>360</v>
      </c>
      <c r="O2828" t="s">
        <v>82</v>
      </c>
      <c r="P2828" t="str">
        <f>"4170049988                    "</f>
        <v xml:space="preserve">4170049988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22.6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71.2</v>
      </c>
      <c r="BM2828">
        <v>10.68</v>
      </c>
      <c r="BN2828">
        <v>81.88</v>
      </c>
      <c r="BO2828">
        <v>81.88</v>
      </c>
      <c r="BQ2828" t="s">
        <v>361</v>
      </c>
      <c r="BR2828" t="s">
        <v>84</v>
      </c>
      <c r="BS2828" s="3">
        <v>45860</v>
      </c>
      <c r="BT2828" s="4">
        <v>0.375</v>
      </c>
      <c r="BU2828" t="s">
        <v>1439</v>
      </c>
      <c r="BV2828" t="s">
        <v>98</v>
      </c>
      <c r="BY2828">
        <v>1200</v>
      </c>
      <c r="CA2828" t="s">
        <v>423</v>
      </c>
      <c r="CC2828" t="s">
        <v>169</v>
      </c>
      <c r="CD2828">
        <v>6001</v>
      </c>
      <c r="CE2828" t="s">
        <v>121</v>
      </c>
      <c r="CF2828" s="3">
        <v>45860</v>
      </c>
      <c r="CI2828">
        <v>1</v>
      </c>
      <c r="CJ2828">
        <v>1</v>
      </c>
      <c r="CK2828">
        <v>21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"080066692924"</f>
        <v>080066692924</v>
      </c>
      <c r="F2829" s="3">
        <v>45859</v>
      </c>
      <c r="G2829">
        <v>202604</v>
      </c>
      <c r="H2829" t="s">
        <v>75</v>
      </c>
      <c r="I2829" t="s">
        <v>76</v>
      </c>
      <c r="J2829" t="s">
        <v>77</v>
      </c>
      <c r="K2829" t="s">
        <v>78</v>
      </c>
      <c r="L2829" t="s">
        <v>75</v>
      </c>
      <c r="M2829" t="s">
        <v>76</v>
      </c>
      <c r="N2829" t="s">
        <v>562</v>
      </c>
      <c r="O2829" t="s">
        <v>82</v>
      </c>
      <c r="P2829" t="str">
        <f>"4170049831                    "</f>
        <v xml:space="preserve">4170049831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17.649999999999999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55.61</v>
      </c>
      <c r="BM2829">
        <v>8.34</v>
      </c>
      <c r="BN2829">
        <v>63.95</v>
      </c>
      <c r="BO2829">
        <v>63.95</v>
      </c>
      <c r="BQ2829" t="s">
        <v>563</v>
      </c>
      <c r="BR2829" t="s">
        <v>84</v>
      </c>
      <c r="BS2829" s="3">
        <v>45860</v>
      </c>
      <c r="BT2829" s="4">
        <v>0.38194444444444442</v>
      </c>
      <c r="BU2829" t="s">
        <v>2155</v>
      </c>
      <c r="BV2829" t="s">
        <v>98</v>
      </c>
      <c r="BY2829">
        <v>1200</v>
      </c>
      <c r="CA2829" t="s">
        <v>565</v>
      </c>
      <c r="CC2829" t="s">
        <v>76</v>
      </c>
      <c r="CD2829">
        <v>1619</v>
      </c>
      <c r="CE2829" t="s">
        <v>121</v>
      </c>
      <c r="CF2829" s="3">
        <v>45860</v>
      </c>
      <c r="CI2829">
        <v>1</v>
      </c>
      <c r="CJ2829">
        <v>1</v>
      </c>
      <c r="CK2829">
        <v>22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"080066692948"</f>
        <v>080066692948</v>
      </c>
      <c r="F2830" s="3">
        <v>45859</v>
      </c>
      <c r="G2830">
        <v>202604</v>
      </c>
      <c r="H2830" t="s">
        <v>75</v>
      </c>
      <c r="I2830" t="s">
        <v>76</v>
      </c>
      <c r="J2830" t="s">
        <v>77</v>
      </c>
      <c r="K2830" t="s">
        <v>78</v>
      </c>
      <c r="L2830" t="s">
        <v>75</v>
      </c>
      <c r="M2830" t="s">
        <v>76</v>
      </c>
      <c r="N2830" t="s">
        <v>2892</v>
      </c>
      <c r="O2830" t="s">
        <v>82</v>
      </c>
      <c r="P2830" t="str">
        <f>"4170049721                    "</f>
        <v xml:space="preserve">4170049721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17.649999999999999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55.61</v>
      </c>
      <c r="BM2830">
        <v>8.34</v>
      </c>
      <c r="BN2830">
        <v>63.95</v>
      </c>
      <c r="BO2830">
        <v>63.95</v>
      </c>
      <c r="BQ2830" t="s">
        <v>2893</v>
      </c>
      <c r="BR2830" t="s">
        <v>84</v>
      </c>
      <c r="BS2830" s="3">
        <v>45860</v>
      </c>
      <c r="BT2830" s="4">
        <v>0.39374999999999999</v>
      </c>
      <c r="BU2830" t="s">
        <v>3021</v>
      </c>
      <c r="BV2830" t="s">
        <v>98</v>
      </c>
      <c r="BY2830">
        <v>1200</v>
      </c>
      <c r="CA2830" t="s">
        <v>304</v>
      </c>
      <c r="CC2830" t="s">
        <v>76</v>
      </c>
      <c r="CD2830">
        <v>1600</v>
      </c>
      <c r="CE2830" t="s">
        <v>121</v>
      </c>
      <c r="CF2830" s="3">
        <v>45860</v>
      </c>
      <c r="CI2830">
        <v>1</v>
      </c>
      <c r="CJ2830">
        <v>1</v>
      </c>
      <c r="CK2830">
        <v>22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"080066692963"</f>
        <v>080066692963</v>
      </c>
      <c r="F2831" s="3">
        <v>45859</v>
      </c>
      <c r="G2831">
        <v>202604</v>
      </c>
      <c r="H2831" t="s">
        <v>75</v>
      </c>
      <c r="I2831" t="s">
        <v>76</v>
      </c>
      <c r="J2831" t="s">
        <v>77</v>
      </c>
      <c r="K2831" t="s">
        <v>78</v>
      </c>
      <c r="L2831" t="s">
        <v>168</v>
      </c>
      <c r="M2831" t="s">
        <v>169</v>
      </c>
      <c r="N2831" t="s">
        <v>360</v>
      </c>
      <c r="O2831" t="s">
        <v>82</v>
      </c>
      <c r="P2831" t="str">
        <f>"4170049865                    "</f>
        <v xml:space="preserve">4170049865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22.6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71.2</v>
      </c>
      <c r="BM2831">
        <v>10.68</v>
      </c>
      <c r="BN2831">
        <v>81.88</v>
      </c>
      <c r="BO2831">
        <v>81.88</v>
      </c>
      <c r="BQ2831" t="s">
        <v>361</v>
      </c>
      <c r="BR2831" t="s">
        <v>84</v>
      </c>
      <c r="BS2831" s="3">
        <v>45860</v>
      </c>
      <c r="BT2831" s="4">
        <v>0.375</v>
      </c>
      <c r="BU2831" t="s">
        <v>1439</v>
      </c>
      <c r="BV2831" t="s">
        <v>98</v>
      </c>
      <c r="BY2831">
        <v>1200</v>
      </c>
      <c r="CA2831" t="s">
        <v>423</v>
      </c>
      <c r="CC2831" t="s">
        <v>169</v>
      </c>
      <c r="CD2831">
        <v>6001</v>
      </c>
      <c r="CE2831" t="s">
        <v>121</v>
      </c>
      <c r="CF2831" s="3">
        <v>45860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"080066692983"</f>
        <v>080066692983</v>
      </c>
      <c r="F2832" s="3">
        <v>45859</v>
      </c>
      <c r="G2832">
        <v>202604</v>
      </c>
      <c r="H2832" t="s">
        <v>75</v>
      </c>
      <c r="I2832" t="s">
        <v>76</v>
      </c>
      <c r="J2832" t="s">
        <v>77</v>
      </c>
      <c r="K2832" t="s">
        <v>78</v>
      </c>
      <c r="L2832" t="s">
        <v>168</v>
      </c>
      <c r="M2832" t="s">
        <v>169</v>
      </c>
      <c r="N2832" t="s">
        <v>1777</v>
      </c>
      <c r="O2832" t="s">
        <v>82</v>
      </c>
      <c r="P2832" t="str">
        <f>"4170049845                    "</f>
        <v xml:space="preserve">4170049845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22.6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71.2</v>
      </c>
      <c r="BM2832">
        <v>10.68</v>
      </c>
      <c r="BN2832">
        <v>81.88</v>
      </c>
      <c r="BO2832">
        <v>81.88</v>
      </c>
      <c r="BQ2832" t="s">
        <v>1778</v>
      </c>
      <c r="BR2832" t="s">
        <v>84</v>
      </c>
      <c r="BS2832" s="3">
        <v>45860</v>
      </c>
      <c r="BT2832" s="4">
        <v>0.41597222222222224</v>
      </c>
      <c r="BU2832" t="s">
        <v>3022</v>
      </c>
      <c r="BV2832" t="s">
        <v>98</v>
      </c>
      <c r="BY2832">
        <v>1200</v>
      </c>
      <c r="CA2832" t="s">
        <v>196</v>
      </c>
      <c r="CC2832" t="s">
        <v>169</v>
      </c>
      <c r="CD2832">
        <v>6001</v>
      </c>
      <c r="CE2832" t="s">
        <v>121</v>
      </c>
      <c r="CF2832" s="3">
        <v>45860</v>
      </c>
      <c r="CI2832">
        <v>1</v>
      </c>
      <c r="CJ2832">
        <v>1</v>
      </c>
      <c r="CK2832">
        <v>21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"080066693010"</f>
        <v>080066693010</v>
      </c>
      <c r="F2833" s="3">
        <v>45859</v>
      </c>
      <c r="G2833">
        <v>202604</v>
      </c>
      <c r="H2833" t="s">
        <v>75</v>
      </c>
      <c r="I2833" t="s">
        <v>76</v>
      </c>
      <c r="J2833" t="s">
        <v>77</v>
      </c>
      <c r="K2833" t="s">
        <v>78</v>
      </c>
      <c r="L2833" t="s">
        <v>151</v>
      </c>
      <c r="M2833" t="s">
        <v>152</v>
      </c>
      <c r="N2833" t="s">
        <v>153</v>
      </c>
      <c r="O2833" t="s">
        <v>82</v>
      </c>
      <c r="P2833" t="str">
        <f>"4170049955                    "</f>
        <v xml:space="preserve">4170049955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22.6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71.2</v>
      </c>
      <c r="BM2833">
        <v>10.68</v>
      </c>
      <c r="BN2833">
        <v>81.88</v>
      </c>
      <c r="BO2833">
        <v>81.88</v>
      </c>
      <c r="BQ2833" t="s">
        <v>154</v>
      </c>
      <c r="BR2833" t="s">
        <v>84</v>
      </c>
      <c r="BS2833" s="3">
        <v>45860</v>
      </c>
      <c r="BT2833" s="4">
        <v>0.34861111111111109</v>
      </c>
      <c r="BU2833" t="s">
        <v>1297</v>
      </c>
      <c r="BV2833" t="s">
        <v>98</v>
      </c>
      <c r="BY2833">
        <v>1200</v>
      </c>
      <c r="CA2833" t="s">
        <v>156</v>
      </c>
      <c r="CC2833" t="s">
        <v>152</v>
      </c>
      <c r="CD2833" s="5" t="s">
        <v>157</v>
      </c>
      <c r="CE2833" t="s">
        <v>121</v>
      </c>
      <c r="CF2833" s="3">
        <v>45860</v>
      </c>
      <c r="CI2833">
        <v>1</v>
      </c>
      <c r="CJ2833">
        <v>1</v>
      </c>
      <c r="CK2833">
        <v>21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"080066693055"</f>
        <v>080066693055</v>
      </c>
      <c r="F2834" s="3">
        <v>45859</v>
      </c>
      <c r="G2834">
        <v>202604</v>
      </c>
      <c r="H2834" t="s">
        <v>75</v>
      </c>
      <c r="I2834" t="s">
        <v>76</v>
      </c>
      <c r="J2834" t="s">
        <v>77</v>
      </c>
      <c r="K2834" t="s">
        <v>78</v>
      </c>
      <c r="L2834" t="s">
        <v>240</v>
      </c>
      <c r="M2834" t="s">
        <v>241</v>
      </c>
      <c r="N2834" t="s">
        <v>2276</v>
      </c>
      <c r="O2834" t="s">
        <v>82</v>
      </c>
      <c r="P2834" t="str">
        <f>"4170049732                    "</f>
        <v xml:space="preserve">4170049732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17.649999999999999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55.61</v>
      </c>
      <c r="BM2834">
        <v>8.34</v>
      </c>
      <c r="BN2834">
        <v>63.95</v>
      </c>
      <c r="BO2834">
        <v>63.95</v>
      </c>
      <c r="BQ2834" t="s">
        <v>2277</v>
      </c>
      <c r="BR2834" t="s">
        <v>84</v>
      </c>
      <c r="BS2834" s="3">
        <v>45860</v>
      </c>
      <c r="BT2834" s="4">
        <v>0.34930555555555554</v>
      </c>
      <c r="BU2834" t="s">
        <v>650</v>
      </c>
      <c r="BV2834" t="s">
        <v>98</v>
      </c>
      <c r="BY2834">
        <v>1200</v>
      </c>
      <c r="CA2834" t="s">
        <v>617</v>
      </c>
      <c r="CC2834" t="s">
        <v>241</v>
      </c>
      <c r="CD2834">
        <v>2000</v>
      </c>
      <c r="CE2834" t="s">
        <v>121</v>
      </c>
      <c r="CF2834" s="3">
        <v>45860</v>
      </c>
      <c r="CI2834">
        <v>1</v>
      </c>
      <c r="CJ2834">
        <v>1</v>
      </c>
      <c r="CK2834">
        <v>22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"080066693100"</f>
        <v>080066693100</v>
      </c>
      <c r="F2835" s="3">
        <v>45859</v>
      </c>
      <c r="G2835">
        <v>202604</v>
      </c>
      <c r="H2835" t="s">
        <v>75</v>
      </c>
      <c r="I2835" t="s">
        <v>76</v>
      </c>
      <c r="J2835" t="s">
        <v>77</v>
      </c>
      <c r="K2835" t="s">
        <v>78</v>
      </c>
      <c r="L2835" t="s">
        <v>92</v>
      </c>
      <c r="M2835" t="s">
        <v>93</v>
      </c>
      <c r="N2835" t="s">
        <v>737</v>
      </c>
      <c r="O2835" t="s">
        <v>82</v>
      </c>
      <c r="P2835" t="str">
        <f>"4170049892                    "</f>
        <v xml:space="preserve">4170049892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22.6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71.2</v>
      </c>
      <c r="BM2835">
        <v>10.68</v>
      </c>
      <c r="BN2835">
        <v>81.88</v>
      </c>
      <c r="BO2835">
        <v>81.88</v>
      </c>
      <c r="BQ2835" t="s">
        <v>738</v>
      </c>
      <c r="BR2835" t="s">
        <v>84</v>
      </c>
      <c r="BS2835" s="3">
        <v>45860</v>
      </c>
      <c r="BT2835" s="4">
        <v>0.6118055555555556</v>
      </c>
      <c r="BU2835" t="s">
        <v>3023</v>
      </c>
      <c r="BV2835" t="s">
        <v>86</v>
      </c>
      <c r="BW2835" t="s">
        <v>818</v>
      </c>
      <c r="BX2835" t="s">
        <v>1174</v>
      </c>
      <c r="BY2835">
        <v>1200</v>
      </c>
      <c r="CA2835" t="s">
        <v>2974</v>
      </c>
      <c r="CC2835" t="s">
        <v>93</v>
      </c>
      <c r="CD2835">
        <v>4001</v>
      </c>
      <c r="CE2835" t="s">
        <v>121</v>
      </c>
      <c r="CF2835" s="3">
        <v>45861</v>
      </c>
      <c r="CI2835">
        <v>1</v>
      </c>
      <c r="CJ2835">
        <v>1</v>
      </c>
      <c r="CK2835">
        <v>21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"080066693156"</f>
        <v>080066693156</v>
      </c>
      <c r="F2836" s="3">
        <v>45859</v>
      </c>
      <c r="G2836">
        <v>202604</v>
      </c>
      <c r="H2836" t="s">
        <v>75</v>
      </c>
      <c r="I2836" t="s">
        <v>76</v>
      </c>
      <c r="J2836" t="s">
        <v>77</v>
      </c>
      <c r="K2836" t="s">
        <v>78</v>
      </c>
      <c r="L2836" t="s">
        <v>168</v>
      </c>
      <c r="M2836" t="s">
        <v>169</v>
      </c>
      <c r="N2836" t="s">
        <v>360</v>
      </c>
      <c r="O2836" t="s">
        <v>82</v>
      </c>
      <c r="P2836" t="str">
        <f>"4170049903                    "</f>
        <v xml:space="preserve">4170049903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22.6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71.2</v>
      </c>
      <c r="BM2836">
        <v>10.68</v>
      </c>
      <c r="BN2836">
        <v>81.88</v>
      </c>
      <c r="BO2836">
        <v>81.88</v>
      </c>
      <c r="BQ2836" t="s">
        <v>361</v>
      </c>
      <c r="BR2836" t="s">
        <v>84</v>
      </c>
      <c r="BS2836" s="3">
        <v>45860</v>
      </c>
      <c r="BT2836" s="4">
        <v>0.375</v>
      </c>
      <c r="BU2836" t="s">
        <v>1439</v>
      </c>
      <c r="BV2836" t="s">
        <v>98</v>
      </c>
      <c r="BY2836">
        <v>1200</v>
      </c>
      <c r="CA2836" t="s">
        <v>423</v>
      </c>
      <c r="CC2836" t="s">
        <v>169</v>
      </c>
      <c r="CD2836">
        <v>6001</v>
      </c>
      <c r="CE2836" t="s">
        <v>121</v>
      </c>
      <c r="CF2836" s="3">
        <v>45860</v>
      </c>
      <c r="CI2836">
        <v>1</v>
      </c>
      <c r="CJ2836">
        <v>1</v>
      </c>
      <c r="CK2836">
        <v>21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"080066693208"</f>
        <v>080066693208</v>
      </c>
      <c r="F2837" s="3">
        <v>45859</v>
      </c>
      <c r="G2837">
        <v>202604</v>
      </c>
      <c r="H2837" t="s">
        <v>75</v>
      </c>
      <c r="I2837" t="s">
        <v>76</v>
      </c>
      <c r="J2837" t="s">
        <v>77</v>
      </c>
      <c r="K2837" t="s">
        <v>78</v>
      </c>
      <c r="L2837" t="s">
        <v>168</v>
      </c>
      <c r="M2837" t="s">
        <v>169</v>
      </c>
      <c r="N2837" t="s">
        <v>360</v>
      </c>
      <c r="O2837" t="s">
        <v>82</v>
      </c>
      <c r="P2837" t="str">
        <f>"4170049913                    "</f>
        <v xml:space="preserve">4170049913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71.2</v>
      </c>
      <c r="BM2837">
        <v>10.68</v>
      </c>
      <c r="BN2837">
        <v>81.88</v>
      </c>
      <c r="BO2837">
        <v>81.88</v>
      </c>
      <c r="BQ2837" t="s">
        <v>361</v>
      </c>
      <c r="BR2837" t="s">
        <v>84</v>
      </c>
      <c r="BS2837" s="3">
        <v>45860</v>
      </c>
      <c r="BT2837" s="4">
        <v>0.375</v>
      </c>
      <c r="BU2837" t="s">
        <v>1439</v>
      </c>
      <c r="BV2837" t="s">
        <v>98</v>
      </c>
      <c r="BY2837">
        <v>1200</v>
      </c>
      <c r="CA2837" t="s">
        <v>423</v>
      </c>
      <c r="CC2837" t="s">
        <v>169</v>
      </c>
      <c r="CD2837">
        <v>6001</v>
      </c>
      <c r="CE2837" t="s">
        <v>121</v>
      </c>
      <c r="CF2837" s="3">
        <v>45860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"080066693260"</f>
        <v>080066693260</v>
      </c>
      <c r="F2838" s="3">
        <v>45859</v>
      </c>
      <c r="G2838">
        <v>202604</v>
      </c>
      <c r="H2838" t="s">
        <v>75</v>
      </c>
      <c r="I2838" t="s">
        <v>76</v>
      </c>
      <c r="J2838" t="s">
        <v>77</v>
      </c>
      <c r="K2838" t="s">
        <v>78</v>
      </c>
      <c r="L2838" t="s">
        <v>350</v>
      </c>
      <c r="M2838" t="s">
        <v>351</v>
      </c>
      <c r="N2838" t="s">
        <v>1271</v>
      </c>
      <c r="O2838" t="s">
        <v>82</v>
      </c>
      <c r="P2838" t="str">
        <f>"4170049810                    "</f>
        <v xml:space="preserve">4170049810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22.6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16.739999999999998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87.94</v>
      </c>
      <c r="BM2838">
        <v>13.19</v>
      </c>
      <c r="BN2838">
        <v>101.13</v>
      </c>
      <c r="BO2838">
        <v>101.13</v>
      </c>
      <c r="BQ2838" t="s">
        <v>1272</v>
      </c>
      <c r="BR2838" t="s">
        <v>84</v>
      </c>
      <c r="BS2838" s="3">
        <v>45860</v>
      </c>
      <c r="BT2838" s="4">
        <v>0.43541666666666667</v>
      </c>
      <c r="BU2838" t="s">
        <v>2956</v>
      </c>
      <c r="BV2838" t="s">
        <v>98</v>
      </c>
      <c r="BY2838">
        <v>1200</v>
      </c>
      <c r="BZ2838" t="s">
        <v>30</v>
      </c>
      <c r="CA2838" t="s">
        <v>337</v>
      </c>
      <c r="CC2838" t="s">
        <v>351</v>
      </c>
      <c r="CD2838">
        <v>4133</v>
      </c>
      <c r="CE2838" t="s">
        <v>121</v>
      </c>
      <c r="CF2838" s="3">
        <v>45861</v>
      </c>
      <c r="CI2838">
        <v>1</v>
      </c>
      <c r="CJ2838">
        <v>1</v>
      </c>
      <c r="CK2838">
        <v>21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"080066693317"</f>
        <v>080066693317</v>
      </c>
      <c r="F2839" s="3">
        <v>45859</v>
      </c>
      <c r="G2839">
        <v>202604</v>
      </c>
      <c r="H2839" t="s">
        <v>75</v>
      </c>
      <c r="I2839" t="s">
        <v>76</v>
      </c>
      <c r="J2839" t="s">
        <v>77</v>
      </c>
      <c r="K2839" t="s">
        <v>78</v>
      </c>
      <c r="L2839" t="s">
        <v>427</v>
      </c>
      <c r="M2839" t="s">
        <v>428</v>
      </c>
      <c r="N2839" t="s">
        <v>429</v>
      </c>
      <c r="O2839" t="s">
        <v>82</v>
      </c>
      <c r="P2839" t="str">
        <f>"4170049866                    "</f>
        <v xml:space="preserve">4170049866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43.78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137.94</v>
      </c>
      <c r="BM2839">
        <v>20.69</v>
      </c>
      <c r="BN2839">
        <v>158.63</v>
      </c>
      <c r="BO2839">
        <v>158.63</v>
      </c>
      <c r="BQ2839" t="s">
        <v>430</v>
      </c>
      <c r="BR2839" t="s">
        <v>84</v>
      </c>
      <c r="BS2839" s="3">
        <v>45860</v>
      </c>
      <c r="BT2839" s="4">
        <v>0.70347222222222228</v>
      </c>
      <c r="BU2839" t="s">
        <v>431</v>
      </c>
      <c r="BV2839" t="s">
        <v>98</v>
      </c>
      <c r="BY2839">
        <v>1200</v>
      </c>
      <c r="CA2839" t="s">
        <v>432</v>
      </c>
      <c r="CC2839" t="s">
        <v>428</v>
      </c>
      <c r="CD2839">
        <v>9880</v>
      </c>
      <c r="CE2839" t="s">
        <v>121</v>
      </c>
      <c r="CF2839" s="3">
        <v>45861</v>
      </c>
      <c r="CI2839">
        <v>1</v>
      </c>
      <c r="CJ2839">
        <v>1</v>
      </c>
      <c r="CK2839">
        <v>23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"080066693549"</f>
        <v>080066693549</v>
      </c>
      <c r="F2840" s="3">
        <v>45859</v>
      </c>
      <c r="G2840">
        <v>202604</v>
      </c>
      <c r="H2840" t="s">
        <v>75</v>
      </c>
      <c r="I2840" t="s">
        <v>76</v>
      </c>
      <c r="J2840" t="s">
        <v>77</v>
      </c>
      <c r="K2840" t="s">
        <v>78</v>
      </c>
      <c r="L2840" t="s">
        <v>277</v>
      </c>
      <c r="M2840" t="s">
        <v>278</v>
      </c>
      <c r="N2840" t="s">
        <v>918</v>
      </c>
      <c r="O2840" t="s">
        <v>82</v>
      </c>
      <c r="P2840" t="str">
        <f>"4170049807                    "</f>
        <v xml:space="preserve">4170049807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22.6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71.2</v>
      </c>
      <c r="BM2840">
        <v>10.68</v>
      </c>
      <c r="BN2840">
        <v>81.88</v>
      </c>
      <c r="BO2840">
        <v>81.88</v>
      </c>
      <c r="BQ2840" t="s">
        <v>919</v>
      </c>
      <c r="BR2840" t="s">
        <v>84</v>
      </c>
      <c r="BS2840" s="3">
        <v>45860</v>
      </c>
      <c r="BT2840" s="4">
        <v>0.35347222222222224</v>
      </c>
      <c r="BU2840" t="s">
        <v>3024</v>
      </c>
      <c r="BV2840" t="s">
        <v>98</v>
      </c>
      <c r="BY2840">
        <v>1200</v>
      </c>
      <c r="CA2840" t="s">
        <v>282</v>
      </c>
      <c r="CC2840" t="s">
        <v>278</v>
      </c>
      <c r="CD2840">
        <v>6229</v>
      </c>
      <c r="CE2840" t="s">
        <v>121</v>
      </c>
      <c r="CF2840" s="3">
        <v>45860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"080066693607"</f>
        <v>080066693607</v>
      </c>
      <c r="F2841" s="3">
        <v>45859</v>
      </c>
      <c r="G2841">
        <v>202604</v>
      </c>
      <c r="H2841" t="s">
        <v>75</v>
      </c>
      <c r="I2841" t="s">
        <v>76</v>
      </c>
      <c r="J2841" t="s">
        <v>77</v>
      </c>
      <c r="K2841" t="s">
        <v>78</v>
      </c>
      <c r="L2841" t="s">
        <v>240</v>
      </c>
      <c r="M2841" t="s">
        <v>241</v>
      </c>
      <c r="N2841" t="s">
        <v>2580</v>
      </c>
      <c r="O2841" t="s">
        <v>82</v>
      </c>
      <c r="P2841" t="str">
        <f>"4170049737                    "</f>
        <v xml:space="preserve">4170049737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17.649999999999999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55.61</v>
      </c>
      <c r="BM2841">
        <v>8.34</v>
      </c>
      <c r="BN2841">
        <v>63.95</v>
      </c>
      <c r="BO2841">
        <v>63.95</v>
      </c>
      <c r="BQ2841" t="s">
        <v>2581</v>
      </c>
      <c r="BR2841" t="s">
        <v>84</v>
      </c>
      <c r="BS2841" s="3">
        <v>45860</v>
      </c>
      <c r="BT2841" s="4">
        <v>0.36249999999999999</v>
      </c>
      <c r="BU2841" t="s">
        <v>3007</v>
      </c>
      <c r="BV2841" t="s">
        <v>98</v>
      </c>
      <c r="BY2841">
        <v>1200</v>
      </c>
      <c r="CA2841" t="s">
        <v>451</v>
      </c>
      <c r="CC2841" t="s">
        <v>241</v>
      </c>
      <c r="CD2841">
        <v>2094</v>
      </c>
      <c r="CE2841" t="s">
        <v>121</v>
      </c>
      <c r="CF2841" s="3">
        <v>45860</v>
      </c>
      <c r="CI2841">
        <v>1</v>
      </c>
      <c r="CJ2841">
        <v>1</v>
      </c>
      <c r="CK2841">
        <v>22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"080066693650"</f>
        <v>080066693650</v>
      </c>
      <c r="F2842" s="3">
        <v>45859</v>
      </c>
      <c r="G2842">
        <v>202604</v>
      </c>
      <c r="H2842" t="s">
        <v>75</v>
      </c>
      <c r="I2842" t="s">
        <v>76</v>
      </c>
      <c r="J2842" t="s">
        <v>77</v>
      </c>
      <c r="K2842" t="s">
        <v>78</v>
      </c>
      <c r="L2842" t="s">
        <v>305</v>
      </c>
      <c r="M2842" t="s">
        <v>306</v>
      </c>
      <c r="N2842" t="s">
        <v>640</v>
      </c>
      <c r="O2842" t="s">
        <v>82</v>
      </c>
      <c r="P2842" t="str">
        <f>"4170049986                    "</f>
        <v xml:space="preserve">4170049986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22.6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71.2</v>
      </c>
      <c r="BM2842">
        <v>10.68</v>
      </c>
      <c r="BN2842">
        <v>81.88</v>
      </c>
      <c r="BO2842">
        <v>81.88</v>
      </c>
      <c r="BQ2842" t="s">
        <v>641</v>
      </c>
      <c r="BR2842" t="s">
        <v>84</v>
      </c>
      <c r="BS2842" s="3">
        <v>45860</v>
      </c>
      <c r="BT2842" s="4">
        <v>0.68055555555555558</v>
      </c>
      <c r="BU2842" t="s">
        <v>2984</v>
      </c>
      <c r="BV2842" t="s">
        <v>86</v>
      </c>
      <c r="BY2842">
        <v>1200</v>
      </c>
      <c r="CA2842" t="s">
        <v>310</v>
      </c>
      <c r="CC2842" t="s">
        <v>306</v>
      </c>
      <c r="CD2842">
        <v>5201</v>
      </c>
      <c r="CE2842" t="s">
        <v>121</v>
      </c>
      <c r="CF2842" s="3">
        <v>45862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"080066693685"</f>
        <v>080066693685</v>
      </c>
      <c r="F2843" s="3">
        <v>45859</v>
      </c>
      <c r="G2843">
        <v>202604</v>
      </c>
      <c r="H2843" t="s">
        <v>75</v>
      </c>
      <c r="I2843" t="s">
        <v>76</v>
      </c>
      <c r="J2843" t="s">
        <v>77</v>
      </c>
      <c r="K2843" t="s">
        <v>78</v>
      </c>
      <c r="L2843" t="s">
        <v>295</v>
      </c>
      <c r="M2843" t="s">
        <v>296</v>
      </c>
      <c r="N2843" t="s">
        <v>1090</v>
      </c>
      <c r="O2843" t="s">
        <v>82</v>
      </c>
      <c r="P2843" t="str">
        <f>"4170049876                    "</f>
        <v xml:space="preserve">4170049876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17.649999999999999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55.61</v>
      </c>
      <c r="BM2843">
        <v>8.34</v>
      </c>
      <c r="BN2843">
        <v>63.95</v>
      </c>
      <c r="BO2843">
        <v>63.95</v>
      </c>
      <c r="BQ2843" t="s">
        <v>1091</v>
      </c>
      <c r="BR2843" t="s">
        <v>84</v>
      </c>
      <c r="BS2843" s="3">
        <v>45860</v>
      </c>
      <c r="BT2843" s="4">
        <v>0.37152777777777779</v>
      </c>
      <c r="BU2843" t="s">
        <v>3025</v>
      </c>
      <c r="BV2843" t="s">
        <v>98</v>
      </c>
      <c r="BY2843">
        <v>1200</v>
      </c>
      <c r="CA2843" t="s">
        <v>2782</v>
      </c>
      <c r="CC2843" t="s">
        <v>296</v>
      </c>
      <c r="CD2843">
        <v>1459</v>
      </c>
      <c r="CE2843" t="s">
        <v>121</v>
      </c>
      <c r="CF2843" s="3">
        <v>45860</v>
      </c>
      <c r="CI2843">
        <v>1</v>
      </c>
      <c r="CJ2843">
        <v>1</v>
      </c>
      <c r="CK2843">
        <v>22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"080066693705"</f>
        <v>080066693705</v>
      </c>
      <c r="F2844" s="3">
        <v>45859</v>
      </c>
      <c r="G2844">
        <v>202604</v>
      </c>
      <c r="H2844" t="s">
        <v>75</v>
      </c>
      <c r="I2844" t="s">
        <v>76</v>
      </c>
      <c r="J2844" t="s">
        <v>77</v>
      </c>
      <c r="K2844" t="s">
        <v>78</v>
      </c>
      <c r="L2844" t="s">
        <v>151</v>
      </c>
      <c r="M2844" t="s">
        <v>152</v>
      </c>
      <c r="N2844" t="s">
        <v>272</v>
      </c>
      <c r="O2844" t="s">
        <v>82</v>
      </c>
      <c r="P2844" t="str">
        <f>"4170049858                    "</f>
        <v xml:space="preserve">4170049858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22.6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71.2</v>
      </c>
      <c r="BM2844">
        <v>10.68</v>
      </c>
      <c r="BN2844">
        <v>81.88</v>
      </c>
      <c r="BO2844">
        <v>81.88</v>
      </c>
      <c r="BQ2844" t="s">
        <v>273</v>
      </c>
      <c r="BR2844" t="s">
        <v>84</v>
      </c>
      <c r="BS2844" s="3">
        <v>45860</v>
      </c>
      <c r="BT2844" s="4">
        <v>0.41319444444444442</v>
      </c>
      <c r="BU2844" t="s">
        <v>2625</v>
      </c>
      <c r="BV2844" t="s">
        <v>98</v>
      </c>
      <c r="BY2844">
        <v>1200</v>
      </c>
      <c r="CA2844" t="s">
        <v>275</v>
      </c>
      <c r="CC2844" t="s">
        <v>152</v>
      </c>
      <c r="CD2844" s="5" t="s">
        <v>276</v>
      </c>
      <c r="CE2844" t="s">
        <v>121</v>
      </c>
      <c r="CF2844" s="3">
        <v>45860</v>
      </c>
      <c r="CI2844">
        <v>1</v>
      </c>
      <c r="CJ2844">
        <v>1</v>
      </c>
      <c r="CK2844">
        <v>21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"080066693726"</f>
        <v>080066693726</v>
      </c>
      <c r="F2845" s="3">
        <v>45859</v>
      </c>
      <c r="G2845">
        <v>202604</v>
      </c>
      <c r="H2845" t="s">
        <v>75</v>
      </c>
      <c r="I2845" t="s">
        <v>76</v>
      </c>
      <c r="J2845" t="s">
        <v>77</v>
      </c>
      <c r="K2845" t="s">
        <v>78</v>
      </c>
      <c r="L2845" t="s">
        <v>554</v>
      </c>
      <c r="M2845" t="s">
        <v>555</v>
      </c>
      <c r="N2845" t="s">
        <v>556</v>
      </c>
      <c r="O2845" t="s">
        <v>82</v>
      </c>
      <c r="P2845" t="str">
        <f>"4170049818                    "</f>
        <v xml:space="preserve">4170049818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22.6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71.2</v>
      </c>
      <c r="BM2845">
        <v>10.68</v>
      </c>
      <c r="BN2845">
        <v>81.88</v>
      </c>
      <c r="BO2845">
        <v>81.88</v>
      </c>
      <c r="BQ2845" t="s">
        <v>557</v>
      </c>
      <c r="BR2845" t="s">
        <v>84</v>
      </c>
      <c r="BS2845" s="3">
        <v>45860</v>
      </c>
      <c r="BT2845" s="4">
        <v>0.38750000000000001</v>
      </c>
      <c r="BU2845" t="s">
        <v>558</v>
      </c>
      <c r="BV2845" t="s">
        <v>98</v>
      </c>
      <c r="BY2845">
        <v>1200</v>
      </c>
      <c r="CA2845" t="s">
        <v>559</v>
      </c>
      <c r="CC2845" t="s">
        <v>555</v>
      </c>
      <c r="CD2845" s="5" t="s">
        <v>560</v>
      </c>
      <c r="CE2845" t="s">
        <v>121</v>
      </c>
      <c r="CF2845" s="3">
        <v>45860</v>
      </c>
      <c r="CI2845">
        <v>1</v>
      </c>
      <c r="CJ2845">
        <v>1</v>
      </c>
      <c r="CK2845">
        <v>21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"080066693751"</f>
        <v>080066693751</v>
      </c>
      <c r="F2846" s="3">
        <v>45859</v>
      </c>
      <c r="G2846">
        <v>202604</v>
      </c>
      <c r="H2846" t="s">
        <v>75</v>
      </c>
      <c r="I2846" t="s">
        <v>76</v>
      </c>
      <c r="J2846" t="s">
        <v>77</v>
      </c>
      <c r="K2846" t="s">
        <v>78</v>
      </c>
      <c r="L2846" t="s">
        <v>305</v>
      </c>
      <c r="M2846" t="s">
        <v>306</v>
      </c>
      <c r="N2846" t="s">
        <v>1320</v>
      </c>
      <c r="O2846" t="s">
        <v>82</v>
      </c>
      <c r="P2846" t="str">
        <f>"4170049768                    "</f>
        <v xml:space="preserve">4170049768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22.6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71.2</v>
      </c>
      <c r="BM2846">
        <v>10.68</v>
      </c>
      <c r="BN2846">
        <v>81.88</v>
      </c>
      <c r="BO2846">
        <v>81.88</v>
      </c>
      <c r="BQ2846" t="s">
        <v>308</v>
      </c>
      <c r="BR2846" t="s">
        <v>84</v>
      </c>
      <c r="BS2846" s="3">
        <v>45860</v>
      </c>
      <c r="BT2846" s="4">
        <v>0.72361111111111109</v>
      </c>
      <c r="BU2846" t="s">
        <v>1378</v>
      </c>
      <c r="BV2846" t="s">
        <v>86</v>
      </c>
      <c r="BY2846">
        <v>1200</v>
      </c>
      <c r="CA2846" t="s">
        <v>310</v>
      </c>
      <c r="CC2846" t="s">
        <v>306</v>
      </c>
      <c r="CD2846">
        <v>5201</v>
      </c>
      <c r="CE2846" t="s">
        <v>121</v>
      </c>
      <c r="CF2846" s="3">
        <v>45862</v>
      </c>
      <c r="CI2846">
        <v>1</v>
      </c>
      <c r="CJ2846">
        <v>1</v>
      </c>
      <c r="CK2846">
        <v>21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"080066693778"</f>
        <v>080066693778</v>
      </c>
      <c r="F2847" s="3">
        <v>45859</v>
      </c>
      <c r="G2847">
        <v>202604</v>
      </c>
      <c r="H2847" t="s">
        <v>75</v>
      </c>
      <c r="I2847" t="s">
        <v>76</v>
      </c>
      <c r="J2847" t="s">
        <v>77</v>
      </c>
      <c r="K2847" t="s">
        <v>78</v>
      </c>
      <c r="L2847" t="s">
        <v>151</v>
      </c>
      <c r="M2847" t="s">
        <v>152</v>
      </c>
      <c r="N2847" t="s">
        <v>2227</v>
      </c>
      <c r="O2847" t="s">
        <v>82</v>
      </c>
      <c r="P2847" t="str">
        <f>"4170049817                    "</f>
        <v xml:space="preserve">4170049817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71.2</v>
      </c>
      <c r="BM2847">
        <v>10.68</v>
      </c>
      <c r="BN2847">
        <v>81.88</v>
      </c>
      <c r="BO2847">
        <v>81.88</v>
      </c>
      <c r="BQ2847" t="s">
        <v>2228</v>
      </c>
      <c r="BR2847" t="s">
        <v>84</v>
      </c>
      <c r="BS2847" s="3">
        <v>45860</v>
      </c>
      <c r="BT2847" s="4">
        <v>0.38055555555555554</v>
      </c>
      <c r="BU2847" t="s">
        <v>3026</v>
      </c>
      <c r="BV2847" t="s">
        <v>98</v>
      </c>
      <c r="BY2847">
        <v>1200</v>
      </c>
      <c r="CA2847" t="s">
        <v>513</v>
      </c>
      <c r="CC2847" t="s">
        <v>152</v>
      </c>
      <c r="CD2847" s="5" t="s">
        <v>1141</v>
      </c>
      <c r="CE2847" t="s">
        <v>121</v>
      </c>
      <c r="CF2847" s="3">
        <v>45860</v>
      </c>
      <c r="CI2847">
        <v>1</v>
      </c>
      <c r="CJ2847">
        <v>1</v>
      </c>
      <c r="CK2847">
        <v>21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"080066693806"</f>
        <v>080066693806</v>
      </c>
      <c r="F2848" s="3">
        <v>45859</v>
      </c>
      <c r="G2848">
        <v>202604</v>
      </c>
      <c r="H2848" t="s">
        <v>75</v>
      </c>
      <c r="I2848" t="s">
        <v>76</v>
      </c>
      <c r="J2848" t="s">
        <v>77</v>
      </c>
      <c r="K2848" t="s">
        <v>78</v>
      </c>
      <c r="L2848" t="s">
        <v>168</v>
      </c>
      <c r="M2848" t="s">
        <v>169</v>
      </c>
      <c r="N2848" t="s">
        <v>202</v>
      </c>
      <c r="O2848" t="s">
        <v>82</v>
      </c>
      <c r="P2848" t="str">
        <f>"4170049969                    "</f>
        <v xml:space="preserve">4170049969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22.6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71.2</v>
      </c>
      <c r="BM2848">
        <v>10.68</v>
      </c>
      <c r="BN2848">
        <v>81.88</v>
      </c>
      <c r="BO2848">
        <v>81.88</v>
      </c>
      <c r="BQ2848" t="s">
        <v>203</v>
      </c>
      <c r="BR2848" t="s">
        <v>84</v>
      </c>
      <c r="BS2848" s="3">
        <v>45860</v>
      </c>
      <c r="BT2848" s="4">
        <v>0.34791666666666665</v>
      </c>
      <c r="BU2848" t="s">
        <v>1127</v>
      </c>
      <c r="BV2848" t="s">
        <v>98</v>
      </c>
      <c r="BY2848">
        <v>1200</v>
      </c>
      <c r="CA2848" t="s">
        <v>205</v>
      </c>
      <c r="CC2848" t="s">
        <v>169</v>
      </c>
      <c r="CD2848">
        <v>6001</v>
      </c>
      <c r="CE2848" t="s">
        <v>121</v>
      </c>
      <c r="CF2848" s="3">
        <v>45860</v>
      </c>
      <c r="CI2848">
        <v>1</v>
      </c>
      <c r="CJ2848">
        <v>1</v>
      </c>
      <c r="CK2848">
        <v>21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"080066693831"</f>
        <v>080066693831</v>
      </c>
      <c r="F2849" s="3">
        <v>45859</v>
      </c>
      <c r="G2849">
        <v>202604</v>
      </c>
      <c r="H2849" t="s">
        <v>75</v>
      </c>
      <c r="I2849" t="s">
        <v>76</v>
      </c>
      <c r="J2849" t="s">
        <v>77</v>
      </c>
      <c r="K2849" t="s">
        <v>78</v>
      </c>
      <c r="L2849" t="s">
        <v>295</v>
      </c>
      <c r="M2849" t="s">
        <v>296</v>
      </c>
      <c r="N2849" t="s">
        <v>539</v>
      </c>
      <c r="O2849" t="s">
        <v>95</v>
      </c>
      <c r="P2849" t="str">
        <f>"4170049974                    "</f>
        <v xml:space="preserve">4170049974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45.55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27</v>
      </c>
      <c r="BJ2849">
        <v>10.8</v>
      </c>
      <c r="BK2849">
        <v>27</v>
      </c>
      <c r="BL2849">
        <v>149.38</v>
      </c>
      <c r="BM2849">
        <v>22.41</v>
      </c>
      <c r="BN2849">
        <v>171.79</v>
      </c>
      <c r="BO2849">
        <v>171.79</v>
      </c>
      <c r="BQ2849" t="s">
        <v>540</v>
      </c>
      <c r="BR2849" t="s">
        <v>84</v>
      </c>
      <c r="BS2849" s="3">
        <v>45860</v>
      </c>
      <c r="BT2849" s="4">
        <v>0.39166666666666666</v>
      </c>
      <c r="BU2849" t="s">
        <v>3027</v>
      </c>
      <c r="BV2849" t="s">
        <v>98</v>
      </c>
      <c r="BY2849">
        <v>54150</v>
      </c>
      <c r="CA2849" t="s">
        <v>1479</v>
      </c>
      <c r="CC2849" t="s">
        <v>296</v>
      </c>
      <c r="CD2849">
        <v>1460</v>
      </c>
      <c r="CE2849" t="s">
        <v>145</v>
      </c>
      <c r="CF2849" s="3">
        <v>45861</v>
      </c>
      <c r="CI2849">
        <v>1</v>
      </c>
      <c r="CJ2849">
        <v>1</v>
      </c>
      <c r="CK2849">
        <v>42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"080066693849"</f>
        <v>080066693849</v>
      </c>
      <c r="F2850" s="3">
        <v>45859</v>
      </c>
      <c r="G2850">
        <v>202604</v>
      </c>
      <c r="H2850" t="s">
        <v>75</v>
      </c>
      <c r="I2850" t="s">
        <v>76</v>
      </c>
      <c r="J2850" t="s">
        <v>77</v>
      </c>
      <c r="K2850" t="s">
        <v>78</v>
      </c>
      <c r="L2850" t="s">
        <v>240</v>
      </c>
      <c r="M2850" t="s">
        <v>241</v>
      </c>
      <c r="N2850" t="s">
        <v>686</v>
      </c>
      <c r="O2850" t="s">
        <v>82</v>
      </c>
      <c r="P2850" t="str">
        <f>"4170049699                    "</f>
        <v xml:space="preserve">4170049699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17.649999999999999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55.61</v>
      </c>
      <c r="BM2850">
        <v>8.34</v>
      </c>
      <c r="BN2850">
        <v>63.95</v>
      </c>
      <c r="BO2850">
        <v>63.95</v>
      </c>
      <c r="BQ2850" t="s">
        <v>687</v>
      </c>
      <c r="BR2850" t="s">
        <v>84</v>
      </c>
      <c r="BS2850" s="3">
        <v>45860</v>
      </c>
      <c r="BT2850" s="4">
        <v>0.35972222222222222</v>
      </c>
      <c r="BU2850" t="s">
        <v>938</v>
      </c>
      <c r="BV2850" t="s">
        <v>98</v>
      </c>
      <c r="BY2850">
        <v>1200</v>
      </c>
      <c r="CA2850" t="s">
        <v>451</v>
      </c>
      <c r="CC2850" t="s">
        <v>241</v>
      </c>
      <c r="CD2850">
        <v>2094</v>
      </c>
      <c r="CE2850" t="s">
        <v>121</v>
      </c>
      <c r="CF2850" s="3">
        <v>45860</v>
      </c>
      <c r="CI2850">
        <v>1</v>
      </c>
      <c r="CJ2850">
        <v>1</v>
      </c>
      <c r="CK2850">
        <v>22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"080066693873"</f>
        <v>080066693873</v>
      </c>
      <c r="F2851" s="3">
        <v>45859</v>
      </c>
      <c r="G2851">
        <v>202604</v>
      </c>
      <c r="H2851" t="s">
        <v>75</v>
      </c>
      <c r="I2851" t="s">
        <v>76</v>
      </c>
      <c r="J2851" t="s">
        <v>77</v>
      </c>
      <c r="K2851" t="s">
        <v>78</v>
      </c>
      <c r="L2851" t="s">
        <v>151</v>
      </c>
      <c r="M2851" t="s">
        <v>152</v>
      </c>
      <c r="N2851" t="s">
        <v>325</v>
      </c>
      <c r="O2851" t="s">
        <v>95</v>
      </c>
      <c r="P2851" t="str">
        <f>"4170049973                    "</f>
        <v xml:space="preserve">4170049973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81.59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2</v>
      </c>
      <c r="BI2851">
        <v>36</v>
      </c>
      <c r="BJ2851">
        <v>32</v>
      </c>
      <c r="BK2851">
        <v>36</v>
      </c>
      <c r="BL2851">
        <v>262.92</v>
      </c>
      <c r="BM2851">
        <v>39.44</v>
      </c>
      <c r="BN2851">
        <v>302.36</v>
      </c>
      <c r="BO2851">
        <v>302.36</v>
      </c>
      <c r="BQ2851" t="s">
        <v>326</v>
      </c>
      <c r="BR2851" t="s">
        <v>84</v>
      </c>
      <c r="BS2851" s="3">
        <v>45860</v>
      </c>
      <c r="BT2851" s="4">
        <v>0.41458333333333336</v>
      </c>
      <c r="BU2851" t="s">
        <v>3028</v>
      </c>
      <c r="BV2851" t="s">
        <v>98</v>
      </c>
      <c r="BY2851">
        <v>80000</v>
      </c>
      <c r="CA2851" t="s">
        <v>513</v>
      </c>
      <c r="CC2851" t="s">
        <v>152</v>
      </c>
      <c r="CD2851" s="5" t="s">
        <v>1141</v>
      </c>
      <c r="CE2851" t="s">
        <v>145</v>
      </c>
      <c r="CF2851" s="3">
        <v>45860</v>
      </c>
      <c r="CI2851">
        <v>1</v>
      </c>
      <c r="CJ2851">
        <v>1</v>
      </c>
      <c r="CK2851">
        <v>41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"080066693879"</f>
        <v>080066693879</v>
      </c>
      <c r="F2852" s="3">
        <v>45859</v>
      </c>
      <c r="G2852">
        <v>202604</v>
      </c>
      <c r="H2852" t="s">
        <v>75</v>
      </c>
      <c r="I2852" t="s">
        <v>76</v>
      </c>
      <c r="J2852" t="s">
        <v>77</v>
      </c>
      <c r="K2852" t="s">
        <v>78</v>
      </c>
      <c r="L2852" t="s">
        <v>151</v>
      </c>
      <c r="M2852" t="s">
        <v>152</v>
      </c>
      <c r="N2852" t="s">
        <v>1484</v>
      </c>
      <c r="O2852" t="s">
        <v>82</v>
      </c>
      <c r="P2852" t="str">
        <f>"4170049962                    "</f>
        <v xml:space="preserve">4170049962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22.6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71.2</v>
      </c>
      <c r="BM2852">
        <v>10.68</v>
      </c>
      <c r="BN2852">
        <v>81.88</v>
      </c>
      <c r="BO2852">
        <v>81.88</v>
      </c>
      <c r="BQ2852" t="s">
        <v>1485</v>
      </c>
      <c r="BR2852" t="s">
        <v>84</v>
      </c>
      <c r="BS2852" s="3">
        <v>45860</v>
      </c>
      <c r="BT2852" s="4">
        <v>0.63749999999999996</v>
      </c>
      <c r="BU2852" t="s">
        <v>1194</v>
      </c>
      <c r="BV2852" t="s">
        <v>98</v>
      </c>
      <c r="BY2852">
        <v>1200</v>
      </c>
      <c r="CA2852" t="s">
        <v>513</v>
      </c>
      <c r="CC2852" t="s">
        <v>152</v>
      </c>
      <c r="CD2852" s="5" t="s">
        <v>1487</v>
      </c>
      <c r="CE2852" t="s">
        <v>121</v>
      </c>
      <c r="CF2852" s="3">
        <v>45860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"080066693907"</f>
        <v>080066693907</v>
      </c>
      <c r="F2853" s="3">
        <v>45859</v>
      </c>
      <c r="G2853">
        <v>202604</v>
      </c>
      <c r="H2853" t="s">
        <v>75</v>
      </c>
      <c r="I2853" t="s">
        <v>76</v>
      </c>
      <c r="J2853" t="s">
        <v>77</v>
      </c>
      <c r="K2853" t="s">
        <v>78</v>
      </c>
      <c r="L2853" t="s">
        <v>234</v>
      </c>
      <c r="M2853" t="s">
        <v>235</v>
      </c>
      <c r="N2853" t="s">
        <v>3029</v>
      </c>
      <c r="O2853" t="s">
        <v>82</v>
      </c>
      <c r="P2853" t="str">
        <f>"4170049924                    "</f>
        <v xml:space="preserve">4170049924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17.649999999999999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55.61</v>
      </c>
      <c r="BM2853">
        <v>8.34</v>
      </c>
      <c r="BN2853">
        <v>63.95</v>
      </c>
      <c r="BO2853">
        <v>63.95</v>
      </c>
      <c r="BQ2853" t="s">
        <v>3030</v>
      </c>
      <c r="BR2853" t="s">
        <v>84</v>
      </c>
      <c r="BS2853" s="3">
        <v>45860</v>
      </c>
      <c r="BT2853" s="4">
        <v>0.42222222222222222</v>
      </c>
      <c r="BU2853" t="s">
        <v>1881</v>
      </c>
      <c r="BV2853" t="s">
        <v>98</v>
      </c>
      <c r="BY2853">
        <v>1200</v>
      </c>
      <c r="CA2853" t="s">
        <v>2473</v>
      </c>
      <c r="CC2853" t="s">
        <v>235</v>
      </c>
      <c r="CD2853">
        <v>1682</v>
      </c>
      <c r="CE2853" t="s">
        <v>121</v>
      </c>
      <c r="CF2853" s="3">
        <v>45861</v>
      </c>
      <c r="CI2853">
        <v>1</v>
      </c>
      <c r="CJ2853">
        <v>1</v>
      </c>
      <c r="CK2853">
        <v>22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"080066693933"</f>
        <v>080066693933</v>
      </c>
      <c r="F2854" s="3">
        <v>45859</v>
      </c>
      <c r="G2854">
        <v>202604</v>
      </c>
      <c r="H2854" t="s">
        <v>75</v>
      </c>
      <c r="I2854" t="s">
        <v>76</v>
      </c>
      <c r="J2854" t="s">
        <v>77</v>
      </c>
      <c r="K2854" t="s">
        <v>78</v>
      </c>
      <c r="L2854" t="s">
        <v>1651</v>
      </c>
      <c r="M2854" t="s">
        <v>1652</v>
      </c>
      <c r="N2854" t="s">
        <v>1653</v>
      </c>
      <c r="O2854" t="s">
        <v>82</v>
      </c>
      <c r="P2854" t="str">
        <f>"4170049958                    "</f>
        <v xml:space="preserve">4170049958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43.78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137.94</v>
      </c>
      <c r="BM2854">
        <v>20.69</v>
      </c>
      <c r="BN2854">
        <v>158.63</v>
      </c>
      <c r="BO2854">
        <v>158.63</v>
      </c>
      <c r="BQ2854" t="s">
        <v>1654</v>
      </c>
      <c r="BR2854" t="s">
        <v>84</v>
      </c>
      <c r="BS2854" s="3">
        <v>45860</v>
      </c>
      <c r="BT2854" s="4">
        <v>0.44513888888888886</v>
      </c>
      <c r="BU2854" t="s">
        <v>1655</v>
      </c>
      <c r="BV2854" t="s">
        <v>98</v>
      </c>
      <c r="BY2854">
        <v>1200</v>
      </c>
      <c r="CA2854" t="s">
        <v>1656</v>
      </c>
      <c r="CC2854" t="s">
        <v>1652</v>
      </c>
      <c r="CD2854">
        <v>6715</v>
      </c>
      <c r="CE2854" t="s">
        <v>121</v>
      </c>
      <c r="CF2854" s="3">
        <v>45861</v>
      </c>
      <c r="CI2854">
        <v>2</v>
      </c>
      <c r="CJ2854">
        <v>1</v>
      </c>
      <c r="CK2854">
        <v>23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"080066693969"</f>
        <v>080066693969</v>
      </c>
      <c r="F2855" s="3">
        <v>45859</v>
      </c>
      <c r="G2855">
        <v>202604</v>
      </c>
      <c r="H2855" t="s">
        <v>75</v>
      </c>
      <c r="I2855" t="s">
        <v>76</v>
      </c>
      <c r="J2855" t="s">
        <v>77</v>
      </c>
      <c r="K2855" t="s">
        <v>78</v>
      </c>
      <c r="L2855" t="s">
        <v>329</v>
      </c>
      <c r="M2855" t="s">
        <v>330</v>
      </c>
      <c r="N2855" t="s">
        <v>331</v>
      </c>
      <c r="O2855" t="s">
        <v>82</v>
      </c>
      <c r="P2855" t="str">
        <f>"4170049911                    "</f>
        <v xml:space="preserve">4170049911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43.78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137.94</v>
      </c>
      <c r="BM2855">
        <v>20.69</v>
      </c>
      <c r="BN2855">
        <v>158.63</v>
      </c>
      <c r="BO2855">
        <v>158.63</v>
      </c>
      <c r="BQ2855" t="s">
        <v>332</v>
      </c>
      <c r="BR2855" t="s">
        <v>84</v>
      </c>
      <c r="BS2855" s="3">
        <v>45860</v>
      </c>
      <c r="BT2855" s="4">
        <v>0.46388888888888891</v>
      </c>
      <c r="BU2855" t="s">
        <v>333</v>
      </c>
      <c r="BV2855" t="s">
        <v>98</v>
      </c>
      <c r="BY2855">
        <v>1200</v>
      </c>
      <c r="CA2855" t="s">
        <v>1153</v>
      </c>
      <c r="CC2855" t="s">
        <v>330</v>
      </c>
      <c r="CD2855">
        <v>6300</v>
      </c>
      <c r="CE2855" t="s">
        <v>121</v>
      </c>
      <c r="CF2855" s="3">
        <v>45860</v>
      </c>
      <c r="CI2855">
        <v>2</v>
      </c>
      <c r="CJ2855">
        <v>1</v>
      </c>
      <c r="CK2855">
        <v>23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"080066694010"</f>
        <v>080066694010</v>
      </c>
      <c r="F2856" s="3">
        <v>45859</v>
      </c>
      <c r="G2856">
        <v>202604</v>
      </c>
      <c r="H2856" t="s">
        <v>75</v>
      </c>
      <c r="I2856" t="s">
        <v>76</v>
      </c>
      <c r="J2856" t="s">
        <v>77</v>
      </c>
      <c r="K2856" t="s">
        <v>78</v>
      </c>
      <c r="L2856" t="s">
        <v>92</v>
      </c>
      <c r="M2856" t="s">
        <v>93</v>
      </c>
      <c r="N2856" t="s">
        <v>749</v>
      </c>
      <c r="O2856" t="s">
        <v>82</v>
      </c>
      <c r="P2856" t="str">
        <f>"4170049803                    "</f>
        <v xml:space="preserve">4170049803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22.6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71.2</v>
      </c>
      <c r="BM2856">
        <v>10.68</v>
      </c>
      <c r="BN2856">
        <v>81.88</v>
      </c>
      <c r="BO2856">
        <v>81.88</v>
      </c>
      <c r="BQ2856" t="s">
        <v>750</v>
      </c>
      <c r="BR2856" t="s">
        <v>84</v>
      </c>
      <c r="BS2856" s="3">
        <v>45860</v>
      </c>
      <c r="BT2856" s="4">
        <v>0.38958333333333334</v>
      </c>
      <c r="BU2856" t="s">
        <v>1329</v>
      </c>
      <c r="BV2856" t="s">
        <v>98</v>
      </c>
      <c r="BY2856">
        <v>1200</v>
      </c>
      <c r="CA2856" t="s">
        <v>491</v>
      </c>
      <c r="CC2856" t="s">
        <v>93</v>
      </c>
      <c r="CD2856">
        <v>4001</v>
      </c>
      <c r="CE2856" t="s">
        <v>121</v>
      </c>
      <c r="CF2856" s="3">
        <v>45861</v>
      </c>
      <c r="CI2856">
        <v>1</v>
      </c>
      <c r="CJ2856">
        <v>1</v>
      </c>
      <c r="CK2856">
        <v>21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"080066694044"</f>
        <v>080066694044</v>
      </c>
      <c r="F2857" s="3">
        <v>45859</v>
      </c>
      <c r="G2857">
        <v>202604</v>
      </c>
      <c r="H2857" t="s">
        <v>75</v>
      </c>
      <c r="I2857" t="s">
        <v>76</v>
      </c>
      <c r="J2857" t="s">
        <v>77</v>
      </c>
      <c r="K2857" t="s">
        <v>78</v>
      </c>
      <c r="L2857" t="s">
        <v>452</v>
      </c>
      <c r="M2857" t="s">
        <v>453</v>
      </c>
      <c r="N2857" t="s">
        <v>1999</v>
      </c>
      <c r="O2857" t="s">
        <v>82</v>
      </c>
      <c r="P2857" t="str">
        <f>"4170049802                    "</f>
        <v xml:space="preserve">4170049802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17.649999999999999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55.61</v>
      </c>
      <c r="BM2857">
        <v>8.34</v>
      </c>
      <c r="BN2857">
        <v>63.95</v>
      </c>
      <c r="BO2857">
        <v>63.95</v>
      </c>
      <c r="BQ2857" t="s">
        <v>2000</v>
      </c>
      <c r="BR2857" t="s">
        <v>84</v>
      </c>
      <c r="BS2857" s="3">
        <v>45860</v>
      </c>
      <c r="BT2857" s="4">
        <v>0.34375</v>
      </c>
      <c r="BU2857" t="s">
        <v>2001</v>
      </c>
      <c r="BV2857" t="s">
        <v>98</v>
      </c>
      <c r="BY2857">
        <v>1200</v>
      </c>
      <c r="CA2857" t="s">
        <v>1541</v>
      </c>
      <c r="CC2857" t="s">
        <v>453</v>
      </c>
      <c r="CD2857">
        <v>1559</v>
      </c>
      <c r="CE2857" t="s">
        <v>121</v>
      </c>
      <c r="CF2857" s="3">
        <v>45860</v>
      </c>
      <c r="CI2857">
        <v>1</v>
      </c>
      <c r="CJ2857">
        <v>1</v>
      </c>
      <c r="CK2857">
        <v>22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"080066694070"</f>
        <v>080066694070</v>
      </c>
      <c r="F2858" s="3">
        <v>45859</v>
      </c>
      <c r="G2858">
        <v>202604</v>
      </c>
      <c r="H2858" t="s">
        <v>75</v>
      </c>
      <c r="I2858" t="s">
        <v>76</v>
      </c>
      <c r="J2858" t="s">
        <v>77</v>
      </c>
      <c r="K2858" t="s">
        <v>78</v>
      </c>
      <c r="L2858" t="s">
        <v>305</v>
      </c>
      <c r="M2858" t="s">
        <v>306</v>
      </c>
      <c r="N2858" t="s">
        <v>640</v>
      </c>
      <c r="O2858" t="s">
        <v>82</v>
      </c>
      <c r="P2858" t="str">
        <f>"4170049912                    "</f>
        <v xml:space="preserve">4170049912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22.6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71.2</v>
      </c>
      <c r="BM2858">
        <v>10.68</v>
      </c>
      <c r="BN2858">
        <v>81.88</v>
      </c>
      <c r="BO2858">
        <v>81.88</v>
      </c>
      <c r="BQ2858" t="s">
        <v>641</v>
      </c>
      <c r="BR2858" t="s">
        <v>84</v>
      </c>
      <c r="BS2858" s="3">
        <v>45860</v>
      </c>
      <c r="BT2858" s="4">
        <v>0.68055555555555558</v>
      </c>
      <c r="BU2858" t="s">
        <v>2984</v>
      </c>
      <c r="BV2858" t="s">
        <v>86</v>
      </c>
      <c r="BY2858">
        <v>1200</v>
      </c>
      <c r="CA2858" t="s">
        <v>310</v>
      </c>
      <c r="CC2858" t="s">
        <v>306</v>
      </c>
      <c r="CD2858">
        <v>5201</v>
      </c>
      <c r="CE2858" t="s">
        <v>121</v>
      </c>
      <c r="CF2858" s="3">
        <v>45862</v>
      </c>
      <c r="CI2858">
        <v>1</v>
      </c>
      <c r="CJ2858">
        <v>1</v>
      </c>
      <c r="CK2858">
        <v>21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"080066694101"</f>
        <v>080066694101</v>
      </c>
      <c r="F2859" s="3">
        <v>45859</v>
      </c>
      <c r="G2859">
        <v>202604</v>
      </c>
      <c r="H2859" t="s">
        <v>75</v>
      </c>
      <c r="I2859" t="s">
        <v>76</v>
      </c>
      <c r="J2859" t="s">
        <v>77</v>
      </c>
      <c r="K2859" t="s">
        <v>78</v>
      </c>
      <c r="L2859" t="s">
        <v>260</v>
      </c>
      <c r="M2859" t="s">
        <v>261</v>
      </c>
      <c r="N2859" t="s">
        <v>1315</v>
      </c>
      <c r="O2859" t="s">
        <v>82</v>
      </c>
      <c r="P2859" t="str">
        <f>"4170049925                    "</f>
        <v xml:space="preserve">4170049925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43.78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137.94</v>
      </c>
      <c r="BM2859">
        <v>20.69</v>
      </c>
      <c r="BN2859">
        <v>158.63</v>
      </c>
      <c r="BO2859">
        <v>158.63</v>
      </c>
      <c r="BQ2859" t="s">
        <v>1316</v>
      </c>
      <c r="BR2859" t="s">
        <v>84</v>
      </c>
      <c r="BS2859" s="3">
        <v>45860</v>
      </c>
      <c r="BT2859" s="4">
        <v>0.4375</v>
      </c>
      <c r="BU2859" t="s">
        <v>3031</v>
      </c>
      <c r="BV2859" t="s">
        <v>98</v>
      </c>
      <c r="BY2859">
        <v>1200</v>
      </c>
      <c r="CC2859" t="s">
        <v>261</v>
      </c>
      <c r="CD2859">
        <v>1939</v>
      </c>
      <c r="CE2859" t="s">
        <v>258</v>
      </c>
      <c r="CF2859" s="3">
        <v>45860</v>
      </c>
      <c r="CI2859">
        <v>1</v>
      </c>
      <c r="CJ2859">
        <v>1</v>
      </c>
      <c r="CK2859">
        <v>23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"080066694210"</f>
        <v>080066694210</v>
      </c>
      <c r="F2860" s="3">
        <v>45859</v>
      </c>
      <c r="G2860">
        <v>202604</v>
      </c>
      <c r="H2860" t="s">
        <v>75</v>
      </c>
      <c r="I2860" t="s">
        <v>76</v>
      </c>
      <c r="J2860" t="s">
        <v>77</v>
      </c>
      <c r="K2860" t="s">
        <v>78</v>
      </c>
      <c r="L2860" t="s">
        <v>580</v>
      </c>
      <c r="M2860" t="s">
        <v>581</v>
      </c>
      <c r="N2860" t="s">
        <v>582</v>
      </c>
      <c r="O2860" t="s">
        <v>82</v>
      </c>
      <c r="P2860" t="str">
        <f>"4170049859                    "</f>
        <v xml:space="preserve">4170049859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22.6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71.2</v>
      </c>
      <c r="BM2860">
        <v>10.68</v>
      </c>
      <c r="BN2860">
        <v>81.88</v>
      </c>
      <c r="BO2860">
        <v>81.88</v>
      </c>
      <c r="BQ2860" t="s">
        <v>583</v>
      </c>
      <c r="BR2860" t="s">
        <v>84</v>
      </c>
      <c r="BS2860" s="3">
        <v>45860</v>
      </c>
      <c r="BT2860" s="4">
        <v>0.40277777777777779</v>
      </c>
      <c r="BU2860" t="s">
        <v>584</v>
      </c>
      <c r="BV2860" t="s">
        <v>98</v>
      </c>
      <c r="BY2860">
        <v>1200</v>
      </c>
      <c r="CA2860" t="s">
        <v>585</v>
      </c>
      <c r="CC2860" t="s">
        <v>581</v>
      </c>
      <c r="CD2860">
        <v>4302</v>
      </c>
      <c r="CE2860" t="s">
        <v>121</v>
      </c>
      <c r="CF2860" s="3">
        <v>45861</v>
      </c>
      <c r="CI2860">
        <v>1</v>
      </c>
      <c r="CJ2860">
        <v>1</v>
      </c>
      <c r="CK2860">
        <v>21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"080066694193"</f>
        <v>080066694193</v>
      </c>
      <c r="F2861" s="3">
        <v>45859</v>
      </c>
      <c r="G2861">
        <v>202604</v>
      </c>
      <c r="H2861" t="s">
        <v>75</v>
      </c>
      <c r="I2861" t="s">
        <v>76</v>
      </c>
      <c r="J2861" t="s">
        <v>77</v>
      </c>
      <c r="K2861" t="s">
        <v>78</v>
      </c>
      <c r="L2861" t="s">
        <v>168</v>
      </c>
      <c r="M2861" t="s">
        <v>169</v>
      </c>
      <c r="N2861" t="s">
        <v>202</v>
      </c>
      <c r="O2861" t="s">
        <v>82</v>
      </c>
      <c r="P2861" t="str">
        <f>"4170049978                    "</f>
        <v xml:space="preserve">4170049978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22.6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71.2</v>
      </c>
      <c r="BM2861">
        <v>10.68</v>
      </c>
      <c r="BN2861">
        <v>81.88</v>
      </c>
      <c r="BO2861">
        <v>81.88</v>
      </c>
      <c r="BQ2861" t="s">
        <v>203</v>
      </c>
      <c r="BR2861" t="s">
        <v>84</v>
      </c>
      <c r="BS2861" s="3">
        <v>45860</v>
      </c>
      <c r="BT2861" s="4">
        <v>0.34583333333333333</v>
      </c>
      <c r="BU2861" t="s">
        <v>204</v>
      </c>
      <c r="BV2861" t="s">
        <v>98</v>
      </c>
      <c r="BY2861">
        <v>1200</v>
      </c>
      <c r="CA2861" t="s">
        <v>205</v>
      </c>
      <c r="CC2861" t="s">
        <v>169</v>
      </c>
      <c r="CD2861">
        <v>6001</v>
      </c>
      <c r="CE2861" t="s">
        <v>110</v>
      </c>
      <c r="CF2861" s="3">
        <v>45860</v>
      </c>
      <c r="CI2861">
        <v>1</v>
      </c>
      <c r="CJ2861">
        <v>1</v>
      </c>
      <c r="CK2861">
        <v>21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"080066694240"</f>
        <v>080066694240</v>
      </c>
      <c r="F2862" s="3">
        <v>45859</v>
      </c>
      <c r="G2862">
        <v>202604</v>
      </c>
      <c r="H2862" t="s">
        <v>75</v>
      </c>
      <c r="I2862" t="s">
        <v>76</v>
      </c>
      <c r="J2862" t="s">
        <v>77</v>
      </c>
      <c r="K2862" t="s">
        <v>78</v>
      </c>
      <c r="L2862" t="s">
        <v>92</v>
      </c>
      <c r="M2862" t="s">
        <v>93</v>
      </c>
      <c r="N2862" t="s">
        <v>334</v>
      </c>
      <c r="O2862" t="s">
        <v>82</v>
      </c>
      <c r="P2862" t="str">
        <f>"4170049971                    "</f>
        <v xml:space="preserve">4170049971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175.02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5</v>
      </c>
      <c r="BJ2862">
        <v>15.4</v>
      </c>
      <c r="BK2862">
        <v>15.5</v>
      </c>
      <c r="BL2862">
        <v>551.4</v>
      </c>
      <c r="BM2862">
        <v>82.71</v>
      </c>
      <c r="BN2862">
        <v>634.11</v>
      </c>
      <c r="BO2862">
        <v>634.11</v>
      </c>
      <c r="BQ2862" t="s">
        <v>335</v>
      </c>
      <c r="BR2862" t="s">
        <v>84</v>
      </c>
      <c r="BS2862" s="3">
        <v>45860</v>
      </c>
      <c r="BT2862" s="4">
        <v>0.40347222222222223</v>
      </c>
      <c r="BU2862" t="s">
        <v>1365</v>
      </c>
      <c r="BV2862" t="s">
        <v>98</v>
      </c>
      <c r="BY2862">
        <v>76760</v>
      </c>
      <c r="CA2862" t="s">
        <v>337</v>
      </c>
      <c r="CC2862" t="s">
        <v>93</v>
      </c>
      <c r="CD2862">
        <v>4052</v>
      </c>
      <c r="CE2862" t="s">
        <v>2420</v>
      </c>
      <c r="CF2862" s="3">
        <v>45861</v>
      </c>
      <c r="CI2862">
        <v>1</v>
      </c>
      <c r="CJ2862">
        <v>1</v>
      </c>
      <c r="CK2862">
        <v>21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"080066694266"</f>
        <v>080066694266</v>
      </c>
      <c r="F2863" s="3">
        <v>45859</v>
      </c>
      <c r="G2863">
        <v>202604</v>
      </c>
      <c r="H2863" t="s">
        <v>75</v>
      </c>
      <c r="I2863" t="s">
        <v>76</v>
      </c>
      <c r="J2863" t="s">
        <v>77</v>
      </c>
      <c r="K2863" t="s">
        <v>78</v>
      </c>
      <c r="L2863" t="s">
        <v>135</v>
      </c>
      <c r="M2863" t="s">
        <v>136</v>
      </c>
      <c r="N2863" t="s">
        <v>379</v>
      </c>
      <c r="O2863" t="s">
        <v>82</v>
      </c>
      <c r="P2863" t="str">
        <f>"4170049889                    "</f>
        <v xml:space="preserve">4170049889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22.6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1.9</v>
      </c>
      <c r="BK2863">
        <v>2</v>
      </c>
      <c r="BL2863">
        <v>71.2</v>
      </c>
      <c r="BM2863">
        <v>10.68</v>
      </c>
      <c r="BN2863">
        <v>81.88</v>
      </c>
      <c r="BO2863">
        <v>81.88</v>
      </c>
      <c r="BQ2863" t="s">
        <v>380</v>
      </c>
      <c r="BR2863" t="s">
        <v>84</v>
      </c>
      <c r="BS2863" s="3">
        <v>45860</v>
      </c>
      <c r="BT2863" s="4">
        <v>0.41666666666666669</v>
      </c>
      <c r="BU2863" t="s">
        <v>2019</v>
      </c>
      <c r="BV2863" t="s">
        <v>98</v>
      </c>
      <c r="BY2863">
        <v>9600</v>
      </c>
      <c r="CA2863" t="s">
        <v>382</v>
      </c>
      <c r="CC2863" t="s">
        <v>136</v>
      </c>
      <c r="CD2863">
        <v>3212</v>
      </c>
      <c r="CE2863" t="s">
        <v>145</v>
      </c>
      <c r="CF2863" s="3">
        <v>45861</v>
      </c>
      <c r="CI2863">
        <v>2</v>
      </c>
      <c r="CJ2863">
        <v>1</v>
      </c>
      <c r="CK2863">
        <v>21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"080066694323"</f>
        <v>080066694323</v>
      </c>
      <c r="F2864" s="3">
        <v>45859</v>
      </c>
      <c r="G2864">
        <v>202604</v>
      </c>
      <c r="H2864" t="s">
        <v>75</v>
      </c>
      <c r="I2864" t="s">
        <v>76</v>
      </c>
      <c r="J2864" t="s">
        <v>77</v>
      </c>
      <c r="K2864" t="s">
        <v>78</v>
      </c>
      <c r="L2864" t="s">
        <v>79</v>
      </c>
      <c r="M2864" t="s">
        <v>80</v>
      </c>
      <c r="N2864" t="s">
        <v>594</v>
      </c>
      <c r="O2864" t="s">
        <v>82</v>
      </c>
      <c r="P2864" t="str">
        <f>"4170049901                    "</f>
        <v xml:space="preserve">4170049901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22.6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</v>
      </c>
      <c r="BJ2864">
        <v>1.9</v>
      </c>
      <c r="BK2864">
        <v>2</v>
      </c>
      <c r="BL2864">
        <v>71.2</v>
      </c>
      <c r="BM2864">
        <v>10.68</v>
      </c>
      <c r="BN2864">
        <v>81.88</v>
      </c>
      <c r="BO2864">
        <v>81.88</v>
      </c>
      <c r="BQ2864" t="s">
        <v>595</v>
      </c>
      <c r="BR2864" t="s">
        <v>84</v>
      </c>
      <c r="BS2864" s="3">
        <v>45860</v>
      </c>
      <c r="BT2864" s="4">
        <v>0.35902777777777778</v>
      </c>
      <c r="BU2864" t="s">
        <v>596</v>
      </c>
      <c r="BV2864" t="s">
        <v>98</v>
      </c>
      <c r="BY2864">
        <v>9600</v>
      </c>
      <c r="CA2864" t="s">
        <v>579</v>
      </c>
      <c r="CC2864" t="s">
        <v>80</v>
      </c>
      <c r="CD2864">
        <v>7480</v>
      </c>
      <c r="CE2864" t="s">
        <v>145</v>
      </c>
      <c r="CF2864" s="3">
        <v>45861</v>
      </c>
      <c r="CI2864">
        <v>1</v>
      </c>
      <c r="CJ2864">
        <v>1</v>
      </c>
      <c r="CK2864">
        <v>21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"080066694355"</f>
        <v>080066694355</v>
      </c>
      <c r="F2865" s="3">
        <v>45859</v>
      </c>
      <c r="G2865">
        <v>202604</v>
      </c>
      <c r="H2865" t="s">
        <v>75</v>
      </c>
      <c r="I2865" t="s">
        <v>76</v>
      </c>
      <c r="J2865" t="s">
        <v>77</v>
      </c>
      <c r="K2865" t="s">
        <v>78</v>
      </c>
      <c r="L2865" t="s">
        <v>168</v>
      </c>
      <c r="M2865" t="s">
        <v>169</v>
      </c>
      <c r="N2865" t="s">
        <v>438</v>
      </c>
      <c r="O2865" t="s">
        <v>82</v>
      </c>
      <c r="P2865" t="str">
        <f>"4170049985                    "</f>
        <v xml:space="preserve">4170049985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22.6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2</v>
      </c>
      <c r="BJ2865">
        <v>1.1000000000000001</v>
      </c>
      <c r="BK2865">
        <v>2</v>
      </c>
      <c r="BL2865">
        <v>71.2</v>
      </c>
      <c r="BM2865">
        <v>10.68</v>
      </c>
      <c r="BN2865">
        <v>81.88</v>
      </c>
      <c r="BO2865">
        <v>81.88</v>
      </c>
      <c r="BQ2865" t="s">
        <v>439</v>
      </c>
      <c r="BR2865" t="s">
        <v>84</v>
      </c>
      <c r="BS2865" s="3">
        <v>45860</v>
      </c>
      <c r="BT2865" s="4">
        <v>0.41666666666666669</v>
      </c>
      <c r="BU2865" t="s">
        <v>1734</v>
      </c>
      <c r="BV2865" t="s">
        <v>98</v>
      </c>
      <c r="BY2865">
        <v>5320</v>
      </c>
      <c r="CA2865" t="s">
        <v>423</v>
      </c>
      <c r="CC2865" t="s">
        <v>169</v>
      </c>
      <c r="CD2865">
        <v>6001</v>
      </c>
      <c r="CE2865" t="s">
        <v>145</v>
      </c>
      <c r="CF2865" s="3">
        <v>45860</v>
      </c>
      <c r="CI2865">
        <v>1</v>
      </c>
      <c r="CJ2865">
        <v>1</v>
      </c>
      <c r="CK2865">
        <v>21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"080066694379"</f>
        <v>080066694379</v>
      </c>
      <c r="F2866" s="3">
        <v>45859</v>
      </c>
      <c r="G2866">
        <v>202604</v>
      </c>
      <c r="H2866" t="s">
        <v>75</v>
      </c>
      <c r="I2866" t="s">
        <v>76</v>
      </c>
      <c r="J2866" t="s">
        <v>77</v>
      </c>
      <c r="K2866" t="s">
        <v>78</v>
      </c>
      <c r="L2866" t="s">
        <v>135</v>
      </c>
      <c r="M2866" t="s">
        <v>136</v>
      </c>
      <c r="N2866" t="s">
        <v>379</v>
      </c>
      <c r="O2866" t="s">
        <v>82</v>
      </c>
      <c r="P2866" t="str">
        <f>"4170049597                    "</f>
        <v xml:space="preserve">4170049597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22.6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1.1000000000000001</v>
      </c>
      <c r="BK2866">
        <v>2</v>
      </c>
      <c r="BL2866">
        <v>71.2</v>
      </c>
      <c r="BM2866">
        <v>10.68</v>
      </c>
      <c r="BN2866">
        <v>81.88</v>
      </c>
      <c r="BO2866">
        <v>81.88</v>
      </c>
      <c r="BQ2866" t="s">
        <v>380</v>
      </c>
      <c r="BR2866" t="s">
        <v>84</v>
      </c>
      <c r="BS2866" s="3">
        <v>45860</v>
      </c>
      <c r="BT2866" s="4">
        <v>0.41666666666666669</v>
      </c>
      <c r="BU2866" t="s">
        <v>3032</v>
      </c>
      <c r="BV2866" t="s">
        <v>98</v>
      </c>
      <c r="BY2866">
        <v>5320</v>
      </c>
      <c r="CA2866" t="s">
        <v>382</v>
      </c>
      <c r="CC2866" t="s">
        <v>136</v>
      </c>
      <c r="CD2866">
        <v>3212</v>
      </c>
      <c r="CE2866" t="s">
        <v>145</v>
      </c>
      <c r="CF2866" s="3">
        <v>45861</v>
      </c>
      <c r="CI2866">
        <v>2</v>
      </c>
      <c r="CJ2866">
        <v>1</v>
      </c>
      <c r="CK2866">
        <v>21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"080066694430"</f>
        <v>080066694430</v>
      </c>
      <c r="F2867" s="3">
        <v>45859</v>
      </c>
      <c r="G2867">
        <v>202604</v>
      </c>
      <c r="H2867" t="s">
        <v>75</v>
      </c>
      <c r="I2867" t="s">
        <v>76</v>
      </c>
      <c r="J2867" t="s">
        <v>77</v>
      </c>
      <c r="K2867" t="s">
        <v>78</v>
      </c>
      <c r="L2867" t="s">
        <v>122</v>
      </c>
      <c r="M2867" t="s">
        <v>123</v>
      </c>
      <c r="N2867" t="s">
        <v>972</v>
      </c>
      <c r="O2867" t="s">
        <v>82</v>
      </c>
      <c r="P2867" t="str">
        <f>"4170049706                    "</f>
        <v xml:space="preserve">4170049706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22.6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1.1000000000000001</v>
      </c>
      <c r="BK2867">
        <v>1.5</v>
      </c>
      <c r="BL2867">
        <v>71.2</v>
      </c>
      <c r="BM2867">
        <v>10.68</v>
      </c>
      <c r="BN2867">
        <v>81.88</v>
      </c>
      <c r="BO2867">
        <v>81.88</v>
      </c>
      <c r="BQ2867" t="s">
        <v>973</v>
      </c>
      <c r="BR2867" t="s">
        <v>84</v>
      </c>
      <c r="BS2867" s="3">
        <v>45860</v>
      </c>
      <c r="BT2867" s="4">
        <v>0.45208333333333334</v>
      </c>
      <c r="BU2867" t="s">
        <v>974</v>
      </c>
      <c r="BV2867" t="s">
        <v>98</v>
      </c>
      <c r="BY2867">
        <v>5320</v>
      </c>
      <c r="CA2867" t="s">
        <v>2974</v>
      </c>
      <c r="CC2867" t="s">
        <v>123</v>
      </c>
      <c r="CD2867">
        <v>3610</v>
      </c>
      <c r="CE2867" t="s">
        <v>145</v>
      </c>
      <c r="CF2867" s="3">
        <v>45861</v>
      </c>
      <c r="CI2867">
        <v>1</v>
      </c>
      <c r="CJ2867">
        <v>1</v>
      </c>
      <c r="CK2867">
        <v>21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"080066694498"</f>
        <v>080066694498</v>
      </c>
      <c r="F2868" s="3">
        <v>45859</v>
      </c>
      <c r="G2868">
        <v>202604</v>
      </c>
      <c r="H2868" t="s">
        <v>75</v>
      </c>
      <c r="I2868" t="s">
        <v>76</v>
      </c>
      <c r="J2868" t="s">
        <v>77</v>
      </c>
      <c r="K2868" t="s">
        <v>78</v>
      </c>
      <c r="L2868" t="s">
        <v>808</v>
      </c>
      <c r="M2868" t="s">
        <v>808</v>
      </c>
      <c r="N2868" t="s">
        <v>809</v>
      </c>
      <c r="O2868" t="s">
        <v>311</v>
      </c>
      <c r="P2868" t="str">
        <f>"4170049990                    "</f>
        <v xml:space="preserve">4170049990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146.22999999999999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6</v>
      </c>
      <c r="BJ2868">
        <v>7.7</v>
      </c>
      <c r="BK2868">
        <v>8</v>
      </c>
      <c r="BL2868">
        <v>460.7</v>
      </c>
      <c r="BM2868">
        <v>69.11</v>
      </c>
      <c r="BN2868">
        <v>529.80999999999995</v>
      </c>
      <c r="BO2868">
        <v>529.80999999999995</v>
      </c>
      <c r="BQ2868" t="s">
        <v>810</v>
      </c>
      <c r="BR2868" t="s">
        <v>84</v>
      </c>
      <c r="BS2868" s="3">
        <v>45860</v>
      </c>
      <c r="BT2868" s="4">
        <v>0.37777777777777777</v>
      </c>
      <c r="BU2868" t="s">
        <v>2562</v>
      </c>
      <c r="BV2868" t="s">
        <v>98</v>
      </c>
      <c r="BY2868">
        <v>38454</v>
      </c>
      <c r="CA2868" t="s">
        <v>251</v>
      </c>
      <c r="CC2868" t="s">
        <v>808</v>
      </c>
      <c r="CD2868">
        <v>1491</v>
      </c>
      <c r="CE2868" t="s">
        <v>145</v>
      </c>
      <c r="CF2868" s="3">
        <v>45861</v>
      </c>
      <c r="CI2868">
        <v>1</v>
      </c>
      <c r="CJ2868">
        <v>1</v>
      </c>
      <c r="CK2868">
        <v>34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"080066694529"</f>
        <v>080066694529</v>
      </c>
      <c r="F2869" s="3">
        <v>45859</v>
      </c>
      <c r="G2869">
        <v>202604</v>
      </c>
      <c r="H2869" t="s">
        <v>75</v>
      </c>
      <c r="I2869" t="s">
        <v>76</v>
      </c>
      <c r="J2869" t="s">
        <v>77</v>
      </c>
      <c r="K2869" t="s">
        <v>78</v>
      </c>
      <c r="L2869" t="s">
        <v>92</v>
      </c>
      <c r="M2869" t="s">
        <v>93</v>
      </c>
      <c r="N2869" t="s">
        <v>723</v>
      </c>
      <c r="O2869" t="s">
        <v>82</v>
      </c>
      <c r="P2869" t="str">
        <f>"4170049995                    "</f>
        <v xml:space="preserve">4170049995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50.82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4.0999999999999996</v>
      </c>
      <c r="BK2869">
        <v>4.5</v>
      </c>
      <c r="BL2869">
        <v>160.12</v>
      </c>
      <c r="BM2869">
        <v>24.02</v>
      </c>
      <c r="BN2869">
        <v>184.14</v>
      </c>
      <c r="BO2869">
        <v>184.14</v>
      </c>
      <c r="BQ2869" t="s">
        <v>724</v>
      </c>
      <c r="BR2869" t="s">
        <v>84</v>
      </c>
      <c r="BS2869" s="3">
        <v>45860</v>
      </c>
      <c r="BT2869" s="4">
        <v>0.46527777777777779</v>
      </c>
      <c r="BU2869" t="s">
        <v>3003</v>
      </c>
      <c r="BV2869" t="s">
        <v>86</v>
      </c>
      <c r="BW2869" t="s">
        <v>194</v>
      </c>
      <c r="BX2869" t="s">
        <v>1174</v>
      </c>
      <c r="BY2869">
        <v>20358</v>
      </c>
      <c r="CA2869" t="s">
        <v>2974</v>
      </c>
      <c r="CC2869" t="s">
        <v>93</v>
      </c>
      <c r="CD2869">
        <v>4000</v>
      </c>
      <c r="CE2869" t="s">
        <v>145</v>
      </c>
      <c r="CF2869" s="3">
        <v>45861</v>
      </c>
      <c r="CI2869">
        <v>1</v>
      </c>
      <c r="CJ2869">
        <v>1</v>
      </c>
      <c r="CK2869">
        <v>21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"080066694595"</f>
        <v>080066694595</v>
      </c>
      <c r="F2870" s="3">
        <v>45859</v>
      </c>
      <c r="G2870">
        <v>202604</v>
      </c>
      <c r="H2870" t="s">
        <v>75</v>
      </c>
      <c r="I2870" t="s">
        <v>76</v>
      </c>
      <c r="J2870" t="s">
        <v>77</v>
      </c>
      <c r="K2870" t="s">
        <v>78</v>
      </c>
      <c r="L2870" t="s">
        <v>240</v>
      </c>
      <c r="M2870" t="s">
        <v>241</v>
      </c>
      <c r="N2870" t="s">
        <v>2575</v>
      </c>
      <c r="O2870" t="s">
        <v>82</v>
      </c>
      <c r="P2870" t="str">
        <f>"4170049921                    "</f>
        <v xml:space="preserve">4170049921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17.649999999999999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2</v>
      </c>
      <c r="BK2870">
        <v>2</v>
      </c>
      <c r="BL2870">
        <v>55.61</v>
      </c>
      <c r="BM2870">
        <v>8.34</v>
      </c>
      <c r="BN2870">
        <v>63.95</v>
      </c>
      <c r="BO2870">
        <v>63.95</v>
      </c>
      <c r="BQ2870" t="s">
        <v>2576</v>
      </c>
      <c r="BR2870" t="s">
        <v>84</v>
      </c>
      <c r="BS2870" s="3">
        <v>45860</v>
      </c>
      <c r="BT2870" s="4">
        <v>0.43055555555555558</v>
      </c>
      <c r="BU2870" t="s">
        <v>630</v>
      </c>
      <c r="BV2870" t="s">
        <v>98</v>
      </c>
      <c r="BY2870">
        <v>9900</v>
      </c>
      <c r="CA2870" t="s">
        <v>245</v>
      </c>
      <c r="CC2870" t="s">
        <v>241</v>
      </c>
      <c r="CD2870">
        <v>2190</v>
      </c>
      <c r="CE2870" t="s">
        <v>145</v>
      </c>
      <c r="CF2870" s="3">
        <v>45861</v>
      </c>
      <c r="CI2870">
        <v>1</v>
      </c>
      <c r="CJ2870">
        <v>1</v>
      </c>
      <c r="CK2870">
        <v>22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"080066694642"</f>
        <v>080066694642</v>
      </c>
      <c r="F2871" s="3">
        <v>45859</v>
      </c>
      <c r="G2871">
        <v>202604</v>
      </c>
      <c r="H2871" t="s">
        <v>75</v>
      </c>
      <c r="I2871" t="s">
        <v>76</v>
      </c>
      <c r="J2871" t="s">
        <v>77</v>
      </c>
      <c r="K2871" t="s">
        <v>78</v>
      </c>
      <c r="L2871" t="s">
        <v>79</v>
      </c>
      <c r="M2871" t="s">
        <v>80</v>
      </c>
      <c r="N2871" t="s">
        <v>141</v>
      </c>
      <c r="O2871" t="s">
        <v>82</v>
      </c>
      <c r="P2871" t="str">
        <f>"4170049719                    "</f>
        <v xml:space="preserve">4170049719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33.89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</v>
      </c>
      <c r="BJ2871">
        <v>2</v>
      </c>
      <c r="BK2871">
        <v>3</v>
      </c>
      <c r="BL2871">
        <v>106.77</v>
      </c>
      <c r="BM2871">
        <v>16.02</v>
      </c>
      <c r="BN2871">
        <v>122.79</v>
      </c>
      <c r="BO2871">
        <v>122.79</v>
      </c>
      <c r="BQ2871" t="s">
        <v>142</v>
      </c>
      <c r="BR2871" t="s">
        <v>84</v>
      </c>
      <c r="BS2871" s="3">
        <v>45860</v>
      </c>
      <c r="BT2871" s="4">
        <v>0.41458333333333336</v>
      </c>
      <c r="BU2871" t="s">
        <v>143</v>
      </c>
      <c r="BV2871" t="s">
        <v>98</v>
      </c>
      <c r="BY2871">
        <v>9918</v>
      </c>
      <c r="CA2871" t="s">
        <v>144</v>
      </c>
      <c r="CC2871" t="s">
        <v>80</v>
      </c>
      <c r="CD2871">
        <v>7441</v>
      </c>
      <c r="CE2871" t="s">
        <v>145</v>
      </c>
      <c r="CF2871" s="3">
        <v>45861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"080066694679"</f>
        <v>080066694679</v>
      </c>
      <c r="F2872" s="3">
        <v>45859</v>
      </c>
      <c r="G2872">
        <v>202604</v>
      </c>
      <c r="H2872" t="s">
        <v>75</v>
      </c>
      <c r="I2872" t="s">
        <v>76</v>
      </c>
      <c r="J2872" t="s">
        <v>77</v>
      </c>
      <c r="K2872" t="s">
        <v>78</v>
      </c>
      <c r="L2872" t="s">
        <v>1447</v>
      </c>
      <c r="M2872" t="s">
        <v>1448</v>
      </c>
      <c r="N2872" t="s">
        <v>1449</v>
      </c>
      <c r="O2872" t="s">
        <v>82</v>
      </c>
      <c r="P2872" t="str">
        <f>"4170050005                    "</f>
        <v xml:space="preserve">4170050005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162.41999999999999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8</v>
      </c>
      <c r="BJ2872">
        <v>4.0999999999999996</v>
      </c>
      <c r="BK2872">
        <v>8</v>
      </c>
      <c r="BL2872">
        <v>511.7</v>
      </c>
      <c r="BM2872">
        <v>76.760000000000005</v>
      </c>
      <c r="BN2872">
        <v>588.46</v>
      </c>
      <c r="BO2872">
        <v>588.46</v>
      </c>
      <c r="BQ2872" t="s">
        <v>1450</v>
      </c>
      <c r="BR2872" t="s">
        <v>84</v>
      </c>
      <c r="BS2872" s="3">
        <v>45860</v>
      </c>
      <c r="BT2872" s="4">
        <v>0.55138888888888893</v>
      </c>
      <c r="BU2872" t="s">
        <v>1451</v>
      </c>
      <c r="BV2872" t="s">
        <v>98</v>
      </c>
      <c r="BY2872">
        <v>20358</v>
      </c>
      <c r="CA2872" t="s">
        <v>1452</v>
      </c>
      <c r="CC2872" t="s">
        <v>1448</v>
      </c>
      <c r="CD2872">
        <v>2380</v>
      </c>
      <c r="CE2872" t="s">
        <v>145</v>
      </c>
      <c r="CF2872" s="3">
        <v>45861</v>
      </c>
      <c r="CI2872">
        <v>1</v>
      </c>
      <c r="CJ2872">
        <v>1</v>
      </c>
      <c r="CK2872">
        <v>23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"080066694730"</f>
        <v>080066694730</v>
      </c>
      <c r="F2873" s="3">
        <v>45859</v>
      </c>
      <c r="G2873">
        <v>202604</v>
      </c>
      <c r="H2873" t="s">
        <v>75</v>
      </c>
      <c r="I2873" t="s">
        <v>76</v>
      </c>
      <c r="J2873" t="s">
        <v>77</v>
      </c>
      <c r="K2873" t="s">
        <v>78</v>
      </c>
      <c r="L2873" t="s">
        <v>128</v>
      </c>
      <c r="M2873" t="s">
        <v>129</v>
      </c>
      <c r="N2873" t="s">
        <v>130</v>
      </c>
      <c r="O2873" t="s">
        <v>95</v>
      </c>
      <c r="P2873" t="str">
        <f>"4170049855                    "</f>
        <v xml:space="preserve">4170049855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61.64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9</v>
      </c>
      <c r="BJ2873">
        <v>5.2</v>
      </c>
      <c r="BK2873">
        <v>9</v>
      </c>
      <c r="BL2873">
        <v>200.06</v>
      </c>
      <c r="BM2873">
        <v>30.01</v>
      </c>
      <c r="BN2873">
        <v>230.07</v>
      </c>
      <c r="BO2873">
        <v>230.07</v>
      </c>
      <c r="BQ2873" t="s">
        <v>131</v>
      </c>
      <c r="BR2873" t="s">
        <v>84</v>
      </c>
      <c r="BS2873" s="3">
        <v>45860</v>
      </c>
      <c r="BT2873" s="4">
        <v>0.60138888888888886</v>
      </c>
      <c r="BU2873" t="s">
        <v>132</v>
      </c>
      <c r="BV2873" t="s">
        <v>98</v>
      </c>
      <c r="BY2873">
        <v>26013</v>
      </c>
      <c r="CA2873" t="s">
        <v>133</v>
      </c>
      <c r="CC2873" t="s">
        <v>129</v>
      </c>
      <c r="CD2873" s="5" t="s">
        <v>134</v>
      </c>
      <c r="CE2873" t="s">
        <v>3033</v>
      </c>
      <c r="CF2873" s="3">
        <v>45861</v>
      </c>
      <c r="CI2873">
        <v>1</v>
      </c>
      <c r="CJ2873">
        <v>1</v>
      </c>
      <c r="CK2873">
        <v>43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"080066694777"</f>
        <v>080066694777</v>
      </c>
      <c r="F2874" s="3">
        <v>45859</v>
      </c>
      <c r="G2874">
        <v>202604</v>
      </c>
      <c r="H2874" t="s">
        <v>75</v>
      </c>
      <c r="I2874" t="s">
        <v>76</v>
      </c>
      <c r="J2874" t="s">
        <v>77</v>
      </c>
      <c r="K2874" t="s">
        <v>78</v>
      </c>
      <c r="L2874" t="s">
        <v>79</v>
      </c>
      <c r="M2874" t="s">
        <v>80</v>
      </c>
      <c r="N2874" t="s">
        <v>376</v>
      </c>
      <c r="O2874" t="s">
        <v>82</v>
      </c>
      <c r="P2874" t="str">
        <f>"4170049897                    "</f>
        <v xml:space="preserve">4170049897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22.6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1.1000000000000001</v>
      </c>
      <c r="BK2874">
        <v>2</v>
      </c>
      <c r="BL2874">
        <v>71.2</v>
      </c>
      <c r="BM2874">
        <v>10.68</v>
      </c>
      <c r="BN2874">
        <v>81.88</v>
      </c>
      <c r="BO2874">
        <v>81.88</v>
      </c>
      <c r="BQ2874" t="s">
        <v>377</v>
      </c>
      <c r="BR2874" t="s">
        <v>84</v>
      </c>
      <c r="BS2874" s="3">
        <v>45860</v>
      </c>
      <c r="BT2874" s="4">
        <v>0.40902777777777777</v>
      </c>
      <c r="BU2874" t="s">
        <v>378</v>
      </c>
      <c r="BV2874" t="s">
        <v>98</v>
      </c>
      <c r="BY2874">
        <v>5320</v>
      </c>
      <c r="CA2874" t="s">
        <v>144</v>
      </c>
      <c r="CC2874" t="s">
        <v>80</v>
      </c>
      <c r="CD2874">
        <v>8001</v>
      </c>
      <c r="CE2874" t="s">
        <v>145</v>
      </c>
      <c r="CF2874" s="3">
        <v>45861</v>
      </c>
      <c r="CI2874">
        <v>1</v>
      </c>
      <c r="CJ2874">
        <v>1</v>
      </c>
      <c r="CK2874">
        <v>21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"080066694816"</f>
        <v>080066694816</v>
      </c>
      <c r="F2875" s="3">
        <v>45859</v>
      </c>
      <c r="G2875">
        <v>202604</v>
      </c>
      <c r="H2875" t="s">
        <v>75</v>
      </c>
      <c r="I2875" t="s">
        <v>76</v>
      </c>
      <c r="J2875" t="s">
        <v>77</v>
      </c>
      <c r="K2875" t="s">
        <v>78</v>
      </c>
      <c r="L2875" t="s">
        <v>503</v>
      </c>
      <c r="M2875" t="s">
        <v>504</v>
      </c>
      <c r="N2875" t="s">
        <v>505</v>
      </c>
      <c r="O2875" t="s">
        <v>82</v>
      </c>
      <c r="P2875" t="str">
        <f>"4170049815                    "</f>
        <v xml:space="preserve">4170049815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43.78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1.1000000000000001</v>
      </c>
      <c r="BK2875">
        <v>2</v>
      </c>
      <c r="BL2875">
        <v>137.94</v>
      </c>
      <c r="BM2875">
        <v>20.69</v>
      </c>
      <c r="BN2875">
        <v>158.63</v>
      </c>
      <c r="BO2875">
        <v>158.63</v>
      </c>
      <c r="BQ2875" t="s">
        <v>506</v>
      </c>
      <c r="BR2875" t="s">
        <v>84</v>
      </c>
      <c r="BS2875" s="3">
        <v>45860</v>
      </c>
      <c r="BT2875" s="4">
        <v>0.43194444444444446</v>
      </c>
      <c r="BU2875" t="s">
        <v>507</v>
      </c>
      <c r="BV2875" t="s">
        <v>98</v>
      </c>
      <c r="BY2875">
        <v>5320</v>
      </c>
      <c r="CA2875" t="s">
        <v>508</v>
      </c>
      <c r="CC2875" t="s">
        <v>504</v>
      </c>
      <c r="CD2875">
        <v>7130</v>
      </c>
      <c r="CE2875" t="s">
        <v>145</v>
      </c>
      <c r="CF2875" s="3">
        <v>45861</v>
      </c>
      <c r="CI2875">
        <v>1</v>
      </c>
      <c r="CJ2875">
        <v>1</v>
      </c>
      <c r="CK2875">
        <v>23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"080066694866"</f>
        <v>080066694866</v>
      </c>
      <c r="F2876" s="3">
        <v>45859</v>
      </c>
      <c r="G2876">
        <v>202604</v>
      </c>
      <c r="H2876" t="s">
        <v>75</v>
      </c>
      <c r="I2876" t="s">
        <v>76</v>
      </c>
      <c r="J2876" t="s">
        <v>77</v>
      </c>
      <c r="K2876" t="s">
        <v>78</v>
      </c>
      <c r="L2876" t="s">
        <v>350</v>
      </c>
      <c r="M2876" t="s">
        <v>351</v>
      </c>
      <c r="N2876" t="s">
        <v>3034</v>
      </c>
      <c r="O2876" t="s">
        <v>82</v>
      </c>
      <c r="P2876" t="str">
        <f>"4170049923                    "</f>
        <v xml:space="preserve">4170049923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22.6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1.7</v>
      </c>
      <c r="BK2876">
        <v>2</v>
      </c>
      <c r="BL2876">
        <v>71.2</v>
      </c>
      <c r="BM2876">
        <v>10.68</v>
      </c>
      <c r="BN2876">
        <v>81.88</v>
      </c>
      <c r="BO2876">
        <v>81.88</v>
      </c>
      <c r="BQ2876" t="s">
        <v>3035</v>
      </c>
      <c r="BR2876" t="s">
        <v>84</v>
      </c>
      <c r="BS2876" s="3">
        <v>45860</v>
      </c>
      <c r="BT2876" s="4">
        <v>0.56874999999999998</v>
      </c>
      <c r="BU2876" t="s">
        <v>3036</v>
      </c>
      <c r="BV2876" t="s">
        <v>86</v>
      </c>
      <c r="BW2876" t="s">
        <v>194</v>
      </c>
      <c r="BX2876" t="s">
        <v>1174</v>
      </c>
      <c r="BY2876">
        <v>8680</v>
      </c>
      <c r="CA2876" t="s">
        <v>337</v>
      </c>
      <c r="CC2876" t="s">
        <v>351</v>
      </c>
      <c r="CD2876">
        <v>4113</v>
      </c>
      <c r="CE2876" t="s">
        <v>91</v>
      </c>
      <c r="CF2876" s="3">
        <v>45861</v>
      </c>
      <c r="CI2876">
        <v>1</v>
      </c>
      <c r="CJ2876">
        <v>1</v>
      </c>
      <c r="CK2876">
        <v>21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"080011572686"</f>
        <v>080011572686</v>
      </c>
      <c r="F2877" s="3">
        <v>45859</v>
      </c>
      <c r="G2877">
        <v>202604</v>
      </c>
      <c r="H2877" t="s">
        <v>102</v>
      </c>
      <c r="I2877" t="s">
        <v>103</v>
      </c>
      <c r="J2877" t="s">
        <v>3037</v>
      </c>
      <c r="K2877" t="s">
        <v>78</v>
      </c>
      <c r="L2877" t="s">
        <v>75</v>
      </c>
      <c r="M2877" t="s">
        <v>76</v>
      </c>
      <c r="N2877" t="s">
        <v>228</v>
      </c>
      <c r="O2877" t="s">
        <v>82</v>
      </c>
      <c r="P2877" t="str">
        <f>"ZA1001397451                  "</f>
        <v xml:space="preserve">ZA1001397451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31.78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0.5</v>
      </c>
      <c r="BJ2877">
        <v>1.8</v>
      </c>
      <c r="BK2877">
        <v>2</v>
      </c>
      <c r="BL2877">
        <v>100.13</v>
      </c>
      <c r="BM2877">
        <v>15.02</v>
      </c>
      <c r="BN2877">
        <v>115.15</v>
      </c>
      <c r="BO2877">
        <v>115.15</v>
      </c>
      <c r="BP2877" t="s">
        <v>587</v>
      </c>
      <c r="BQ2877" t="s">
        <v>230</v>
      </c>
      <c r="BR2877" t="s">
        <v>3038</v>
      </c>
      <c r="BS2877" s="3">
        <v>45860</v>
      </c>
      <c r="BT2877" s="4">
        <v>0.375</v>
      </c>
      <c r="BU2877" t="s">
        <v>232</v>
      </c>
      <c r="BV2877" t="s">
        <v>98</v>
      </c>
      <c r="BY2877">
        <v>9172.7999999999993</v>
      </c>
      <c r="BZ2877" t="s">
        <v>89</v>
      </c>
      <c r="CA2877" t="s">
        <v>304</v>
      </c>
      <c r="CC2877" t="s">
        <v>76</v>
      </c>
      <c r="CD2877">
        <v>1619</v>
      </c>
      <c r="CE2877" t="s">
        <v>233</v>
      </c>
      <c r="CF2877" s="3">
        <v>45860</v>
      </c>
      <c r="CI2877">
        <v>1</v>
      </c>
      <c r="CJ2877">
        <v>1</v>
      </c>
      <c r="CK2877">
        <v>24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"080011573264"</f>
        <v>080011573264</v>
      </c>
      <c r="F2878" s="3">
        <v>45859</v>
      </c>
      <c r="G2878">
        <v>202604</v>
      </c>
      <c r="H2878" t="s">
        <v>295</v>
      </c>
      <c r="I2878" t="s">
        <v>296</v>
      </c>
      <c r="J2878" t="s">
        <v>1248</v>
      </c>
      <c r="K2878" t="s">
        <v>78</v>
      </c>
      <c r="L2878" t="s">
        <v>75</v>
      </c>
      <c r="M2878" t="s">
        <v>76</v>
      </c>
      <c r="N2878" t="s">
        <v>228</v>
      </c>
      <c r="O2878" t="s">
        <v>82</v>
      </c>
      <c r="P2878" t="str">
        <f>"ZA1001398321                  "</f>
        <v xml:space="preserve">ZA1001398321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17.649999999999999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0.7</v>
      </c>
      <c r="BJ2878">
        <v>0.8</v>
      </c>
      <c r="BK2878">
        <v>1</v>
      </c>
      <c r="BL2878">
        <v>55.61</v>
      </c>
      <c r="BM2878">
        <v>8.34</v>
      </c>
      <c r="BN2878">
        <v>63.95</v>
      </c>
      <c r="BO2878">
        <v>63.95</v>
      </c>
      <c r="BP2878" t="s">
        <v>587</v>
      </c>
      <c r="BQ2878" t="s">
        <v>230</v>
      </c>
      <c r="BR2878" t="s">
        <v>1249</v>
      </c>
      <c r="BS2878" s="3">
        <v>45860</v>
      </c>
      <c r="BT2878" s="4">
        <v>0.375</v>
      </c>
      <c r="BU2878" t="s">
        <v>232</v>
      </c>
      <c r="BV2878" t="s">
        <v>98</v>
      </c>
      <c r="BY2878">
        <v>3847.5</v>
      </c>
      <c r="BZ2878" t="s">
        <v>89</v>
      </c>
      <c r="CA2878" t="s">
        <v>304</v>
      </c>
      <c r="CC2878" t="s">
        <v>76</v>
      </c>
      <c r="CD2878">
        <v>1619</v>
      </c>
      <c r="CE2878" t="s">
        <v>233</v>
      </c>
      <c r="CF2878" s="3">
        <v>45860</v>
      </c>
      <c r="CI2878">
        <v>1</v>
      </c>
      <c r="CJ2878">
        <v>1</v>
      </c>
      <c r="CK2878">
        <v>22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"080066694937"</f>
        <v>080066694937</v>
      </c>
      <c r="F2879" s="3">
        <v>45859</v>
      </c>
      <c r="G2879">
        <v>202604</v>
      </c>
      <c r="H2879" t="s">
        <v>75</v>
      </c>
      <c r="I2879" t="s">
        <v>76</v>
      </c>
      <c r="J2879" t="s">
        <v>77</v>
      </c>
      <c r="K2879" t="s">
        <v>78</v>
      </c>
      <c r="L2879" t="s">
        <v>151</v>
      </c>
      <c r="M2879" t="s">
        <v>152</v>
      </c>
      <c r="N2879" t="s">
        <v>3039</v>
      </c>
      <c r="O2879" t="s">
        <v>95</v>
      </c>
      <c r="P2879" t="str">
        <f>"4170049854                    "</f>
        <v xml:space="preserve">4170049854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43.7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7</v>
      </c>
      <c r="BJ2879">
        <v>1.8</v>
      </c>
      <c r="BK2879">
        <v>7</v>
      </c>
      <c r="BL2879">
        <v>143.55000000000001</v>
      </c>
      <c r="BM2879">
        <v>21.53</v>
      </c>
      <c r="BN2879">
        <v>165.08</v>
      </c>
      <c r="BO2879">
        <v>165.08</v>
      </c>
      <c r="BQ2879" t="s">
        <v>3040</v>
      </c>
      <c r="BR2879" t="s">
        <v>84</v>
      </c>
      <c r="BS2879" s="3">
        <v>45860</v>
      </c>
      <c r="BT2879" s="4">
        <v>0.40277777777777779</v>
      </c>
      <c r="BU2879" t="s">
        <v>2198</v>
      </c>
      <c r="BV2879" t="s">
        <v>98</v>
      </c>
      <c r="BY2879">
        <v>9000</v>
      </c>
      <c r="CA2879" t="s">
        <v>1012</v>
      </c>
      <c r="CC2879" t="s">
        <v>152</v>
      </c>
      <c r="CD2879" s="5" t="s">
        <v>1013</v>
      </c>
      <c r="CE2879" t="s">
        <v>91</v>
      </c>
      <c r="CF2879" s="3">
        <v>45860</v>
      </c>
      <c r="CI2879">
        <v>1</v>
      </c>
      <c r="CJ2879">
        <v>1</v>
      </c>
      <c r="CK2879">
        <v>41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"080066694966"</f>
        <v>080066694966</v>
      </c>
      <c r="F2880" s="3">
        <v>45859</v>
      </c>
      <c r="G2880">
        <v>202604</v>
      </c>
      <c r="H2880" t="s">
        <v>75</v>
      </c>
      <c r="I2880" t="s">
        <v>76</v>
      </c>
      <c r="J2880" t="s">
        <v>77</v>
      </c>
      <c r="K2880" t="s">
        <v>78</v>
      </c>
      <c r="L2880" t="s">
        <v>503</v>
      </c>
      <c r="M2880" t="s">
        <v>504</v>
      </c>
      <c r="N2880" t="s">
        <v>505</v>
      </c>
      <c r="O2880" t="s">
        <v>82</v>
      </c>
      <c r="P2880" t="str">
        <f>"4170049836                    "</f>
        <v xml:space="preserve">4170049836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43.78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137.94</v>
      </c>
      <c r="BM2880">
        <v>20.69</v>
      </c>
      <c r="BN2880">
        <v>158.63</v>
      </c>
      <c r="BO2880">
        <v>158.63</v>
      </c>
      <c r="BQ2880" t="s">
        <v>506</v>
      </c>
      <c r="BR2880" t="s">
        <v>84</v>
      </c>
      <c r="BS2880" s="3">
        <v>45860</v>
      </c>
      <c r="BT2880" s="4">
        <v>0.43194444444444446</v>
      </c>
      <c r="BU2880" t="s">
        <v>507</v>
      </c>
      <c r="BV2880" t="s">
        <v>98</v>
      </c>
      <c r="BY2880">
        <v>1200</v>
      </c>
      <c r="CA2880" t="s">
        <v>508</v>
      </c>
      <c r="CC2880" t="s">
        <v>504</v>
      </c>
      <c r="CD2880">
        <v>7130</v>
      </c>
      <c r="CE2880" t="s">
        <v>121</v>
      </c>
      <c r="CF2880" s="3">
        <v>45861</v>
      </c>
      <c r="CI2880">
        <v>1</v>
      </c>
      <c r="CJ2880">
        <v>1</v>
      </c>
      <c r="CK2880">
        <v>23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"080066694994"</f>
        <v>080066694994</v>
      </c>
      <c r="F2881" s="3">
        <v>45859</v>
      </c>
      <c r="G2881">
        <v>202604</v>
      </c>
      <c r="H2881" t="s">
        <v>75</v>
      </c>
      <c r="I2881" t="s">
        <v>76</v>
      </c>
      <c r="J2881" t="s">
        <v>77</v>
      </c>
      <c r="K2881" t="s">
        <v>78</v>
      </c>
      <c r="L2881" t="s">
        <v>111</v>
      </c>
      <c r="M2881" t="s">
        <v>112</v>
      </c>
      <c r="N2881" t="s">
        <v>113</v>
      </c>
      <c r="O2881" t="s">
        <v>82</v>
      </c>
      <c r="P2881" t="str">
        <f>"4170049835                    "</f>
        <v xml:space="preserve">4170049835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43.78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137.94</v>
      </c>
      <c r="BM2881">
        <v>20.69</v>
      </c>
      <c r="BN2881">
        <v>158.63</v>
      </c>
      <c r="BO2881">
        <v>158.63</v>
      </c>
      <c r="BQ2881" t="s">
        <v>537</v>
      </c>
      <c r="BR2881" t="s">
        <v>84</v>
      </c>
      <c r="BS2881" s="3">
        <v>45860</v>
      </c>
      <c r="BT2881" s="4">
        <v>0.4375</v>
      </c>
      <c r="BU2881" t="s">
        <v>115</v>
      </c>
      <c r="BV2881" t="s">
        <v>98</v>
      </c>
      <c r="BY2881">
        <v>1200</v>
      </c>
      <c r="CA2881" t="s">
        <v>116</v>
      </c>
      <c r="CC2881" t="s">
        <v>112</v>
      </c>
      <c r="CD2881">
        <v>1871</v>
      </c>
      <c r="CE2881" t="s">
        <v>121</v>
      </c>
      <c r="CF2881" s="3">
        <v>45861</v>
      </c>
      <c r="CI2881">
        <v>1</v>
      </c>
      <c r="CJ2881">
        <v>1</v>
      </c>
      <c r="CK2881">
        <v>23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"080066695014"</f>
        <v>080066695014</v>
      </c>
      <c r="F2882" s="3">
        <v>45859</v>
      </c>
      <c r="G2882">
        <v>202604</v>
      </c>
      <c r="H2882" t="s">
        <v>75</v>
      </c>
      <c r="I2882" t="s">
        <v>76</v>
      </c>
      <c r="J2882" t="s">
        <v>77</v>
      </c>
      <c r="K2882" t="s">
        <v>78</v>
      </c>
      <c r="L2882" t="s">
        <v>240</v>
      </c>
      <c r="M2882" t="s">
        <v>241</v>
      </c>
      <c r="N2882" t="s">
        <v>686</v>
      </c>
      <c r="O2882" t="s">
        <v>82</v>
      </c>
      <c r="P2882" t="str">
        <f>"4170049895                    "</f>
        <v xml:space="preserve">4170049895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17.649999999999999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55.61</v>
      </c>
      <c r="BM2882">
        <v>8.34</v>
      </c>
      <c r="BN2882">
        <v>63.95</v>
      </c>
      <c r="BO2882">
        <v>63.95</v>
      </c>
      <c r="BQ2882" t="s">
        <v>687</v>
      </c>
      <c r="BR2882" t="s">
        <v>84</v>
      </c>
      <c r="BS2882" s="3">
        <v>45860</v>
      </c>
      <c r="BT2882" s="4">
        <v>0.35972222222222222</v>
      </c>
      <c r="BU2882" t="s">
        <v>938</v>
      </c>
      <c r="BV2882" t="s">
        <v>98</v>
      </c>
      <c r="BY2882">
        <v>1200</v>
      </c>
      <c r="CA2882" t="s">
        <v>451</v>
      </c>
      <c r="CC2882" t="s">
        <v>241</v>
      </c>
      <c r="CD2882">
        <v>2094</v>
      </c>
      <c r="CE2882" t="s">
        <v>121</v>
      </c>
      <c r="CF2882" s="3">
        <v>45860</v>
      </c>
      <c r="CI2882">
        <v>1</v>
      </c>
      <c r="CJ2882">
        <v>1</v>
      </c>
      <c r="CK2882">
        <v>22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"080066695034"</f>
        <v>080066695034</v>
      </c>
      <c r="F2883" s="3">
        <v>45859</v>
      </c>
      <c r="G2883">
        <v>202604</v>
      </c>
      <c r="H2883" t="s">
        <v>75</v>
      </c>
      <c r="I2883" t="s">
        <v>76</v>
      </c>
      <c r="J2883" t="s">
        <v>77</v>
      </c>
      <c r="K2883" t="s">
        <v>78</v>
      </c>
      <c r="L2883" t="s">
        <v>111</v>
      </c>
      <c r="M2883" t="s">
        <v>112</v>
      </c>
      <c r="N2883" t="s">
        <v>113</v>
      </c>
      <c r="O2883" t="s">
        <v>82</v>
      </c>
      <c r="P2883" t="str">
        <f>"4170049781                    "</f>
        <v xml:space="preserve">4170049781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43.78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137.94</v>
      </c>
      <c r="BM2883">
        <v>20.69</v>
      </c>
      <c r="BN2883">
        <v>158.63</v>
      </c>
      <c r="BO2883">
        <v>158.63</v>
      </c>
      <c r="BQ2883" t="s">
        <v>537</v>
      </c>
      <c r="BR2883" t="s">
        <v>84</v>
      </c>
      <c r="BS2883" s="3">
        <v>45860</v>
      </c>
      <c r="BT2883" s="4">
        <v>0.4375</v>
      </c>
      <c r="BU2883" t="s">
        <v>115</v>
      </c>
      <c r="BV2883" t="s">
        <v>98</v>
      </c>
      <c r="BY2883">
        <v>1200</v>
      </c>
      <c r="CA2883" t="s">
        <v>116</v>
      </c>
      <c r="CC2883" t="s">
        <v>112</v>
      </c>
      <c r="CD2883">
        <v>1871</v>
      </c>
      <c r="CE2883" t="s">
        <v>121</v>
      </c>
      <c r="CF2883" s="3">
        <v>45861</v>
      </c>
      <c r="CI2883">
        <v>1</v>
      </c>
      <c r="CJ2883">
        <v>1</v>
      </c>
      <c r="CK2883">
        <v>23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"080066695056"</f>
        <v>080066695056</v>
      </c>
      <c r="F2884" s="3">
        <v>45859</v>
      </c>
      <c r="G2884">
        <v>202604</v>
      </c>
      <c r="H2884" t="s">
        <v>75</v>
      </c>
      <c r="I2884" t="s">
        <v>76</v>
      </c>
      <c r="J2884" t="s">
        <v>77</v>
      </c>
      <c r="K2884" t="s">
        <v>78</v>
      </c>
      <c r="L2884" t="s">
        <v>503</v>
      </c>
      <c r="M2884" t="s">
        <v>504</v>
      </c>
      <c r="N2884" t="s">
        <v>505</v>
      </c>
      <c r="O2884" t="s">
        <v>82</v>
      </c>
      <c r="P2884" t="str">
        <f>"4170049860                    "</f>
        <v xml:space="preserve">4170049860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43.78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137.94</v>
      </c>
      <c r="BM2884">
        <v>20.69</v>
      </c>
      <c r="BN2884">
        <v>158.63</v>
      </c>
      <c r="BO2884">
        <v>158.63</v>
      </c>
      <c r="BQ2884" t="s">
        <v>506</v>
      </c>
      <c r="BR2884" t="s">
        <v>84</v>
      </c>
      <c r="BS2884" s="3">
        <v>45860</v>
      </c>
      <c r="BT2884" s="4">
        <v>0.43194444444444446</v>
      </c>
      <c r="BU2884" t="s">
        <v>507</v>
      </c>
      <c r="BV2884" t="s">
        <v>98</v>
      </c>
      <c r="BY2884">
        <v>1200</v>
      </c>
      <c r="CA2884" t="s">
        <v>508</v>
      </c>
      <c r="CC2884" t="s">
        <v>504</v>
      </c>
      <c r="CD2884">
        <v>7130</v>
      </c>
      <c r="CE2884" t="s">
        <v>121</v>
      </c>
      <c r="CF2884" s="3">
        <v>45861</v>
      </c>
      <c r="CI2884">
        <v>1</v>
      </c>
      <c r="CJ2884">
        <v>1</v>
      </c>
      <c r="CK2884">
        <v>23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"080066695105"</f>
        <v>080066695105</v>
      </c>
      <c r="F2885" s="3">
        <v>45859</v>
      </c>
      <c r="G2885">
        <v>202604</v>
      </c>
      <c r="H2885" t="s">
        <v>75</v>
      </c>
      <c r="I2885" t="s">
        <v>76</v>
      </c>
      <c r="J2885" t="s">
        <v>77</v>
      </c>
      <c r="K2885" t="s">
        <v>78</v>
      </c>
      <c r="L2885" t="s">
        <v>75</v>
      </c>
      <c r="M2885" t="s">
        <v>76</v>
      </c>
      <c r="N2885" t="s">
        <v>3041</v>
      </c>
      <c r="O2885" t="s">
        <v>82</v>
      </c>
      <c r="P2885" t="str">
        <f>"4170049890                    "</f>
        <v xml:space="preserve">4170049890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17.649999999999999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55.61</v>
      </c>
      <c r="BM2885">
        <v>8.34</v>
      </c>
      <c r="BN2885">
        <v>63.95</v>
      </c>
      <c r="BO2885">
        <v>63.95</v>
      </c>
      <c r="BQ2885" t="s">
        <v>3042</v>
      </c>
      <c r="BR2885" t="s">
        <v>84</v>
      </c>
      <c r="BS2885" s="3">
        <v>45860</v>
      </c>
      <c r="BT2885" s="4">
        <v>0.30902777777777779</v>
      </c>
      <c r="BU2885" t="s">
        <v>3043</v>
      </c>
      <c r="BV2885" t="s">
        <v>98</v>
      </c>
      <c r="BY2885">
        <v>1200</v>
      </c>
      <c r="CA2885" t="s">
        <v>213</v>
      </c>
      <c r="CC2885" t="s">
        <v>76</v>
      </c>
      <c r="CD2885">
        <v>1600</v>
      </c>
      <c r="CE2885" t="s">
        <v>121</v>
      </c>
      <c r="CF2885" s="3">
        <v>45860</v>
      </c>
      <c r="CI2885">
        <v>1</v>
      </c>
      <c r="CJ2885">
        <v>1</v>
      </c>
      <c r="CK2885">
        <v>22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"080066695134"</f>
        <v>080066695134</v>
      </c>
      <c r="F2886" s="3">
        <v>45859</v>
      </c>
      <c r="G2886">
        <v>202604</v>
      </c>
      <c r="H2886" t="s">
        <v>75</v>
      </c>
      <c r="I2886" t="s">
        <v>76</v>
      </c>
      <c r="J2886" t="s">
        <v>77</v>
      </c>
      <c r="K2886" t="s">
        <v>78</v>
      </c>
      <c r="L2886" t="s">
        <v>79</v>
      </c>
      <c r="M2886" t="s">
        <v>80</v>
      </c>
      <c r="N2886" t="s">
        <v>376</v>
      </c>
      <c r="O2886" t="s">
        <v>82</v>
      </c>
      <c r="P2886" t="str">
        <f>"4170049868                    "</f>
        <v xml:space="preserve">4170049868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22.6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71.2</v>
      </c>
      <c r="BM2886">
        <v>10.68</v>
      </c>
      <c r="BN2886">
        <v>81.88</v>
      </c>
      <c r="BO2886">
        <v>81.88</v>
      </c>
      <c r="BQ2886" t="s">
        <v>377</v>
      </c>
      <c r="BR2886" t="s">
        <v>84</v>
      </c>
      <c r="BS2886" s="3">
        <v>45860</v>
      </c>
      <c r="BT2886" s="4">
        <v>0.40902777777777777</v>
      </c>
      <c r="BU2886" t="s">
        <v>378</v>
      </c>
      <c r="BV2886" t="s">
        <v>98</v>
      </c>
      <c r="BY2886">
        <v>1200</v>
      </c>
      <c r="CA2886" t="s">
        <v>144</v>
      </c>
      <c r="CC2886" t="s">
        <v>80</v>
      </c>
      <c r="CD2886">
        <v>8001</v>
      </c>
      <c r="CE2886" t="s">
        <v>121</v>
      </c>
      <c r="CF2886" s="3">
        <v>45861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"080066695155"</f>
        <v>080066695155</v>
      </c>
      <c r="F2887" s="3">
        <v>45859</v>
      </c>
      <c r="G2887">
        <v>202604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376</v>
      </c>
      <c r="O2887" t="s">
        <v>82</v>
      </c>
      <c r="P2887" t="str">
        <f>"4170049848                    "</f>
        <v xml:space="preserve">4170049848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22.6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71.2</v>
      </c>
      <c r="BM2887">
        <v>10.68</v>
      </c>
      <c r="BN2887">
        <v>81.88</v>
      </c>
      <c r="BO2887">
        <v>81.88</v>
      </c>
      <c r="BQ2887" t="s">
        <v>377</v>
      </c>
      <c r="BR2887" t="s">
        <v>84</v>
      </c>
      <c r="BS2887" s="3">
        <v>45860</v>
      </c>
      <c r="BT2887" s="4">
        <v>0.40902777777777777</v>
      </c>
      <c r="BU2887" t="s">
        <v>378</v>
      </c>
      <c r="BV2887" t="s">
        <v>98</v>
      </c>
      <c r="BY2887">
        <v>1200</v>
      </c>
      <c r="CA2887" t="s">
        <v>144</v>
      </c>
      <c r="CC2887" t="s">
        <v>80</v>
      </c>
      <c r="CD2887">
        <v>8001</v>
      </c>
      <c r="CE2887" t="s">
        <v>121</v>
      </c>
      <c r="CF2887" s="3">
        <v>45861</v>
      </c>
      <c r="CI2887">
        <v>1</v>
      </c>
      <c r="CJ2887">
        <v>1</v>
      </c>
      <c r="CK2887">
        <v>21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"080066695201"</f>
        <v>080066695201</v>
      </c>
      <c r="F2888" s="3">
        <v>45859</v>
      </c>
      <c r="G2888">
        <v>202604</v>
      </c>
      <c r="H2888" t="s">
        <v>75</v>
      </c>
      <c r="I2888" t="s">
        <v>76</v>
      </c>
      <c r="J2888" t="s">
        <v>77</v>
      </c>
      <c r="K2888" t="s">
        <v>78</v>
      </c>
      <c r="L2888" t="s">
        <v>79</v>
      </c>
      <c r="M2888" t="s">
        <v>80</v>
      </c>
      <c r="N2888" t="s">
        <v>1775</v>
      </c>
      <c r="O2888" t="s">
        <v>82</v>
      </c>
      <c r="P2888" t="str">
        <f>"4170049790                    "</f>
        <v xml:space="preserve">4170049790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22.6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71.2</v>
      </c>
      <c r="BM2888">
        <v>10.68</v>
      </c>
      <c r="BN2888">
        <v>81.88</v>
      </c>
      <c r="BO2888">
        <v>81.88</v>
      </c>
      <c r="BQ2888" t="s">
        <v>1776</v>
      </c>
      <c r="BR2888" t="s">
        <v>84</v>
      </c>
      <c r="BS2888" s="3">
        <v>45860</v>
      </c>
      <c r="BT2888" s="4">
        <v>0.39652777777777776</v>
      </c>
      <c r="BU2888" t="s">
        <v>933</v>
      </c>
      <c r="BV2888" t="s">
        <v>98</v>
      </c>
      <c r="BY2888">
        <v>1200</v>
      </c>
      <c r="CA2888" t="s">
        <v>934</v>
      </c>
      <c r="CC2888" t="s">
        <v>80</v>
      </c>
      <c r="CD2888">
        <v>7535</v>
      </c>
      <c r="CE2888" t="s">
        <v>121</v>
      </c>
      <c r="CF2888" s="3">
        <v>45861</v>
      </c>
      <c r="CI2888">
        <v>1</v>
      </c>
      <c r="CJ2888">
        <v>1</v>
      </c>
      <c r="CK2888">
        <v>21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"080066695244"</f>
        <v>080066695244</v>
      </c>
      <c r="F2889" s="3">
        <v>45859</v>
      </c>
      <c r="G2889">
        <v>202604</v>
      </c>
      <c r="H2889" t="s">
        <v>75</v>
      </c>
      <c r="I2889" t="s">
        <v>76</v>
      </c>
      <c r="J2889" t="s">
        <v>77</v>
      </c>
      <c r="K2889" t="s">
        <v>78</v>
      </c>
      <c r="L2889" t="s">
        <v>79</v>
      </c>
      <c r="M2889" t="s">
        <v>80</v>
      </c>
      <c r="N2889" t="s">
        <v>1775</v>
      </c>
      <c r="O2889" t="s">
        <v>82</v>
      </c>
      <c r="P2889" t="str">
        <f>"4170049837                    "</f>
        <v xml:space="preserve">4170049837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22.6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71.2</v>
      </c>
      <c r="BM2889">
        <v>10.68</v>
      </c>
      <c r="BN2889">
        <v>81.88</v>
      </c>
      <c r="BO2889">
        <v>81.88</v>
      </c>
      <c r="BQ2889" t="s">
        <v>1776</v>
      </c>
      <c r="BR2889" t="s">
        <v>84</v>
      </c>
      <c r="BS2889" s="3">
        <v>45860</v>
      </c>
      <c r="BT2889" s="4">
        <v>0.39652777777777776</v>
      </c>
      <c r="BU2889" t="s">
        <v>933</v>
      </c>
      <c r="BV2889" t="s">
        <v>98</v>
      </c>
      <c r="BY2889">
        <v>1200</v>
      </c>
      <c r="CA2889" t="s">
        <v>934</v>
      </c>
      <c r="CC2889" t="s">
        <v>80</v>
      </c>
      <c r="CD2889">
        <v>7535</v>
      </c>
      <c r="CE2889" t="s">
        <v>121</v>
      </c>
      <c r="CF2889" s="3">
        <v>45861</v>
      </c>
      <c r="CI2889">
        <v>1</v>
      </c>
      <c r="CJ2889">
        <v>1</v>
      </c>
      <c r="CK2889">
        <v>21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"080066695286"</f>
        <v>080066695286</v>
      </c>
      <c r="F2890" s="3">
        <v>45859</v>
      </c>
      <c r="G2890">
        <v>202604</v>
      </c>
      <c r="H2890" t="s">
        <v>75</v>
      </c>
      <c r="I2890" t="s">
        <v>76</v>
      </c>
      <c r="J2890" t="s">
        <v>77</v>
      </c>
      <c r="K2890" t="s">
        <v>78</v>
      </c>
      <c r="L2890" t="s">
        <v>240</v>
      </c>
      <c r="M2890" t="s">
        <v>241</v>
      </c>
      <c r="N2890" t="s">
        <v>1828</v>
      </c>
      <c r="O2890" t="s">
        <v>82</v>
      </c>
      <c r="P2890" t="str">
        <f>"4170049944                    "</f>
        <v xml:space="preserve">4170049944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17.649999999999999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55.61</v>
      </c>
      <c r="BM2890">
        <v>8.34</v>
      </c>
      <c r="BN2890">
        <v>63.95</v>
      </c>
      <c r="BO2890">
        <v>63.95</v>
      </c>
      <c r="BQ2890" t="s">
        <v>1829</v>
      </c>
      <c r="BR2890" t="s">
        <v>84</v>
      </c>
      <c r="BS2890" s="3">
        <v>45860</v>
      </c>
      <c r="BT2890" s="4">
        <v>0.40972222222222221</v>
      </c>
      <c r="BU2890" t="s">
        <v>3044</v>
      </c>
      <c r="BV2890" t="s">
        <v>98</v>
      </c>
      <c r="BY2890">
        <v>1200</v>
      </c>
      <c r="BZ2890" t="s">
        <v>89</v>
      </c>
      <c r="CA2890" t="s">
        <v>1738</v>
      </c>
      <c r="CC2890" t="s">
        <v>241</v>
      </c>
      <c r="CD2890">
        <v>2091</v>
      </c>
      <c r="CE2890" t="s">
        <v>121</v>
      </c>
      <c r="CF2890" s="3">
        <v>45861</v>
      </c>
      <c r="CI2890">
        <v>1</v>
      </c>
      <c r="CJ2890">
        <v>1</v>
      </c>
      <c r="CK2890">
        <v>22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"080066695313"</f>
        <v>080066695313</v>
      </c>
      <c r="F2891" s="3">
        <v>45859</v>
      </c>
      <c r="G2891">
        <v>202604</v>
      </c>
      <c r="H2891" t="s">
        <v>75</v>
      </c>
      <c r="I2891" t="s">
        <v>76</v>
      </c>
      <c r="J2891" t="s">
        <v>77</v>
      </c>
      <c r="K2891" t="s">
        <v>78</v>
      </c>
      <c r="L2891" t="s">
        <v>704</v>
      </c>
      <c r="M2891" t="s">
        <v>705</v>
      </c>
      <c r="N2891" t="s">
        <v>848</v>
      </c>
      <c r="O2891" t="s">
        <v>82</v>
      </c>
      <c r="P2891" t="str">
        <f>"4170049849                    "</f>
        <v xml:space="preserve">4170049849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43.78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137.94</v>
      </c>
      <c r="BM2891">
        <v>20.69</v>
      </c>
      <c r="BN2891">
        <v>158.63</v>
      </c>
      <c r="BO2891">
        <v>158.63</v>
      </c>
      <c r="BQ2891" t="s">
        <v>849</v>
      </c>
      <c r="BR2891" t="s">
        <v>84</v>
      </c>
      <c r="BS2891" s="3">
        <v>45860</v>
      </c>
      <c r="BT2891" s="4">
        <v>0.52013888888888893</v>
      </c>
      <c r="BU2891" t="s">
        <v>2713</v>
      </c>
      <c r="BV2891" t="s">
        <v>98</v>
      </c>
      <c r="BY2891">
        <v>1200</v>
      </c>
      <c r="BZ2891" t="s">
        <v>89</v>
      </c>
      <c r="CA2891" t="s">
        <v>1152</v>
      </c>
      <c r="CC2891" t="s">
        <v>705</v>
      </c>
      <c r="CD2891">
        <v>6850</v>
      </c>
      <c r="CE2891" t="s">
        <v>121</v>
      </c>
      <c r="CF2891" s="3">
        <v>45861</v>
      </c>
      <c r="CI2891">
        <v>2</v>
      </c>
      <c r="CJ2891">
        <v>1</v>
      </c>
      <c r="CK2891">
        <v>23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"080066695320"</f>
        <v>080066695320</v>
      </c>
      <c r="F2892" s="3">
        <v>45859</v>
      </c>
      <c r="G2892">
        <v>202604</v>
      </c>
      <c r="H2892" t="s">
        <v>75</v>
      </c>
      <c r="I2892" t="s">
        <v>76</v>
      </c>
      <c r="J2892" t="s">
        <v>77</v>
      </c>
      <c r="K2892" t="s">
        <v>78</v>
      </c>
      <c r="L2892" t="s">
        <v>75</v>
      </c>
      <c r="M2892" t="s">
        <v>76</v>
      </c>
      <c r="N2892" t="s">
        <v>622</v>
      </c>
      <c r="O2892" t="s">
        <v>82</v>
      </c>
      <c r="P2892" t="str">
        <f>"4170049886                    "</f>
        <v xml:space="preserve">4170049886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17.649999999999999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55.61</v>
      </c>
      <c r="BM2892">
        <v>8.34</v>
      </c>
      <c r="BN2892">
        <v>63.95</v>
      </c>
      <c r="BO2892">
        <v>63.95</v>
      </c>
      <c r="BQ2892" t="s">
        <v>623</v>
      </c>
      <c r="BR2892" t="s">
        <v>84</v>
      </c>
      <c r="BS2892" s="3">
        <v>45860</v>
      </c>
      <c r="BT2892" s="4">
        <v>0.34652777777777777</v>
      </c>
      <c r="BU2892" t="s">
        <v>1048</v>
      </c>
      <c r="BV2892" t="s">
        <v>98</v>
      </c>
      <c r="BY2892">
        <v>1200</v>
      </c>
      <c r="BZ2892" t="s">
        <v>89</v>
      </c>
      <c r="CA2892" t="s">
        <v>304</v>
      </c>
      <c r="CC2892" t="s">
        <v>76</v>
      </c>
      <c r="CD2892">
        <v>1601</v>
      </c>
      <c r="CE2892" t="s">
        <v>121</v>
      </c>
      <c r="CF2892" s="3">
        <v>45860</v>
      </c>
      <c r="CI2892">
        <v>1</v>
      </c>
      <c r="CJ2892">
        <v>1</v>
      </c>
      <c r="CK2892">
        <v>22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"080066695342"</f>
        <v>080066695342</v>
      </c>
      <c r="F2893" s="3">
        <v>45859</v>
      </c>
      <c r="G2893">
        <v>202604</v>
      </c>
      <c r="H2893" t="s">
        <v>75</v>
      </c>
      <c r="I2893" t="s">
        <v>76</v>
      </c>
      <c r="J2893" t="s">
        <v>77</v>
      </c>
      <c r="K2893" t="s">
        <v>78</v>
      </c>
      <c r="L2893" t="s">
        <v>240</v>
      </c>
      <c r="M2893" t="s">
        <v>241</v>
      </c>
      <c r="N2893" t="s">
        <v>242</v>
      </c>
      <c r="O2893" t="s">
        <v>82</v>
      </c>
      <c r="P2893" t="str">
        <f>"4170049814                    "</f>
        <v xml:space="preserve">4170049814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17.649999999999999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55.61</v>
      </c>
      <c r="BM2893">
        <v>8.34</v>
      </c>
      <c r="BN2893">
        <v>63.95</v>
      </c>
      <c r="BO2893">
        <v>63.95</v>
      </c>
      <c r="BQ2893" t="s">
        <v>243</v>
      </c>
      <c r="BR2893" t="s">
        <v>84</v>
      </c>
      <c r="BS2893" s="3">
        <v>45860</v>
      </c>
      <c r="BT2893" s="4">
        <v>0.38541666666666669</v>
      </c>
      <c r="BU2893" t="s">
        <v>3045</v>
      </c>
      <c r="BV2893" t="s">
        <v>98</v>
      </c>
      <c r="BY2893">
        <v>1200</v>
      </c>
      <c r="BZ2893" t="s">
        <v>89</v>
      </c>
      <c r="CA2893" t="s">
        <v>245</v>
      </c>
      <c r="CC2893" t="s">
        <v>241</v>
      </c>
      <c r="CD2893">
        <v>2091</v>
      </c>
      <c r="CE2893" t="s">
        <v>258</v>
      </c>
      <c r="CF2893" s="3">
        <v>45861</v>
      </c>
      <c r="CI2893">
        <v>1</v>
      </c>
      <c r="CJ2893">
        <v>1</v>
      </c>
      <c r="CK2893">
        <v>22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"080066695349"</f>
        <v>080066695349</v>
      </c>
      <c r="F2894" s="3">
        <v>45859</v>
      </c>
      <c r="G2894">
        <v>202604</v>
      </c>
      <c r="H2894" t="s">
        <v>75</v>
      </c>
      <c r="I2894" t="s">
        <v>76</v>
      </c>
      <c r="J2894" t="s">
        <v>77</v>
      </c>
      <c r="K2894" t="s">
        <v>78</v>
      </c>
      <c r="L2894" t="s">
        <v>102</v>
      </c>
      <c r="M2894" t="s">
        <v>103</v>
      </c>
      <c r="N2894" t="s">
        <v>104</v>
      </c>
      <c r="O2894" t="s">
        <v>82</v>
      </c>
      <c r="P2894" t="str">
        <f>"4170049902                    "</f>
        <v xml:space="preserve">4170049902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31.78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100.13</v>
      </c>
      <c r="BM2894">
        <v>15.02</v>
      </c>
      <c r="BN2894">
        <v>115.15</v>
      </c>
      <c r="BO2894">
        <v>115.15</v>
      </c>
      <c r="BQ2894" t="s">
        <v>833</v>
      </c>
      <c r="BR2894" t="s">
        <v>84</v>
      </c>
      <c r="BS2894" s="3">
        <v>45860</v>
      </c>
      <c r="BT2894" s="4">
        <v>0.36388888888888887</v>
      </c>
      <c r="BU2894" t="s">
        <v>796</v>
      </c>
      <c r="BV2894" t="s">
        <v>98</v>
      </c>
      <c r="BY2894">
        <v>1200</v>
      </c>
      <c r="BZ2894" t="s">
        <v>89</v>
      </c>
      <c r="CA2894" t="s">
        <v>2602</v>
      </c>
      <c r="CC2894" t="s">
        <v>103</v>
      </c>
      <c r="CD2894">
        <v>1748</v>
      </c>
      <c r="CE2894" t="s">
        <v>121</v>
      </c>
      <c r="CF2894" s="3">
        <v>45861</v>
      </c>
      <c r="CI2894">
        <v>1</v>
      </c>
      <c r="CJ2894">
        <v>1</v>
      </c>
      <c r="CK2894">
        <v>24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"080066695378"</f>
        <v>080066695378</v>
      </c>
      <c r="F2895" s="3">
        <v>45859</v>
      </c>
      <c r="G2895">
        <v>202604</v>
      </c>
      <c r="H2895" t="s">
        <v>75</v>
      </c>
      <c r="I2895" t="s">
        <v>76</v>
      </c>
      <c r="J2895" t="s">
        <v>77</v>
      </c>
      <c r="K2895" t="s">
        <v>78</v>
      </c>
      <c r="L2895" t="s">
        <v>452</v>
      </c>
      <c r="M2895" t="s">
        <v>453</v>
      </c>
      <c r="N2895" t="s">
        <v>968</v>
      </c>
      <c r="O2895" t="s">
        <v>82</v>
      </c>
      <c r="P2895" t="str">
        <f>"4170049883                    "</f>
        <v xml:space="preserve">4170049883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17.649999999999999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55.61</v>
      </c>
      <c r="BM2895">
        <v>8.34</v>
      </c>
      <c r="BN2895">
        <v>63.95</v>
      </c>
      <c r="BO2895">
        <v>63.95</v>
      </c>
      <c r="BQ2895" t="s">
        <v>1098</v>
      </c>
      <c r="BR2895" t="s">
        <v>84</v>
      </c>
      <c r="BS2895" s="3">
        <v>45860</v>
      </c>
      <c r="BT2895" s="4">
        <v>0.42430555555555555</v>
      </c>
      <c r="BU2895" t="s">
        <v>2987</v>
      </c>
      <c r="BV2895" t="s">
        <v>98</v>
      </c>
      <c r="BY2895">
        <v>1200</v>
      </c>
      <c r="CA2895" t="s">
        <v>1541</v>
      </c>
      <c r="CC2895" t="s">
        <v>453</v>
      </c>
      <c r="CD2895">
        <v>1559</v>
      </c>
      <c r="CE2895" t="s">
        <v>121</v>
      </c>
      <c r="CF2895" s="3">
        <v>45860</v>
      </c>
      <c r="CI2895">
        <v>1</v>
      </c>
      <c r="CJ2895">
        <v>1</v>
      </c>
      <c r="CK2895">
        <v>22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"080066695384"</f>
        <v>080066695384</v>
      </c>
      <c r="F2896" s="3">
        <v>45859</v>
      </c>
      <c r="G2896">
        <v>202604</v>
      </c>
      <c r="H2896" t="s">
        <v>75</v>
      </c>
      <c r="I2896" t="s">
        <v>76</v>
      </c>
      <c r="J2896" t="s">
        <v>77</v>
      </c>
      <c r="K2896" t="s">
        <v>78</v>
      </c>
      <c r="L2896" t="s">
        <v>79</v>
      </c>
      <c r="M2896" t="s">
        <v>80</v>
      </c>
      <c r="N2896" t="s">
        <v>1775</v>
      </c>
      <c r="O2896" t="s">
        <v>82</v>
      </c>
      <c r="P2896" t="str">
        <f>"4170049789                    "</f>
        <v xml:space="preserve">4170049789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22.6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71.2</v>
      </c>
      <c r="BM2896">
        <v>10.68</v>
      </c>
      <c r="BN2896">
        <v>81.88</v>
      </c>
      <c r="BO2896">
        <v>81.88</v>
      </c>
      <c r="BQ2896" t="s">
        <v>1776</v>
      </c>
      <c r="BR2896" t="s">
        <v>84</v>
      </c>
      <c r="BS2896" s="3">
        <v>45860</v>
      </c>
      <c r="BT2896" s="4">
        <v>0.39652777777777776</v>
      </c>
      <c r="BU2896" t="s">
        <v>933</v>
      </c>
      <c r="BV2896" t="s">
        <v>98</v>
      </c>
      <c r="BY2896">
        <v>1200</v>
      </c>
      <c r="CA2896" t="s">
        <v>934</v>
      </c>
      <c r="CC2896" t="s">
        <v>80</v>
      </c>
      <c r="CD2896">
        <v>7530</v>
      </c>
      <c r="CE2896" t="s">
        <v>121</v>
      </c>
      <c r="CF2896" s="3">
        <v>45861</v>
      </c>
      <c r="CI2896">
        <v>1</v>
      </c>
      <c r="CJ2896">
        <v>1</v>
      </c>
      <c r="CK2896">
        <v>21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"080066695403"</f>
        <v>080066695403</v>
      </c>
      <c r="F2897" s="3">
        <v>45859</v>
      </c>
      <c r="G2897">
        <v>202604</v>
      </c>
      <c r="H2897" t="s">
        <v>75</v>
      </c>
      <c r="I2897" t="s">
        <v>76</v>
      </c>
      <c r="J2897" t="s">
        <v>77</v>
      </c>
      <c r="K2897" t="s">
        <v>78</v>
      </c>
      <c r="L2897" t="s">
        <v>821</v>
      </c>
      <c r="M2897" t="s">
        <v>822</v>
      </c>
      <c r="N2897" t="s">
        <v>3046</v>
      </c>
      <c r="O2897" t="s">
        <v>82</v>
      </c>
      <c r="P2897" t="str">
        <f>"4170049840                    "</f>
        <v xml:space="preserve">4170049840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31.78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100.13</v>
      </c>
      <c r="BM2897">
        <v>15.02</v>
      </c>
      <c r="BN2897">
        <v>115.15</v>
      </c>
      <c r="BO2897">
        <v>115.15</v>
      </c>
      <c r="BQ2897" t="s">
        <v>3047</v>
      </c>
      <c r="BR2897" t="s">
        <v>84</v>
      </c>
      <c r="BS2897" s="3">
        <v>45860</v>
      </c>
      <c r="BT2897" s="4">
        <v>0.32569444444444445</v>
      </c>
      <c r="BU2897" t="s">
        <v>3048</v>
      </c>
      <c r="BV2897" t="s">
        <v>98</v>
      </c>
      <c r="BY2897">
        <v>1200</v>
      </c>
      <c r="CA2897" t="s">
        <v>826</v>
      </c>
      <c r="CC2897" t="s">
        <v>822</v>
      </c>
      <c r="CD2897">
        <v>1759</v>
      </c>
      <c r="CE2897" t="s">
        <v>121</v>
      </c>
      <c r="CF2897" s="3">
        <v>45860</v>
      </c>
      <c r="CI2897">
        <v>1</v>
      </c>
      <c r="CJ2897">
        <v>1</v>
      </c>
      <c r="CK2897">
        <v>24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"080066695415"</f>
        <v>080066695415</v>
      </c>
      <c r="F2898" s="3">
        <v>45859</v>
      </c>
      <c r="G2898">
        <v>202604</v>
      </c>
      <c r="H2898" t="s">
        <v>75</v>
      </c>
      <c r="I2898" t="s">
        <v>76</v>
      </c>
      <c r="J2898" t="s">
        <v>77</v>
      </c>
      <c r="K2898" t="s">
        <v>78</v>
      </c>
      <c r="L2898" t="s">
        <v>146</v>
      </c>
      <c r="M2898" t="s">
        <v>146</v>
      </c>
      <c r="N2898" t="s">
        <v>147</v>
      </c>
      <c r="O2898" t="s">
        <v>82</v>
      </c>
      <c r="P2898" t="str">
        <f>"4170049932                    "</f>
        <v xml:space="preserve">4170049932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43.78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137.94</v>
      </c>
      <c r="BM2898">
        <v>20.69</v>
      </c>
      <c r="BN2898">
        <v>158.63</v>
      </c>
      <c r="BO2898">
        <v>158.63</v>
      </c>
      <c r="BQ2898" t="s">
        <v>764</v>
      </c>
      <c r="BR2898" t="s">
        <v>84</v>
      </c>
      <c r="BS2898" s="3">
        <v>45860</v>
      </c>
      <c r="BT2898" s="4">
        <v>0.53819444444444442</v>
      </c>
      <c r="BU2898" t="s">
        <v>149</v>
      </c>
      <c r="BV2898" t="s">
        <v>98</v>
      </c>
      <c r="BY2898">
        <v>1200</v>
      </c>
      <c r="CA2898" t="s">
        <v>150</v>
      </c>
      <c r="CC2898" t="s">
        <v>146</v>
      </c>
      <c r="CD2898">
        <v>7646</v>
      </c>
      <c r="CE2898" t="s">
        <v>121</v>
      </c>
      <c r="CF2898" s="3">
        <v>45861</v>
      </c>
      <c r="CI2898">
        <v>1</v>
      </c>
      <c r="CJ2898">
        <v>1</v>
      </c>
      <c r="CK2898">
        <v>23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"080066695429"</f>
        <v>080066695429</v>
      </c>
      <c r="F2899" s="3">
        <v>45859</v>
      </c>
      <c r="G2899">
        <v>202604</v>
      </c>
      <c r="H2899" t="s">
        <v>75</v>
      </c>
      <c r="I2899" t="s">
        <v>76</v>
      </c>
      <c r="J2899" t="s">
        <v>77</v>
      </c>
      <c r="K2899" t="s">
        <v>78</v>
      </c>
      <c r="L2899" t="s">
        <v>1762</v>
      </c>
      <c r="M2899" t="s">
        <v>1763</v>
      </c>
      <c r="N2899" t="s">
        <v>1764</v>
      </c>
      <c r="O2899" t="s">
        <v>82</v>
      </c>
      <c r="P2899" t="str">
        <f>"4170049782                    "</f>
        <v xml:space="preserve">4170049782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43.78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137.94</v>
      </c>
      <c r="BM2899">
        <v>20.69</v>
      </c>
      <c r="BN2899">
        <v>158.63</v>
      </c>
      <c r="BO2899">
        <v>158.63</v>
      </c>
      <c r="BQ2899" t="s">
        <v>1765</v>
      </c>
      <c r="BR2899" t="s">
        <v>84</v>
      </c>
      <c r="BS2899" s="3">
        <v>45860</v>
      </c>
      <c r="BT2899" s="4">
        <v>0.63263888888888886</v>
      </c>
      <c r="BU2899" t="s">
        <v>2972</v>
      </c>
      <c r="BV2899" t="s">
        <v>98</v>
      </c>
      <c r="BY2899">
        <v>1200</v>
      </c>
      <c r="CA2899" t="s">
        <v>1767</v>
      </c>
      <c r="CC2899" t="s">
        <v>1763</v>
      </c>
      <c r="CD2899">
        <v>1389</v>
      </c>
      <c r="CE2899" t="s">
        <v>121</v>
      </c>
      <c r="CF2899" s="3">
        <v>45860</v>
      </c>
      <c r="CI2899">
        <v>1</v>
      </c>
      <c r="CJ2899">
        <v>1</v>
      </c>
      <c r="CK2899">
        <v>23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"080066695435"</f>
        <v>080066695435</v>
      </c>
      <c r="F2900" s="3">
        <v>45859</v>
      </c>
      <c r="G2900">
        <v>202604</v>
      </c>
      <c r="H2900" t="s">
        <v>75</v>
      </c>
      <c r="I2900" t="s">
        <v>76</v>
      </c>
      <c r="J2900" t="s">
        <v>77</v>
      </c>
      <c r="K2900" t="s">
        <v>78</v>
      </c>
      <c r="L2900" t="s">
        <v>168</v>
      </c>
      <c r="M2900" t="s">
        <v>169</v>
      </c>
      <c r="N2900" t="s">
        <v>202</v>
      </c>
      <c r="O2900" t="s">
        <v>82</v>
      </c>
      <c r="P2900" t="str">
        <f>"4170049977                    "</f>
        <v xml:space="preserve">4170049977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22.6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71.2</v>
      </c>
      <c r="BM2900">
        <v>10.68</v>
      </c>
      <c r="BN2900">
        <v>81.88</v>
      </c>
      <c r="BO2900">
        <v>81.88</v>
      </c>
      <c r="BQ2900" t="s">
        <v>203</v>
      </c>
      <c r="BR2900" t="s">
        <v>84</v>
      </c>
      <c r="BS2900" s="3">
        <v>45860</v>
      </c>
      <c r="BT2900" s="4">
        <v>0.34791666666666665</v>
      </c>
      <c r="BU2900" t="s">
        <v>1127</v>
      </c>
      <c r="BV2900" t="s">
        <v>98</v>
      </c>
      <c r="BY2900">
        <v>1200</v>
      </c>
      <c r="CA2900" t="s">
        <v>205</v>
      </c>
      <c r="CC2900" t="s">
        <v>169</v>
      </c>
      <c r="CD2900">
        <v>6001</v>
      </c>
      <c r="CE2900" t="s">
        <v>121</v>
      </c>
      <c r="CF2900" s="3">
        <v>45860</v>
      </c>
      <c r="CI2900">
        <v>1</v>
      </c>
      <c r="CJ2900">
        <v>1</v>
      </c>
      <c r="CK2900">
        <v>21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"080066695466"</f>
        <v>080066695466</v>
      </c>
      <c r="F2901" s="3">
        <v>45859</v>
      </c>
      <c r="G2901">
        <v>202604</v>
      </c>
      <c r="H2901" t="s">
        <v>75</v>
      </c>
      <c r="I2901" t="s">
        <v>76</v>
      </c>
      <c r="J2901" t="s">
        <v>77</v>
      </c>
      <c r="K2901" t="s">
        <v>78</v>
      </c>
      <c r="L2901" t="s">
        <v>295</v>
      </c>
      <c r="M2901" t="s">
        <v>296</v>
      </c>
      <c r="N2901" t="s">
        <v>1074</v>
      </c>
      <c r="O2901" t="s">
        <v>82</v>
      </c>
      <c r="P2901" t="str">
        <f>"4170050032                    "</f>
        <v xml:space="preserve">4170050032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17.649999999999999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55.61</v>
      </c>
      <c r="BM2901">
        <v>8.34</v>
      </c>
      <c r="BN2901">
        <v>63.95</v>
      </c>
      <c r="BO2901">
        <v>63.95</v>
      </c>
      <c r="BQ2901" t="s">
        <v>1075</v>
      </c>
      <c r="BR2901" t="s">
        <v>84</v>
      </c>
      <c r="BS2901" s="3">
        <v>45860</v>
      </c>
      <c r="BT2901" s="4">
        <v>0.36944444444444446</v>
      </c>
      <c r="BU2901" t="s">
        <v>3049</v>
      </c>
      <c r="BV2901" t="s">
        <v>98</v>
      </c>
      <c r="BY2901">
        <v>1200</v>
      </c>
      <c r="CA2901" t="s">
        <v>529</v>
      </c>
      <c r="CC2901" t="s">
        <v>296</v>
      </c>
      <c r="CD2901">
        <v>1459</v>
      </c>
      <c r="CE2901" t="s">
        <v>121</v>
      </c>
      <c r="CF2901" s="3">
        <v>45860</v>
      </c>
      <c r="CI2901">
        <v>1</v>
      </c>
      <c r="CJ2901">
        <v>1</v>
      </c>
      <c r="CK2901">
        <v>22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"080066695481"</f>
        <v>080066695481</v>
      </c>
      <c r="F2902" s="3">
        <v>45859</v>
      </c>
      <c r="G2902">
        <v>202604</v>
      </c>
      <c r="H2902" t="s">
        <v>75</v>
      </c>
      <c r="I2902" t="s">
        <v>76</v>
      </c>
      <c r="J2902" t="s">
        <v>77</v>
      </c>
      <c r="K2902" t="s">
        <v>78</v>
      </c>
      <c r="L2902" t="s">
        <v>79</v>
      </c>
      <c r="M2902" t="s">
        <v>80</v>
      </c>
      <c r="N2902" t="s">
        <v>689</v>
      </c>
      <c r="O2902" t="s">
        <v>82</v>
      </c>
      <c r="P2902" t="str">
        <f>"4170049887                    "</f>
        <v xml:space="preserve">4170049887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22.6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71.2</v>
      </c>
      <c r="BM2902">
        <v>10.68</v>
      </c>
      <c r="BN2902">
        <v>81.88</v>
      </c>
      <c r="BO2902">
        <v>81.88</v>
      </c>
      <c r="BQ2902" t="s">
        <v>690</v>
      </c>
      <c r="BR2902" t="s">
        <v>84</v>
      </c>
      <c r="BS2902" s="3">
        <v>45860</v>
      </c>
      <c r="BT2902" s="4">
        <v>0.41180555555555554</v>
      </c>
      <c r="BU2902" t="s">
        <v>2843</v>
      </c>
      <c r="BV2902" t="s">
        <v>98</v>
      </c>
      <c r="BY2902">
        <v>1200</v>
      </c>
      <c r="CA2902" t="s">
        <v>692</v>
      </c>
      <c r="CC2902" t="s">
        <v>80</v>
      </c>
      <c r="CD2902">
        <v>7800</v>
      </c>
      <c r="CE2902" t="s">
        <v>121</v>
      </c>
      <c r="CF2902" s="3">
        <v>45861</v>
      </c>
      <c r="CI2902">
        <v>1</v>
      </c>
      <c r="CJ2902">
        <v>1</v>
      </c>
      <c r="CK2902">
        <v>21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"080066695512"</f>
        <v>080066695512</v>
      </c>
      <c r="F2903" s="3">
        <v>45859</v>
      </c>
      <c r="G2903">
        <v>202604</v>
      </c>
      <c r="H2903" t="s">
        <v>75</v>
      </c>
      <c r="I2903" t="s">
        <v>76</v>
      </c>
      <c r="J2903" t="s">
        <v>77</v>
      </c>
      <c r="K2903" t="s">
        <v>78</v>
      </c>
      <c r="L2903" t="s">
        <v>75</v>
      </c>
      <c r="M2903" t="s">
        <v>76</v>
      </c>
      <c r="N2903" t="s">
        <v>1469</v>
      </c>
      <c r="O2903" t="s">
        <v>82</v>
      </c>
      <c r="P2903" t="str">
        <f>"4170049825                    "</f>
        <v xml:space="preserve">4170049825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17.649999999999999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55.61</v>
      </c>
      <c r="BM2903">
        <v>8.34</v>
      </c>
      <c r="BN2903">
        <v>63.95</v>
      </c>
      <c r="BO2903">
        <v>63.95</v>
      </c>
      <c r="BQ2903" t="s">
        <v>1470</v>
      </c>
      <c r="BR2903" t="s">
        <v>84</v>
      </c>
      <c r="BS2903" s="3">
        <v>45860</v>
      </c>
      <c r="BT2903" s="4">
        <v>0.36249999999999999</v>
      </c>
      <c r="BU2903" t="s">
        <v>1945</v>
      </c>
      <c r="BV2903" t="s">
        <v>98</v>
      </c>
      <c r="BY2903">
        <v>1200</v>
      </c>
      <c r="CA2903" t="s">
        <v>471</v>
      </c>
      <c r="CC2903" t="s">
        <v>76</v>
      </c>
      <c r="CD2903">
        <v>1609</v>
      </c>
      <c r="CE2903" t="s">
        <v>121</v>
      </c>
      <c r="CF2903" s="3">
        <v>45861</v>
      </c>
      <c r="CI2903">
        <v>1</v>
      </c>
      <c r="CJ2903">
        <v>1</v>
      </c>
      <c r="CK2903">
        <v>22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"080066695531"</f>
        <v>080066695531</v>
      </c>
      <c r="F2904" s="3">
        <v>45859</v>
      </c>
      <c r="G2904">
        <v>202604</v>
      </c>
      <c r="H2904" t="s">
        <v>75</v>
      </c>
      <c r="I2904" t="s">
        <v>76</v>
      </c>
      <c r="J2904" t="s">
        <v>77</v>
      </c>
      <c r="K2904" t="s">
        <v>78</v>
      </c>
      <c r="L2904" t="s">
        <v>704</v>
      </c>
      <c r="M2904" t="s">
        <v>705</v>
      </c>
      <c r="N2904" t="s">
        <v>848</v>
      </c>
      <c r="O2904" t="s">
        <v>82</v>
      </c>
      <c r="P2904" t="str">
        <f>"4170049862                    "</f>
        <v xml:space="preserve">4170049862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43.78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137.94</v>
      </c>
      <c r="BM2904">
        <v>20.69</v>
      </c>
      <c r="BN2904">
        <v>158.63</v>
      </c>
      <c r="BO2904">
        <v>158.63</v>
      </c>
      <c r="BQ2904" t="s">
        <v>849</v>
      </c>
      <c r="BR2904" t="s">
        <v>84</v>
      </c>
      <c r="BS2904" s="3">
        <v>45860</v>
      </c>
      <c r="BT2904" s="4">
        <v>0.51944444444444449</v>
      </c>
      <c r="BU2904" t="s">
        <v>2713</v>
      </c>
      <c r="BV2904" t="s">
        <v>98</v>
      </c>
      <c r="BY2904">
        <v>1200</v>
      </c>
      <c r="CA2904" t="s">
        <v>1152</v>
      </c>
      <c r="CC2904" t="s">
        <v>705</v>
      </c>
      <c r="CD2904">
        <v>6850</v>
      </c>
      <c r="CE2904" t="s">
        <v>121</v>
      </c>
      <c r="CF2904" s="3">
        <v>45861</v>
      </c>
      <c r="CI2904">
        <v>2</v>
      </c>
      <c r="CJ2904">
        <v>1</v>
      </c>
      <c r="CK2904">
        <v>23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"080066695544"</f>
        <v>080066695544</v>
      </c>
      <c r="F2905" s="3">
        <v>45859</v>
      </c>
      <c r="G2905">
        <v>202604</v>
      </c>
      <c r="H2905" t="s">
        <v>75</v>
      </c>
      <c r="I2905" t="s">
        <v>76</v>
      </c>
      <c r="J2905" t="s">
        <v>77</v>
      </c>
      <c r="K2905" t="s">
        <v>78</v>
      </c>
      <c r="L2905" t="s">
        <v>75</v>
      </c>
      <c r="M2905" t="s">
        <v>76</v>
      </c>
      <c r="N2905" t="s">
        <v>118</v>
      </c>
      <c r="O2905" t="s">
        <v>82</v>
      </c>
      <c r="P2905" t="str">
        <f>"4170049766                    "</f>
        <v xml:space="preserve">4170049766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17.649999999999999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55.61</v>
      </c>
      <c r="BM2905">
        <v>8.34</v>
      </c>
      <c r="BN2905">
        <v>63.95</v>
      </c>
      <c r="BO2905">
        <v>63.95</v>
      </c>
      <c r="BQ2905" t="s">
        <v>119</v>
      </c>
      <c r="BR2905" t="s">
        <v>84</v>
      </c>
      <c r="BS2905" s="3">
        <v>45860</v>
      </c>
      <c r="BT2905" s="4">
        <v>0.40763888888888888</v>
      </c>
      <c r="BU2905" t="s">
        <v>212</v>
      </c>
      <c r="BV2905" t="s">
        <v>98</v>
      </c>
      <c r="BY2905">
        <v>1200</v>
      </c>
      <c r="CA2905" t="s">
        <v>213</v>
      </c>
      <c r="CC2905" t="s">
        <v>76</v>
      </c>
      <c r="CD2905">
        <v>1600</v>
      </c>
      <c r="CE2905" t="s">
        <v>2967</v>
      </c>
      <c r="CF2905" s="3">
        <v>45860</v>
      </c>
      <c r="CI2905">
        <v>1</v>
      </c>
      <c r="CJ2905">
        <v>1</v>
      </c>
      <c r="CK2905">
        <v>22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"080066695558"</f>
        <v>080066695558</v>
      </c>
      <c r="F2906" s="3">
        <v>45859</v>
      </c>
      <c r="G2906">
        <v>202604</v>
      </c>
      <c r="H2906" t="s">
        <v>75</v>
      </c>
      <c r="I2906" t="s">
        <v>76</v>
      </c>
      <c r="J2906" t="s">
        <v>77</v>
      </c>
      <c r="K2906" t="s">
        <v>78</v>
      </c>
      <c r="L2906" t="s">
        <v>146</v>
      </c>
      <c r="M2906" t="s">
        <v>146</v>
      </c>
      <c r="N2906" t="s">
        <v>147</v>
      </c>
      <c r="O2906" t="s">
        <v>82</v>
      </c>
      <c r="P2906" t="str">
        <f>"4170049891                    "</f>
        <v xml:space="preserve">4170049891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43.78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137.94</v>
      </c>
      <c r="BM2906">
        <v>20.69</v>
      </c>
      <c r="BN2906">
        <v>158.63</v>
      </c>
      <c r="BO2906">
        <v>158.63</v>
      </c>
      <c r="BQ2906" t="s">
        <v>764</v>
      </c>
      <c r="BR2906" t="s">
        <v>84</v>
      </c>
      <c r="BS2906" s="3">
        <v>45860</v>
      </c>
      <c r="BT2906" s="4">
        <v>0.53819444444444442</v>
      </c>
      <c r="BU2906" t="s">
        <v>149</v>
      </c>
      <c r="BV2906" t="s">
        <v>98</v>
      </c>
      <c r="BY2906">
        <v>1200</v>
      </c>
      <c r="CA2906" t="s">
        <v>150</v>
      </c>
      <c r="CC2906" t="s">
        <v>146</v>
      </c>
      <c r="CD2906">
        <v>7646</v>
      </c>
      <c r="CE2906" t="s">
        <v>121</v>
      </c>
      <c r="CF2906" s="3">
        <v>45861</v>
      </c>
      <c r="CI2906">
        <v>1</v>
      </c>
      <c r="CJ2906">
        <v>1</v>
      </c>
      <c r="CK2906">
        <v>23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"080066695567"</f>
        <v>080066695567</v>
      </c>
      <c r="F2907" s="3">
        <v>45859</v>
      </c>
      <c r="G2907">
        <v>202604</v>
      </c>
      <c r="H2907" t="s">
        <v>75</v>
      </c>
      <c r="I2907" t="s">
        <v>76</v>
      </c>
      <c r="J2907" t="s">
        <v>77</v>
      </c>
      <c r="K2907" t="s">
        <v>78</v>
      </c>
      <c r="L2907" t="s">
        <v>554</v>
      </c>
      <c r="M2907" t="s">
        <v>555</v>
      </c>
      <c r="N2907" t="s">
        <v>556</v>
      </c>
      <c r="O2907" t="s">
        <v>82</v>
      </c>
      <c r="P2907" t="str">
        <f>"4170049819                    "</f>
        <v xml:space="preserve">4170049819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22.6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71.2</v>
      </c>
      <c r="BM2907">
        <v>10.68</v>
      </c>
      <c r="BN2907">
        <v>81.88</v>
      </c>
      <c r="BO2907">
        <v>81.88</v>
      </c>
      <c r="BQ2907" t="s">
        <v>557</v>
      </c>
      <c r="BR2907" t="s">
        <v>84</v>
      </c>
      <c r="BS2907" s="3">
        <v>45860</v>
      </c>
      <c r="BT2907" s="4">
        <v>0.38819444444444445</v>
      </c>
      <c r="BU2907" t="s">
        <v>558</v>
      </c>
      <c r="BV2907" t="s">
        <v>98</v>
      </c>
      <c r="BY2907">
        <v>1200</v>
      </c>
      <c r="CA2907" t="s">
        <v>559</v>
      </c>
      <c r="CC2907" t="s">
        <v>555</v>
      </c>
      <c r="CD2907" s="5" t="s">
        <v>560</v>
      </c>
      <c r="CE2907" t="s">
        <v>121</v>
      </c>
      <c r="CF2907" s="3">
        <v>45860</v>
      </c>
      <c r="CI2907">
        <v>1</v>
      </c>
      <c r="CJ2907">
        <v>1</v>
      </c>
      <c r="CK2907">
        <v>21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"080066695592"</f>
        <v>080066695592</v>
      </c>
      <c r="F2908" s="3">
        <v>45859</v>
      </c>
      <c r="G2908">
        <v>202604</v>
      </c>
      <c r="H2908" t="s">
        <v>75</v>
      </c>
      <c r="I2908" t="s">
        <v>76</v>
      </c>
      <c r="J2908" t="s">
        <v>77</v>
      </c>
      <c r="K2908" t="s">
        <v>78</v>
      </c>
      <c r="L2908" t="s">
        <v>79</v>
      </c>
      <c r="M2908" t="s">
        <v>80</v>
      </c>
      <c r="N2908" t="s">
        <v>286</v>
      </c>
      <c r="O2908" t="s">
        <v>82</v>
      </c>
      <c r="P2908" t="str">
        <f>"4170049898                    "</f>
        <v xml:space="preserve">4170049898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95.99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7</v>
      </c>
      <c r="BJ2908">
        <v>8.3000000000000007</v>
      </c>
      <c r="BK2908">
        <v>8.5</v>
      </c>
      <c r="BL2908">
        <v>302.41000000000003</v>
      </c>
      <c r="BM2908">
        <v>45.36</v>
      </c>
      <c r="BN2908">
        <v>347.77</v>
      </c>
      <c r="BO2908">
        <v>347.77</v>
      </c>
      <c r="BQ2908" t="s">
        <v>287</v>
      </c>
      <c r="BR2908" t="s">
        <v>84</v>
      </c>
      <c r="BS2908" s="3">
        <v>45860</v>
      </c>
      <c r="BT2908" s="4">
        <v>0.30625000000000002</v>
      </c>
      <c r="BU2908" t="s">
        <v>288</v>
      </c>
      <c r="BV2908" t="s">
        <v>98</v>
      </c>
      <c r="BY2908">
        <v>41600</v>
      </c>
      <c r="CA2908" t="s">
        <v>289</v>
      </c>
      <c r="CC2908" t="s">
        <v>80</v>
      </c>
      <c r="CD2908">
        <v>7530</v>
      </c>
      <c r="CE2908" t="s">
        <v>91</v>
      </c>
      <c r="CF2908" s="3">
        <v>45861</v>
      </c>
      <c r="CI2908">
        <v>1</v>
      </c>
      <c r="CJ2908">
        <v>1</v>
      </c>
      <c r="CK2908">
        <v>21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"080066695596"</f>
        <v>080066695596</v>
      </c>
      <c r="F2909" s="3">
        <v>45859</v>
      </c>
      <c r="G2909">
        <v>202604</v>
      </c>
      <c r="H2909" t="s">
        <v>75</v>
      </c>
      <c r="I2909" t="s">
        <v>76</v>
      </c>
      <c r="J2909" t="s">
        <v>77</v>
      </c>
      <c r="K2909" t="s">
        <v>78</v>
      </c>
      <c r="L2909" t="s">
        <v>252</v>
      </c>
      <c r="M2909" t="s">
        <v>253</v>
      </c>
      <c r="N2909" t="s">
        <v>254</v>
      </c>
      <c r="O2909" t="s">
        <v>82</v>
      </c>
      <c r="P2909" t="str">
        <f>"4170049873                    "</f>
        <v xml:space="preserve">4170049873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43.78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137.94</v>
      </c>
      <c r="BM2909">
        <v>20.69</v>
      </c>
      <c r="BN2909">
        <v>158.63</v>
      </c>
      <c r="BO2909">
        <v>158.63</v>
      </c>
      <c r="BQ2909" t="s">
        <v>255</v>
      </c>
      <c r="BR2909" t="s">
        <v>84</v>
      </c>
      <c r="BS2909" s="3">
        <v>45860</v>
      </c>
      <c r="BT2909" s="4">
        <v>0.34583333333333333</v>
      </c>
      <c r="BU2909" t="s">
        <v>256</v>
      </c>
      <c r="BV2909" t="s">
        <v>98</v>
      </c>
      <c r="BY2909">
        <v>1200</v>
      </c>
      <c r="CC2909" t="s">
        <v>253</v>
      </c>
      <c r="CD2909">
        <v>1947</v>
      </c>
      <c r="CE2909" t="s">
        <v>121</v>
      </c>
      <c r="CF2909" s="3">
        <v>45860</v>
      </c>
      <c r="CI2909">
        <v>1</v>
      </c>
      <c r="CJ2909">
        <v>1</v>
      </c>
      <c r="CK2909">
        <v>23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"080066695625"</f>
        <v>080066695625</v>
      </c>
      <c r="F2910" s="3">
        <v>45859</v>
      </c>
      <c r="G2910">
        <v>202604</v>
      </c>
      <c r="H2910" t="s">
        <v>75</v>
      </c>
      <c r="I2910" t="s">
        <v>76</v>
      </c>
      <c r="J2910" t="s">
        <v>77</v>
      </c>
      <c r="K2910" t="s">
        <v>78</v>
      </c>
      <c r="L2910" t="s">
        <v>240</v>
      </c>
      <c r="M2910" t="s">
        <v>241</v>
      </c>
      <c r="N2910" t="s">
        <v>447</v>
      </c>
      <c r="O2910" t="s">
        <v>82</v>
      </c>
      <c r="P2910" t="str">
        <f>"4170050021                    "</f>
        <v xml:space="preserve">4170050021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17.649999999999999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55.61</v>
      </c>
      <c r="BM2910">
        <v>8.34</v>
      </c>
      <c r="BN2910">
        <v>63.95</v>
      </c>
      <c r="BO2910">
        <v>63.95</v>
      </c>
      <c r="BQ2910" t="s">
        <v>448</v>
      </c>
      <c r="BR2910" t="s">
        <v>84</v>
      </c>
      <c r="BS2910" s="3">
        <v>45860</v>
      </c>
      <c r="BT2910" s="4">
        <v>0.41249999999999998</v>
      </c>
      <c r="BU2910" t="s">
        <v>2014</v>
      </c>
      <c r="BV2910" t="s">
        <v>98</v>
      </c>
      <c r="BY2910">
        <v>1200</v>
      </c>
      <c r="CA2910" t="s">
        <v>451</v>
      </c>
      <c r="CC2910" t="s">
        <v>241</v>
      </c>
      <c r="CD2910">
        <v>2094</v>
      </c>
      <c r="CE2910" t="s">
        <v>121</v>
      </c>
      <c r="CF2910" s="3">
        <v>45860</v>
      </c>
      <c r="CI2910">
        <v>1</v>
      </c>
      <c r="CJ2910">
        <v>1</v>
      </c>
      <c r="CK2910">
        <v>22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"080066695638"</f>
        <v>080066695638</v>
      </c>
      <c r="F2911" s="3">
        <v>45859</v>
      </c>
      <c r="G2911">
        <v>202604</v>
      </c>
      <c r="H2911" t="s">
        <v>75</v>
      </c>
      <c r="I2911" t="s">
        <v>76</v>
      </c>
      <c r="J2911" t="s">
        <v>77</v>
      </c>
      <c r="K2911" t="s">
        <v>78</v>
      </c>
      <c r="L2911" t="s">
        <v>398</v>
      </c>
      <c r="M2911" t="s">
        <v>399</v>
      </c>
      <c r="N2911" t="s">
        <v>3050</v>
      </c>
      <c r="O2911" t="s">
        <v>311</v>
      </c>
      <c r="P2911" t="str">
        <f>"4170049910                    "</f>
        <v xml:space="preserve">4170049910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17.66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4</v>
      </c>
      <c r="BJ2911">
        <v>3.4</v>
      </c>
      <c r="BK2911">
        <v>4</v>
      </c>
      <c r="BL2911">
        <v>55.63</v>
      </c>
      <c r="BM2911">
        <v>8.34</v>
      </c>
      <c r="BN2911">
        <v>63.97</v>
      </c>
      <c r="BO2911">
        <v>63.97</v>
      </c>
      <c r="BQ2911" t="s">
        <v>3051</v>
      </c>
      <c r="BR2911" t="s">
        <v>84</v>
      </c>
      <c r="BS2911" s="3">
        <v>45860</v>
      </c>
      <c r="BT2911" s="4">
        <v>0.44374999999999998</v>
      </c>
      <c r="BU2911" t="s">
        <v>3052</v>
      </c>
      <c r="BV2911" t="s">
        <v>98</v>
      </c>
      <c r="BY2911">
        <v>16965</v>
      </c>
      <c r="CA2911" t="s">
        <v>2782</v>
      </c>
      <c r="CC2911" t="s">
        <v>399</v>
      </c>
      <c r="CD2911">
        <v>1501</v>
      </c>
      <c r="CE2911" t="s">
        <v>145</v>
      </c>
      <c r="CF2911" s="3">
        <v>45860</v>
      </c>
      <c r="CI2911">
        <v>1</v>
      </c>
      <c r="CJ2911">
        <v>1</v>
      </c>
      <c r="CK2911">
        <v>32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"080066695648"</f>
        <v>080066695648</v>
      </c>
      <c r="F2912" s="3">
        <v>45859</v>
      </c>
      <c r="G2912">
        <v>202604</v>
      </c>
      <c r="H2912" t="s">
        <v>75</v>
      </c>
      <c r="I2912" t="s">
        <v>76</v>
      </c>
      <c r="J2912" t="s">
        <v>77</v>
      </c>
      <c r="K2912" t="s">
        <v>78</v>
      </c>
      <c r="L2912" t="s">
        <v>473</v>
      </c>
      <c r="M2912" t="s">
        <v>474</v>
      </c>
      <c r="N2912" t="s">
        <v>1224</v>
      </c>
      <c r="O2912" t="s">
        <v>82</v>
      </c>
      <c r="P2912" t="str">
        <f>"4170049989                    "</f>
        <v xml:space="preserve">4170049989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22.6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71.2</v>
      </c>
      <c r="BM2912">
        <v>10.68</v>
      </c>
      <c r="BN2912">
        <v>81.88</v>
      </c>
      <c r="BO2912">
        <v>81.88</v>
      </c>
      <c r="BQ2912" t="s">
        <v>1225</v>
      </c>
      <c r="BR2912" t="s">
        <v>84</v>
      </c>
      <c r="BS2912" s="3">
        <v>45860</v>
      </c>
      <c r="BT2912" s="4">
        <v>0.37847222222222221</v>
      </c>
      <c r="BU2912" t="s">
        <v>1226</v>
      </c>
      <c r="BV2912" t="s">
        <v>98</v>
      </c>
      <c r="BY2912">
        <v>1200</v>
      </c>
      <c r="CA2912" t="s">
        <v>337</v>
      </c>
      <c r="CC2912" t="s">
        <v>474</v>
      </c>
      <c r="CD2912">
        <v>4026</v>
      </c>
      <c r="CE2912" t="s">
        <v>121</v>
      </c>
      <c r="CF2912" s="3">
        <v>45861</v>
      </c>
      <c r="CI2912">
        <v>1</v>
      </c>
      <c r="CJ2912">
        <v>1</v>
      </c>
      <c r="CK2912">
        <v>21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"080066695678"</f>
        <v>080066695678</v>
      </c>
      <c r="F2913" s="3">
        <v>45859</v>
      </c>
      <c r="G2913">
        <v>202604</v>
      </c>
      <c r="H2913" t="s">
        <v>75</v>
      </c>
      <c r="I2913" t="s">
        <v>76</v>
      </c>
      <c r="J2913" t="s">
        <v>77</v>
      </c>
      <c r="K2913" t="s">
        <v>78</v>
      </c>
      <c r="L2913" t="s">
        <v>79</v>
      </c>
      <c r="M2913" t="s">
        <v>80</v>
      </c>
      <c r="N2913" t="s">
        <v>376</v>
      </c>
      <c r="O2913" t="s">
        <v>82</v>
      </c>
      <c r="P2913" t="str">
        <f>"4170049965                    "</f>
        <v xml:space="preserve">4170049965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22.6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71.2</v>
      </c>
      <c r="BM2913">
        <v>10.68</v>
      </c>
      <c r="BN2913">
        <v>81.88</v>
      </c>
      <c r="BO2913">
        <v>81.88</v>
      </c>
      <c r="BQ2913" t="s">
        <v>377</v>
      </c>
      <c r="BR2913" t="s">
        <v>84</v>
      </c>
      <c r="BS2913" s="3">
        <v>45860</v>
      </c>
      <c r="BT2913" s="4">
        <v>0.40902777777777777</v>
      </c>
      <c r="BU2913" t="s">
        <v>378</v>
      </c>
      <c r="BV2913" t="s">
        <v>98</v>
      </c>
      <c r="BY2913">
        <v>1200</v>
      </c>
      <c r="CA2913" t="s">
        <v>144</v>
      </c>
      <c r="CC2913" t="s">
        <v>80</v>
      </c>
      <c r="CD2913">
        <v>8001</v>
      </c>
      <c r="CE2913" t="s">
        <v>121</v>
      </c>
      <c r="CF2913" s="3">
        <v>45861</v>
      </c>
      <c r="CI2913">
        <v>1</v>
      </c>
      <c r="CJ2913">
        <v>1</v>
      </c>
      <c r="CK2913">
        <v>21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"080066695689"</f>
        <v>080066695689</v>
      </c>
      <c r="F2914" s="3">
        <v>45859</v>
      </c>
      <c r="G2914">
        <v>202604</v>
      </c>
      <c r="H2914" t="s">
        <v>75</v>
      </c>
      <c r="I2914" t="s">
        <v>76</v>
      </c>
      <c r="J2914" t="s">
        <v>77</v>
      </c>
      <c r="K2914" t="s">
        <v>78</v>
      </c>
      <c r="L2914" t="s">
        <v>821</v>
      </c>
      <c r="M2914" t="s">
        <v>822</v>
      </c>
      <c r="N2914" t="s">
        <v>3053</v>
      </c>
      <c r="O2914" t="s">
        <v>95</v>
      </c>
      <c r="P2914" t="str">
        <f>"4170049976                    "</f>
        <v xml:space="preserve">4170049976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52.04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2</v>
      </c>
      <c r="BI2914">
        <v>16</v>
      </c>
      <c r="BJ2914">
        <v>17.600000000000001</v>
      </c>
      <c r="BK2914">
        <v>18</v>
      </c>
      <c r="BL2914">
        <v>169.83</v>
      </c>
      <c r="BM2914">
        <v>25.47</v>
      </c>
      <c r="BN2914">
        <v>195.3</v>
      </c>
      <c r="BO2914">
        <v>195.3</v>
      </c>
      <c r="BQ2914" t="s">
        <v>3054</v>
      </c>
      <c r="BR2914" t="s">
        <v>84</v>
      </c>
      <c r="BS2914" s="3">
        <v>45860</v>
      </c>
      <c r="BT2914" s="4">
        <v>0.39305555555555555</v>
      </c>
      <c r="BU2914" t="s">
        <v>3055</v>
      </c>
      <c r="BV2914" t="s">
        <v>98</v>
      </c>
      <c r="BY2914">
        <v>88160</v>
      </c>
      <c r="CA2914" t="s">
        <v>826</v>
      </c>
      <c r="CC2914" t="s">
        <v>822</v>
      </c>
      <c r="CD2914">
        <v>1759</v>
      </c>
      <c r="CE2914" t="s">
        <v>145</v>
      </c>
      <c r="CF2914" s="3">
        <v>45860</v>
      </c>
      <c r="CI2914">
        <v>1</v>
      </c>
      <c r="CJ2914">
        <v>1</v>
      </c>
      <c r="CK2914">
        <v>44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"080066695704"</f>
        <v>080066695704</v>
      </c>
      <c r="F2915" s="3">
        <v>45859</v>
      </c>
      <c r="G2915">
        <v>202604</v>
      </c>
      <c r="H2915" t="s">
        <v>75</v>
      </c>
      <c r="I2915" t="s">
        <v>76</v>
      </c>
      <c r="J2915" t="s">
        <v>77</v>
      </c>
      <c r="K2915" t="s">
        <v>78</v>
      </c>
      <c r="L2915" t="s">
        <v>111</v>
      </c>
      <c r="M2915" t="s">
        <v>112</v>
      </c>
      <c r="N2915" t="s">
        <v>113</v>
      </c>
      <c r="O2915" t="s">
        <v>82</v>
      </c>
      <c r="P2915" t="str">
        <f>"4170049834                    "</f>
        <v xml:space="preserve">4170049834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43.78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137.94</v>
      </c>
      <c r="BM2915">
        <v>20.69</v>
      </c>
      <c r="BN2915">
        <v>158.63</v>
      </c>
      <c r="BO2915">
        <v>158.63</v>
      </c>
      <c r="BQ2915" t="s">
        <v>537</v>
      </c>
      <c r="BR2915" t="s">
        <v>84</v>
      </c>
      <c r="BS2915" s="3">
        <v>45860</v>
      </c>
      <c r="BT2915" s="4">
        <v>0.4375</v>
      </c>
      <c r="BU2915" t="s">
        <v>115</v>
      </c>
      <c r="BV2915" t="s">
        <v>98</v>
      </c>
      <c r="BY2915">
        <v>1200</v>
      </c>
      <c r="CA2915" t="s">
        <v>116</v>
      </c>
      <c r="CC2915" t="s">
        <v>112</v>
      </c>
      <c r="CD2915">
        <v>1871</v>
      </c>
      <c r="CE2915" t="s">
        <v>121</v>
      </c>
      <c r="CF2915" s="3">
        <v>45861</v>
      </c>
      <c r="CI2915">
        <v>1</v>
      </c>
      <c r="CJ2915">
        <v>1</v>
      </c>
      <c r="CK2915">
        <v>23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"080066695721"</f>
        <v>080066695721</v>
      </c>
      <c r="F2916" s="3">
        <v>45859</v>
      </c>
      <c r="G2916">
        <v>202604</v>
      </c>
      <c r="H2916" t="s">
        <v>75</v>
      </c>
      <c r="I2916" t="s">
        <v>76</v>
      </c>
      <c r="J2916" t="s">
        <v>77</v>
      </c>
      <c r="K2916" t="s">
        <v>78</v>
      </c>
      <c r="L2916" t="s">
        <v>135</v>
      </c>
      <c r="M2916" t="s">
        <v>136</v>
      </c>
      <c r="N2916" t="s">
        <v>379</v>
      </c>
      <c r="O2916" t="s">
        <v>82</v>
      </c>
      <c r="P2916" t="str">
        <f>"4170049919                    "</f>
        <v xml:space="preserve">4170049919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33.89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3</v>
      </c>
      <c r="BJ2916">
        <v>1.9</v>
      </c>
      <c r="BK2916">
        <v>3</v>
      </c>
      <c r="BL2916">
        <v>106.77</v>
      </c>
      <c r="BM2916">
        <v>16.02</v>
      </c>
      <c r="BN2916">
        <v>122.79</v>
      </c>
      <c r="BO2916">
        <v>122.79</v>
      </c>
      <c r="BQ2916" t="s">
        <v>380</v>
      </c>
      <c r="BR2916" t="s">
        <v>84</v>
      </c>
      <c r="BS2916" s="3">
        <v>45860</v>
      </c>
      <c r="BT2916" s="4">
        <v>0.41666666666666669</v>
      </c>
      <c r="BU2916" t="s">
        <v>3032</v>
      </c>
      <c r="BV2916" t="s">
        <v>98</v>
      </c>
      <c r="BY2916">
        <v>9600</v>
      </c>
      <c r="CA2916" t="s">
        <v>382</v>
      </c>
      <c r="CC2916" t="s">
        <v>136</v>
      </c>
      <c r="CD2916">
        <v>3212</v>
      </c>
      <c r="CE2916" t="s">
        <v>145</v>
      </c>
      <c r="CF2916" s="3">
        <v>45861</v>
      </c>
      <c r="CI2916">
        <v>2</v>
      </c>
      <c r="CJ2916">
        <v>1</v>
      </c>
      <c r="CK2916">
        <v>21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"080066695773"</f>
        <v>080066695773</v>
      </c>
      <c r="F2917" s="3">
        <v>45859</v>
      </c>
      <c r="G2917">
        <v>202604</v>
      </c>
      <c r="H2917" t="s">
        <v>75</v>
      </c>
      <c r="I2917" t="s">
        <v>76</v>
      </c>
      <c r="J2917" t="s">
        <v>77</v>
      </c>
      <c r="K2917" t="s">
        <v>78</v>
      </c>
      <c r="L2917" t="s">
        <v>168</v>
      </c>
      <c r="M2917" t="s">
        <v>169</v>
      </c>
      <c r="N2917" t="s">
        <v>924</v>
      </c>
      <c r="O2917" t="s">
        <v>82</v>
      </c>
      <c r="P2917" t="str">
        <f>"4170049993                    "</f>
        <v xml:space="preserve">4170049993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22.6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2</v>
      </c>
      <c r="BJ2917">
        <v>1.3</v>
      </c>
      <c r="BK2917">
        <v>2</v>
      </c>
      <c r="BL2917">
        <v>71.2</v>
      </c>
      <c r="BM2917">
        <v>10.68</v>
      </c>
      <c r="BN2917">
        <v>81.88</v>
      </c>
      <c r="BO2917">
        <v>81.88</v>
      </c>
      <c r="BQ2917" t="s">
        <v>925</v>
      </c>
      <c r="BR2917" t="s">
        <v>84</v>
      </c>
      <c r="BS2917" s="3">
        <v>45860</v>
      </c>
      <c r="BT2917" s="4">
        <v>0.4236111111111111</v>
      </c>
      <c r="BU2917" t="s">
        <v>3056</v>
      </c>
      <c r="BV2917" t="s">
        <v>98</v>
      </c>
      <c r="BY2917">
        <v>6384</v>
      </c>
      <c r="CA2917" t="s">
        <v>196</v>
      </c>
      <c r="CC2917" t="s">
        <v>169</v>
      </c>
      <c r="CD2917">
        <v>6056</v>
      </c>
      <c r="CE2917" t="s">
        <v>145</v>
      </c>
      <c r="CF2917" s="3">
        <v>45860</v>
      </c>
      <c r="CI2917">
        <v>1</v>
      </c>
      <c r="CJ2917">
        <v>1</v>
      </c>
      <c r="CK2917">
        <v>21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"080066695800"</f>
        <v>080066695800</v>
      </c>
      <c r="F2918" s="3">
        <v>45859</v>
      </c>
      <c r="G2918">
        <v>202604</v>
      </c>
      <c r="H2918" t="s">
        <v>75</v>
      </c>
      <c r="I2918" t="s">
        <v>76</v>
      </c>
      <c r="J2918" t="s">
        <v>77</v>
      </c>
      <c r="K2918" t="s">
        <v>78</v>
      </c>
      <c r="L2918" t="s">
        <v>151</v>
      </c>
      <c r="M2918" t="s">
        <v>152</v>
      </c>
      <c r="N2918" t="s">
        <v>902</v>
      </c>
      <c r="O2918" t="s">
        <v>82</v>
      </c>
      <c r="P2918" t="str">
        <f>"4170049984                    "</f>
        <v xml:space="preserve">4170049984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39.53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3.4</v>
      </c>
      <c r="BK2918">
        <v>3.5</v>
      </c>
      <c r="BL2918">
        <v>124.55</v>
      </c>
      <c r="BM2918">
        <v>18.68</v>
      </c>
      <c r="BN2918">
        <v>143.22999999999999</v>
      </c>
      <c r="BO2918">
        <v>143.22999999999999</v>
      </c>
      <c r="BQ2918" t="s">
        <v>903</v>
      </c>
      <c r="BR2918" t="s">
        <v>84</v>
      </c>
      <c r="BS2918" s="3">
        <v>45860</v>
      </c>
      <c r="BT2918" s="4">
        <v>0.41736111111111113</v>
      </c>
      <c r="BU2918" t="s">
        <v>1119</v>
      </c>
      <c r="BV2918" t="s">
        <v>98</v>
      </c>
      <c r="BY2918">
        <v>16965</v>
      </c>
      <c r="CA2918" t="s">
        <v>906</v>
      </c>
      <c r="CC2918" t="s">
        <v>152</v>
      </c>
      <c r="CD2918" s="5" t="s">
        <v>907</v>
      </c>
      <c r="CE2918" t="s">
        <v>145</v>
      </c>
      <c r="CF2918" s="3">
        <v>45860</v>
      </c>
      <c r="CI2918">
        <v>1</v>
      </c>
      <c r="CJ2918">
        <v>1</v>
      </c>
      <c r="CK2918">
        <v>21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"080066695839"</f>
        <v>080066695839</v>
      </c>
      <c r="F2919" s="3">
        <v>45859</v>
      </c>
      <c r="G2919">
        <v>202604</v>
      </c>
      <c r="H2919" t="s">
        <v>75</v>
      </c>
      <c r="I2919" t="s">
        <v>76</v>
      </c>
      <c r="J2919" t="s">
        <v>77</v>
      </c>
      <c r="K2919" t="s">
        <v>78</v>
      </c>
      <c r="L2919" t="s">
        <v>79</v>
      </c>
      <c r="M2919" t="s">
        <v>80</v>
      </c>
      <c r="N2919" t="s">
        <v>1083</v>
      </c>
      <c r="O2919" t="s">
        <v>82</v>
      </c>
      <c r="P2919" t="str">
        <f>"4170049846                    "</f>
        <v xml:space="preserve">4170049846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33.89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</v>
      </c>
      <c r="BJ2919">
        <v>2.4</v>
      </c>
      <c r="BK2919">
        <v>3</v>
      </c>
      <c r="BL2919">
        <v>106.77</v>
      </c>
      <c r="BM2919">
        <v>16.02</v>
      </c>
      <c r="BN2919">
        <v>122.79</v>
      </c>
      <c r="BO2919">
        <v>122.79</v>
      </c>
      <c r="BQ2919" t="s">
        <v>1084</v>
      </c>
      <c r="BR2919" t="s">
        <v>84</v>
      </c>
      <c r="BS2919" s="3">
        <v>45860</v>
      </c>
      <c r="BT2919" s="4">
        <v>0.40902777777777777</v>
      </c>
      <c r="BU2919" t="s">
        <v>378</v>
      </c>
      <c r="BV2919" t="s">
        <v>98</v>
      </c>
      <c r="BY2919">
        <v>12152</v>
      </c>
      <c r="CA2919" t="s">
        <v>144</v>
      </c>
      <c r="CC2919" t="s">
        <v>80</v>
      </c>
      <c r="CD2919">
        <v>8001</v>
      </c>
      <c r="CE2919" t="s">
        <v>91</v>
      </c>
      <c r="CF2919" s="3">
        <v>45861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"080066695892"</f>
        <v>080066695892</v>
      </c>
      <c r="F2920" s="3">
        <v>45859</v>
      </c>
      <c r="G2920">
        <v>202604</v>
      </c>
      <c r="H2920" t="s">
        <v>75</v>
      </c>
      <c r="I2920" t="s">
        <v>76</v>
      </c>
      <c r="J2920" t="s">
        <v>77</v>
      </c>
      <c r="K2920" t="s">
        <v>78</v>
      </c>
      <c r="L2920" t="s">
        <v>277</v>
      </c>
      <c r="M2920" t="s">
        <v>278</v>
      </c>
      <c r="N2920" t="s">
        <v>3057</v>
      </c>
      <c r="O2920" t="s">
        <v>95</v>
      </c>
      <c r="P2920" t="str">
        <f>"4170049970                    "</f>
        <v xml:space="preserve">4170049970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54.53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21</v>
      </c>
      <c r="BJ2920">
        <v>9.4</v>
      </c>
      <c r="BK2920">
        <v>21</v>
      </c>
      <c r="BL2920">
        <v>177.66</v>
      </c>
      <c r="BM2920">
        <v>26.65</v>
      </c>
      <c r="BN2920">
        <v>204.31</v>
      </c>
      <c r="BO2920">
        <v>204.31</v>
      </c>
      <c r="BQ2920" t="s">
        <v>3058</v>
      </c>
      <c r="BR2920" t="s">
        <v>84</v>
      </c>
      <c r="BS2920" s="3">
        <v>45862</v>
      </c>
      <c r="BT2920" s="4">
        <v>0.44236111111111109</v>
      </c>
      <c r="BU2920" t="s">
        <v>3059</v>
      </c>
      <c r="BV2920" t="s">
        <v>98</v>
      </c>
      <c r="BY2920">
        <v>47232</v>
      </c>
      <c r="BZ2920" t="s">
        <v>99</v>
      </c>
      <c r="CA2920" t="s">
        <v>282</v>
      </c>
      <c r="CC2920" t="s">
        <v>278</v>
      </c>
      <c r="CD2920">
        <v>6229</v>
      </c>
      <c r="CE2920" t="s">
        <v>145</v>
      </c>
      <c r="CF2920" s="3">
        <v>45862</v>
      </c>
      <c r="CI2920">
        <v>3</v>
      </c>
      <c r="CJ2920">
        <v>3</v>
      </c>
      <c r="CK2920">
        <v>41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"080066695924"</f>
        <v>080066695924</v>
      </c>
      <c r="F2921" s="3">
        <v>45859</v>
      </c>
      <c r="G2921">
        <v>202604</v>
      </c>
      <c r="H2921" t="s">
        <v>75</v>
      </c>
      <c r="I2921" t="s">
        <v>76</v>
      </c>
      <c r="J2921" t="s">
        <v>77</v>
      </c>
      <c r="K2921" t="s">
        <v>78</v>
      </c>
      <c r="L2921" t="s">
        <v>305</v>
      </c>
      <c r="M2921" t="s">
        <v>306</v>
      </c>
      <c r="N2921" t="s">
        <v>1320</v>
      </c>
      <c r="O2921" t="s">
        <v>82</v>
      </c>
      <c r="P2921" t="str">
        <f>"4170049999                    "</f>
        <v xml:space="preserve">4170049999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45.18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4</v>
      </c>
      <c r="BJ2921">
        <v>3.4</v>
      </c>
      <c r="BK2921">
        <v>4</v>
      </c>
      <c r="BL2921">
        <v>142.34</v>
      </c>
      <c r="BM2921">
        <v>21.35</v>
      </c>
      <c r="BN2921">
        <v>163.69</v>
      </c>
      <c r="BO2921">
        <v>163.69</v>
      </c>
      <c r="BQ2921" t="s">
        <v>308</v>
      </c>
      <c r="BR2921" t="s">
        <v>84</v>
      </c>
      <c r="BS2921" s="3">
        <v>45860</v>
      </c>
      <c r="BT2921" s="4">
        <v>0.72291666666666665</v>
      </c>
      <c r="BU2921" t="s">
        <v>1378</v>
      </c>
      <c r="BV2921" t="s">
        <v>86</v>
      </c>
      <c r="BY2921">
        <v>16965</v>
      </c>
      <c r="BZ2921" t="s">
        <v>89</v>
      </c>
      <c r="CA2921" t="s">
        <v>310</v>
      </c>
      <c r="CC2921" t="s">
        <v>306</v>
      </c>
      <c r="CD2921">
        <v>5201</v>
      </c>
      <c r="CE2921" t="s">
        <v>145</v>
      </c>
      <c r="CF2921" s="3">
        <v>45862</v>
      </c>
      <c r="CI2921">
        <v>1</v>
      </c>
      <c r="CJ2921">
        <v>1</v>
      </c>
      <c r="CK2921">
        <v>21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"080066695978"</f>
        <v>080066695978</v>
      </c>
      <c r="F2922" s="3">
        <v>45859</v>
      </c>
      <c r="G2922">
        <v>202604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118</v>
      </c>
      <c r="O2922" t="s">
        <v>82</v>
      </c>
      <c r="P2922" t="str">
        <f>"4170049884                    "</f>
        <v xml:space="preserve">4170049884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17.649999999999999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1.7</v>
      </c>
      <c r="BK2922">
        <v>3</v>
      </c>
      <c r="BL2922">
        <v>55.61</v>
      </c>
      <c r="BM2922">
        <v>8.34</v>
      </c>
      <c r="BN2922">
        <v>63.95</v>
      </c>
      <c r="BO2922">
        <v>63.95</v>
      </c>
      <c r="BQ2922" t="s">
        <v>119</v>
      </c>
      <c r="BR2922" t="s">
        <v>84</v>
      </c>
      <c r="BS2922" s="3">
        <v>45860</v>
      </c>
      <c r="BT2922" s="4">
        <v>0.32291666666666669</v>
      </c>
      <c r="BU2922" t="s">
        <v>212</v>
      </c>
      <c r="BV2922" t="s">
        <v>98</v>
      </c>
      <c r="BY2922">
        <v>8512</v>
      </c>
      <c r="CA2922" t="s">
        <v>213</v>
      </c>
      <c r="CC2922" t="s">
        <v>76</v>
      </c>
      <c r="CD2922">
        <v>1600</v>
      </c>
      <c r="CE2922" t="s">
        <v>145</v>
      </c>
      <c r="CF2922" s="3">
        <v>45860</v>
      </c>
      <c r="CI2922">
        <v>1</v>
      </c>
      <c r="CJ2922">
        <v>1</v>
      </c>
      <c r="CK2922">
        <v>22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"080066696046"</f>
        <v>080066696046</v>
      </c>
      <c r="F2923" s="3">
        <v>45859</v>
      </c>
      <c r="G2923">
        <v>202604</v>
      </c>
      <c r="H2923" t="s">
        <v>75</v>
      </c>
      <c r="I2923" t="s">
        <v>76</v>
      </c>
      <c r="J2923" t="s">
        <v>77</v>
      </c>
      <c r="K2923" t="s">
        <v>78</v>
      </c>
      <c r="L2923" t="s">
        <v>79</v>
      </c>
      <c r="M2923" t="s">
        <v>80</v>
      </c>
      <c r="N2923" t="s">
        <v>576</v>
      </c>
      <c r="O2923" t="s">
        <v>82</v>
      </c>
      <c r="P2923" t="str">
        <f>"4170049874                    "</f>
        <v xml:space="preserve">4170049874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22.6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0.6</v>
      </c>
      <c r="BK2923">
        <v>1</v>
      </c>
      <c r="BL2923">
        <v>71.2</v>
      </c>
      <c r="BM2923">
        <v>10.68</v>
      </c>
      <c r="BN2923">
        <v>81.88</v>
      </c>
      <c r="BO2923">
        <v>81.88</v>
      </c>
      <c r="BQ2923" t="s">
        <v>577</v>
      </c>
      <c r="BR2923" t="s">
        <v>84</v>
      </c>
      <c r="BS2923" s="3">
        <v>45860</v>
      </c>
      <c r="BT2923" s="4">
        <v>0.39166666666666666</v>
      </c>
      <c r="BU2923" t="s">
        <v>1092</v>
      </c>
      <c r="BV2923" t="s">
        <v>98</v>
      </c>
      <c r="BY2923">
        <v>3192</v>
      </c>
      <c r="CA2923" t="s">
        <v>579</v>
      </c>
      <c r="CC2923" t="s">
        <v>80</v>
      </c>
      <c r="CD2923">
        <v>7480</v>
      </c>
      <c r="CE2923" t="s">
        <v>259</v>
      </c>
      <c r="CF2923" s="3">
        <v>45861</v>
      </c>
      <c r="CI2923">
        <v>1</v>
      </c>
      <c r="CJ2923">
        <v>1</v>
      </c>
      <c r="CK2923">
        <v>21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"080066696090"</f>
        <v>080066696090</v>
      </c>
      <c r="F2924" s="3">
        <v>45859</v>
      </c>
      <c r="G2924">
        <v>202604</v>
      </c>
      <c r="H2924" t="s">
        <v>75</v>
      </c>
      <c r="I2924" t="s">
        <v>76</v>
      </c>
      <c r="J2924" t="s">
        <v>77</v>
      </c>
      <c r="K2924" t="s">
        <v>78</v>
      </c>
      <c r="L2924" t="s">
        <v>75</v>
      </c>
      <c r="M2924" t="s">
        <v>76</v>
      </c>
      <c r="N2924" t="s">
        <v>619</v>
      </c>
      <c r="O2924" t="s">
        <v>82</v>
      </c>
      <c r="P2924" t="str">
        <f>"4170049997                    "</f>
        <v xml:space="preserve">4170049997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17.649999999999999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</v>
      </c>
      <c r="BJ2924">
        <v>3.1</v>
      </c>
      <c r="BK2924">
        <v>4</v>
      </c>
      <c r="BL2924">
        <v>55.61</v>
      </c>
      <c r="BM2924">
        <v>8.34</v>
      </c>
      <c r="BN2924">
        <v>63.95</v>
      </c>
      <c r="BO2924">
        <v>63.95</v>
      </c>
      <c r="BQ2924" t="s">
        <v>620</v>
      </c>
      <c r="BR2924" t="s">
        <v>84</v>
      </c>
      <c r="BS2924" s="3">
        <v>45860</v>
      </c>
      <c r="BT2924" s="4">
        <v>0.3888888888888889</v>
      </c>
      <c r="BU2924" t="s">
        <v>3060</v>
      </c>
      <c r="BV2924" t="s">
        <v>98</v>
      </c>
      <c r="BY2924">
        <v>15360</v>
      </c>
      <c r="CA2924" t="s">
        <v>213</v>
      </c>
      <c r="CC2924" t="s">
        <v>76</v>
      </c>
      <c r="CD2924">
        <v>1618</v>
      </c>
      <c r="CE2924" t="s">
        <v>145</v>
      </c>
      <c r="CF2924" s="3">
        <v>45860</v>
      </c>
      <c r="CI2924">
        <v>1</v>
      </c>
      <c r="CJ2924">
        <v>1</v>
      </c>
      <c r="CK2924">
        <v>22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"080066696115"</f>
        <v>080066696115</v>
      </c>
      <c r="F2925" s="3">
        <v>45859</v>
      </c>
      <c r="G2925">
        <v>202604</v>
      </c>
      <c r="H2925" t="s">
        <v>75</v>
      </c>
      <c r="I2925" t="s">
        <v>76</v>
      </c>
      <c r="J2925" t="s">
        <v>77</v>
      </c>
      <c r="K2925" t="s">
        <v>78</v>
      </c>
      <c r="L2925" t="s">
        <v>135</v>
      </c>
      <c r="M2925" t="s">
        <v>136</v>
      </c>
      <c r="N2925" t="s">
        <v>379</v>
      </c>
      <c r="O2925" t="s">
        <v>82</v>
      </c>
      <c r="P2925" t="str">
        <f>"4170049938                    "</f>
        <v xml:space="preserve">4170049938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112.92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10</v>
      </c>
      <c r="BJ2925">
        <v>3.4</v>
      </c>
      <c r="BK2925">
        <v>10</v>
      </c>
      <c r="BL2925">
        <v>355.76</v>
      </c>
      <c r="BM2925">
        <v>53.36</v>
      </c>
      <c r="BN2925">
        <v>409.12</v>
      </c>
      <c r="BO2925">
        <v>409.12</v>
      </c>
      <c r="BQ2925" t="s">
        <v>380</v>
      </c>
      <c r="BR2925" t="s">
        <v>84</v>
      </c>
      <c r="BS2925" s="3">
        <v>45860</v>
      </c>
      <c r="BT2925" s="4">
        <v>0.41666666666666669</v>
      </c>
      <c r="BU2925" t="s">
        <v>2019</v>
      </c>
      <c r="BV2925" t="s">
        <v>98</v>
      </c>
      <c r="BY2925">
        <v>16965</v>
      </c>
      <c r="CA2925" t="s">
        <v>382</v>
      </c>
      <c r="CC2925" t="s">
        <v>136</v>
      </c>
      <c r="CD2925">
        <v>3212</v>
      </c>
      <c r="CE2925" t="s">
        <v>145</v>
      </c>
      <c r="CF2925" s="3">
        <v>45861</v>
      </c>
      <c r="CI2925">
        <v>2</v>
      </c>
      <c r="CJ2925">
        <v>1</v>
      </c>
      <c r="CK2925">
        <v>21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"080066697060"</f>
        <v>080066697060</v>
      </c>
      <c r="F2926" s="3">
        <v>45859</v>
      </c>
      <c r="G2926">
        <v>202604</v>
      </c>
      <c r="H2926" t="s">
        <v>75</v>
      </c>
      <c r="I2926" t="s">
        <v>76</v>
      </c>
      <c r="J2926" t="s">
        <v>77</v>
      </c>
      <c r="K2926" t="s">
        <v>78</v>
      </c>
      <c r="L2926" t="s">
        <v>240</v>
      </c>
      <c r="M2926" t="s">
        <v>241</v>
      </c>
      <c r="N2926" t="s">
        <v>2575</v>
      </c>
      <c r="O2926" t="s">
        <v>82</v>
      </c>
      <c r="P2926" t="str">
        <f>"4170049844                    "</f>
        <v xml:space="preserve">4170049844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17.649999999999999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55.61</v>
      </c>
      <c r="BM2926">
        <v>8.34</v>
      </c>
      <c r="BN2926">
        <v>63.95</v>
      </c>
      <c r="BO2926">
        <v>63.95</v>
      </c>
      <c r="BQ2926" t="s">
        <v>2576</v>
      </c>
      <c r="BR2926" t="s">
        <v>84</v>
      </c>
      <c r="BS2926" s="3">
        <v>45860</v>
      </c>
      <c r="BT2926" s="4">
        <v>0.43055555555555558</v>
      </c>
      <c r="BU2926" t="s">
        <v>3061</v>
      </c>
      <c r="BV2926" t="s">
        <v>98</v>
      </c>
      <c r="BY2926">
        <v>1200</v>
      </c>
      <c r="CA2926" t="s">
        <v>245</v>
      </c>
      <c r="CC2926" t="s">
        <v>241</v>
      </c>
      <c r="CD2926">
        <v>2190</v>
      </c>
      <c r="CE2926" t="s">
        <v>121</v>
      </c>
      <c r="CF2926" s="3">
        <v>45861</v>
      </c>
      <c r="CI2926">
        <v>1</v>
      </c>
      <c r="CJ2926">
        <v>1</v>
      </c>
      <c r="CK2926">
        <v>22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"080066697166"</f>
        <v>080066697166</v>
      </c>
      <c r="F2927" s="3">
        <v>45859</v>
      </c>
      <c r="G2927">
        <v>202604</v>
      </c>
      <c r="H2927" t="s">
        <v>75</v>
      </c>
      <c r="I2927" t="s">
        <v>76</v>
      </c>
      <c r="J2927" t="s">
        <v>77</v>
      </c>
      <c r="K2927" t="s">
        <v>78</v>
      </c>
      <c r="L2927" t="s">
        <v>240</v>
      </c>
      <c r="M2927" t="s">
        <v>241</v>
      </c>
      <c r="N2927" t="s">
        <v>686</v>
      </c>
      <c r="O2927" t="s">
        <v>82</v>
      </c>
      <c r="P2927" t="str">
        <f>"4170049899                    "</f>
        <v xml:space="preserve">4170049899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17.649999999999999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55.61</v>
      </c>
      <c r="BM2927">
        <v>8.34</v>
      </c>
      <c r="BN2927">
        <v>63.95</v>
      </c>
      <c r="BO2927">
        <v>63.95</v>
      </c>
      <c r="BQ2927" t="s">
        <v>687</v>
      </c>
      <c r="BR2927" t="s">
        <v>84</v>
      </c>
      <c r="BS2927" s="3">
        <v>45860</v>
      </c>
      <c r="BT2927" s="4">
        <v>0.35972222222222222</v>
      </c>
      <c r="BU2927" t="s">
        <v>938</v>
      </c>
      <c r="BV2927" t="s">
        <v>98</v>
      </c>
      <c r="BY2927">
        <v>1200</v>
      </c>
      <c r="CA2927" t="s">
        <v>451</v>
      </c>
      <c r="CC2927" t="s">
        <v>241</v>
      </c>
      <c r="CD2927">
        <v>2094</v>
      </c>
      <c r="CE2927" t="s">
        <v>121</v>
      </c>
      <c r="CF2927" s="3">
        <v>45860</v>
      </c>
      <c r="CI2927">
        <v>1</v>
      </c>
      <c r="CJ2927">
        <v>1</v>
      </c>
      <c r="CK2927">
        <v>22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"080066697230"</f>
        <v>080066697230</v>
      </c>
      <c r="F2928" s="3">
        <v>45859</v>
      </c>
      <c r="G2928">
        <v>202604</v>
      </c>
      <c r="H2928" t="s">
        <v>75</v>
      </c>
      <c r="I2928" t="s">
        <v>76</v>
      </c>
      <c r="J2928" t="s">
        <v>77</v>
      </c>
      <c r="K2928" t="s">
        <v>78</v>
      </c>
      <c r="L2928" t="s">
        <v>79</v>
      </c>
      <c r="M2928" t="s">
        <v>80</v>
      </c>
      <c r="N2928" t="s">
        <v>188</v>
      </c>
      <c r="O2928" t="s">
        <v>82</v>
      </c>
      <c r="P2928" t="str">
        <f>"4170050088                    "</f>
        <v xml:space="preserve">4170050088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22.6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71.2</v>
      </c>
      <c r="BM2928">
        <v>10.68</v>
      </c>
      <c r="BN2928">
        <v>81.88</v>
      </c>
      <c r="BO2928">
        <v>81.88</v>
      </c>
      <c r="BQ2928" t="s">
        <v>189</v>
      </c>
      <c r="BR2928" t="s">
        <v>84</v>
      </c>
      <c r="BS2928" s="3">
        <v>45860</v>
      </c>
      <c r="BT2928" s="4">
        <v>0.36458333333333331</v>
      </c>
      <c r="BU2928" t="s">
        <v>1216</v>
      </c>
      <c r="BV2928" t="s">
        <v>98</v>
      </c>
      <c r="BY2928">
        <v>1200</v>
      </c>
      <c r="CA2928" t="s">
        <v>144</v>
      </c>
      <c r="CC2928" t="s">
        <v>80</v>
      </c>
      <c r="CD2928">
        <v>7441</v>
      </c>
      <c r="CE2928" t="s">
        <v>121</v>
      </c>
      <c r="CF2928" s="3">
        <v>45861</v>
      </c>
      <c r="CI2928">
        <v>1</v>
      </c>
      <c r="CJ2928">
        <v>1</v>
      </c>
      <c r="CK2928">
        <v>21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"080066697294"</f>
        <v>080066697294</v>
      </c>
      <c r="F2929" s="3">
        <v>45859</v>
      </c>
      <c r="G2929">
        <v>202604</v>
      </c>
      <c r="H2929" t="s">
        <v>75</v>
      </c>
      <c r="I2929" t="s">
        <v>76</v>
      </c>
      <c r="J2929" t="s">
        <v>77</v>
      </c>
      <c r="K2929" t="s">
        <v>78</v>
      </c>
      <c r="L2929" t="s">
        <v>122</v>
      </c>
      <c r="M2929" t="s">
        <v>123</v>
      </c>
      <c r="N2929" t="s">
        <v>124</v>
      </c>
      <c r="O2929" t="s">
        <v>82</v>
      </c>
      <c r="P2929" t="str">
        <f>"4170050093                    "</f>
        <v xml:space="preserve">4170050093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22.6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71.2</v>
      </c>
      <c r="BM2929">
        <v>10.68</v>
      </c>
      <c r="BN2929">
        <v>81.88</v>
      </c>
      <c r="BO2929">
        <v>81.88</v>
      </c>
      <c r="BQ2929" t="s">
        <v>125</v>
      </c>
      <c r="BR2929" t="s">
        <v>84</v>
      </c>
      <c r="BS2929" s="3">
        <v>45860</v>
      </c>
      <c r="BT2929" s="4">
        <v>0.42638888888888887</v>
      </c>
      <c r="BU2929" t="s">
        <v>3062</v>
      </c>
      <c r="BV2929" t="s">
        <v>98</v>
      </c>
      <c r="BY2929">
        <v>1200</v>
      </c>
      <c r="CA2929" t="s">
        <v>127</v>
      </c>
      <c r="CC2929" t="s">
        <v>123</v>
      </c>
      <c r="CD2929">
        <v>4037</v>
      </c>
      <c r="CE2929" t="s">
        <v>121</v>
      </c>
      <c r="CF2929" s="3">
        <v>45860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"080066697363"</f>
        <v>080066697363</v>
      </c>
      <c r="F2930" s="3">
        <v>45859</v>
      </c>
      <c r="G2930">
        <v>202604</v>
      </c>
      <c r="H2930" t="s">
        <v>75</v>
      </c>
      <c r="I2930" t="s">
        <v>76</v>
      </c>
      <c r="J2930" t="s">
        <v>77</v>
      </c>
      <c r="K2930" t="s">
        <v>78</v>
      </c>
      <c r="L2930" t="s">
        <v>240</v>
      </c>
      <c r="M2930" t="s">
        <v>241</v>
      </c>
      <c r="N2930" t="s">
        <v>3016</v>
      </c>
      <c r="O2930" t="s">
        <v>311</v>
      </c>
      <c r="P2930" t="str">
        <f>"4170049904                    "</f>
        <v xml:space="preserve">4170049904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17.66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7</v>
      </c>
      <c r="BJ2930">
        <v>3.4</v>
      </c>
      <c r="BK2930">
        <v>7</v>
      </c>
      <c r="BL2930">
        <v>55.63</v>
      </c>
      <c r="BM2930">
        <v>8.34</v>
      </c>
      <c r="BN2930">
        <v>63.97</v>
      </c>
      <c r="BO2930">
        <v>63.97</v>
      </c>
      <c r="BQ2930" t="s">
        <v>3017</v>
      </c>
      <c r="BR2930" t="s">
        <v>84</v>
      </c>
      <c r="BS2930" s="3">
        <v>45860</v>
      </c>
      <c r="BT2930" s="4">
        <v>0.34027777777777779</v>
      </c>
      <c r="BU2930" t="s">
        <v>3018</v>
      </c>
      <c r="BV2930" t="s">
        <v>98</v>
      </c>
      <c r="BY2930">
        <v>16965</v>
      </c>
      <c r="CA2930" t="s">
        <v>245</v>
      </c>
      <c r="CC2930" t="s">
        <v>241</v>
      </c>
      <c r="CD2930">
        <v>2000</v>
      </c>
      <c r="CE2930" t="s">
        <v>145</v>
      </c>
      <c r="CF2930" s="3">
        <v>45861</v>
      </c>
      <c r="CI2930">
        <v>1</v>
      </c>
      <c r="CJ2930">
        <v>1</v>
      </c>
      <c r="CK2930">
        <v>32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"080066697441"</f>
        <v>080066697441</v>
      </c>
      <c r="F2931" s="3">
        <v>45859</v>
      </c>
      <c r="G2931">
        <v>202604</v>
      </c>
      <c r="H2931" t="s">
        <v>75</v>
      </c>
      <c r="I2931" t="s">
        <v>76</v>
      </c>
      <c r="J2931" t="s">
        <v>77</v>
      </c>
      <c r="K2931" t="s">
        <v>78</v>
      </c>
      <c r="L2931" t="s">
        <v>252</v>
      </c>
      <c r="M2931" t="s">
        <v>253</v>
      </c>
      <c r="N2931" t="s">
        <v>254</v>
      </c>
      <c r="O2931" t="s">
        <v>95</v>
      </c>
      <c r="P2931" t="str">
        <f>"4170049975                    "</f>
        <v xml:space="preserve">4170049975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184.41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2</v>
      </c>
      <c r="BI2931">
        <v>54</v>
      </c>
      <c r="BJ2931">
        <v>24</v>
      </c>
      <c r="BK2931">
        <v>54</v>
      </c>
      <c r="BL2931">
        <v>586.86</v>
      </c>
      <c r="BM2931">
        <v>88.03</v>
      </c>
      <c r="BN2931">
        <v>674.89</v>
      </c>
      <c r="BO2931">
        <v>674.89</v>
      </c>
      <c r="BQ2931" t="s">
        <v>255</v>
      </c>
      <c r="BR2931" t="s">
        <v>84</v>
      </c>
      <c r="BS2931" s="3">
        <v>45860</v>
      </c>
      <c r="BT2931" s="4">
        <v>0.34583333333333333</v>
      </c>
      <c r="BU2931" t="s">
        <v>256</v>
      </c>
      <c r="BV2931" t="s">
        <v>98</v>
      </c>
      <c r="BY2931">
        <v>59904</v>
      </c>
      <c r="CC2931" t="s">
        <v>253</v>
      </c>
      <c r="CD2931">
        <v>1947</v>
      </c>
      <c r="CE2931" t="s">
        <v>2420</v>
      </c>
      <c r="CF2931" s="3">
        <v>45860</v>
      </c>
      <c r="CI2931">
        <v>1</v>
      </c>
      <c r="CJ2931">
        <v>1</v>
      </c>
      <c r="CK2931">
        <v>43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"080066697502"</f>
        <v>080066697502</v>
      </c>
      <c r="F2932" s="3">
        <v>45859</v>
      </c>
      <c r="G2932">
        <v>202604</v>
      </c>
      <c r="H2932" t="s">
        <v>75</v>
      </c>
      <c r="I2932" t="s">
        <v>76</v>
      </c>
      <c r="J2932" t="s">
        <v>77</v>
      </c>
      <c r="K2932" t="s">
        <v>78</v>
      </c>
      <c r="L2932" t="s">
        <v>92</v>
      </c>
      <c r="M2932" t="s">
        <v>93</v>
      </c>
      <c r="N2932" t="s">
        <v>723</v>
      </c>
      <c r="O2932" t="s">
        <v>82</v>
      </c>
      <c r="P2932" t="str">
        <f>"4170049996                    "</f>
        <v xml:space="preserve">4170049996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28.24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2.4</v>
      </c>
      <c r="BK2932">
        <v>2.5</v>
      </c>
      <c r="BL2932">
        <v>88.98</v>
      </c>
      <c r="BM2932">
        <v>13.35</v>
      </c>
      <c r="BN2932">
        <v>102.33</v>
      </c>
      <c r="BO2932">
        <v>102.33</v>
      </c>
      <c r="BQ2932" t="s">
        <v>724</v>
      </c>
      <c r="BR2932" t="s">
        <v>84</v>
      </c>
      <c r="BS2932" s="3">
        <v>45860</v>
      </c>
      <c r="BT2932" s="4">
        <v>0.6166666666666667</v>
      </c>
      <c r="BU2932" t="s">
        <v>3003</v>
      </c>
      <c r="BV2932" t="s">
        <v>86</v>
      </c>
      <c r="BY2932">
        <v>11968</v>
      </c>
      <c r="CA2932" t="s">
        <v>2974</v>
      </c>
      <c r="CC2932" t="s">
        <v>93</v>
      </c>
      <c r="CD2932">
        <v>4000</v>
      </c>
      <c r="CE2932" t="s">
        <v>91</v>
      </c>
      <c r="CF2932" s="3">
        <v>45861</v>
      </c>
      <c r="CI2932">
        <v>1</v>
      </c>
      <c r="CJ2932">
        <v>1</v>
      </c>
      <c r="CK2932">
        <v>21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"080066697583"</f>
        <v>080066697583</v>
      </c>
      <c r="F2933" s="3">
        <v>45859</v>
      </c>
      <c r="G2933">
        <v>202604</v>
      </c>
      <c r="H2933" t="s">
        <v>75</v>
      </c>
      <c r="I2933" t="s">
        <v>76</v>
      </c>
      <c r="J2933" t="s">
        <v>77</v>
      </c>
      <c r="K2933" t="s">
        <v>78</v>
      </c>
      <c r="L2933" t="s">
        <v>75</v>
      </c>
      <c r="M2933" t="s">
        <v>76</v>
      </c>
      <c r="N2933" t="s">
        <v>701</v>
      </c>
      <c r="O2933" t="s">
        <v>82</v>
      </c>
      <c r="P2933" t="str">
        <f>"4170049779                    "</f>
        <v xml:space="preserve">4170049779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17.649999999999999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0.9</v>
      </c>
      <c r="BK2933">
        <v>1</v>
      </c>
      <c r="BL2933">
        <v>55.61</v>
      </c>
      <c r="BM2933">
        <v>8.34</v>
      </c>
      <c r="BN2933">
        <v>63.95</v>
      </c>
      <c r="BO2933">
        <v>63.95</v>
      </c>
      <c r="BQ2933" t="s">
        <v>702</v>
      </c>
      <c r="BR2933" t="s">
        <v>84</v>
      </c>
      <c r="BS2933" s="3">
        <v>45860</v>
      </c>
      <c r="BT2933" s="4">
        <v>0.35208333333333336</v>
      </c>
      <c r="BU2933" t="s">
        <v>3063</v>
      </c>
      <c r="BV2933" t="s">
        <v>98</v>
      </c>
      <c r="BY2933">
        <v>4560</v>
      </c>
      <c r="CA2933" t="s">
        <v>617</v>
      </c>
      <c r="CC2933" t="s">
        <v>76</v>
      </c>
      <c r="CD2933">
        <v>1645</v>
      </c>
      <c r="CE2933" t="s">
        <v>110</v>
      </c>
      <c r="CF2933" s="3">
        <v>45860</v>
      </c>
      <c r="CI2933">
        <v>1</v>
      </c>
      <c r="CJ2933">
        <v>1</v>
      </c>
      <c r="CK2933">
        <v>22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"080066697631"</f>
        <v>080066697631</v>
      </c>
      <c r="F2934" s="3">
        <v>45859</v>
      </c>
      <c r="G2934">
        <v>202604</v>
      </c>
      <c r="H2934" t="s">
        <v>75</v>
      </c>
      <c r="I2934" t="s">
        <v>76</v>
      </c>
      <c r="J2934" t="s">
        <v>77</v>
      </c>
      <c r="K2934" t="s">
        <v>78</v>
      </c>
      <c r="L2934" t="s">
        <v>197</v>
      </c>
      <c r="M2934" t="s">
        <v>198</v>
      </c>
      <c r="N2934" t="s">
        <v>315</v>
      </c>
      <c r="O2934" t="s">
        <v>82</v>
      </c>
      <c r="P2934" t="str">
        <f>"4170049756                    "</f>
        <v xml:space="preserve">4170049756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17.649999999999999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55.61</v>
      </c>
      <c r="BM2934">
        <v>8.34</v>
      </c>
      <c r="BN2934">
        <v>63.95</v>
      </c>
      <c r="BO2934">
        <v>63.95</v>
      </c>
      <c r="BQ2934" t="s">
        <v>316</v>
      </c>
      <c r="BR2934" t="s">
        <v>84</v>
      </c>
      <c r="BS2934" s="3">
        <v>45860</v>
      </c>
      <c r="BT2934" s="4">
        <v>0.4236111111111111</v>
      </c>
      <c r="BU2934" t="s">
        <v>317</v>
      </c>
      <c r="BV2934" t="s">
        <v>98</v>
      </c>
      <c r="BY2934">
        <v>1200</v>
      </c>
      <c r="CA2934" t="s">
        <v>318</v>
      </c>
      <c r="CC2934" t="s">
        <v>198</v>
      </c>
      <c r="CD2934">
        <v>1401</v>
      </c>
      <c r="CE2934" t="s">
        <v>110</v>
      </c>
      <c r="CF2934" s="3">
        <v>45860</v>
      </c>
      <c r="CI2934">
        <v>1</v>
      </c>
      <c r="CJ2934">
        <v>1</v>
      </c>
      <c r="CK2934">
        <v>22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"080066697670"</f>
        <v>080066697670</v>
      </c>
      <c r="F2935" s="3">
        <v>45859</v>
      </c>
      <c r="G2935">
        <v>202604</v>
      </c>
      <c r="H2935" t="s">
        <v>75</v>
      </c>
      <c r="I2935" t="s">
        <v>76</v>
      </c>
      <c r="J2935" t="s">
        <v>77</v>
      </c>
      <c r="K2935" t="s">
        <v>78</v>
      </c>
      <c r="L2935" t="s">
        <v>168</v>
      </c>
      <c r="M2935" t="s">
        <v>169</v>
      </c>
      <c r="N2935" t="s">
        <v>2157</v>
      </c>
      <c r="O2935" t="s">
        <v>82</v>
      </c>
      <c r="P2935" t="str">
        <f>"4170049741                    "</f>
        <v xml:space="preserve">4170049741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22.6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71.2</v>
      </c>
      <c r="BM2935">
        <v>10.68</v>
      </c>
      <c r="BN2935">
        <v>81.88</v>
      </c>
      <c r="BO2935">
        <v>81.88</v>
      </c>
      <c r="BQ2935" t="s">
        <v>2158</v>
      </c>
      <c r="BR2935" t="s">
        <v>84</v>
      </c>
      <c r="BS2935" s="3">
        <v>45860</v>
      </c>
      <c r="BT2935" s="4">
        <v>0.36041666666666666</v>
      </c>
      <c r="BU2935" t="s">
        <v>414</v>
      </c>
      <c r="BV2935" t="s">
        <v>98</v>
      </c>
      <c r="BY2935">
        <v>1200</v>
      </c>
      <c r="CA2935" t="s">
        <v>415</v>
      </c>
      <c r="CC2935" t="s">
        <v>169</v>
      </c>
      <c r="CD2935">
        <v>6001</v>
      </c>
      <c r="CE2935" t="s">
        <v>110</v>
      </c>
      <c r="CF2935" s="3">
        <v>45860</v>
      </c>
      <c r="CI2935">
        <v>1</v>
      </c>
      <c r="CJ2935">
        <v>1</v>
      </c>
      <c r="CK2935">
        <v>21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"080066697714"</f>
        <v>080066697714</v>
      </c>
      <c r="F2936" s="3">
        <v>45859</v>
      </c>
      <c r="G2936">
        <v>202604</v>
      </c>
      <c r="H2936" t="s">
        <v>75</v>
      </c>
      <c r="I2936" t="s">
        <v>76</v>
      </c>
      <c r="J2936" t="s">
        <v>77</v>
      </c>
      <c r="K2936" t="s">
        <v>78</v>
      </c>
      <c r="L2936" t="s">
        <v>554</v>
      </c>
      <c r="M2936" t="s">
        <v>555</v>
      </c>
      <c r="N2936" t="s">
        <v>556</v>
      </c>
      <c r="O2936" t="s">
        <v>82</v>
      </c>
      <c r="P2936" t="str">
        <f>"4170049772                    "</f>
        <v xml:space="preserve">4170049772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22.6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71.2</v>
      </c>
      <c r="BM2936">
        <v>10.68</v>
      </c>
      <c r="BN2936">
        <v>81.88</v>
      </c>
      <c r="BO2936">
        <v>81.88</v>
      </c>
      <c r="BQ2936" t="s">
        <v>557</v>
      </c>
      <c r="BR2936" t="s">
        <v>84</v>
      </c>
      <c r="BS2936" s="3">
        <v>45860</v>
      </c>
      <c r="BT2936" s="4">
        <v>0.38750000000000001</v>
      </c>
      <c r="BU2936" t="s">
        <v>558</v>
      </c>
      <c r="BV2936" t="s">
        <v>98</v>
      </c>
      <c r="BY2936">
        <v>1200</v>
      </c>
      <c r="CA2936" t="s">
        <v>559</v>
      </c>
      <c r="CC2936" t="s">
        <v>555</v>
      </c>
      <c r="CD2936" s="5" t="s">
        <v>560</v>
      </c>
      <c r="CE2936" t="s">
        <v>110</v>
      </c>
      <c r="CF2936" s="3">
        <v>45860</v>
      </c>
      <c r="CI2936">
        <v>1</v>
      </c>
      <c r="CJ2936">
        <v>1</v>
      </c>
      <c r="CK2936">
        <v>21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"080066697763"</f>
        <v>080066697763</v>
      </c>
      <c r="F2937" s="3">
        <v>45859</v>
      </c>
      <c r="G2937">
        <v>202604</v>
      </c>
      <c r="H2937" t="s">
        <v>75</v>
      </c>
      <c r="I2937" t="s">
        <v>76</v>
      </c>
      <c r="J2937" t="s">
        <v>77</v>
      </c>
      <c r="K2937" t="s">
        <v>78</v>
      </c>
      <c r="L2937" t="s">
        <v>122</v>
      </c>
      <c r="M2937" t="s">
        <v>123</v>
      </c>
      <c r="N2937" t="s">
        <v>2931</v>
      </c>
      <c r="O2937" t="s">
        <v>82</v>
      </c>
      <c r="P2937" t="str">
        <f>"4170050076                    "</f>
        <v xml:space="preserve">4170050076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22.6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71.2</v>
      </c>
      <c r="BM2937">
        <v>10.68</v>
      </c>
      <c r="BN2937">
        <v>81.88</v>
      </c>
      <c r="BO2937">
        <v>81.88</v>
      </c>
      <c r="BQ2937" t="s">
        <v>2932</v>
      </c>
      <c r="BR2937" t="s">
        <v>84</v>
      </c>
      <c r="BS2937" s="3">
        <v>45860</v>
      </c>
      <c r="BT2937" s="4">
        <v>0.52083333333333337</v>
      </c>
      <c r="BU2937" t="s">
        <v>3064</v>
      </c>
      <c r="BV2937" t="s">
        <v>98</v>
      </c>
      <c r="BY2937">
        <v>1200</v>
      </c>
      <c r="CA2937" t="s">
        <v>2974</v>
      </c>
      <c r="CC2937" t="s">
        <v>123</v>
      </c>
      <c r="CD2937">
        <v>3610</v>
      </c>
      <c r="CE2937" t="s">
        <v>110</v>
      </c>
      <c r="CF2937" s="3">
        <v>45861</v>
      </c>
      <c r="CI2937">
        <v>1</v>
      </c>
      <c r="CJ2937">
        <v>1</v>
      </c>
      <c r="CK2937">
        <v>21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"080066697825"</f>
        <v>080066697825</v>
      </c>
      <c r="F2938" s="3">
        <v>45859</v>
      </c>
      <c r="G2938">
        <v>202604</v>
      </c>
      <c r="H2938" t="s">
        <v>75</v>
      </c>
      <c r="I2938" t="s">
        <v>76</v>
      </c>
      <c r="J2938" t="s">
        <v>77</v>
      </c>
      <c r="K2938" t="s">
        <v>78</v>
      </c>
      <c r="L2938" t="s">
        <v>151</v>
      </c>
      <c r="M2938" t="s">
        <v>152</v>
      </c>
      <c r="N2938" t="s">
        <v>3039</v>
      </c>
      <c r="O2938" t="s">
        <v>82</v>
      </c>
      <c r="P2938" t="str">
        <f>"4170049940                    "</f>
        <v xml:space="preserve">4170049940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22.6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71.2</v>
      </c>
      <c r="BM2938">
        <v>10.68</v>
      </c>
      <c r="BN2938">
        <v>81.88</v>
      </c>
      <c r="BO2938">
        <v>81.88</v>
      </c>
      <c r="BQ2938" t="s">
        <v>3040</v>
      </c>
      <c r="BR2938" t="s">
        <v>84</v>
      </c>
      <c r="BS2938" s="3">
        <v>45860</v>
      </c>
      <c r="BT2938" s="4">
        <v>0.40208333333333335</v>
      </c>
      <c r="BU2938" t="s">
        <v>2198</v>
      </c>
      <c r="BV2938" t="s">
        <v>98</v>
      </c>
      <c r="BY2938">
        <v>1200</v>
      </c>
      <c r="CA2938" t="s">
        <v>1012</v>
      </c>
      <c r="CC2938" t="s">
        <v>152</v>
      </c>
      <c r="CD2938" s="5" t="s">
        <v>1013</v>
      </c>
      <c r="CE2938" t="s">
        <v>110</v>
      </c>
      <c r="CF2938" s="3">
        <v>45860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"080066697839"</f>
        <v>080066697839</v>
      </c>
      <c r="F2939" s="3">
        <v>45859</v>
      </c>
      <c r="G2939">
        <v>202604</v>
      </c>
      <c r="H2939" t="s">
        <v>75</v>
      </c>
      <c r="I2939" t="s">
        <v>76</v>
      </c>
      <c r="J2939" t="s">
        <v>77</v>
      </c>
      <c r="K2939" t="s">
        <v>78</v>
      </c>
      <c r="L2939" t="s">
        <v>92</v>
      </c>
      <c r="M2939" t="s">
        <v>93</v>
      </c>
      <c r="N2939" t="s">
        <v>291</v>
      </c>
      <c r="O2939" t="s">
        <v>82</v>
      </c>
      <c r="P2939" t="str">
        <f>"4170050089                    "</f>
        <v xml:space="preserve">4170050089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101.63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9</v>
      </c>
      <c r="BJ2939">
        <v>3.4</v>
      </c>
      <c r="BK2939">
        <v>9</v>
      </c>
      <c r="BL2939">
        <v>320.19</v>
      </c>
      <c r="BM2939">
        <v>48.03</v>
      </c>
      <c r="BN2939">
        <v>368.22</v>
      </c>
      <c r="BO2939">
        <v>368.22</v>
      </c>
      <c r="BQ2939" t="s">
        <v>292</v>
      </c>
      <c r="BR2939" t="s">
        <v>84</v>
      </c>
      <c r="BS2939" s="3">
        <v>45860</v>
      </c>
      <c r="BT2939" s="4">
        <v>0.34861111111111109</v>
      </c>
      <c r="BU2939" t="s">
        <v>847</v>
      </c>
      <c r="BV2939" t="s">
        <v>98</v>
      </c>
      <c r="BY2939">
        <v>16965</v>
      </c>
      <c r="CA2939" t="s">
        <v>294</v>
      </c>
      <c r="CC2939" t="s">
        <v>93</v>
      </c>
      <c r="CD2939">
        <v>4051</v>
      </c>
      <c r="CE2939" t="s">
        <v>110</v>
      </c>
      <c r="CF2939" s="3">
        <v>45860</v>
      </c>
      <c r="CI2939">
        <v>1</v>
      </c>
      <c r="CJ2939">
        <v>1</v>
      </c>
      <c r="CK2939">
        <v>21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"080066697875"</f>
        <v>080066697875</v>
      </c>
      <c r="F2940" s="3">
        <v>45859</v>
      </c>
      <c r="G2940">
        <v>202604</v>
      </c>
      <c r="H2940" t="s">
        <v>75</v>
      </c>
      <c r="I2940" t="s">
        <v>76</v>
      </c>
      <c r="J2940" t="s">
        <v>77</v>
      </c>
      <c r="K2940" t="s">
        <v>78</v>
      </c>
      <c r="L2940" t="s">
        <v>79</v>
      </c>
      <c r="M2940" t="s">
        <v>80</v>
      </c>
      <c r="N2940" t="s">
        <v>1775</v>
      </c>
      <c r="O2940" t="s">
        <v>82</v>
      </c>
      <c r="P2940" t="str">
        <f>"4170049788                    "</f>
        <v xml:space="preserve">4170049788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22.6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71.2</v>
      </c>
      <c r="BM2940">
        <v>10.68</v>
      </c>
      <c r="BN2940">
        <v>81.88</v>
      </c>
      <c r="BO2940">
        <v>81.88</v>
      </c>
      <c r="BQ2940" t="s">
        <v>1776</v>
      </c>
      <c r="BR2940" t="s">
        <v>84</v>
      </c>
      <c r="BS2940" s="3">
        <v>45860</v>
      </c>
      <c r="BT2940" s="4">
        <v>0.39652777777777776</v>
      </c>
      <c r="BU2940" t="s">
        <v>933</v>
      </c>
      <c r="BV2940" t="s">
        <v>98</v>
      </c>
      <c r="BY2940">
        <v>1200</v>
      </c>
      <c r="CA2940" t="s">
        <v>934</v>
      </c>
      <c r="CC2940" t="s">
        <v>80</v>
      </c>
      <c r="CD2940">
        <v>7535</v>
      </c>
      <c r="CE2940" t="s">
        <v>110</v>
      </c>
      <c r="CF2940" s="3">
        <v>45861</v>
      </c>
      <c r="CI2940">
        <v>1</v>
      </c>
      <c r="CJ2940">
        <v>1</v>
      </c>
      <c r="CK2940">
        <v>21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"080066697886"</f>
        <v>080066697886</v>
      </c>
      <c r="F2941" s="3">
        <v>45859</v>
      </c>
      <c r="G2941">
        <v>202604</v>
      </c>
      <c r="H2941" t="s">
        <v>75</v>
      </c>
      <c r="I2941" t="s">
        <v>76</v>
      </c>
      <c r="J2941" t="s">
        <v>77</v>
      </c>
      <c r="K2941" t="s">
        <v>78</v>
      </c>
      <c r="L2941" t="s">
        <v>79</v>
      </c>
      <c r="M2941" t="s">
        <v>80</v>
      </c>
      <c r="N2941" t="s">
        <v>159</v>
      </c>
      <c r="O2941" t="s">
        <v>82</v>
      </c>
      <c r="P2941" t="str">
        <f>"4170049852                    "</f>
        <v xml:space="preserve">4170049852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22.6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71.2</v>
      </c>
      <c r="BM2941">
        <v>10.68</v>
      </c>
      <c r="BN2941">
        <v>81.88</v>
      </c>
      <c r="BO2941">
        <v>81.88</v>
      </c>
      <c r="BQ2941" t="s">
        <v>160</v>
      </c>
      <c r="BR2941" t="s">
        <v>84</v>
      </c>
      <c r="BS2941" s="3">
        <v>45860</v>
      </c>
      <c r="BT2941" s="4">
        <v>0.42569444444444443</v>
      </c>
      <c r="BU2941" t="s">
        <v>161</v>
      </c>
      <c r="BV2941" t="s">
        <v>98</v>
      </c>
      <c r="BY2941">
        <v>1200</v>
      </c>
      <c r="CA2941" t="s">
        <v>162</v>
      </c>
      <c r="CC2941" t="s">
        <v>80</v>
      </c>
      <c r="CD2941">
        <v>7441</v>
      </c>
      <c r="CE2941" t="s">
        <v>110</v>
      </c>
      <c r="CF2941" s="3">
        <v>45861</v>
      </c>
      <c r="CI2941">
        <v>1</v>
      </c>
      <c r="CJ2941">
        <v>1</v>
      </c>
      <c r="CK2941">
        <v>21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"080066697892"</f>
        <v>080066697892</v>
      </c>
      <c r="F2942" s="3">
        <v>45859</v>
      </c>
      <c r="G2942">
        <v>202604</v>
      </c>
      <c r="H2942" t="s">
        <v>75</v>
      </c>
      <c r="I2942" t="s">
        <v>76</v>
      </c>
      <c r="J2942" t="s">
        <v>77</v>
      </c>
      <c r="K2942" t="s">
        <v>78</v>
      </c>
      <c r="L2942" t="s">
        <v>758</v>
      </c>
      <c r="M2942" t="s">
        <v>759</v>
      </c>
      <c r="N2942" t="s">
        <v>760</v>
      </c>
      <c r="O2942" t="s">
        <v>82</v>
      </c>
      <c r="P2942" t="str">
        <f>"4170049982                    "</f>
        <v xml:space="preserve">4170049982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43.78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1.3</v>
      </c>
      <c r="BK2942">
        <v>1.5</v>
      </c>
      <c r="BL2942">
        <v>137.94</v>
      </c>
      <c r="BM2942">
        <v>20.69</v>
      </c>
      <c r="BN2942">
        <v>158.63</v>
      </c>
      <c r="BO2942">
        <v>158.63</v>
      </c>
      <c r="BQ2942" t="s">
        <v>761</v>
      </c>
      <c r="BR2942" t="s">
        <v>84</v>
      </c>
      <c r="BS2942" s="3">
        <v>45860</v>
      </c>
      <c r="BT2942" s="4">
        <v>0.40138888888888891</v>
      </c>
      <c r="BU2942" t="s">
        <v>3014</v>
      </c>
      <c r="BV2942" t="s">
        <v>98</v>
      </c>
      <c r="BY2942">
        <v>6384</v>
      </c>
      <c r="CA2942" t="s">
        <v>3015</v>
      </c>
      <c r="CC2942" t="s">
        <v>759</v>
      </c>
      <c r="CD2942">
        <v>2531</v>
      </c>
      <c r="CE2942" t="s">
        <v>110</v>
      </c>
      <c r="CF2942" s="3">
        <v>45861</v>
      </c>
      <c r="CI2942">
        <v>1</v>
      </c>
      <c r="CJ2942">
        <v>1</v>
      </c>
      <c r="CK2942">
        <v>23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"080066697907"</f>
        <v>080066697907</v>
      </c>
      <c r="F2943" s="3">
        <v>45859</v>
      </c>
      <c r="G2943">
        <v>202604</v>
      </c>
      <c r="H2943" t="s">
        <v>75</v>
      </c>
      <c r="I2943" t="s">
        <v>76</v>
      </c>
      <c r="J2943" t="s">
        <v>77</v>
      </c>
      <c r="K2943" t="s">
        <v>78</v>
      </c>
      <c r="L2943" t="s">
        <v>92</v>
      </c>
      <c r="M2943" t="s">
        <v>93</v>
      </c>
      <c r="N2943" t="s">
        <v>1852</v>
      </c>
      <c r="O2943" t="s">
        <v>82</v>
      </c>
      <c r="P2943" t="str">
        <f>"4170049928                    "</f>
        <v xml:space="preserve">4170049928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22.6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71.2</v>
      </c>
      <c r="BM2943">
        <v>10.68</v>
      </c>
      <c r="BN2943">
        <v>81.88</v>
      </c>
      <c r="BO2943">
        <v>81.88</v>
      </c>
      <c r="BQ2943" t="s">
        <v>1853</v>
      </c>
      <c r="BR2943" t="s">
        <v>84</v>
      </c>
      <c r="BS2943" s="3">
        <v>45860</v>
      </c>
      <c r="BT2943" s="4">
        <v>0.40972222222222221</v>
      </c>
      <c r="BU2943" t="s">
        <v>3065</v>
      </c>
      <c r="BV2943" t="s">
        <v>98</v>
      </c>
      <c r="BY2943">
        <v>1200</v>
      </c>
      <c r="CA2943" t="s">
        <v>1175</v>
      </c>
      <c r="CC2943" t="s">
        <v>93</v>
      </c>
      <c r="CD2943">
        <v>4000</v>
      </c>
      <c r="CE2943" t="s">
        <v>110</v>
      </c>
      <c r="CF2943" s="3">
        <v>45861</v>
      </c>
      <c r="CI2943">
        <v>1</v>
      </c>
      <c r="CJ2943">
        <v>1</v>
      </c>
      <c r="CK2943">
        <v>21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"080066697913"</f>
        <v>080066697913</v>
      </c>
      <c r="F2944" s="3">
        <v>45859</v>
      </c>
      <c r="G2944">
        <v>202604</v>
      </c>
      <c r="H2944" t="s">
        <v>75</v>
      </c>
      <c r="I2944" t="s">
        <v>76</v>
      </c>
      <c r="J2944" t="s">
        <v>77</v>
      </c>
      <c r="K2944" t="s">
        <v>78</v>
      </c>
      <c r="L2944" t="s">
        <v>168</v>
      </c>
      <c r="M2944" t="s">
        <v>169</v>
      </c>
      <c r="N2944" t="s">
        <v>191</v>
      </c>
      <c r="O2944" t="s">
        <v>82</v>
      </c>
      <c r="P2944" t="str">
        <f>"4170049983                    "</f>
        <v xml:space="preserve">4170049983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22.6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1.3</v>
      </c>
      <c r="BK2944">
        <v>1.5</v>
      </c>
      <c r="BL2944">
        <v>71.2</v>
      </c>
      <c r="BM2944">
        <v>10.68</v>
      </c>
      <c r="BN2944">
        <v>81.88</v>
      </c>
      <c r="BO2944">
        <v>81.88</v>
      </c>
      <c r="BQ2944" t="s">
        <v>192</v>
      </c>
      <c r="BR2944" t="s">
        <v>84</v>
      </c>
      <c r="BS2944" s="3">
        <v>45860</v>
      </c>
      <c r="BT2944" s="4">
        <v>0.42986111111111114</v>
      </c>
      <c r="BU2944" t="s">
        <v>193</v>
      </c>
      <c r="BV2944" t="s">
        <v>98</v>
      </c>
      <c r="BY2944">
        <v>6384</v>
      </c>
      <c r="CA2944" t="s">
        <v>196</v>
      </c>
      <c r="CC2944" t="s">
        <v>169</v>
      </c>
      <c r="CD2944">
        <v>6056</v>
      </c>
      <c r="CE2944" t="s">
        <v>110</v>
      </c>
      <c r="CF2944" s="3">
        <v>45860</v>
      </c>
      <c r="CI2944">
        <v>1</v>
      </c>
      <c r="CJ2944">
        <v>1</v>
      </c>
      <c r="CK2944">
        <v>21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"080066697924"</f>
        <v>080066697924</v>
      </c>
      <c r="F2945" s="3">
        <v>45859</v>
      </c>
      <c r="G2945">
        <v>202604</v>
      </c>
      <c r="H2945" t="s">
        <v>75</v>
      </c>
      <c r="I2945" t="s">
        <v>76</v>
      </c>
      <c r="J2945" t="s">
        <v>77</v>
      </c>
      <c r="K2945" t="s">
        <v>78</v>
      </c>
      <c r="L2945" t="s">
        <v>234</v>
      </c>
      <c r="M2945" t="s">
        <v>235</v>
      </c>
      <c r="N2945" t="s">
        <v>236</v>
      </c>
      <c r="O2945" t="s">
        <v>82</v>
      </c>
      <c r="P2945" t="str">
        <f>"4170049767                    "</f>
        <v xml:space="preserve">4170049767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17.649999999999999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55.61</v>
      </c>
      <c r="BM2945">
        <v>8.34</v>
      </c>
      <c r="BN2945">
        <v>63.95</v>
      </c>
      <c r="BO2945">
        <v>63.95</v>
      </c>
      <c r="BQ2945" t="s">
        <v>237</v>
      </c>
      <c r="BR2945" t="s">
        <v>84</v>
      </c>
      <c r="BS2945" s="3">
        <v>45860</v>
      </c>
      <c r="BT2945" s="4">
        <v>0.42499999999999999</v>
      </c>
      <c r="BU2945" t="s">
        <v>2886</v>
      </c>
      <c r="BV2945" t="s">
        <v>98</v>
      </c>
      <c r="BY2945">
        <v>1200</v>
      </c>
      <c r="CA2945" t="s">
        <v>632</v>
      </c>
      <c r="CC2945" t="s">
        <v>235</v>
      </c>
      <c r="CD2945">
        <v>1682</v>
      </c>
      <c r="CE2945" t="s">
        <v>110</v>
      </c>
      <c r="CF2945" s="3">
        <v>45860</v>
      </c>
      <c r="CI2945">
        <v>1</v>
      </c>
      <c r="CJ2945">
        <v>1</v>
      </c>
      <c r="CK2945">
        <v>22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"080066697932"</f>
        <v>080066697932</v>
      </c>
      <c r="F2946" s="3">
        <v>45859</v>
      </c>
      <c r="G2946">
        <v>202604</v>
      </c>
      <c r="H2946" t="s">
        <v>75</v>
      </c>
      <c r="I2946" t="s">
        <v>76</v>
      </c>
      <c r="J2946" t="s">
        <v>77</v>
      </c>
      <c r="K2946" t="s">
        <v>78</v>
      </c>
      <c r="L2946" t="s">
        <v>168</v>
      </c>
      <c r="M2946" t="s">
        <v>169</v>
      </c>
      <c r="N2946" t="s">
        <v>773</v>
      </c>
      <c r="O2946" t="s">
        <v>82</v>
      </c>
      <c r="P2946" t="str">
        <f>"4170050002                    "</f>
        <v xml:space="preserve">4170050002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39.53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3.2</v>
      </c>
      <c r="BK2946">
        <v>3.5</v>
      </c>
      <c r="BL2946">
        <v>124.55</v>
      </c>
      <c r="BM2946">
        <v>18.68</v>
      </c>
      <c r="BN2946">
        <v>143.22999999999999</v>
      </c>
      <c r="BO2946">
        <v>143.22999999999999</v>
      </c>
      <c r="BQ2946" t="s">
        <v>774</v>
      </c>
      <c r="BR2946" t="s">
        <v>84</v>
      </c>
      <c r="BS2946" s="3">
        <v>45860</v>
      </c>
      <c r="BT2946" s="4">
        <v>0.39027777777777778</v>
      </c>
      <c r="BU2946" t="s">
        <v>3066</v>
      </c>
      <c r="BV2946" t="s">
        <v>98</v>
      </c>
      <c r="BY2946">
        <v>16128</v>
      </c>
      <c r="CC2946" t="s">
        <v>169</v>
      </c>
      <c r="CD2946">
        <v>6020</v>
      </c>
      <c r="CE2946" t="s">
        <v>110</v>
      </c>
      <c r="CF2946" s="3">
        <v>45860</v>
      </c>
      <c r="CI2946">
        <v>1</v>
      </c>
      <c r="CJ2946">
        <v>1</v>
      </c>
      <c r="CK2946">
        <v>21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"080066697941"</f>
        <v>080066697941</v>
      </c>
      <c r="F2947" s="3">
        <v>45859</v>
      </c>
      <c r="G2947">
        <v>202604</v>
      </c>
      <c r="H2947" t="s">
        <v>75</v>
      </c>
      <c r="I2947" t="s">
        <v>76</v>
      </c>
      <c r="J2947" t="s">
        <v>77</v>
      </c>
      <c r="K2947" t="s">
        <v>78</v>
      </c>
      <c r="L2947" t="s">
        <v>197</v>
      </c>
      <c r="M2947" t="s">
        <v>198</v>
      </c>
      <c r="N2947" t="s">
        <v>945</v>
      </c>
      <c r="O2947" t="s">
        <v>82</v>
      </c>
      <c r="P2947" t="str">
        <f>"4170049826                    "</f>
        <v xml:space="preserve">4170049826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17.649999999999999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55.61</v>
      </c>
      <c r="BM2947">
        <v>8.34</v>
      </c>
      <c r="BN2947">
        <v>63.95</v>
      </c>
      <c r="BO2947">
        <v>63.95</v>
      </c>
      <c r="BQ2947" t="s">
        <v>946</v>
      </c>
      <c r="BR2947" t="s">
        <v>84</v>
      </c>
      <c r="BS2947" s="3">
        <v>45860</v>
      </c>
      <c r="BT2947" s="4">
        <v>0.34722222222222221</v>
      </c>
      <c r="BU2947" t="s">
        <v>3067</v>
      </c>
      <c r="BV2947" t="s">
        <v>98</v>
      </c>
      <c r="BY2947">
        <v>1200</v>
      </c>
      <c r="CA2947" t="s">
        <v>318</v>
      </c>
      <c r="CC2947" t="s">
        <v>198</v>
      </c>
      <c r="CD2947">
        <v>1422</v>
      </c>
      <c r="CE2947" t="s">
        <v>121</v>
      </c>
      <c r="CF2947" s="3">
        <v>45860</v>
      </c>
      <c r="CI2947">
        <v>1</v>
      </c>
      <c r="CJ2947">
        <v>1</v>
      </c>
      <c r="CK2947">
        <v>22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"080066697962"</f>
        <v>080066697962</v>
      </c>
      <c r="F2948" s="3">
        <v>45859</v>
      </c>
      <c r="G2948">
        <v>202604</v>
      </c>
      <c r="H2948" t="s">
        <v>75</v>
      </c>
      <c r="I2948" t="s">
        <v>76</v>
      </c>
      <c r="J2948" t="s">
        <v>77</v>
      </c>
      <c r="K2948" t="s">
        <v>78</v>
      </c>
      <c r="L2948" t="s">
        <v>128</v>
      </c>
      <c r="M2948" t="s">
        <v>129</v>
      </c>
      <c r="N2948" t="s">
        <v>2038</v>
      </c>
      <c r="O2948" t="s">
        <v>95</v>
      </c>
      <c r="P2948" t="str">
        <f>"4170049794                    "</f>
        <v xml:space="preserve">4170049794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71.08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6</v>
      </c>
      <c r="BJ2948">
        <v>17.7</v>
      </c>
      <c r="BK2948">
        <v>18</v>
      </c>
      <c r="BL2948">
        <v>229.81</v>
      </c>
      <c r="BM2948">
        <v>34.47</v>
      </c>
      <c r="BN2948">
        <v>264.27999999999997</v>
      </c>
      <c r="BO2948">
        <v>264.27999999999997</v>
      </c>
      <c r="BQ2948" t="s">
        <v>2039</v>
      </c>
      <c r="BR2948" t="s">
        <v>84</v>
      </c>
      <c r="BS2948" s="3">
        <v>45860</v>
      </c>
      <c r="BT2948" s="4">
        <v>0.39652777777777776</v>
      </c>
      <c r="BU2948" t="s">
        <v>3068</v>
      </c>
      <c r="BV2948" t="s">
        <v>98</v>
      </c>
      <c r="BY2948">
        <v>88320</v>
      </c>
      <c r="CA2948" t="s">
        <v>2284</v>
      </c>
      <c r="CC2948" t="s">
        <v>129</v>
      </c>
      <c r="CD2948" s="5" t="s">
        <v>134</v>
      </c>
      <c r="CE2948" t="s">
        <v>145</v>
      </c>
      <c r="CF2948" s="3">
        <v>45860</v>
      </c>
      <c r="CI2948">
        <v>1</v>
      </c>
      <c r="CJ2948">
        <v>1</v>
      </c>
      <c r="CK2948">
        <v>43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"080066697966"</f>
        <v>080066697966</v>
      </c>
      <c r="F2949" s="3">
        <v>45859</v>
      </c>
      <c r="G2949">
        <v>202604</v>
      </c>
      <c r="H2949" t="s">
        <v>75</v>
      </c>
      <c r="I2949" t="s">
        <v>76</v>
      </c>
      <c r="J2949" t="s">
        <v>77</v>
      </c>
      <c r="K2949" t="s">
        <v>78</v>
      </c>
      <c r="L2949" t="s">
        <v>92</v>
      </c>
      <c r="M2949" t="s">
        <v>93</v>
      </c>
      <c r="N2949" t="s">
        <v>737</v>
      </c>
      <c r="O2949" t="s">
        <v>82</v>
      </c>
      <c r="P2949" t="str">
        <f>"4170050087                    "</f>
        <v xml:space="preserve">4170050087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22.6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71.2</v>
      </c>
      <c r="BM2949">
        <v>10.68</v>
      </c>
      <c r="BN2949">
        <v>81.88</v>
      </c>
      <c r="BO2949">
        <v>81.88</v>
      </c>
      <c r="BQ2949" t="s">
        <v>738</v>
      </c>
      <c r="BR2949" t="s">
        <v>84</v>
      </c>
      <c r="BS2949" s="3">
        <v>45860</v>
      </c>
      <c r="BT2949" s="4">
        <v>0.6118055555555556</v>
      </c>
      <c r="BU2949" t="s">
        <v>3023</v>
      </c>
      <c r="BV2949" t="s">
        <v>86</v>
      </c>
      <c r="BY2949">
        <v>1200</v>
      </c>
      <c r="CA2949" t="s">
        <v>2974</v>
      </c>
      <c r="CC2949" t="s">
        <v>93</v>
      </c>
      <c r="CD2949">
        <v>4001</v>
      </c>
      <c r="CE2949" t="s">
        <v>121</v>
      </c>
      <c r="CF2949" s="3">
        <v>45861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"080066697982"</f>
        <v>080066697982</v>
      </c>
      <c r="F2950" s="3">
        <v>45859</v>
      </c>
      <c r="G2950">
        <v>202604</v>
      </c>
      <c r="H2950" t="s">
        <v>75</v>
      </c>
      <c r="I2950" t="s">
        <v>76</v>
      </c>
      <c r="J2950" t="s">
        <v>77</v>
      </c>
      <c r="K2950" t="s">
        <v>78</v>
      </c>
      <c r="L2950" t="s">
        <v>75</v>
      </c>
      <c r="M2950" t="s">
        <v>76</v>
      </c>
      <c r="N2950" t="s">
        <v>118</v>
      </c>
      <c r="O2950" t="s">
        <v>82</v>
      </c>
      <c r="P2950" t="str">
        <f>"4170049830                    "</f>
        <v xml:space="preserve">4170049830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17.649999999999999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55.61</v>
      </c>
      <c r="BM2950">
        <v>8.34</v>
      </c>
      <c r="BN2950">
        <v>63.95</v>
      </c>
      <c r="BO2950">
        <v>63.95</v>
      </c>
      <c r="BQ2950" t="s">
        <v>119</v>
      </c>
      <c r="BR2950" t="s">
        <v>84</v>
      </c>
      <c r="BS2950" s="3">
        <v>45860</v>
      </c>
      <c r="BT2950" s="4">
        <v>0.40694444444444444</v>
      </c>
      <c r="BU2950" t="s">
        <v>212</v>
      </c>
      <c r="BV2950" t="s">
        <v>98</v>
      </c>
      <c r="BY2950">
        <v>1200</v>
      </c>
      <c r="CA2950" t="s">
        <v>213</v>
      </c>
      <c r="CC2950" t="s">
        <v>76</v>
      </c>
      <c r="CD2950">
        <v>1600</v>
      </c>
      <c r="CE2950" t="s">
        <v>121</v>
      </c>
      <c r="CF2950" s="3">
        <v>45860</v>
      </c>
      <c r="CI2950">
        <v>1</v>
      </c>
      <c r="CJ2950">
        <v>1</v>
      </c>
      <c r="CK2950">
        <v>22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"080066698002"</f>
        <v>080066698002</v>
      </c>
      <c r="F2951" s="3">
        <v>45859</v>
      </c>
      <c r="G2951">
        <v>202604</v>
      </c>
      <c r="H2951" t="s">
        <v>75</v>
      </c>
      <c r="I2951" t="s">
        <v>76</v>
      </c>
      <c r="J2951" t="s">
        <v>77</v>
      </c>
      <c r="K2951" t="s">
        <v>78</v>
      </c>
      <c r="L2951" t="s">
        <v>75</v>
      </c>
      <c r="M2951" t="s">
        <v>76</v>
      </c>
      <c r="N2951" t="s">
        <v>809</v>
      </c>
      <c r="O2951" t="s">
        <v>82</v>
      </c>
      <c r="P2951" t="str">
        <f>"4170049954                    "</f>
        <v xml:space="preserve">4170049954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17.649999999999999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55.61</v>
      </c>
      <c r="BM2951">
        <v>8.34</v>
      </c>
      <c r="BN2951">
        <v>63.95</v>
      </c>
      <c r="BO2951">
        <v>63.95</v>
      </c>
      <c r="BQ2951" t="s">
        <v>810</v>
      </c>
      <c r="BR2951" t="s">
        <v>84</v>
      </c>
      <c r="BS2951" s="3">
        <v>45860</v>
      </c>
      <c r="BT2951" s="4">
        <v>0.36805555555555558</v>
      </c>
      <c r="BU2951" t="s">
        <v>882</v>
      </c>
      <c r="BV2951" t="s">
        <v>98</v>
      </c>
      <c r="BY2951">
        <v>1200</v>
      </c>
      <c r="CA2951" t="s">
        <v>883</v>
      </c>
      <c r="CC2951" t="s">
        <v>76</v>
      </c>
      <c r="CD2951">
        <v>1666</v>
      </c>
      <c r="CE2951" t="s">
        <v>121</v>
      </c>
      <c r="CF2951" s="3">
        <v>45860</v>
      </c>
      <c r="CI2951">
        <v>1</v>
      </c>
      <c r="CJ2951">
        <v>1</v>
      </c>
      <c r="CK2951">
        <v>22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"080066698025"</f>
        <v>080066698025</v>
      </c>
      <c r="F2952" s="3">
        <v>45859</v>
      </c>
      <c r="G2952">
        <v>202604</v>
      </c>
      <c r="H2952" t="s">
        <v>75</v>
      </c>
      <c r="I2952" t="s">
        <v>76</v>
      </c>
      <c r="J2952" t="s">
        <v>77</v>
      </c>
      <c r="K2952" t="s">
        <v>78</v>
      </c>
      <c r="L2952" t="s">
        <v>151</v>
      </c>
      <c r="M2952" t="s">
        <v>152</v>
      </c>
      <c r="N2952" t="s">
        <v>2227</v>
      </c>
      <c r="O2952" t="s">
        <v>82</v>
      </c>
      <c r="P2952" t="str">
        <f>"4170049816                    "</f>
        <v xml:space="preserve">4170049816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22.6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0.9</v>
      </c>
      <c r="BK2952">
        <v>1</v>
      </c>
      <c r="BL2952">
        <v>71.2</v>
      </c>
      <c r="BM2952">
        <v>10.68</v>
      </c>
      <c r="BN2952">
        <v>81.88</v>
      </c>
      <c r="BO2952">
        <v>81.88</v>
      </c>
      <c r="BQ2952" t="s">
        <v>2228</v>
      </c>
      <c r="BR2952" t="s">
        <v>84</v>
      </c>
      <c r="BS2952" s="3">
        <v>45860</v>
      </c>
      <c r="BT2952" s="4">
        <v>0.42708333333333331</v>
      </c>
      <c r="BU2952" t="s">
        <v>3069</v>
      </c>
      <c r="BV2952" t="s">
        <v>98</v>
      </c>
      <c r="BY2952">
        <v>4408</v>
      </c>
      <c r="CA2952" t="s">
        <v>513</v>
      </c>
      <c r="CC2952" t="s">
        <v>152</v>
      </c>
      <c r="CD2952" s="5" t="s">
        <v>1141</v>
      </c>
      <c r="CE2952" t="s">
        <v>145</v>
      </c>
      <c r="CF2952" s="3">
        <v>45860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"080066698051"</f>
        <v>080066698051</v>
      </c>
      <c r="F2953" s="3">
        <v>45859</v>
      </c>
      <c r="G2953">
        <v>202604</v>
      </c>
      <c r="H2953" t="s">
        <v>75</v>
      </c>
      <c r="I2953" t="s">
        <v>76</v>
      </c>
      <c r="J2953" t="s">
        <v>77</v>
      </c>
      <c r="K2953" t="s">
        <v>78</v>
      </c>
      <c r="L2953" t="s">
        <v>75</v>
      </c>
      <c r="M2953" t="s">
        <v>76</v>
      </c>
      <c r="N2953" t="s">
        <v>3070</v>
      </c>
      <c r="O2953" t="s">
        <v>82</v>
      </c>
      <c r="P2953" t="str">
        <f>"4170048935                    "</f>
        <v xml:space="preserve">4170048935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17.649999999999999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1.3</v>
      </c>
      <c r="BK2953">
        <v>2</v>
      </c>
      <c r="BL2953">
        <v>55.61</v>
      </c>
      <c r="BM2953">
        <v>8.34</v>
      </c>
      <c r="BN2953">
        <v>63.95</v>
      </c>
      <c r="BO2953">
        <v>63.95</v>
      </c>
      <c r="BQ2953" t="s">
        <v>3071</v>
      </c>
      <c r="BR2953" t="s">
        <v>84</v>
      </c>
      <c r="BS2953" s="3">
        <v>45862</v>
      </c>
      <c r="BT2953" s="4">
        <v>0.44791666666666669</v>
      </c>
      <c r="BU2953" t="s">
        <v>534</v>
      </c>
      <c r="BV2953" t="s">
        <v>86</v>
      </c>
      <c r="BY2953">
        <v>6384</v>
      </c>
      <c r="CA2953" t="s">
        <v>535</v>
      </c>
      <c r="CC2953" t="s">
        <v>76</v>
      </c>
      <c r="CD2953">
        <v>1685</v>
      </c>
      <c r="CE2953" t="s">
        <v>145</v>
      </c>
      <c r="CI2953">
        <v>1</v>
      </c>
      <c r="CJ2953">
        <v>3</v>
      </c>
      <c r="CK2953">
        <v>22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"080066698052"</f>
        <v>080066698052</v>
      </c>
      <c r="F2954" s="3">
        <v>45859</v>
      </c>
      <c r="G2954">
        <v>202604</v>
      </c>
      <c r="H2954" t="s">
        <v>75</v>
      </c>
      <c r="I2954" t="s">
        <v>76</v>
      </c>
      <c r="J2954" t="s">
        <v>77</v>
      </c>
      <c r="K2954" t="s">
        <v>78</v>
      </c>
      <c r="L2954" t="s">
        <v>168</v>
      </c>
      <c r="M2954" t="s">
        <v>169</v>
      </c>
      <c r="N2954" t="s">
        <v>202</v>
      </c>
      <c r="O2954" t="s">
        <v>82</v>
      </c>
      <c r="P2954" t="str">
        <f>"4170049967                    "</f>
        <v xml:space="preserve">4170049967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33.89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3</v>
      </c>
      <c r="BJ2954">
        <v>2</v>
      </c>
      <c r="BK2954">
        <v>3</v>
      </c>
      <c r="BL2954">
        <v>106.77</v>
      </c>
      <c r="BM2954">
        <v>16.02</v>
      </c>
      <c r="BN2954">
        <v>122.79</v>
      </c>
      <c r="BO2954">
        <v>122.79</v>
      </c>
      <c r="BQ2954" t="s">
        <v>203</v>
      </c>
      <c r="BR2954" t="s">
        <v>84</v>
      </c>
      <c r="BS2954" s="3">
        <v>45860</v>
      </c>
      <c r="BT2954" s="4">
        <v>0.34861111111111109</v>
      </c>
      <c r="BU2954" t="s">
        <v>1127</v>
      </c>
      <c r="BV2954" t="s">
        <v>98</v>
      </c>
      <c r="BY2954">
        <v>9918</v>
      </c>
      <c r="CA2954" t="s">
        <v>205</v>
      </c>
      <c r="CC2954" t="s">
        <v>169</v>
      </c>
      <c r="CD2954">
        <v>6001</v>
      </c>
      <c r="CE2954" t="s">
        <v>145</v>
      </c>
      <c r="CF2954" s="3">
        <v>45860</v>
      </c>
      <c r="CI2954">
        <v>1</v>
      </c>
      <c r="CJ2954">
        <v>1</v>
      </c>
      <c r="CK2954">
        <v>21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"080066698084"</f>
        <v>080066698084</v>
      </c>
      <c r="F2955" s="3">
        <v>45859</v>
      </c>
      <c r="G2955">
        <v>202604</v>
      </c>
      <c r="H2955" t="s">
        <v>75</v>
      </c>
      <c r="I2955" t="s">
        <v>76</v>
      </c>
      <c r="J2955" t="s">
        <v>77</v>
      </c>
      <c r="K2955" t="s">
        <v>78</v>
      </c>
      <c r="L2955" t="s">
        <v>390</v>
      </c>
      <c r="M2955" t="s">
        <v>391</v>
      </c>
      <c r="N2955" t="s">
        <v>3072</v>
      </c>
      <c r="O2955" t="s">
        <v>82</v>
      </c>
      <c r="P2955" t="str">
        <f>"4170049754                    "</f>
        <v xml:space="preserve">4170049754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17.649999999999999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2</v>
      </c>
      <c r="BJ2955">
        <v>4.0999999999999996</v>
      </c>
      <c r="BK2955">
        <v>5</v>
      </c>
      <c r="BL2955">
        <v>55.61</v>
      </c>
      <c r="BM2955">
        <v>8.34</v>
      </c>
      <c r="BN2955">
        <v>63.95</v>
      </c>
      <c r="BO2955">
        <v>63.95</v>
      </c>
      <c r="BQ2955" t="s">
        <v>3073</v>
      </c>
      <c r="BR2955" t="s">
        <v>84</v>
      </c>
      <c r="BS2955" s="3">
        <v>45860</v>
      </c>
      <c r="BT2955" s="4">
        <v>0.54027777777777775</v>
      </c>
      <c r="BU2955" t="s">
        <v>845</v>
      </c>
      <c r="BV2955" t="s">
        <v>86</v>
      </c>
      <c r="BY2955">
        <v>20358</v>
      </c>
      <c r="CA2955" t="s">
        <v>3074</v>
      </c>
      <c r="CC2955" t="s">
        <v>391</v>
      </c>
      <c r="CD2955">
        <v>1724</v>
      </c>
      <c r="CE2955" t="s">
        <v>145</v>
      </c>
      <c r="CF2955" s="3">
        <v>45860</v>
      </c>
      <c r="CI2955">
        <v>1</v>
      </c>
      <c r="CJ2955">
        <v>1</v>
      </c>
      <c r="CK2955">
        <v>22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"080066698107"</f>
        <v>080066698107</v>
      </c>
      <c r="F2956" s="3">
        <v>45859</v>
      </c>
      <c r="G2956">
        <v>202604</v>
      </c>
      <c r="H2956" t="s">
        <v>75</v>
      </c>
      <c r="I2956" t="s">
        <v>76</v>
      </c>
      <c r="J2956" t="s">
        <v>77</v>
      </c>
      <c r="K2956" t="s">
        <v>78</v>
      </c>
      <c r="L2956" t="s">
        <v>75</v>
      </c>
      <c r="M2956" t="s">
        <v>76</v>
      </c>
      <c r="N2956" t="s">
        <v>677</v>
      </c>
      <c r="O2956" t="s">
        <v>82</v>
      </c>
      <c r="P2956" t="str">
        <f>"4170049796                    "</f>
        <v xml:space="preserve">4170049796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17.649999999999999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6</v>
      </c>
      <c r="BJ2956">
        <v>6.5</v>
      </c>
      <c r="BK2956">
        <v>7</v>
      </c>
      <c r="BL2956">
        <v>55.61</v>
      </c>
      <c r="BM2956">
        <v>8.34</v>
      </c>
      <c r="BN2956">
        <v>63.95</v>
      </c>
      <c r="BO2956">
        <v>63.95</v>
      </c>
      <c r="BQ2956" t="s">
        <v>678</v>
      </c>
      <c r="BR2956" t="s">
        <v>84</v>
      </c>
      <c r="BS2956" s="3">
        <v>45860</v>
      </c>
      <c r="BT2956" s="4">
        <v>0.43263888888888891</v>
      </c>
      <c r="BU2956" t="s">
        <v>3075</v>
      </c>
      <c r="BV2956" t="s">
        <v>98</v>
      </c>
      <c r="BY2956">
        <v>32490</v>
      </c>
      <c r="CA2956" t="s">
        <v>632</v>
      </c>
      <c r="CC2956" t="s">
        <v>76</v>
      </c>
      <c r="CD2956">
        <v>1685</v>
      </c>
      <c r="CE2956" t="s">
        <v>91</v>
      </c>
      <c r="CF2956" s="3">
        <v>45860</v>
      </c>
      <c r="CI2956">
        <v>1</v>
      </c>
      <c r="CJ2956">
        <v>1</v>
      </c>
      <c r="CK2956">
        <v>22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"080066698128"</f>
        <v>080066698128</v>
      </c>
      <c r="F2957" s="3">
        <v>45859</v>
      </c>
      <c r="G2957">
        <v>202604</v>
      </c>
      <c r="H2957" t="s">
        <v>75</v>
      </c>
      <c r="I2957" t="s">
        <v>76</v>
      </c>
      <c r="J2957" t="s">
        <v>77</v>
      </c>
      <c r="K2957" t="s">
        <v>78</v>
      </c>
      <c r="L2957" t="s">
        <v>240</v>
      </c>
      <c r="M2957" t="s">
        <v>241</v>
      </c>
      <c r="N2957" t="s">
        <v>610</v>
      </c>
      <c r="O2957" t="s">
        <v>82</v>
      </c>
      <c r="P2957" t="str">
        <f>"4170049941                    "</f>
        <v xml:space="preserve">4170049941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17.649999999999999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2</v>
      </c>
      <c r="BK2957">
        <v>2</v>
      </c>
      <c r="BL2957">
        <v>55.61</v>
      </c>
      <c r="BM2957">
        <v>8.34</v>
      </c>
      <c r="BN2957">
        <v>63.95</v>
      </c>
      <c r="BO2957">
        <v>63.95</v>
      </c>
      <c r="BQ2957" t="s">
        <v>611</v>
      </c>
      <c r="BR2957" t="s">
        <v>84</v>
      </c>
      <c r="BS2957" s="3">
        <v>45860</v>
      </c>
      <c r="BT2957" s="4">
        <v>0.37222222222222223</v>
      </c>
      <c r="BU2957" t="s">
        <v>1629</v>
      </c>
      <c r="BV2957" t="s">
        <v>98</v>
      </c>
      <c r="BY2957">
        <v>9900</v>
      </c>
      <c r="CA2957" t="s">
        <v>451</v>
      </c>
      <c r="CC2957" t="s">
        <v>241</v>
      </c>
      <c r="CD2957">
        <v>2197</v>
      </c>
      <c r="CE2957" t="s">
        <v>145</v>
      </c>
      <c r="CF2957" s="3">
        <v>45860</v>
      </c>
      <c r="CI2957">
        <v>1</v>
      </c>
      <c r="CJ2957">
        <v>1</v>
      </c>
      <c r="CK2957">
        <v>22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"080066698134"</f>
        <v>080066698134</v>
      </c>
      <c r="F2958" s="3">
        <v>45859</v>
      </c>
      <c r="G2958">
        <v>202604</v>
      </c>
      <c r="H2958" t="s">
        <v>75</v>
      </c>
      <c r="I2958" t="s">
        <v>76</v>
      </c>
      <c r="J2958" t="s">
        <v>77</v>
      </c>
      <c r="K2958" t="s">
        <v>78</v>
      </c>
      <c r="L2958" t="s">
        <v>151</v>
      </c>
      <c r="M2958" t="s">
        <v>152</v>
      </c>
      <c r="N2958" t="s">
        <v>3076</v>
      </c>
      <c r="O2958" t="s">
        <v>82</v>
      </c>
      <c r="P2958" t="str">
        <f>"4170049288                    "</f>
        <v xml:space="preserve">4170049288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22.6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71.2</v>
      </c>
      <c r="BM2958">
        <v>10.68</v>
      </c>
      <c r="BN2958">
        <v>81.88</v>
      </c>
      <c r="BO2958">
        <v>81.88</v>
      </c>
      <c r="BQ2958" t="s">
        <v>3077</v>
      </c>
      <c r="BR2958" t="s">
        <v>84</v>
      </c>
      <c r="BS2958" s="3">
        <v>45866</v>
      </c>
      <c r="BT2958" s="4">
        <v>0.50486111111111109</v>
      </c>
      <c r="BU2958" t="s">
        <v>534</v>
      </c>
      <c r="BV2958" t="s">
        <v>86</v>
      </c>
      <c r="BW2958" t="s">
        <v>3078</v>
      </c>
      <c r="BX2958" t="s">
        <v>1420</v>
      </c>
      <c r="BY2958">
        <v>1200</v>
      </c>
      <c r="CA2958" t="s">
        <v>535</v>
      </c>
      <c r="CC2958" t="s">
        <v>152</v>
      </c>
      <c r="CD2958" s="5" t="s">
        <v>389</v>
      </c>
      <c r="CE2958" t="s">
        <v>121</v>
      </c>
      <c r="CI2958">
        <v>1</v>
      </c>
      <c r="CJ2958">
        <v>5</v>
      </c>
      <c r="CK2958">
        <v>21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"080066698147"</f>
        <v>080066698147</v>
      </c>
      <c r="F2959" s="3">
        <v>45859</v>
      </c>
      <c r="G2959">
        <v>202604</v>
      </c>
      <c r="H2959" t="s">
        <v>75</v>
      </c>
      <c r="I2959" t="s">
        <v>76</v>
      </c>
      <c r="J2959" t="s">
        <v>77</v>
      </c>
      <c r="K2959" t="s">
        <v>78</v>
      </c>
      <c r="L2959" t="s">
        <v>503</v>
      </c>
      <c r="M2959" t="s">
        <v>504</v>
      </c>
      <c r="N2959" t="s">
        <v>505</v>
      </c>
      <c r="O2959" t="s">
        <v>82</v>
      </c>
      <c r="P2959" t="str">
        <f>"4170049746                    "</f>
        <v xml:space="preserve">4170049746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93.21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</v>
      </c>
      <c r="BJ2959">
        <v>4.0999999999999996</v>
      </c>
      <c r="BK2959">
        <v>4.5</v>
      </c>
      <c r="BL2959">
        <v>293.67</v>
      </c>
      <c r="BM2959">
        <v>44.05</v>
      </c>
      <c r="BN2959">
        <v>337.72</v>
      </c>
      <c r="BO2959">
        <v>337.72</v>
      </c>
      <c r="BQ2959" t="s">
        <v>506</v>
      </c>
      <c r="BR2959" t="s">
        <v>84</v>
      </c>
      <c r="BS2959" s="3">
        <v>45860</v>
      </c>
      <c r="BT2959" s="4">
        <v>0.43194444444444446</v>
      </c>
      <c r="BU2959" t="s">
        <v>507</v>
      </c>
      <c r="BV2959" t="s">
        <v>98</v>
      </c>
      <c r="BY2959">
        <v>20358</v>
      </c>
      <c r="CA2959" t="s">
        <v>508</v>
      </c>
      <c r="CC2959" t="s">
        <v>504</v>
      </c>
      <c r="CD2959">
        <v>7130</v>
      </c>
      <c r="CE2959" t="s">
        <v>145</v>
      </c>
      <c r="CF2959" s="3">
        <v>45861</v>
      </c>
      <c r="CI2959">
        <v>1</v>
      </c>
      <c r="CJ2959">
        <v>1</v>
      </c>
      <c r="CK2959">
        <v>23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"080066698164"</f>
        <v>080066698164</v>
      </c>
      <c r="F2960" s="3">
        <v>45859</v>
      </c>
      <c r="G2960">
        <v>202604</v>
      </c>
      <c r="H2960" t="s">
        <v>75</v>
      </c>
      <c r="I2960" t="s">
        <v>76</v>
      </c>
      <c r="J2960" t="s">
        <v>77</v>
      </c>
      <c r="K2960" t="s">
        <v>78</v>
      </c>
      <c r="L2960" t="s">
        <v>319</v>
      </c>
      <c r="M2960" t="s">
        <v>320</v>
      </c>
      <c r="N2960" t="s">
        <v>1587</v>
      </c>
      <c r="O2960" t="s">
        <v>82</v>
      </c>
      <c r="P2960" t="str">
        <f>"4170049878                    "</f>
        <v xml:space="preserve">4170049878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43.78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1.1000000000000001</v>
      </c>
      <c r="BK2960">
        <v>1.5</v>
      </c>
      <c r="BL2960">
        <v>137.94</v>
      </c>
      <c r="BM2960">
        <v>20.69</v>
      </c>
      <c r="BN2960">
        <v>158.63</v>
      </c>
      <c r="BO2960">
        <v>158.63</v>
      </c>
      <c r="BQ2960" t="s">
        <v>1588</v>
      </c>
      <c r="BR2960" t="s">
        <v>84</v>
      </c>
      <c r="BS2960" s="3">
        <v>45860</v>
      </c>
      <c r="BT2960" s="4">
        <v>0.62291666666666667</v>
      </c>
      <c r="BU2960" t="s">
        <v>3079</v>
      </c>
      <c r="BV2960" t="s">
        <v>98</v>
      </c>
      <c r="BY2960">
        <v>5320</v>
      </c>
      <c r="CA2960" t="s">
        <v>1590</v>
      </c>
      <c r="CC2960" t="s">
        <v>320</v>
      </c>
      <c r="CD2960">
        <v>1020</v>
      </c>
      <c r="CE2960" t="s">
        <v>145</v>
      </c>
      <c r="CF2960" s="3">
        <v>45860</v>
      </c>
      <c r="CI2960">
        <v>1</v>
      </c>
      <c r="CJ2960">
        <v>1</v>
      </c>
      <c r="CK2960">
        <v>23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"080066698181"</f>
        <v>080066698181</v>
      </c>
      <c r="F2961" s="3">
        <v>45859</v>
      </c>
      <c r="G2961">
        <v>202604</v>
      </c>
      <c r="H2961" t="s">
        <v>75</v>
      </c>
      <c r="I2961" t="s">
        <v>76</v>
      </c>
      <c r="J2961" t="s">
        <v>77</v>
      </c>
      <c r="K2961" t="s">
        <v>78</v>
      </c>
      <c r="L2961" t="s">
        <v>75</v>
      </c>
      <c r="M2961" t="s">
        <v>76</v>
      </c>
      <c r="N2961" t="s">
        <v>1633</v>
      </c>
      <c r="O2961" t="s">
        <v>82</v>
      </c>
      <c r="P2961" t="str">
        <f>"4170049820                    "</f>
        <v xml:space="preserve">4170049820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17.649999999999999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0.9</v>
      </c>
      <c r="BK2961">
        <v>1</v>
      </c>
      <c r="BL2961">
        <v>55.61</v>
      </c>
      <c r="BM2961">
        <v>8.34</v>
      </c>
      <c r="BN2961">
        <v>63.95</v>
      </c>
      <c r="BO2961">
        <v>63.95</v>
      </c>
      <c r="BQ2961" t="s">
        <v>1634</v>
      </c>
      <c r="BR2961" t="s">
        <v>84</v>
      </c>
      <c r="BS2961" s="3">
        <v>45860</v>
      </c>
      <c r="BT2961" s="4">
        <v>0.40555555555555556</v>
      </c>
      <c r="BU2961" t="s">
        <v>3080</v>
      </c>
      <c r="BV2961" t="s">
        <v>98</v>
      </c>
      <c r="BY2961">
        <v>4256</v>
      </c>
      <c r="CA2961" t="s">
        <v>213</v>
      </c>
      <c r="CC2961" t="s">
        <v>76</v>
      </c>
      <c r="CD2961">
        <v>1624</v>
      </c>
      <c r="CE2961" t="s">
        <v>145</v>
      </c>
      <c r="CF2961" s="3">
        <v>45860</v>
      </c>
      <c r="CI2961">
        <v>1</v>
      </c>
      <c r="CJ2961">
        <v>1</v>
      </c>
      <c r="CK2961">
        <v>22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"080066698202"</f>
        <v>080066698202</v>
      </c>
      <c r="F2962" s="3">
        <v>45859</v>
      </c>
      <c r="G2962">
        <v>202604</v>
      </c>
      <c r="H2962" t="s">
        <v>75</v>
      </c>
      <c r="I2962" t="s">
        <v>76</v>
      </c>
      <c r="J2962" t="s">
        <v>77</v>
      </c>
      <c r="K2962" t="s">
        <v>78</v>
      </c>
      <c r="L2962" t="s">
        <v>79</v>
      </c>
      <c r="M2962" t="s">
        <v>80</v>
      </c>
      <c r="N2962" t="s">
        <v>376</v>
      </c>
      <c r="O2962" t="s">
        <v>82</v>
      </c>
      <c r="P2962" t="str">
        <f>"4170049784                    "</f>
        <v xml:space="preserve">4170049784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22.6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1.4</v>
      </c>
      <c r="BK2962">
        <v>1.5</v>
      </c>
      <c r="BL2962">
        <v>71.2</v>
      </c>
      <c r="BM2962">
        <v>10.68</v>
      </c>
      <c r="BN2962">
        <v>81.88</v>
      </c>
      <c r="BO2962">
        <v>81.88</v>
      </c>
      <c r="BQ2962" t="s">
        <v>377</v>
      </c>
      <c r="BR2962" t="s">
        <v>84</v>
      </c>
      <c r="BS2962" s="3">
        <v>45860</v>
      </c>
      <c r="BT2962" s="4">
        <v>0.40902777777777777</v>
      </c>
      <c r="BU2962" t="s">
        <v>378</v>
      </c>
      <c r="BV2962" t="s">
        <v>98</v>
      </c>
      <c r="BY2962">
        <v>6960</v>
      </c>
      <c r="CA2962" t="s">
        <v>144</v>
      </c>
      <c r="CC2962" t="s">
        <v>80</v>
      </c>
      <c r="CD2962">
        <v>8001</v>
      </c>
      <c r="CE2962" t="s">
        <v>91</v>
      </c>
      <c r="CF2962" s="3">
        <v>45861</v>
      </c>
      <c r="CI2962">
        <v>1</v>
      </c>
      <c r="CJ2962">
        <v>1</v>
      </c>
      <c r="CK2962">
        <v>21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"080066698223"</f>
        <v>080066698223</v>
      </c>
      <c r="F2963" s="3">
        <v>45859</v>
      </c>
      <c r="G2963">
        <v>202604</v>
      </c>
      <c r="H2963" t="s">
        <v>75</v>
      </c>
      <c r="I2963" t="s">
        <v>76</v>
      </c>
      <c r="J2963" t="s">
        <v>77</v>
      </c>
      <c r="K2963" t="s">
        <v>78</v>
      </c>
      <c r="L2963" t="s">
        <v>122</v>
      </c>
      <c r="M2963" t="s">
        <v>123</v>
      </c>
      <c r="N2963" t="s">
        <v>1176</v>
      </c>
      <c r="O2963" t="s">
        <v>82</v>
      </c>
      <c r="P2963" t="str">
        <f>"4170050025                    "</f>
        <v xml:space="preserve">4170050025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33.89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3</v>
      </c>
      <c r="BJ2963">
        <v>1.7</v>
      </c>
      <c r="BK2963">
        <v>3</v>
      </c>
      <c r="BL2963">
        <v>106.77</v>
      </c>
      <c r="BM2963">
        <v>16.02</v>
      </c>
      <c r="BN2963">
        <v>122.79</v>
      </c>
      <c r="BO2963">
        <v>122.79</v>
      </c>
      <c r="BQ2963" t="s">
        <v>1177</v>
      </c>
      <c r="BR2963" t="s">
        <v>84</v>
      </c>
      <c r="BS2963" s="3">
        <v>45860</v>
      </c>
      <c r="BT2963" s="4">
        <v>0.36388888888888887</v>
      </c>
      <c r="BU2963" t="s">
        <v>1345</v>
      </c>
      <c r="BV2963" t="s">
        <v>98</v>
      </c>
      <c r="BY2963">
        <v>8352</v>
      </c>
      <c r="BZ2963" t="s">
        <v>89</v>
      </c>
      <c r="CA2963" t="s">
        <v>187</v>
      </c>
      <c r="CC2963" t="s">
        <v>123</v>
      </c>
      <c r="CD2963">
        <v>3610</v>
      </c>
      <c r="CE2963" t="s">
        <v>91</v>
      </c>
      <c r="CF2963" s="3">
        <v>45861</v>
      </c>
      <c r="CI2963">
        <v>1</v>
      </c>
      <c r="CJ2963">
        <v>1</v>
      </c>
      <c r="CK2963">
        <v>21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"080066698296"</f>
        <v>080066698296</v>
      </c>
      <c r="F2964" s="3">
        <v>45859</v>
      </c>
      <c r="G2964">
        <v>202604</v>
      </c>
      <c r="H2964" t="s">
        <v>75</v>
      </c>
      <c r="I2964" t="s">
        <v>76</v>
      </c>
      <c r="J2964" t="s">
        <v>77</v>
      </c>
      <c r="K2964" t="s">
        <v>78</v>
      </c>
      <c r="L2964" t="s">
        <v>1291</v>
      </c>
      <c r="M2964" t="s">
        <v>1292</v>
      </c>
      <c r="N2964" t="s">
        <v>2924</v>
      </c>
      <c r="O2964" t="s">
        <v>82</v>
      </c>
      <c r="P2964" t="str">
        <f>"4170049931                    "</f>
        <v xml:space="preserve">4170049931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142.63999999999999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7</v>
      </c>
      <c r="BJ2964">
        <v>3.4</v>
      </c>
      <c r="BK2964">
        <v>7</v>
      </c>
      <c r="BL2964">
        <v>449.4</v>
      </c>
      <c r="BM2964">
        <v>67.41</v>
      </c>
      <c r="BN2964">
        <v>516.80999999999995</v>
      </c>
      <c r="BO2964">
        <v>516.80999999999995</v>
      </c>
      <c r="BQ2964" t="s">
        <v>2925</v>
      </c>
      <c r="BR2964" t="s">
        <v>84</v>
      </c>
      <c r="BS2964" s="3">
        <v>45861</v>
      </c>
      <c r="BT2964" s="4">
        <v>0.65972222222222221</v>
      </c>
      <c r="BU2964" t="s">
        <v>2926</v>
      </c>
      <c r="BV2964" t="s">
        <v>98</v>
      </c>
      <c r="BY2964">
        <v>16965</v>
      </c>
      <c r="CA2964" t="s">
        <v>1296</v>
      </c>
      <c r="CC2964" t="s">
        <v>1292</v>
      </c>
      <c r="CD2964">
        <v>3370</v>
      </c>
      <c r="CE2964" t="s">
        <v>145</v>
      </c>
      <c r="CF2964" s="3">
        <v>45862</v>
      </c>
      <c r="CI2964">
        <v>2</v>
      </c>
      <c r="CJ2964">
        <v>2</v>
      </c>
      <c r="CK2964">
        <v>23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"080066698336"</f>
        <v>080066698336</v>
      </c>
      <c r="F2965" s="3">
        <v>45859</v>
      </c>
      <c r="G2965">
        <v>202604</v>
      </c>
      <c r="H2965" t="s">
        <v>75</v>
      </c>
      <c r="I2965" t="s">
        <v>76</v>
      </c>
      <c r="J2965" t="s">
        <v>77</v>
      </c>
      <c r="K2965" t="s">
        <v>78</v>
      </c>
      <c r="L2965" t="s">
        <v>122</v>
      </c>
      <c r="M2965" t="s">
        <v>123</v>
      </c>
      <c r="N2965" t="s">
        <v>2340</v>
      </c>
      <c r="O2965" t="s">
        <v>82</v>
      </c>
      <c r="P2965" t="str">
        <f>"4170049748                    "</f>
        <v xml:space="preserve">4170049748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22.6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</v>
      </c>
      <c r="BJ2965">
        <v>1.9</v>
      </c>
      <c r="BK2965">
        <v>2</v>
      </c>
      <c r="BL2965">
        <v>71.2</v>
      </c>
      <c r="BM2965">
        <v>10.68</v>
      </c>
      <c r="BN2965">
        <v>81.88</v>
      </c>
      <c r="BO2965">
        <v>81.88</v>
      </c>
      <c r="BQ2965" t="s">
        <v>2341</v>
      </c>
      <c r="BR2965" t="s">
        <v>84</v>
      </c>
      <c r="BS2965" s="3">
        <v>45860</v>
      </c>
      <c r="BT2965" s="4">
        <v>0.36388888888888887</v>
      </c>
      <c r="BU2965" t="s">
        <v>1345</v>
      </c>
      <c r="BV2965" t="s">
        <v>98</v>
      </c>
      <c r="BY2965">
        <v>9600</v>
      </c>
      <c r="CA2965" t="s">
        <v>187</v>
      </c>
      <c r="CC2965" t="s">
        <v>123</v>
      </c>
      <c r="CD2965">
        <v>3610</v>
      </c>
      <c r="CE2965" t="s">
        <v>145</v>
      </c>
      <c r="CF2965" s="3">
        <v>45861</v>
      </c>
      <c r="CI2965">
        <v>1</v>
      </c>
      <c r="CJ2965">
        <v>1</v>
      </c>
      <c r="CK2965">
        <v>21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"080066698370"</f>
        <v>080066698370</v>
      </c>
      <c r="F2966" s="3">
        <v>45859</v>
      </c>
      <c r="G2966">
        <v>202604</v>
      </c>
      <c r="H2966" t="s">
        <v>75</v>
      </c>
      <c r="I2966" t="s">
        <v>76</v>
      </c>
      <c r="J2966" t="s">
        <v>77</v>
      </c>
      <c r="K2966" t="s">
        <v>78</v>
      </c>
      <c r="L2966" t="s">
        <v>122</v>
      </c>
      <c r="M2966" t="s">
        <v>123</v>
      </c>
      <c r="N2966" t="s">
        <v>2931</v>
      </c>
      <c r="O2966" t="s">
        <v>82</v>
      </c>
      <c r="P2966" t="str">
        <f>"4170050086                    "</f>
        <v xml:space="preserve">4170050086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22.6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0.6</v>
      </c>
      <c r="BK2966">
        <v>1</v>
      </c>
      <c r="BL2966">
        <v>71.2</v>
      </c>
      <c r="BM2966">
        <v>10.68</v>
      </c>
      <c r="BN2966">
        <v>81.88</v>
      </c>
      <c r="BO2966">
        <v>81.88</v>
      </c>
      <c r="BQ2966" t="s">
        <v>2932</v>
      </c>
      <c r="BR2966" t="s">
        <v>84</v>
      </c>
      <c r="BS2966" s="3">
        <v>45860</v>
      </c>
      <c r="BT2966" s="4">
        <v>0.61319444444444449</v>
      </c>
      <c r="BU2966" t="s">
        <v>3064</v>
      </c>
      <c r="BV2966" t="s">
        <v>86</v>
      </c>
      <c r="BY2966">
        <v>3192</v>
      </c>
      <c r="CA2966" t="s">
        <v>2974</v>
      </c>
      <c r="CC2966" t="s">
        <v>123</v>
      </c>
      <c r="CD2966">
        <v>3610</v>
      </c>
      <c r="CE2966" t="s">
        <v>145</v>
      </c>
      <c r="CF2966" s="3">
        <v>45861</v>
      </c>
      <c r="CI2966">
        <v>1</v>
      </c>
      <c r="CJ2966">
        <v>1</v>
      </c>
      <c r="CK2966">
        <v>21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"080066698406"</f>
        <v>080066698406</v>
      </c>
      <c r="F2967" s="3">
        <v>45859</v>
      </c>
      <c r="G2967">
        <v>202604</v>
      </c>
      <c r="H2967" t="s">
        <v>75</v>
      </c>
      <c r="I2967" t="s">
        <v>76</v>
      </c>
      <c r="J2967" t="s">
        <v>77</v>
      </c>
      <c r="K2967" t="s">
        <v>78</v>
      </c>
      <c r="L2967" t="s">
        <v>168</v>
      </c>
      <c r="M2967" t="s">
        <v>169</v>
      </c>
      <c r="N2967" t="s">
        <v>206</v>
      </c>
      <c r="O2967" t="s">
        <v>82</v>
      </c>
      <c r="P2967" t="str">
        <f>"4170049930                    "</f>
        <v xml:space="preserve">4170049930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22.6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0.9</v>
      </c>
      <c r="BK2967">
        <v>1</v>
      </c>
      <c r="BL2967">
        <v>71.2</v>
      </c>
      <c r="BM2967">
        <v>10.68</v>
      </c>
      <c r="BN2967">
        <v>81.88</v>
      </c>
      <c r="BO2967">
        <v>81.88</v>
      </c>
      <c r="BQ2967" t="s">
        <v>207</v>
      </c>
      <c r="BR2967" t="s">
        <v>84</v>
      </c>
      <c r="BS2967" s="3">
        <v>45860</v>
      </c>
      <c r="BT2967" s="4">
        <v>0.38333333333333336</v>
      </c>
      <c r="BU2967" t="s">
        <v>208</v>
      </c>
      <c r="BV2967" t="s">
        <v>98</v>
      </c>
      <c r="BY2967">
        <v>4275</v>
      </c>
      <c r="CA2967" t="s">
        <v>196</v>
      </c>
      <c r="CC2967" t="s">
        <v>169</v>
      </c>
      <c r="CD2967">
        <v>6001</v>
      </c>
      <c r="CE2967" t="s">
        <v>259</v>
      </c>
      <c r="CF2967" s="3">
        <v>45860</v>
      </c>
      <c r="CI2967">
        <v>1</v>
      </c>
      <c r="CJ2967">
        <v>1</v>
      </c>
      <c r="CK2967">
        <v>21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"080066698443"</f>
        <v>080066698443</v>
      </c>
      <c r="F2968" s="3">
        <v>45859</v>
      </c>
      <c r="G2968">
        <v>202604</v>
      </c>
      <c r="H2968" t="s">
        <v>75</v>
      </c>
      <c r="I2968" t="s">
        <v>76</v>
      </c>
      <c r="J2968" t="s">
        <v>77</v>
      </c>
      <c r="K2968" t="s">
        <v>78</v>
      </c>
      <c r="L2968" t="s">
        <v>102</v>
      </c>
      <c r="M2968" t="s">
        <v>103</v>
      </c>
      <c r="N2968" t="s">
        <v>1161</v>
      </c>
      <c r="O2968" t="s">
        <v>82</v>
      </c>
      <c r="P2968" t="str">
        <f>"4170049783                    "</f>
        <v xml:space="preserve">4170049783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31.78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0.6</v>
      </c>
      <c r="BK2968">
        <v>1</v>
      </c>
      <c r="BL2968">
        <v>100.13</v>
      </c>
      <c r="BM2968">
        <v>15.02</v>
      </c>
      <c r="BN2968">
        <v>115.15</v>
      </c>
      <c r="BO2968">
        <v>115.15</v>
      </c>
      <c r="BQ2968" t="s">
        <v>1162</v>
      </c>
      <c r="BR2968" t="s">
        <v>84</v>
      </c>
      <c r="BS2968" s="3">
        <v>45860</v>
      </c>
      <c r="BT2968" s="4">
        <v>0.51597222222222228</v>
      </c>
      <c r="BU2968" t="s">
        <v>1600</v>
      </c>
      <c r="BV2968" t="s">
        <v>98</v>
      </c>
      <c r="BY2968">
        <v>3192</v>
      </c>
      <c r="CA2968" t="s">
        <v>3081</v>
      </c>
      <c r="CC2968" t="s">
        <v>103</v>
      </c>
      <c r="CD2968">
        <v>2499</v>
      </c>
      <c r="CE2968" t="s">
        <v>145</v>
      </c>
      <c r="CF2968" s="3">
        <v>45860</v>
      </c>
      <c r="CI2968">
        <v>1</v>
      </c>
      <c r="CJ2968">
        <v>1</v>
      </c>
      <c r="CK2968">
        <v>24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"080066698477"</f>
        <v>080066698477</v>
      </c>
      <c r="F2969" s="3">
        <v>45859</v>
      </c>
      <c r="G2969">
        <v>202604</v>
      </c>
      <c r="H2969" t="s">
        <v>75</v>
      </c>
      <c r="I2969" t="s">
        <v>76</v>
      </c>
      <c r="J2969" t="s">
        <v>77</v>
      </c>
      <c r="K2969" t="s">
        <v>78</v>
      </c>
      <c r="L2969" t="s">
        <v>670</v>
      </c>
      <c r="M2969" t="s">
        <v>671</v>
      </c>
      <c r="N2969" t="s">
        <v>3082</v>
      </c>
      <c r="O2969" t="s">
        <v>82</v>
      </c>
      <c r="P2969" t="str">
        <f>"4170049822                    "</f>
        <v xml:space="preserve">4170049822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17.649999999999999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</v>
      </c>
      <c r="BJ2969">
        <v>0.9</v>
      </c>
      <c r="BK2969">
        <v>2</v>
      </c>
      <c r="BL2969">
        <v>55.61</v>
      </c>
      <c r="BM2969">
        <v>8.34</v>
      </c>
      <c r="BN2969">
        <v>63.95</v>
      </c>
      <c r="BO2969">
        <v>63.95</v>
      </c>
      <c r="BQ2969" t="s">
        <v>3083</v>
      </c>
      <c r="BR2969" t="s">
        <v>84</v>
      </c>
      <c r="BS2969" s="3">
        <v>45860</v>
      </c>
      <c r="BT2969" s="4">
        <v>0.40416666666666667</v>
      </c>
      <c r="BU2969" t="s">
        <v>3084</v>
      </c>
      <c r="BV2969" t="s">
        <v>98</v>
      </c>
      <c r="BY2969">
        <v>4275</v>
      </c>
      <c r="CA2969" t="s">
        <v>676</v>
      </c>
      <c r="CC2969" t="s">
        <v>671</v>
      </c>
      <c r="CD2969">
        <v>2163</v>
      </c>
      <c r="CE2969" t="s">
        <v>259</v>
      </c>
      <c r="CF2969" s="3">
        <v>45861</v>
      </c>
      <c r="CI2969">
        <v>1</v>
      </c>
      <c r="CJ2969">
        <v>1</v>
      </c>
      <c r="CK2969">
        <v>22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"080066698558"</f>
        <v>080066698558</v>
      </c>
      <c r="F2970" s="3">
        <v>45859</v>
      </c>
      <c r="G2970">
        <v>202604</v>
      </c>
      <c r="H2970" t="s">
        <v>75</v>
      </c>
      <c r="I2970" t="s">
        <v>76</v>
      </c>
      <c r="J2970" t="s">
        <v>77</v>
      </c>
      <c r="K2970" t="s">
        <v>78</v>
      </c>
      <c r="L2970" t="s">
        <v>363</v>
      </c>
      <c r="M2970" t="s">
        <v>364</v>
      </c>
      <c r="N2970" t="s">
        <v>365</v>
      </c>
      <c r="O2970" t="s">
        <v>82</v>
      </c>
      <c r="P2970" t="str">
        <f>"4170049951                    "</f>
        <v xml:space="preserve">4170049951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63.56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3</v>
      </c>
      <c r="BJ2970">
        <v>0.9</v>
      </c>
      <c r="BK2970">
        <v>3</v>
      </c>
      <c r="BL2970">
        <v>200.24</v>
      </c>
      <c r="BM2970">
        <v>30.04</v>
      </c>
      <c r="BN2970">
        <v>230.28</v>
      </c>
      <c r="BO2970">
        <v>230.28</v>
      </c>
      <c r="BQ2970" t="s">
        <v>1118</v>
      </c>
      <c r="BR2970" t="s">
        <v>84</v>
      </c>
      <c r="BS2970" s="3">
        <v>45860</v>
      </c>
      <c r="BT2970" s="4">
        <v>0.54861111111111116</v>
      </c>
      <c r="BU2970" t="s">
        <v>1696</v>
      </c>
      <c r="BV2970" t="s">
        <v>98</v>
      </c>
      <c r="BY2970">
        <v>4275</v>
      </c>
      <c r="CC2970" t="s">
        <v>364</v>
      </c>
      <c r="CD2970">
        <v>7300</v>
      </c>
      <c r="CE2970" t="s">
        <v>145</v>
      </c>
      <c r="CF2970" s="3">
        <v>45861</v>
      </c>
      <c r="CI2970">
        <v>1</v>
      </c>
      <c r="CJ2970">
        <v>1</v>
      </c>
      <c r="CK2970">
        <v>23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"080066698615"</f>
        <v>080066698615</v>
      </c>
      <c r="F2971" s="3">
        <v>45859</v>
      </c>
      <c r="G2971">
        <v>202604</v>
      </c>
      <c r="H2971" t="s">
        <v>75</v>
      </c>
      <c r="I2971" t="s">
        <v>76</v>
      </c>
      <c r="J2971" t="s">
        <v>77</v>
      </c>
      <c r="K2971" t="s">
        <v>78</v>
      </c>
      <c r="L2971" t="s">
        <v>122</v>
      </c>
      <c r="M2971" t="s">
        <v>123</v>
      </c>
      <c r="N2971" t="s">
        <v>283</v>
      </c>
      <c r="O2971" t="s">
        <v>82</v>
      </c>
      <c r="P2971" t="str">
        <f>"4170050107                    "</f>
        <v xml:space="preserve">4170050107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22.6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0.6</v>
      </c>
      <c r="BK2971">
        <v>2</v>
      </c>
      <c r="BL2971">
        <v>71.2</v>
      </c>
      <c r="BM2971">
        <v>10.68</v>
      </c>
      <c r="BN2971">
        <v>81.88</v>
      </c>
      <c r="BO2971">
        <v>81.88</v>
      </c>
      <c r="BQ2971" t="s">
        <v>284</v>
      </c>
      <c r="BR2971" t="s">
        <v>84</v>
      </c>
      <c r="BS2971" s="3">
        <v>45860</v>
      </c>
      <c r="BT2971" s="4">
        <v>0.37916666666666665</v>
      </c>
      <c r="BU2971" t="s">
        <v>285</v>
      </c>
      <c r="BV2971" t="s">
        <v>98</v>
      </c>
      <c r="BY2971">
        <v>3192</v>
      </c>
      <c r="CA2971" t="s">
        <v>187</v>
      </c>
      <c r="CC2971" t="s">
        <v>123</v>
      </c>
      <c r="CD2971">
        <v>3608</v>
      </c>
      <c r="CE2971" t="s">
        <v>145</v>
      </c>
      <c r="CF2971" s="3">
        <v>45861</v>
      </c>
      <c r="CI2971">
        <v>1</v>
      </c>
      <c r="CJ2971">
        <v>1</v>
      </c>
      <c r="CK2971">
        <v>21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"080066698630"</f>
        <v>080066698630</v>
      </c>
      <c r="F2972" s="3">
        <v>45859</v>
      </c>
      <c r="G2972">
        <v>202604</v>
      </c>
      <c r="H2972" t="s">
        <v>75</v>
      </c>
      <c r="I2972" t="s">
        <v>76</v>
      </c>
      <c r="J2972" t="s">
        <v>77</v>
      </c>
      <c r="K2972" t="s">
        <v>78</v>
      </c>
      <c r="L2972" t="s">
        <v>168</v>
      </c>
      <c r="M2972" t="s">
        <v>169</v>
      </c>
      <c r="N2972" t="s">
        <v>202</v>
      </c>
      <c r="O2972" t="s">
        <v>95</v>
      </c>
      <c r="P2972" t="str">
        <f>"4170050019                    "</f>
        <v xml:space="preserve">4170050019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72.569999999999993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16</v>
      </c>
      <c r="BJ2972">
        <v>30.9</v>
      </c>
      <c r="BK2972">
        <v>31</v>
      </c>
      <c r="BL2972">
        <v>234.5</v>
      </c>
      <c r="BM2972">
        <v>35.18</v>
      </c>
      <c r="BN2972">
        <v>269.68</v>
      </c>
      <c r="BO2972">
        <v>269.68</v>
      </c>
      <c r="BQ2972" t="s">
        <v>203</v>
      </c>
      <c r="BR2972" t="s">
        <v>84</v>
      </c>
      <c r="BS2972" s="3">
        <v>45861</v>
      </c>
      <c r="BT2972" s="4">
        <v>0.40763888888888888</v>
      </c>
      <c r="BU2972" t="s">
        <v>204</v>
      </c>
      <c r="BV2972" t="s">
        <v>98</v>
      </c>
      <c r="BY2972">
        <v>154560</v>
      </c>
      <c r="CA2972" t="s">
        <v>205</v>
      </c>
      <c r="CC2972" t="s">
        <v>169</v>
      </c>
      <c r="CD2972">
        <v>6001</v>
      </c>
      <c r="CE2972" t="s">
        <v>145</v>
      </c>
      <c r="CF2972" s="3">
        <v>45861</v>
      </c>
      <c r="CI2972">
        <v>3</v>
      </c>
      <c r="CJ2972">
        <v>2</v>
      </c>
      <c r="CK2972">
        <v>41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"080066698657"</f>
        <v>080066698657</v>
      </c>
      <c r="F2973" s="3">
        <v>45859</v>
      </c>
      <c r="G2973">
        <v>202604</v>
      </c>
      <c r="H2973" t="s">
        <v>75</v>
      </c>
      <c r="I2973" t="s">
        <v>76</v>
      </c>
      <c r="J2973" t="s">
        <v>77</v>
      </c>
      <c r="K2973" t="s">
        <v>78</v>
      </c>
      <c r="L2973" t="s">
        <v>92</v>
      </c>
      <c r="M2973" t="s">
        <v>93</v>
      </c>
      <c r="N2973" t="s">
        <v>291</v>
      </c>
      <c r="O2973" t="s">
        <v>82</v>
      </c>
      <c r="P2973" t="str">
        <f>"4170049771                    "</f>
        <v xml:space="preserve">4170049771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39.53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3.4</v>
      </c>
      <c r="BK2973">
        <v>3.5</v>
      </c>
      <c r="BL2973">
        <v>124.55</v>
      </c>
      <c r="BM2973">
        <v>18.68</v>
      </c>
      <c r="BN2973">
        <v>143.22999999999999</v>
      </c>
      <c r="BO2973">
        <v>143.22999999999999</v>
      </c>
      <c r="BQ2973" t="s">
        <v>292</v>
      </c>
      <c r="BR2973" t="s">
        <v>84</v>
      </c>
      <c r="BS2973" s="3">
        <v>45860</v>
      </c>
      <c r="BT2973" s="4">
        <v>0.34861111111111109</v>
      </c>
      <c r="BU2973" t="s">
        <v>847</v>
      </c>
      <c r="BV2973" t="s">
        <v>98</v>
      </c>
      <c r="BY2973">
        <v>16965</v>
      </c>
      <c r="CA2973" t="s">
        <v>294</v>
      </c>
      <c r="CC2973" t="s">
        <v>93</v>
      </c>
      <c r="CD2973">
        <v>4051</v>
      </c>
      <c r="CE2973" t="s">
        <v>145</v>
      </c>
      <c r="CF2973" s="3">
        <v>45860</v>
      </c>
      <c r="CI2973">
        <v>1</v>
      </c>
      <c r="CJ2973">
        <v>1</v>
      </c>
      <c r="CK2973">
        <v>21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"080066698751"</f>
        <v>080066698751</v>
      </c>
      <c r="F2974" s="3">
        <v>45859</v>
      </c>
      <c r="G2974">
        <v>202604</v>
      </c>
      <c r="H2974" t="s">
        <v>75</v>
      </c>
      <c r="I2974" t="s">
        <v>76</v>
      </c>
      <c r="J2974" t="s">
        <v>77</v>
      </c>
      <c r="K2974" t="s">
        <v>78</v>
      </c>
      <c r="L2974" t="s">
        <v>79</v>
      </c>
      <c r="M2974" t="s">
        <v>80</v>
      </c>
      <c r="N2974" t="s">
        <v>141</v>
      </c>
      <c r="O2974" t="s">
        <v>82</v>
      </c>
      <c r="P2974" t="str">
        <f>"4170049885                    "</f>
        <v xml:space="preserve">4170049885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22.6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71.2</v>
      </c>
      <c r="BM2974">
        <v>10.68</v>
      </c>
      <c r="BN2974">
        <v>81.88</v>
      </c>
      <c r="BO2974">
        <v>81.88</v>
      </c>
      <c r="BQ2974" t="s">
        <v>142</v>
      </c>
      <c r="BR2974" t="s">
        <v>84</v>
      </c>
      <c r="BS2974" s="3">
        <v>45860</v>
      </c>
      <c r="BT2974" s="4">
        <v>0.41458333333333336</v>
      </c>
      <c r="BU2974" t="s">
        <v>143</v>
      </c>
      <c r="BV2974" t="s">
        <v>98</v>
      </c>
      <c r="BY2974">
        <v>1200</v>
      </c>
      <c r="CA2974" t="s">
        <v>144</v>
      </c>
      <c r="CC2974" t="s">
        <v>80</v>
      </c>
      <c r="CD2974">
        <v>7441</v>
      </c>
      <c r="CE2974" t="s">
        <v>121</v>
      </c>
      <c r="CF2974" s="3">
        <v>45861</v>
      </c>
      <c r="CI2974">
        <v>1</v>
      </c>
      <c r="CJ2974">
        <v>1</v>
      </c>
      <c r="CK2974">
        <v>21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"080066698764"</f>
        <v>080066698764</v>
      </c>
      <c r="F2975" s="3">
        <v>45859</v>
      </c>
      <c r="G2975">
        <v>202604</v>
      </c>
      <c r="H2975" t="s">
        <v>75</v>
      </c>
      <c r="I2975" t="s">
        <v>76</v>
      </c>
      <c r="J2975" t="s">
        <v>77</v>
      </c>
      <c r="K2975" t="s">
        <v>78</v>
      </c>
      <c r="L2975" t="s">
        <v>168</v>
      </c>
      <c r="M2975" t="s">
        <v>169</v>
      </c>
      <c r="N2975" t="s">
        <v>206</v>
      </c>
      <c r="O2975" t="s">
        <v>95</v>
      </c>
      <c r="P2975" t="str">
        <f>"4170049980                    "</f>
        <v xml:space="preserve">4170049980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56.33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2</v>
      </c>
      <c r="BI2975">
        <v>12</v>
      </c>
      <c r="BJ2975">
        <v>21.7</v>
      </c>
      <c r="BK2975">
        <v>22</v>
      </c>
      <c r="BL2975">
        <v>183.34</v>
      </c>
      <c r="BM2975">
        <v>27.5</v>
      </c>
      <c r="BN2975">
        <v>210.84</v>
      </c>
      <c r="BO2975">
        <v>210.84</v>
      </c>
      <c r="BQ2975" t="s">
        <v>207</v>
      </c>
      <c r="BR2975" t="s">
        <v>84</v>
      </c>
      <c r="BS2975" s="3">
        <v>45861</v>
      </c>
      <c r="BT2975" s="4">
        <v>0.40138888888888891</v>
      </c>
      <c r="BU2975" t="s">
        <v>2957</v>
      </c>
      <c r="BV2975" t="s">
        <v>98</v>
      </c>
      <c r="BY2975">
        <v>108512</v>
      </c>
      <c r="CA2975" t="s">
        <v>196</v>
      </c>
      <c r="CC2975" t="s">
        <v>169</v>
      </c>
      <c r="CD2975">
        <v>6001</v>
      </c>
      <c r="CE2975" t="s">
        <v>145</v>
      </c>
      <c r="CF2975" s="3">
        <v>45861</v>
      </c>
      <c r="CI2975">
        <v>3</v>
      </c>
      <c r="CJ2975">
        <v>2</v>
      </c>
      <c r="CK2975">
        <v>41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"080066698780"</f>
        <v>080066698780</v>
      </c>
      <c r="F2976" s="3">
        <v>45859</v>
      </c>
      <c r="G2976">
        <v>202604</v>
      </c>
      <c r="H2976" t="s">
        <v>75</v>
      </c>
      <c r="I2976" t="s">
        <v>76</v>
      </c>
      <c r="J2976" t="s">
        <v>77</v>
      </c>
      <c r="K2976" t="s">
        <v>78</v>
      </c>
      <c r="L2976" t="s">
        <v>168</v>
      </c>
      <c r="M2976" t="s">
        <v>169</v>
      </c>
      <c r="N2976" t="s">
        <v>206</v>
      </c>
      <c r="O2976" t="s">
        <v>82</v>
      </c>
      <c r="P2976" t="str">
        <f>"4170049929                    "</f>
        <v xml:space="preserve">4170049929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22.6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71.2</v>
      </c>
      <c r="BM2976">
        <v>10.68</v>
      </c>
      <c r="BN2976">
        <v>81.88</v>
      </c>
      <c r="BO2976">
        <v>81.88</v>
      </c>
      <c r="BQ2976" t="s">
        <v>207</v>
      </c>
      <c r="BR2976" t="s">
        <v>84</v>
      </c>
      <c r="BS2976" s="3">
        <v>45860</v>
      </c>
      <c r="BT2976" s="4">
        <v>0.38333333333333336</v>
      </c>
      <c r="BU2976" t="s">
        <v>208</v>
      </c>
      <c r="BV2976" t="s">
        <v>98</v>
      </c>
      <c r="BY2976">
        <v>1200</v>
      </c>
      <c r="CA2976" t="s">
        <v>196</v>
      </c>
      <c r="CC2976" t="s">
        <v>169</v>
      </c>
      <c r="CD2976">
        <v>6001</v>
      </c>
      <c r="CE2976" t="s">
        <v>121</v>
      </c>
      <c r="CF2976" s="3">
        <v>45860</v>
      </c>
      <c r="CI2976">
        <v>1</v>
      </c>
      <c r="CJ2976">
        <v>1</v>
      </c>
      <c r="CK2976">
        <v>21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"080066698808"</f>
        <v>080066698808</v>
      </c>
      <c r="F2977" s="3">
        <v>45859</v>
      </c>
      <c r="G2977">
        <v>202604</v>
      </c>
      <c r="H2977" t="s">
        <v>75</v>
      </c>
      <c r="I2977" t="s">
        <v>76</v>
      </c>
      <c r="J2977" t="s">
        <v>77</v>
      </c>
      <c r="K2977" t="s">
        <v>78</v>
      </c>
      <c r="L2977" t="s">
        <v>122</v>
      </c>
      <c r="M2977" t="s">
        <v>123</v>
      </c>
      <c r="N2977" t="s">
        <v>972</v>
      </c>
      <c r="O2977" t="s">
        <v>82</v>
      </c>
      <c r="P2977" t="str">
        <f>"4170049935                    "</f>
        <v xml:space="preserve">4170049935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22.6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71.2</v>
      </c>
      <c r="BM2977">
        <v>10.68</v>
      </c>
      <c r="BN2977">
        <v>81.88</v>
      </c>
      <c r="BO2977">
        <v>81.88</v>
      </c>
      <c r="BQ2977" t="s">
        <v>973</v>
      </c>
      <c r="BR2977" t="s">
        <v>84</v>
      </c>
      <c r="BS2977" s="3">
        <v>45860</v>
      </c>
      <c r="BT2977" s="4">
        <v>0.61805555555555558</v>
      </c>
      <c r="BU2977" t="s">
        <v>974</v>
      </c>
      <c r="BV2977" t="s">
        <v>86</v>
      </c>
      <c r="BY2977">
        <v>1200</v>
      </c>
      <c r="CA2977" t="s">
        <v>2974</v>
      </c>
      <c r="CC2977" t="s">
        <v>123</v>
      </c>
      <c r="CD2977">
        <v>3610</v>
      </c>
      <c r="CE2977" t="s">
        <v>121</v>
      </c>
      <c r="CF2977" s="3">
        <v>45861</v>
      </c>
      <c r="CI2977">
        <v>1</v>
      </c>
      <c r="CJ2977">
        <v>1</v>
      </c>
      <c r="CK2977">
        <v>21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"080066698830"</f>
        <v>080066698830</v>
      </c>
      <c r="F2978" s="3">
        <v>45859</v>
      </c>
      <c r="G2978">
        <v>202604</v>
      </c>
      <c r="H2978" t="s">
        <v>75</v>
      </c>
      <c r="I2978" t="s">
        <v>76</v>
      </c>
      <c r="J2978" t="s">
        <v>77</v>
      </c>
      <c r="K2978" t="s">
        <v>78</v>
      </c>
      <c r="L2978" t="s">
        <v>168</v>
      </c>
      <c r="M2978" t="s">
        <v>169</v>
      </c>
      <c r="N2978" t="s">
        <v>496</v>
      </c>
      <c r="O2978" t="s">
        <v>82</v>
      </c>
      <c r="P2978" t="str">
        <f>"4170050056                    "</f>
        <v xml:space="preserve">4170050056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316.14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3</v>
      </c>
      <c r="BI2978">
        <v>28</v>
      </c>
      <c r="BJ2978">
        <v>10</v>
      </c>
      <c r="BK2978">
        <v>28</v>
      </c>
      <c r="BL2978">
        <v>996.02</v>
      </c>
      <c r="BM2978">
        <v>149.4</v>
      </c>
      <c r="BN2978">
        <v>1145.42</v>
      </c>
      <c r="BO2978">
        <v>1145.42</v>
      </c>
      <c r="BQ2978" t="s">
        <v>497</v>
      </c>
      <c r="BR2978" t="s">
        <v>84</v>
      </c>
      <c r="BS2978" s="3">
        <v>45860</v>
      </c>
      <c r="BT2978" s="4">
        <v>0.38194444444444442</v>
      </c>
      <c r="BU2978" t="s">
        <v>3085</v>
      </c>
      <c r="BV2978" t="s">
        <v>98</v>
      </c>
      <c r="BY2978">
        <v>26520</v>
      </c>
      <c r="CA2978" t="s">
        <v>499</v>
      </c>
      <c r="CC2978" t="s">
        <v>169</v>
      </c>
      <c r="CD2978">
        <v>6001</v>
      </c>
      <c r="CE2978" t="s">
        <v>145</v>
      </c>
      <c r="CF2978" s="3">
        <v>45860</v>
      </c>
      <c r="CI2978">
        <v>1</v>
      </c>
      <c r="CJ2978">
        <v>1</v>
      </c>
      <c r="CK2978">
        <v>21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"080066698838"</f>
        <v>080066698838</v>
      </c>
      <c r="F2979" s="3">
        <v>45859</v>
      </c>
      <c r="G2979">
        <v>202604</v>
      </c>
      <c r="H2979" t="s">
        <v>75</v>
      </c>
      <c r="I2979" t="s">
        <v>76</v>
      </c>
      <c r="J2979" t="s">
        <v>77</v>
      </c>
      <c r="K2979" t="s">
        <v>78</v>
      </c>
      <c r="L2979" t="s">
        <v>305</v>
      </c>
      <c r="M2979" t="s">
        <v>306</v>
      </c>
      <c r="N2979" t="s">
        <v>640</v>
      </c>
      <c r="O2979" t="s">
        <v>82</v>
      </c>
      <c r="P2979" t="str">
        <f>"4170049832                    "</f>
        <v xml:space="preserve">4170049832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22.6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71.2</v>
      </c>
      <c r="BM2979">
        <v>10.68</v>
      </c>
      <c r="BN2979">
        <v>81.88</v>
      </c>
      <c r="BO2979">
        <v>81.88</v>
      </c>
      <c r="BQ2979" t="s">
        <v>641</v>
      </c>
      <c r="BR2979" t="s">
        <v>84</v>
      </c>
      <c r="BS2979" s="3">
        <v>45860</v>
      </c>
      <c r="BT2979" s="4">
        <v>0.68055555555555558</v>
      </c>
      <c r="BU2979" t="s">
        <v>2984</v>
      </c>
      <c r="BV2979" t="s">
        <v>86</v>
      </c>
      <c r="BY2979">
        <v>1200</v>
      </c>
      <c r="CA2979" t="s">
        <v>310</v>
      </c>
      <c r="CC2979" t="s">
        <v>306</v>
      </c>
      <c r="CD2979">
        <v>5201</v>
      </c>
      <c r="CE2979" t="s">
        <v>121</v>
      </c>
      <c r="CF2979" s="3">
        <v>45862</v>
      </c>
      <c r="CI2979">
        <v>1</v>
      </c>
      <c r="CJ2979">
        <v>1</v>
      </c>
      <c r="CK2979">
        <v>21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"080066698861"</f>
        <v>080066698861</v>
      </c>
      <c r="F2980" s="3">
        <v>45859</v>
      </c>
      <c r="G2980">
        <v>202604</v>
      </c>
      <c r="H2980" t="s">
        <v>75</v>
      </c>
      <c r="I2980" t="s">
        <v>76</v>
      </c>
      <c r="J2980" t="s">
        <v>77</v>
      </c>
      <c r="K2980" t="s">
        <v>78</v>
      </c>
      <c r="L2980" t="s">
        <v>240</v>
      </c>
      <c r="M2980" t="s">
        <v>241</v>
      </c>
      <c r="N2980" t="s">
        <v>242</v>
      </c>
      <c r="O2980" t="s">
        <v>82</v>
      </c>
      <c r="P2980" t="str">
        <f>"4170049934                    "</f>
        <v xml:space="preserve">4170049934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17.649999999999999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55.61</v>
      </c>
      <c r="BM2980">
        <v>8.34</v>
      </c>
      <c r="BN2980">
        <v>63.95</v>
      </c>
      <c r="BO2980">
        <v>63.95</v>
      </c>
      <c r="BQ2980" t="s">
        <v>243</v>
      </c>
      <c r="BR2980" t="s">
        <v>84</v>
      </c>
      <c r="BS2980" s="3">
        <v>45860</v>
      </c>
      <c r="BT2980" s="4">
        <v>0.38541666666666669</v>
      </c>
      <c r="BU2980" t="s">
        <v>3045</v>
      </c>
      <c r="BV2980" t="s">
        <v>98</v>
      </c>
      <c r="BY2980">
        <v>1200</v>
      </c>
      <c r="CA2980" t="s">
        <v>245</v>
      </c>
      <c r="CC2980" t="s">
        <v>241</v>
      </c>
      <c r="CD2980">
        <v>2091</v>
      </c>
      <c r="CE2980" t="s">
        <v>121</v>
      </c>
      <c r="CF2980" s="3">
        <v>45861</v>
      </c>
      <c r="CI2980">
        <v>1</v>
      </c>
      <c r="CJ2980">
        <v>1</v>
      </c>
      <c r="CK2980">
        <v>22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"080066698880"</f>
        <v>080066698880</v>
      </c>
      <c r="F2981" s="3">
        <v>45859</v>
      </c>
      <c r="G2981">
        <v>202604</v>
      </c>
      <c r="H2981" t="s">
        <v>75</v>
      </c>
      <c r="I2981" t="s">
        <v>76</v>
      </c>
      <c r="J2981" t="s">
        <v>77</v>
      </c>
      <c r="K2981" t="s">
        <v>78</v>
      </c>
      <c r="L2981" t="s">
        <v>554</v>
      </c>
      <c r="M2981" t="s">
        <v>555</v>
      </c>
      <c r="N2981" t="s">
        <v>2163</v>
      </c>
      <c r="O2981" t="s">
        <v>82</v>
      </c>
      <c r="P2981" t="str">
        <f>"4170048431                    "</f>
        <v xml:space="preserve">4170048431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22.6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71.2</v>
      </c>
      <c r="BM2981">
        <v>10.68</v>
      </c>
      <c r="BN2981">
        <v>81.88</v>
      </c>
      <c r="BO2981">
        <v>81.88</v>
      </c>
      <c r="BQ2981" t="s">
        <v>2164</v>
      </c>
      <c r="BR2981" t="s">
        <v>84</v>
      </c>
      <c r="BS2981" s="3">
        <v>45860</v>
      </c>
      <c r="BT2981" s="4">
        <v>0.34930555555555554</v>
      </c>
      <c r="BU2981" t="s">
        <v>3086</v>
      </c>
      <c r="BV2981" t="s">
        <v>98</v>
      </c>
      <c r="BY2981">
        <v>1200</v>
      </c>
      <c r="CA2981" t="s">
        <v>156</v>
      </c>
      <c r="CC2981" t="s">
        <v>555</v>
      </c>
      <c r="CD2981" s="5" t="s">
        <v>560</v>
      </c>
      <c r="CE2981" t="s">
        <v>121</v>
      </c>
      <c r="CF2981" s="3">
        <v>45860</v>
      </c>
      <c r="CI2981">
        <v>1</v>
      </c>
      <c r="CJ2981">
        <v>1</v>
      </c>
      <c r="CK2981">
        <v>21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"080066698882"</f>
        <v>080066698882</v>
      </c>
      <c r="F2982" s="3">
        <v>45859</v>
      </c>
      <c r="G2982">
        <v>202604</v>
      </c>
      <c r="H2982" t="s">
        <v>75</v>
      </c>
      <c r="I2982" t="s">
        <v>76</v>
      </c>
      <c r="J2982" t="s">
        <v>77</v>
      </c>
      <c r="K2982" t="s">
        <v>78</v>
      </c>
      <c r="L2982" t="s">
        <v>79</v>
      </c>
      <c r="M2982" t="s">
        <v>80</v>
      </c>
      <c r="N2982" t="s">
        <v>141</v>
      </c>
      <c r="O2982" t="s">
        <v>82</v>
      </c>
      <c r="P2982" t="str">
        <f>"4170049943                    "</f>
        <v xml:space="preserve">4170049943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22.6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71.2</v>
      </c>
      <c r="BM2982">
        <v>10.68</v>
      </c>
      <c r="BN2982">
        <v>81.88</v>
      </c>
      <c r="BO2982">
        <v>81.88</v>
      </c>
      <c r="BQ2982" t="s">
        <v>142</v>
      </c>
      <c r="BR2982" t="s">
        <v>84</v>
      </c>
      <c r="BS2982" s="3">
        <v>45860</v>
      </c>
      <c r="BT2982" s="4">
        <v>0.41458333333333336</v>
      </c>
      <c r="BU2982" t="s">
        <v>143</v>
      </c>
      <c r="BV2982" t="s">
        <v>98</v>
      </c>
      <c r="BY2982">
        <v>1200</v>
      </c>
      <c r="CA2982" t="s">
        <v>144</v>
      </c>
      <c r="CC2982" t="s">
        <v>80</v>
      </c>
      <c r="CD2982">
        <v>7441</v>
      </c>
      <c r="CE2982" t="s">
        <v>121</v>
      </c>
      <c r="CF2982" s="3">
        <v>45861</v>
      </c>
      <c r="CI2982">
        <v>1</v>
      </c>
      <c r="CJ2982">
        <v>1</v>
      </c>
      <c r="CK2982">
        <v>21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"080066698894"</f>
        <v>080066698894</v>
      </c>
      <c r="F2983" s="3">
        <v>45859</v>
      </c>
      <c r="G2983">
        <v>202604</v>
      </c>
      <c r="H2983" t="s">
        <v>75</v>
      </c>
      <c r="I2983" t="s">
        <v>76</v>
      </c>
      <c r="J2983" t="s">
        <v>77</v>
      </c>
      <c r="K2983" t="s">
        <v>78</v>
      </c>
      <c r="L2983" t="s">
        <v>111</v>
      </c>
      <c r="M2983" t="s">
        <v>112</v>
      </c>
      <c r="N2983" t="s">
        <v>113</v>
      </c>
      <c r="O2983" t="s">
        <v>82</v>
      </c>
      <c r="P2983" t="str">
        <f>"4170049942                    "</f>
        <v xml:space="preserve">4170049942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43.78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137.94</v>
      </c>
      <c r="BM2983">
        <v>20.69</v>
      </c>
      <c r="BN2983">
        <v>158.63</v>
      </c>
      <c r="BO2983">
        <v>158.63</v>
      </c>
      <c r="BQ2983" t="s">
        <v>537</v>
      </c>
      <c r="BR2983" t="s">
        <v>84</v>
      </c>
      <c r="BS2983" s="3">
        <v>45860</v>
      </c>
      <c r="BT2983" s="4">
        <v>0.4375</v>
      </c>
      <c r="BU2983" t="s">
        <v>115</v>
      </c>
      <c r="BV2983" t="s">
        <v>98</v>
      </c>
      <c r="BY2983">
        <v>1200</v>
      </c>
      <c r="CA2983" t="s">
        <v>116</v>
      </c>
      <c r="CC2983" t="s">
        <v>112</v>
      </c>
      <c r="CD2983">
        <v>1871</v>
      </c>
      <c r="CE2983" t="s">
        <v>121</v>
      </c>
      <c r="CF2983" s="3">
        <v>45861</v>
      </c>
      <c r="CI2983">
        <v>1</v>
      </c>
      <c r="CJ2983">
        <v>1</v>
      </c>
      <c r="CK2983">
        <v>23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"080066698896"</f>
        <v>080066698896</v>
      </c>
      <c r="F2984" s="3">
        <v>45859</v>
      </c>
      <c r="G2984">
        <v>202604</v>
      </c>
      <c r="H2984" t="s">
        <v>75</v>
      </c>
      <c r="I2984" t="s">
        <v>76</v>
      </c>
      <c r="J2984" t="s">
        <v>77</v>
      </c>
      <c r="K2984" t="s">
        <v>78</v>
      </c>
      <c r="L2984" t="s">
        <v>295</v>
      </c>
      <c r="M2984" t="s">
        <v>296</v>
      </c>
      <c r="N2984" t="s">
        <v>1145</v>
      </c>
      <c r="O2984" t="s">
        <v>311</v>
      </c>
      <c r="P2984" t="str">
        <f>"4170049894                    "</f>
        <v xml:space="preserve">4170049894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29.54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2</v>
      </c>
      <c r="BI2984">
        <v>14</v>
      </c>
      <c r="BJ2984">
        <v>9.1</v>
      </c>
      <c r="BK2984">
        <v>14</v>
      </c>
      <c r="BL2984">
        <v>93.07</v>
      </c>
      <c r="BM2984">
        <v>13.96</v>
      </c>
      <c r="BN2984">
        <v>107.03</v>
      </c>
      <c r="BO2984">
        <v>107.03</v>
      </c>
      <c r="BQ2984" t="s">
        <v>1146</v>
      </c>
      <c r="BR2984" t="s">
        <v>84</v>
      </c>
      <c r="BS2984" s="3">
        <v>45860</v>
      </c>
      <c r="BT2984" s="4">
        <v>0.36805555555555558</v>
      </c>
      <c r="BU2984" t="s">
        <v>3010</v>
      </c>
      <c r="BV2984" t="s">
        <v>98</v>
      </c>
      <c r="BY2984">
        <v>45472</v>
      </c>
      <c r="CA2984" t="s">
        <v>1148</v>
      </c>
      <c r="CC2984" t="s">
        <v>296</v>
      </c>
      <c r="CD2984">
        <v>1460</v>
      </c>
      <c r="CE2984" t="s">
        <v>91</v>
      </c>
      <c r="CF2984" s="3">
        <v>45860</v>
      </c>
      <c r="CI2984">
        <v>1</v>
      </c>
      <c r="CJ2984">
        <v>1</v>
      </c>
      <c r="CK2984">
        <v>32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"080066698906"</f>
        <v>080066698906</v>
      </c>
      <c r="F2985" s="3">
        <v>45859</v>
      </c>
      <c r="G2985">
        <v>202604</v>
      </c>
      <c r="H2985" t="s">
        <v>75</v>
      </c>
      <c r="I2985" t="s">
        <v>76</v>
      </c>
      <c r="J2985" t="s">
        <v>77</v>
      </c>
      <c r="K2985" t="s">
        <v>78</v>
      </c>
      <c r="L2985" t="s">
        <v>122</v>
      </c>
      <c r="M2985" t="s">
        <v>123</v>
      </c>
      <c r="N2985" t="s">
        <v>2931</v>
      </c>
      <c r="O2985" t="s">
        <v>82</v>
      </c>
      <c r="P2985" t="str">
        <f>"4170050084                    "</f>
        <v xml:space="preserve">4170050084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22.6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71.2</v>
      </c>
      <c r="BM2985">
        <v>10.68</v>
      </c>
      <c r="BN2985">
        <v>81.88</v>
      </c>
      <c r="BO2985">
        <v>81.88</v>
      </c>
      <c r="BQ2985" t="s">
        <v>2932</v>
      </c>
      <c r="BR2985" t="s">
        <v>84</v>
      </c>
      <c r="BS2985" s="3">
        <v>45860</v>
      </c>
      <c r="BT2985" s="4">
        <v>0.61250000000000004</v>
      </c>
      <c r="BU2985" t="s">
        <v>3064</v>
      </c>
      <c r="BV2985" t="s">
        <v>86</v>
      </c>
      <c r="BY2985">
        <v>1200</v>
      </c>
      <c r="CA2985" t="s">
        <v>2974</v>
      </c>
      <c r="CC2985" t="s">
        <v>123</v>
      </c>
      <c r="CD2985">
        <v>3610</v>
      </c>
      <c r="CE2985" t="s">
        <v>121</v>
      </c>
      <c r="CF2985" s="3">
        <v>45861</v>
      </c>
      <c r="CI2985">
        <v>1</v>
      </c>
      <c r="CJ2985">
        <v>1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"080066698909"</f>
        <v>080066698909</v>
      </c>
      <c r="F2986" s="3">
        <v>45859</v>
      </c>
      <c r="G2986">
        <v>202604</v>
      </c>
      <c r="H2986" t="s">
        <v>75</v>
      </c>
      <c r="I2986" t="s">
        <v>76</v>
      </c>
      <c r="J2986" t="s">
        <v>77</v>
      </c>
      <c r="K2986" t="s">
        <v>78</v>
      </c>
      <c r="L2986" t="s">
        <v>168</v>
      </c>
      <c r="M2986" t="s">
        <v>169</v>
      </c>
      <c r="N2986" t="s">
        <v>420</v>
      </c>
      <c r="O2986" t="s">
        <v>82</v>
      </c>
      <c r="P2986" t="str">
        <f>"4170049054                    "</f>
        <v xml:space="preserve">4170049054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45.18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4</v>
      </c>
      <c r="BJ2986">
        <v>3.2</v>
      </c>
      <c r="BK2986">
        <v>4</v>
      </c>
      <c r="BL2986">
        <v>142.34</v>
      </c>
      <c r="BM2986">
        <v>21.35</v>
      </c>
      <c r="BN2986">
        <v>163.69</v>
      </c>
      <c r="BO2986">
        <v>163.69</v>
      </c>
      <c r="BQ2986" t="s">
        <v>421</v>
      </c>
      <c r="BR2986" t="s">
        <v>84</v>
      </c>
      <c r="BS2986" s="3">
        <v>45860</v>
      </c>
      <c r="BT2986" s="4">
        <v>0.39930555555555558</v>
      </c>
      <c r="BU2986" t="s">
        <v>1121</v>
      </c>
      <c r="BV2986" t="s">
        <v>98</v>
      </c>
      <c r="BY2986">
        <v>15872</v>
      </c>
      <c r="CA2986" t="s">
        <v>423</v>
      </c>
      <c r="CC2986" t="s">
        <v>169</v>
      </c>
      <c r="CD2986">
        <v>6001</v>
      </c>
      <c r="CE2986" t="s">
        <v>91</v>
      </c>
      <c r="CF2986" s="3">
        <v>45860</v>
      </c>
      <c r="CI2986">
        <v>1</v>
      </c>
      <c r="CJ2986">
        <v>1</v>
      </c>
      <c r="CK2986">
        <v>21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"080066698914"</f>
        <v>080066698914</v>
      </c>
      <c r="F2987" s="3">
        <v>45859</v>
      </c>
      <c r="G2987">
        <v>202604</v>
      </c>
      <c r="H2987" t="s">
        <v>75</v>
      </c>
      <c r="I2987" t="s">
        <v>76</v>
      </c>
      <c r="J2987" t="s">
        <v>77</v>
      </c>
      <c r="K2987" t="s">
        <v>78</v>
      </c>
      <c r="L2987" t="s">
        <v>79</v>
      </c>
      <c r="M2987" t="s">
        <v>80</v>
      </c>
      <c r="N2987" t="s">
        <v>141</v>
      </c>
      <c r="O2987" t="s">
        <v>82</v>
      </c>
      <c r="P2987" t="str">
        <f>"4170049937                    "</f>
        <v xml:space="preserve">4170049937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22.6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71.2</v>
      </c>
      <c r="BM2987">
        <v>10.68</v>
      </c>
      <c r="BN2987">
        <v>81.88</v>
      </c>
      <c r="BO2987">
        <v>81.88</v>
      </c>
      <c r="BQ2987" t="s">
        <v>142</v>
      </c>
      <c r="BR2987" t="s">
        <v>84</v>
      </c>
      <c r="BS2987" s="3">
        <v>45860</v>
      </c>
      <c r="BT2987" s="4">
        <v>0.41458333333333336</v>
      </c>
      <c r="BU2987" t="s">
        <v>143</v>
      </c>
      <c r="BV2987" t="s">
        <v>98</v>
      </c>
      <c r="BY2987">
        <v>1200</v>
      </c>
      <c r="CA2987" t="s">
        <v>144</v>
      </c>
      <c r="CC2987" t="s">
        <v>80</v>
      </c>
      <c r="CD2987">
        <v>7441</v>
      </c>
      <c r="CE2987" t="s">
        <v>121</v>
      </c>
      <c r="CF2987" s="3">
        <v>45861</v>
      </c>
      <c r="CI2987">
        <v>1</v>
      </c>
      <c r="CJ2987">
        <v>1</v>
      </c>
      <c r="CK2987">
        <v>21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"080066698930"</f>
        <v>080066698930</v>
      </c>
      <c r="F2988" s="3">
        <v>45859</v>
      </c>
      <c r="G2988">
        <v>202604</v>
      </c>
      <c r="H2988" t="s">
        <v>75</v>
      </c>
      <c r="I2988" t="s">
        <v>76</v>
      </c>
      <c r="J2988" t="s">
        <v>77</v>
      </c>
      <c r="K2988" t="s">
        <v>78</v>
      </c>
      <c r="L2988" t="s">
        <v>168</v>
      </c>
      <c r="M2988" t="s">
        <v>169</v>
      </c>
      <c r="N2988" t="s">
        <v>894</v>
      </c>
      <c r="O2988" t="s">
        <v>82</v>
      </c>
      <c r="P2988" t="str">
        <f>"4170049752                    "</f>
        <v xml:space="preserve">4170049752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22.6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71.2</v>
      </c>
      <c r="BM2988">
        <v>10.68</v>
      </c>
      <c r="BN2988">
        <v>81.88</v>
      </c>
      <c r="BO2988">
        <v>81.88</v>
      </c>
      <c r="BQ2988" t="s">
        <v>895</v>
      </c>
      <c r="BR2988" t="s">
        <v>84</v>
      </c>
      <c r="BS2988" s="3">
        <v>45860</v>
      </c>
      <c r="BT2988" s="4">
        <v>0.39583333333333331</v>
      </c>
      <c r="BU2988" t="s">
        <v>3087</v>
      </c>
      <c r="BV2988" t="s">
        <v>98</v>
      </c>
      <c r="BY2988">
        <v>1200</v>
      </c>
      <c r="CA2988" t="s">
        <v>282</v>
      </c>
      <c r="CC2988" t="s">
        <v>169</v>
      </c>
      <c r="CD2988">
        <v>6001</v>
      </c>
      <c r="CE2988" t="s">
        <v>121</v>
      </c>
      <c r="CF2988" s="3">
        <v>45860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"080066698972"</f>
        <v>080066698972</v>
      </c>
      <c r="F2989" s="3">
        <v>45859</v>
      </c>
      <c r="G2989">
        <v>202604</v>
      </c>
      <c r="H2989" t="s">
        <v>75</v>
      </c>
      <c r="I2989" t="s">
        <v>76</v>
      </c>
      <c r="J2989" t="s">
        <v>77</v>
      </c>
      <c r="K2989" t="s">
        <v>78</v>
      </c>
      <c r="L2989" t="s">
        <v>168</v>
      </c>
      <c r="M2989" t="s">
        <v>169</v>
      </c>
      <c r="N2989" t="s">
        <v>1111</v>
      </c>
      <c r="O2989" t="s">
        <v>82</v>
      </c>
      <c r="P2989" t="str">
        <f>"4170049795                    "</f>
        <v xml:space="preserve">4170049795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22.6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71.2</v>
      </c>
      <c r="BM2989">
        <v>10.68</v>
      </c>
      <c r="BN2989">
        <v>81.88</v>
      </c>
      <c r="BO2989">
        <v>81.88</v>
      </c>
      <c r="BQ2989" t="s">
        <v>1112</v>
      </c>
      <c r="BR2989" t="s">
        <v>84</v>
      </c>
      <c r="BS2989" s="3">
        <v>45860</v>
      </c>
      <c r="BT2989" s="4">
        <v>0.375</v>
      </c>
      <c r="BU2989" t="s">
        <v>3088</v>
      </c>
      <c r="BV2989" t="s">
        <v>98</v>
      </c>
      <c r="BY2989">
        <v>1200</v>
      </c>
      <c r="CA2989" t="s">
        <v>423</v>
      </c>
      <c r="CC2989" t="s">
        <v>169</v>
      </c>
      <c r="CD2989">
        <v>6001</v>
      </c>
      <c r="CE2989" t="s">
        <v>121</v>
      </c>
      <c r="CF2989" s="3">
        <v>45860</v>
      </c>
      <c r="CI2989">
        <v>1</v>
      </c>
      <c r="CJ2989">
        <v>1</v>
      </c>
      <c r="CK2989">
        <v>21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"080066698992"</f>
        <v>080066698992</v>
      </c>
      <c r="F2990" s="3">
        <v>45859</v>
      </c>
      <c r="G2990">
        <v>202604</v>
      </c>
      <c r="H2990" t="s">
        <v>75</v>
      </c>
      <c r="I2990" t="s">
        <v>76</v>
      </c>
      <c r="J2990" t="s">
        <v>77</v>
      </c>
      <c r="K2990" t="s">
        <v>78</v>
      </c>
      <c r="L2990" t="s">
        <v>135</v>
      </c>
      <c r="M2990" t="s">
        <v>136</v>
      </c>
      <c r="N2990" t="s">
        <v>416</v>
      </c>
      <c r="O2990" t="s">
        <v>82</v>
      </c>
      <c r="P2990" t="str">
        <f>"4170049760                    "</f>
        <v xml:space="preserve">4170049760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22.6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71.2</v>
      </c>
      <c r="BM2990">
        <v>10.68</v>
      </c>
      <c r="BN2990">
        <v>81.88</v>
      </c>
      <c r="BO2990">
        <v>81.88</v>
      </c>
      <c r="BQ2990" t="s">
        <v>417</v>
      </c>
      <c r="BR2990" t="s">
        <v>84</v>
      </c>
      <c r="BS2990" t="s">
        <v>587</v>
      </c>
      <c r="BY2990">
        <v>1200</v>
      </c>
      <c r="CC2990" t="s">
        <v>136</v>
      </c>
      <c r="CD2990">
        <v>3201</v>
      </c>
      <c r="CE2990" t="s">
        <v>121</v>
      </c>
      <c r="CF2990" s="3">
        <v>45861</v>
      </c>
      <c r="CI2990">
        <v>1</v>
      </c>
      <c r="CJ2990" t="s">
        <v>587</v>
      </c>
      <c r="CK2990">
        <v>21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"080066699006"</f>
        <v>080066699006</v>
      </c>
      <c r="F2991" s="3">
        <v>45859</v>
      </c>
      <c r="G2991">
        <v>202604</v>
      </c>
      <c r="H2991" t="s">
        <v>75</v>
      </c>
      <c r="I2991" t="s">
        <v>76</v>
      </c>
      <c r="J2991" t="s">
        <v>77</v>
      </c>
      <c r="K2991" t="s">
        <v>78</v>
      </c>
      <c r="L2991" t="s">
        <v>295</v>
      </c>
      <c r="M2991" t="s">
        <v>296</v>
      </c>
      <c r="N2991" t="s">
        <v>297</v>
      </c>
      <c r="O2991" t="s">
        <v>82</v>
      </c>
      <c r="P2991" t="str">
        <f>"4170049605                    "</f>
        <v xml:space="preserve">4170049605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17.649999999999999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55.61</v>
      </c>
      <c r="BM2991">
        <v>8.34</v>
      </c>
      <c r="BN2991">
        <v>63.95</v>
      </c>
      <c r="BO2991">
        <v>63.95</v>
      </c>
      <c r="BQ2991" t="s">
        <v>298</v>
      </c>
      <c r="BR2991" t="s">
        <v>84</v>
      </c>
      <c r="BS2991" s="3">
        <v>45860</v>
      </c>
      <c r="BT2991" s="4">
        <v>0.33124999999999999</v>
      </c>
      <c r="BU2991" t="s">
        <v>299</v>
      </c>
      <c r="BV2991" t="s">
        <v>98</v>
      </c>
      <c r="BY2991">
        <v>1200</v>
      </c>
      <c r="CA2991" t="s">
        <v>300</v>
      </c>
      <c r="CC2991" t="s">
        <v>296</v>
      </c>
      <c r="CD2991">
        <v>1459</v>
      </c>
      <c r="CE2991" t="s">
        <v>121</v>
      </c>
      <c r="CF2991" s="3">
        <v>45860</v>
      </c>
      <c r="CI2991">
        <v>1</v>
      </c>
      <c r="CJ2991">
        <v>1</v>
      </c>
      <c r="CK2991">
        <v>22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"080066699023"</f>
        <v>080066699023</v>
      </c>
      <c r="F2992" s="3">
        <v>45859</v>
      </c>
      <c r="G2992">
        <v>202604</v>
      </c>
      <c r="H2992" t="s">
        <v>75</v>
      </c>
      <c r="I2992" t="s">
        <v>76</v>
      </c>
      <c r="J2992" t="s">
        <v>77</v>
      </c>
      <c r="K2992" t="s">
        <v>78</v>
      </c>
      <c r="L2992" t="s">
        <v>79</v>
      </c>
      <c r="M2992" t="s">
        <v>80</v>
      </c>
      <c r="N2992" t="s">
        <v>1980</v>
      </c>
      <c r="O2992" t="s">
        <v>82</v>
      </c>
      <c r="P2992" t="str">
        <f>"4170049841                    "</f>
        <v xml:space="preserve">4170049841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22.6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16.739999999999998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87.94</v>
      </c>
      <c r="BM2992">
        <v>13.19</v>
      </c>
      <c r="BN2992">
        <v>101.13</v>
      </c>
      <c r="BO2992">
        <v>101.13</v>
      </c>
      <c r="BQ2992" t="s">
        <v>1981</v>
      </c>
      <c r="BR2992" t="s">
        <v>84</v>
      </c>
      <c r="BS2992" s="3">
        <v>45860</v>
      </c>
      <c r="BT2992" s="4">
        <v>0.51180555555555551</v>
      </c>
      <c r="BU2992" t="s">
        <v>1982</v>
      </c>
      <c r="BV2992" t="s">
        <v>98</v>
      </c>
      <c r="BY2992">
        <v>1200</v>
      </c>
      <c r="BZ2992" t="s">
        <v>30</v>
      </c>
      <c r="CA2992" t="s">
        <v>692</v>
      </c>
      <c r="CC2992" t="s">
        <v>80</v>
      </c>
      <c r="CD2992">
        <v>7781</v>
      </c>
      <c r="CE2992" t="s">
        <v>121</v>
      </c>
      <c r="CF2992" s="3">
        <v>45861</v>
      </c>
      <c r="CI2992">
        <v>1</v>
      </c>
      <c r="CJ2992">
        <v>1</v>
      </c>
      <c r="CK2992">
        <v>21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"080066699040"</f>
        <v>080066699040</v>
      </c>
      <c r="F2993" s="3">
        <v>45859</v>
      </c>
      <c r="G2993">
        <v>202604</v>
      </c>
      <c r="H2993" t="s">
        <v>75</v>
      </c>
      <c r="I2993" t="s">
        <v>76</v>
      </c>
      <c r="J2993" t="s">
        <v>77</v>
      </c>
      <c r="K2993" t="s">
        <v>78</v>
      </c>
      <c r="L2993" t="s">
        <v>240</v>
      </c>
      <c r="M2993" t="s">
        <v>241</v>
      </c>
      <c r="N2993" t="s">
        <v>610</v>
      </c>
      <c r="O2993" t="s">
        <v>82</v>
      </c>
      <c r="P2993" t="str">
        <f>"4170049821                    "</f>
        <v xml:space="preserve">4170049821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17.649999999999999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55.61</v>
      </c>
      <c r="BM2993">
        <v>8.34</v>
      </c>
      <c r="BN2993">
        <v>63.95</v>
      </c>
      <c r="BO2993">
        <v>63.95</v>
      </c>
      <c r="BQ2993" t="s">
        <v>611</v>
      </c>
      <c r="BR2993" t="s">
        <v>84</v>
      </c>
      <c r="BS2993" s="3">
        <v>45860</v>
      </c>
      <c r="BT2993" s="4">
        <v>0.37222222222222223</v>
      </c>
      <c r="BU2993" t="s">
        <v>1629</v>
      </c>
      <c r="BV2993" t="s">
        <v>98</v>
      </c>
      <c r="BY2993">
        <v>1200</v>
      </c>
      <c r="CA2993" t="s">
        <v>451</v>
      </c>
      <c r="CC2993" t="s">
        <v>241</v>
      </c>
      <c r="CD2993">
        <v>2197</v>
      </c>
      <c r="CE2993" t="s">
        <v>121</v>
      </c>
      <c r="CF2993" s="3">
        <v>45860</v>
      </c>
      <c r="CI2993">
        <v>1</v>
      </c>
      <c r="CJ2993">
        <v>1</v>
      </c>
      <c r="CK2993">
        <v>22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"080066699062"</f>
        <v>080066699062</v>
      </c>
      <c r="F2994" s="3">
        <v>45859</v>
      </c>
      <c r="G2994">
        <v>202604</v>
      </c>
      <c r="H2994" t="s">
        <v>75</v>
      </c>
      <c r="I2994" t="s">
        <v>76</v>
      </c>
      <c r="J2994" t="s">
        <v>77</v>
      </c>
      <c r="K2994" t="s">
        <v>78</v>
      </c>
      <c r="L2994" t="s">
        <v>122</v>
      </c>
      <c r="M2994" t="s">
        <v>123</v>
      </c>
      <c r="N2994" t="s">
        <v>267</v>
      </c>
      <c r="O2994" t="s">
        <v>82</v>
      </c>
      <c r="P2994" t="str">
        <f>"4170049578                    "</f>
        <v xml:space="preserve">4170049578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22.6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71.2</v>
      </c>
      <c r="BM2994">
        <v>10.68</v>
      </c>
      <c r="BN2994">
        <v>81.88</v>
      </c>
      <c r="BO2994">
        <v>81.88</v>
      </c>
      <c r="BQ2994" t="s">
        <v>268</v>
      </c>
      <c r="BR2994" t="s">
        <v>84</v>
      </c>
      <c r="BS2994" s="3">
        <v>45860</v>
      </c>
      <c r="BT2994" s="4">
        <v>0.61736111111111114</v>
      </c>
      <c r="BU2994" t="s">
        <v>2973</v>
      </c>
      <c r="BV2994" t="s">
        <v>86</v>
      </c>
      <c r="BY2994">
        <v>1200</v>
      </c>
      <c r="CA2994" t="s">
        <v>2974</v>
      </c>
      <c r="CC2994" t="s">
        <v>123</v>
      </c>
      <c r="CD2994">
        <v>3610</v>
      </c>
      <c r="CE2994" t="s">
        <v>121</v>
      </c>
      <c r="CF2994" s="3">
        <v>45861</v>
      </c>
      <c r="CI2994">
        <v>1</v>
      </c>
      <c r="CJ2994">
        <v>1</v>
      </c>
      <c r="CK2994">
        <v>21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"080066699108"</f>
        <v>080066699108</v>
      </c>
      <c r="F2995" s="3">
        <v>45859</v>
      </c>
      <c r="G2995">
        <v>202604</v>
      </c>
      <c r="H2995" t="s">
        <v>75</v>
      </c>
      <c r="I2995" t="s">
        <v>76</v>
      </c>
      <c r="J2995" t="s">
        <v>77</v>
      </c>
      <c r="K2995" t="s">
        <v>78</v>
      </c>
      <c r="L2995" t="s">
        <v>122</v>
      </c>
      <c r="M2995" t="s">
        <v>123</v>
      </c>
      <c r="N2995" t="s">
        <v>2931</v>
      </c>
      <c r="O2995" t="s">
        <v>82</v>
      </c>
      <c r="P2995" t="str">
        <f>"4170050085                    "</f>
        <v xml:space="preserve">4170050085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22.6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71.2</v>
      </c>
      <c r="BM2995">
        <v>10.68</v>
      </c>
      <c r="BN2995">
        <v>81.88</v>
      </c>
      <c r="BO2995">
        <v>81.88</v>
      </c>
      <c r="BQ2995" t="s">
        <v>2932</v>
      </c>
      <c r="BR2995" t="s">
        <v>84</v>
      </c>
      <c r="BS2995" s="3">
        <v>45860</v>
      </c>
      <c r="BT2995" s="4">
        <v>0.61319444444444449</v>
      </c>
      <c r="BU2995" t="s">
        <v>3064</v>
      </c>
      <c r="BV2995" t="s">
        <v>86</v>
      </c>
      <c r="BY2995">
        <v>1200</v>
      </c>
      <c r="CA2995" t="s">
        <v>2974</v>
      </c>
      <c r="CC2995" t="s">
        <v>123</v>
      </c>
      <c r="CD2995">
        <v>3610</v>
      </c>
      <c r="CE2995" t="s">
        <v>121</v>
      </c>
      <c r="CF2995" s="3">
        <v>45861</v>
      </c>
      <c r="CI2995">
        <v>1</v>
      </c>
      <c r="CJ2995">
        <v>1</v>
      </c>
      <c r="CK2995">
        <v>21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"080066699147"</f>
        <v>080066699147</v>
      </c>
      <c r="F2996" s="3">
        <v>45859</v>
      </c>
      <c r="G2996">
        <v>202604</v>
      </c>
      <c r="H2996" t="s">
        <v>75</v>
      </c>
      <c r="I2996" t="s">
        <v>76</v>
      </c>
      <c r="J2996" t="s">
        <v>77</v>
      </c>
      <c r="K2996" t="s">
        <v>78</v>
      </c>
      <c r="L2996" t="s">
        <v>151</v>
      </c>
      <c r="M2996" t="s">
        <v>152</v>
      </c>
      <c r="N2996" t="s">
        <v>500</v>
      </c>
      <c r="O2996" t="s">
        <v>82</v>
      </c>
      <c r="P2996" t="str">
        <f>"4170050023                    "</f>
        <v xml:space="preserve">4170050023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22.6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71.2</v>
      </c>
      <c r="BM2996">
        <v>10.68</v>
      </c>
      <c r="BN2996">
        <v>81.88</v>
      </c>
      <c r="BO2996">
        <v>81.88</v>
      </c>
      <c r="BQ2996" t="s">
        <v>501</v>
      </c>
      <c r="BR2996" t="s">
        <v>84</v>
      </c>
      <c r="BS2996" s="3">
        <v>45860</v>
      </c>
      <c r="BT2996" s="4">
        <v>0.41736111111111113</v>
      </c>
      <c r="BU2996" t="s">
        <v>561</v>
      </c>
      <c r="BV2996" t="s">
        <v>98</v>
      </c>
      <c r="BY2996">
        <v>1200</v>
      </c>
      <c r="CA2996" t="s">
        <v>388</v>
      </c>
      <c r="CC2996" t="s">
        <v>152</v>
      </c>
      <c r="CD2996" s="5" t="s">
        <v>157</v>
      </c>
      <c r="CE2996" t="s">
        <v>121</v>
      </c>
      <c r="CF2996" s="3">
        <v>45860</v>
      </c>
      <c r="CI2996">
        <v>1</v>
      </c>
      <c r="CJ2996">
        <v>1</v>
      </c>
      <c r="CK2996">
        <v>21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"080066699158"</f>
        <v>080066699158</v>
      </c>
      <c r="F2997" s="3">
        <v>45859</v>
      </c>
      <c r="G2997">
        <v>202604</v>
      </c>
      <c r="H2997" t="s">
        <v>75</v>
      </c>
      <c r="I2997" t="s">
        <v>76</v>
      </c>
      <c r="J2997" t="s">
        <v>77</v>
      </c>
      <c r="K2997" t="s">
        <v>78</v>
      </c>
      <c r="L2997" t="s">
        <v>102</v>
      </c>
      <c r="M2997" t="s">
        <v>103</v>
      </c>
      <c r="N2997" t="s">
        <v>1161</v>
      </c>
      <c r="O2997" t="s">
        <v>82</v>
      </c>
      <c r="P2997" t="str">
        <f>"4170049949                    "</f>
        <v xml:space="preserve">4170049949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31.78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100.13</v>
      </c>
      <c r="BM2997">
        <v>15.02</v>
      </c>
      <c r="BN2997">
        <v>115.15</v>
      </c>
      <c r="BO2997">
        <v>115.15</v>
      </c>
      <c r="BQ2997" t="s">
        <v>1162</v>
      </c>
      <c r="BR2997" t="s">
        <v>84</v>
      </c>
      <c r="BS2997" s="3">
        <v>45860</v>
      </c>
      <c r="BT2997" s="4">
        <v>0.51597222222222228</v>
      </c>
      <c r="BU2997" t="s">
        <v>1600</v>
      </c>
      <c r="BV2997" t="s">
        <v>98</v>
      </c>
      <c r="BY2997">
        <v>1200</v>
      </c>
      <c r="CA2997" t="s">
        <v>3081</v>
      </c>
      <c r="CC2997" t="s">
        <v>103</v>
      </c>
      <c r="CD2997">
        <v>2499</v>
      </c>
      <c r="CE2997" t="s">
        <v>121</v>
      </c>
      <c r="CF2997" s="3">
        <v>45860</v>
      </c>
      <c r="CI2997">
        <v>1</v>
      </c>
      <c r="CJ2997">
        <v>1</v>
      </c>
      <c r="CK2997">
        <v>24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"080066699168"</f>
        <v>080066699168</v>
      </c>
      <c r="F2998" s="3">
        <v>45859</v>
      </c>
      <c r="G2998">
        <v>202604</v>
      </c>
      <c r="H2998" t="s">
        <v>75</v>
      </c>
      <c r="I2998" t="s">
        <v>76</v>
      </c>
      <c r="J2998" t="s">
        <v>77</v>
      </c>
      <c r="K2998" t="s">
        <v>78</v>
      </c>
      <c r="L2998" t="s">
        <v>168</v>
      </c>
      <c r="M2998" t="s">
        <v>169</v>
      </c>
      <c r="N2998" t="s">
        <v>1192</v>
      </c>
      <c r="O2998" t="s">
        <v>82</v>
      </c>
      <c r="P2998" t="str">
        <f>"4170050092                    "</f>
        <v xml:space="preserve">4170050092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22.6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71.2</v>
      </c>
      <c r="BM2998">
        <v>10.68</v>
      </c>
      <c r="BN2998">
        <v>81.88</v>
      </c>
      <c r="BO2998">
        <v>81.88</v>
      </c>
      <c r="BQ2998" t="s">
        <v>1193</v>
      </c>
      <c r="BR2998" t="s">
        <v>84</v>
      </c>
      <c r="BS2998" s="3">
        <v>45860</v>
      </c>
      <c r="BT2998" s="4">
        <v>0.3923611111111111</v>
      </c>
      <c r="BU2998" t="s">
        <v>3089</v>
      </c>
      <c r="BV2998" t="s">
        <v>98</v>
      </c>
      <c r="BY2998">
        <v>1200</v>
      </c>
      <c r="CA2998" t="s">
        <v>173</v>
      </c>
      <c r="CC2998" t="s">
        <v>169</v>
      </c>
      <c r="CD2998">
        <v>6001</v>
      </c>
      <c r="CE2998" t="s">
        <v>121</v>
      </c>
      <c r="CF2998" s="3">
        <v>45860</v>
      </c>
      <c r="CI2998">
        <v>1</v>
      </c>
      <c r="CJ2998">
        <v>1</v>
      </c>
      <c r="CK2998">
        <v>21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"080066699183"</f>
        <v>080066699183</v>
      </c>
      <c r="F2999" s="3">
        <v>45859</v>
      </c>
      <c r="G2999">
        <v>202604</v>
      </c>
      <c r="H2999" t="s">
        <v>75</v>
      </c>
      <c r="I2999" t="s">
        <v>76</v>
      </c>
      <c r="J2999" t="s">
        <v>77</v>
      </c>
      <c r="K2999" t="s">
        <v>78</v>
      </c>
      <c r="L2999" t="s">
        <v>75</v>
      </c>
      <c r="M2999" t="s">
        <v>76</v>
      </c>
      <c r="N2999" t="s">
        <v>562</v>
      </c>
      <c r="O2999" t="s">
        <v>82</v>
      </c>
      <c r="P2999" t="str">
        <f>"4170049764                    "</f>
        <v xml:space="preserve">4170049764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17.649999999999999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55.61</v>
      </c>
      <c r="BM2999">
        <v>8.34</v>
      </c>
      <c r="BN2999">
        <v>63.95</v>
      </c>
      <c r="BO2999">
        <v>63.95</v>
      </c>
      <c r="BQ2999" t="s">
        <v>563</v>
      </c>
      <c r="BR2999" t="s">
        <v>84</v>
      </c>
      <c r="BS2999" s="3">
        <v>45860</v>
      </c>
      <c r="BT2999" s="4">
        <v>0.38194444444444442</v>
      </c>
      <c r="BU2999" t="s">
        <v>2155</v>
      </c>
      <c r="BV2999" t="s">
        <v>98</v>
      </c>
      <c r="BY2999">
        <v>1200</v>
      </c>
      <c r="CA2999" t="s">
        <v>565</v>
      </c>
      <c r="CC2999" t="s">
        <v>76</v>
      </c>
      <c r="CD2999">
        <v>1619</v>
      </c>
      <c r="CE2999" t="s">
        <v>121</v>
      </c>
      <c r="CF2999" s="3">
        <v>45860</v>
      </c>
      <c r="CI2999">
        <v>1</v>
      </c>
      <c r="CJ2999">
        <v>1</v>
      </c>
      <c r="CK2999">
        <v>22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"080066699203"</f>
        <v>080066699203</v>
      </c>
      <c r="F3000" s="3">
        <v>45859</v>
      </c>
      <c r="G3000">
        <v>202604</v>
      </c>
      <c r="H3000" t="s">
        <v>75</v>
      </c>
      <c r="I3000" t="s">
        <v>76</v>
      </c>
      <c r="J3000" t="s">
        <v>77</v>
      </c>
      <c r="K3000" t="s">
        <v>78</v>
      </c>
      <c r="L3000" t="s">
        <v>128</v>
      </c>
      <c r="M3000" t="s">
        <v>129</v>
      </c>
      <c r="N3000" t="s">
        <v>2038</v>
      </c>
      <c r="O3000" t="s">
        <v>82</v>
      </c>
      <c r="P3000" t="str">
        <f>"4170049863                    "</f>
        <v xml:space="preserve">4170049863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43.78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137.94</v>
      </c>
      <c r="BM3000">
        <v>20.69</v>
      </c>
      <c r="BN3000">
        <v>158.63</v>
      </c>
      <c r="BO3000">
        <v>158.63</v>
      </c>
      <c r="BQ3000" t="s">
        <v>2039</v>
      </c>
      <c r="BR3000" t="s">
        <v>84</v>
      </c>
      <c r="BS3000" s="3">
        <v>45860</v>
      </c>
      <c r="BT3000" s="4">
        <v>0.39652777777777776</v>
      </c>
      <c r="BU3000" t="s">
        <v>3068</v>
      </c>
      <c r="BV3000" t="s">
        <v>98</v>
      </c>
      <c r="BY3000">
        <v>1200</v>
      </c>
      <c r="CA3000" t="s">
        <v>2284</v>
      </c>
      <c r="CC3000" t="s">
        <v>129</v>
      </c>
      <c r="CD3000" s="5" t="s">
        <v>134</v>
      </c>
      <c r="CE3000" t="s">
        <v>121</v>
      </c>
      <c r="CF3000" s="3">
        <v>45860</v>
      </c>
      <c r="CI3000">
        <v>1</v>
      </c>
      <c r="CJ3000">
        <v>1</v>
      </c>
      <c r="CK3000">
        <v>23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"080066699219"</f>
        <v>080066699219</v>
      </c>
      <c r="F3001" s="3">
        <v>45859</v>
      </c>
      <c r="G3001">
        <v>202604</v>
      </c>
      <c r="H3001" t="s">
        <v>75</v>
      </c>
      <c r="I3001" t="s">
        <v>76</v>
      </c>
      <c r="J3001" t="s">
        <v>77</v>
      </c>
      <c r="K3001" t="s">
        <v>78</v>
      </c>
      <c r="L3001" t="s">
        <v>135</v>
      </c>
      <c r="M3001" t="s">
        <v>136</v>
      </c>
      <c r="N3001" t="s">
        <v>1149</v>
      </c>
      <c r="O3001" t="s">
        <v>82</v>
      </c>
      <c r="P3001" t="str">
        <f>"4170049791                    "</f>
        <v xml:space="preserve">4170049791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22.6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71.2</v>
      </c>
      <c r="BM3001">
        <v>10.68</v>
      </c>
      <c r="BN3001">
        <v>81.88</v>
      </c>
      <c r="BO3001">
        <v>81.88</v>
      </c>
      <c r="BQ3001" t="s">
        <v>1150</v>
      </c>
      <c r="BR3001" t="s">
        <v>84</v>
      </c>
      <c r="BS3001" s="3">
        <v>45861</v>
      </c>
      <c r="BT3001" s="4">
        <v>0.41666666666666669</v>
      </c>
      <c r="BU3001" t="s">
        <v>1662</v>
      </c>
      <c r="BV3001" t="s">
        <v>98</v>
      </c>
      <c r="BY3001">
        <v>1200</v>
      </c>
      <c r="CA3001" t="s">
        <v>349</v>
      </c>
      <c r="CC3001" t="s">
        <v>136</v>
      </c>
      <c r="CD3001">
        <v>3201</v>
      </c>
      <c r="CE3001" t="s">
        <v>121</v>
      </c>
      <c r="CF3001" s="3">
        <v>45861</v>
      </c>
      <c r="CI3001">
        <v>5</v>
      </c>
      <c r="CJ3001">
        <v>2</v>
      </c>
      <c r="CK3001">
        <v>21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"080066699307"</f>
        <v>080066699307</v>
      </c>
      <c r="F3002" s="3">
        <v>45859</v>
      </c>
      <c r="G3002">
        <v>202604</v>
      </c>
      <c r="H3002" t="s">
        <v>75</v>
      </c>
      <c r="I3002" t="s">
        <v>76</v>
      </c>
      <c r="J3002" t="s">
        <v>77</v>
      </c>
      <c r="K3002" t="s">
        <v>78</v>
      </c>
      <c r="L3002" t="s">
        <v>168</v>
      </c>
      <c r="M3002" t="s">
        <v>169</v>
      </c>
      <c r="N3002" t="s">
        <v>191</v>
      </c>
      <c r="O3002" t="s">
        <v>82</v>
      </c>
      <c r="P3002" t="str">
        <f>"4170049827                    "</f>
        <v xml:space="preserve">4170049827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22.6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71.2</v>
      </c>
      <c r="BM3002">
        <v>10.68</v>
      </c>
      <c r="BN3002">
        <v>81.88</v>
      </c>
      <c r="BO3002">
        <v>81.88</v>
      </c>
      <c r="BQ3002" t="s">
        <v>192</v>
      </c>
      <c r="BR3002" t="s">
        <v>84</v>
      </c>
      <c r="BS3002" s="3">
        <v>45860</v>
      </c>
      <c r="BT3002" s="4">
        <v>0.42986111111111114</v>
      </c>
      <c r="BU3002" t="s">
        <v>193</v>
      </c>
      <c r="BV3002" t="s">
        <v>98</v>
      </c>
      <c r="BY3002">
        <v>1200</v>
      </c>
      <c r="CA3002" t="s">
        <v>196</v>
      </c>
      <c r="CC3002" t="s">
        <v>169</v>
      </c>
      <c r="CD3002">
        <v>6056</v>
      </c>
      <c r="CE3002" t="s">
        <v>121</v>
      </c>
      <c r="CF3002" s="3">
        <v>45860</v>
      </c>
      <c r="CI3002">
        <v>1</v>
      </c>
      <c r="CJ3002">
        <v>1</v>
      </c>
      <c r="CK3002">
        <v>21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"080066699322"</f>
        <v>080066699322</v>
      </c>
      <c r="F3003" s="3">
        <v>45859</v>
      </c>
      <c r="G3003">
        <v>202604</v>
      </c>
      <c r="H3003" t="s">
        <v>75</v>
      </c>
      <c r="I3003" t="s">
        <v>76</v>
      </c>
      <c r="J3003" t="s">
        <v>77</v>
      </c>
      <c r="K3003" t="s">
        <v>78</v>
      </c>
      <c r="L3003" t="s">
        <v>168</v>
      </c>
      <c r="M3003" t="s">
        <v>169</v>
      </c>
      <c r="N3003" t="s">
        <v>191</v>
      </c>
      <c r="O3003" t="s">
        <v>82</v>
      </c>
      <c r="P3003" t="str">
        <f>"4170049828                    "</f>
        <v xml:space="preserve">4170049828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22.6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71.2</v>
      </c>
      <c r="BM3003">
        <v>10.68</v>
      </c>
      <c r="BN3003">
        <v>81.88</v>
      </c>
      <c r="BO3003">
        <v>81.88</v>
      </c>
      <c r="BQ3003" t="s">
        <v>192</v>
      </c>
      <c r="BR3003" t="s">
        <v>84</v>
      </c>
      <c r="BS3003" s="3">
        <v>45860</v>
      </c>
      <c r="BT3003" s="4">
        <v>0.42986111111111114</v>
      </c>
      <c r="BU3003" t="s">
        <v>193</v>
      </c>
      <c r="BV3003" t="s">
        <v>98</v>
      </c>
      <c r="BY3003">
        <v>1200</v>
      </c>
      <c r="CA3003" t="s">
        <v>196</v>
      </c>
      <c r="CC3003" t="s">
        <v>169</v>
      </c>
      <c r="CD3003">
        <v>6056</v>
      </c>
      <c r="CE3003" t="s">
        <v>121</v>
      </c>
      <c r="CF3003" s="3">
        <v>45860</v>
      </c>
      <c r="CI3003">
        <v>1</v>
      </c>
      <c r="CJ3003">
        <v>1</v>
      </c>
      <c r="CK3003">
        <v>21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"080066699336"</f>
        <v>080066699336</v>
      </c>
      <c r="F3004" s="3">
        <v>45859</v>
      </c>
      <c r="G3004">
        <v>202604</v>
      </c>
      <c r="H3004" t="s">
        <v>75</v>
      </c>
      <c r="I3004" t="s">
        <v>76</v>
      </c>
      <c r="J3004" t="s">
        <v>77</v>
      </c>
      <c r="K3004" t="s">
        <v>78</v>
      </c>
      <c r="L3004" t="s">
        <v>221</v>
      </c>
      <c r="M3004" t="s">
        <v>222</v>
      </c>
      <c r="N3004" t="s">
        <v>223</v>
      </c>
      <c r="O3004" t="s">
        <v>82</v>
      </c>
      <c r="P3004" t="str">
        <f>"4170049847                    "</f>
        <v xml:space="preserve">4170049847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43.78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137.94</v>
      </c>
      <c r="BM3004">
        <v>20.69</v>
      </c>
      <c r="BN3004">
        <v>158.63</v>
      </c>
      <c r="BO3004">
        <v>158.63</v>
      </c>
      <c r="BQ3004" t="s">
        <v>224</v>
      </c>
      <c r="BR3004" t="s">
        <v>84</v>
      </c>
      <c r="BS3004" s="3">
        <v>45860</v>
      </c>
      <c r="BT3004" s="4">
        <v>0.34722222222222221</v>
      </c>
      <c r="BU3004" t="s">
        <v>1707</v>
      </c>
      <c r="BV3004" t="s">
        <v>98</v>
      </c>
      <c r="BY3004">
        <v>1200</v>
      </c>
      <c r="CC3004" t="s">
        <v>222</v>
      </c>
      <c r="CD3004">
        <v>2740</v>
      </c>
      <c r="CE3004" t="s">
        <v>121</v>
      </c>
      <c r="CF3004" s="3">
        <v>45861</v>
      </c>
      <c r="CI3004">
        <v>1</v>
      </c>
      <c r="CJ3004">
        <v>1</v>
      </c>
      <c r="CK3004">
        <v>23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"080066699396"</f>
        <v>080066699396</v>
      </c>
      <c r="F3005" s="3">
        <v>45859</v>
      </c>
      <c r="G3005">
        <v>202604</v>
      </c>
      <c r="H3005" t="s">
        <v>75</v>
      </c>
      <c r="I3005" t="s">
        <v>76</v>
      </c>
      <c r="J3005" t="s">
        <v>77</v>
      </c>
      <c r="K3005" t="s">
        <v>78</v>
      </c>
      <c r="L3005" t="s">
        <v>151</v>
      </c>
      <c r="M3005" t="s">
        <v>152</v>
      </c>
      <c r="N3005" t="s">
        <v>1568</v>
      </c>
      <c r="O3005" t="s">
        <v>82</v>
      </c>
      <c r="P3005" t="str">
        <f>"4170049880                    "</f>
        <v xml:space="preserve">4170049880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22.6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71.2</v>
      </c>
      <c r="BM3005">
        <v>10.68</v>
      </c>
      <c r="BN3005">
        <v>81.88</v>
      </c>
      <c r="BO3005">
        <v>81.88</v>
      </c>
      <c r="BQ3005" t="s">
        <v>1569</v>
      </c>
      <c r="BR3005" t="s">
        <v>84</v>
      </c>
      <c r="BS3005" s="3">
        <v>45860</v>
      </c>
      <c r="BT3005" s="4">
        <v>0.35486111111111113</v>
      </c>
      <c r="BU3005" t="s">
        <v>3090</v>
      </c>
      <c r="BV3005" t="s">
        <v>98</v>
      </c>
      <c r="BY3005">
        <v>1200</v>
      </c>
      <c r="CA3005" t="s">
        <v>906</v>
      </c>
      <c r="CC3005" t="s">
        <v>152</v>
      </c>
      <c r="CD3005" s="5" t="s">
        <v>907</v>
      </c>
      <c r="CE3005" t="s">
        <v>121</v>
      </c>
      <c r="CF3005" s="3">
        <v>45860</v>
      </c>
      <c r="CI3005">
        <v>1</v>
      </c>
      <c r="CJ3005">
        <v>1</v>
      </c>
      <c r="CK3005">
        <v>21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"080066699408"</f>
        <v>080066699408</v>
      </c>
      <c r="F3006" s="3">
        <v>45859</v>
      </c>
      <c r="G3006">
        <v>202604</v>
      </c>
      <c r="H3006" t="s">
        <v>75</v>
      </c>
      <c r="I3006" t="s">
        <v>76</v>
      </c>
      <c r="J3006" t="s">
        <v>77</v>
      </c>
      <c r="K3006" t="s">
        <v>78</v>
      </c>
      <c r="L3006" t="s">
        <v>135</v>
      </c>
      <c r="M3006" t="s">
        <v>136</v>
      </c>
      <c r="N3006" t="s">
        <v>416</v>
      </c>
      <c r="O3006" t="s">
        <v>82</v>
      </c>
      <c r="P3006" t="str">
        <f>"4170049843                    "</f>
        <v xml:space="preserve">4170049843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22.6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71.2</v>
      </c>
      <c r="BM3006">
        <v>10.68</v>
      </c>
      <c r="BN3006">
        <v>81.88</v>
      </c>
      <c r="BO3006">
        <v>81.88</v>
      </c>
      <c r="BQ3006" t="s">
        <v>417</v>
      </c>
      <c r="BR3006" t="s">
        <v>84</v>
      </c>
      <c r="BS3006" t="s">
        <v>587</v>
      </c>
      <c r="BY3006">
        <v>1200</v>
      </c>
      <c r="CC3006" t="s">
        <v>136</v>
      </c>
      <c r="CD3006">
        <v>3201</v>
      </c>
      <c r="CE3006" t="s">
        <v>121</v>
      </c>
      <c r="CF3006" s="3">
        <v>45861</v>
      </c>
      <c r="CI3006">
        <v>1</v>
      </c>
      <c r="CJ3006" t="s">
        <v>587</v>
      </c>
      <c r="CK3006">
        <v>21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"080066699425"</f>
        <v>080066699425</v>
      </c>
      <c r="F3007" s="3">
        <v>45859</v>
      </c>
      <c r="G3007">
        <v>202604</v>
      </c>
      <c r="H3007" t="s">
        <v>75</v>
      </c>
      <c r="I3007" t="s">
        <v>76</v>
      </c>
      <c r="J3007" t="s">
        <v>77</v>
      </c>
      <c r="K3007" t="s">
        <v>78</v>
      </c>
      <c r="L3007" t="s">
        <v>151</v>
      </c>
      <c r="M3007" t="s">
        <v>152</v>
      </c>
      <c r="N3007" t="s">
        <v>835</v>
      </c>
      <c r="O3007" t="s">
        <v>82</v>
      </c>
      <c r="P3007" t="str">
        <f>"4170049877                    "</f>
        <v xml:space="preserve">4170049877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22.6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71.2</v>
      </c>
      <c r="BM3007">
        <v>10.68</v>
      </c>
      <c r="BN3007">
        <v>81.88</v>
      </c>
      <c r="BO3007">
        <v>81.88</v>
      </c>
      <c r="BQ3007" t="s">
        <v>836</v>
      </c>
      <c r="BR3007" t="s">
        <v>84</v>
      </c>
      <c r="BS3007" s="3">
        <v>45860</v>
      </c>
      <c r="BT3007" s="4">
        <v>0.38124999999999998</v>
      </c>
      <c r="BU3007" t="s">
        <v>3091</v>
      </c>
      <c r="BV3007" t="s">
        <v>98</v>
      </c>
      <c r="BY3007">
        <v>1200</v>
      </c>
      <c r="CA3007" t="s">
        <v>716</v>
      </c>
      <c r="CC3007" t="s">
        <v>152</v>
      </c>
      <c r="CD3007" s="5" t="s">
        <v>717</v>
      </c>
      <c r="CE3007" t="s">
        <v>121</v>
      </c>
      <c r="CF3007" s="3">
        <v>45860</v>
      </c>
      <c r="CI3007">
        <v>1</v>
      </c>
      <c r="CJ3007">
        <v>1</v>
      </c>
      <c r="CK3007">
        <v>21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"080066699434"</f>
        <v>080066699434</v>
      </c>
      <c r="F3008" s="3">
        <v>45859</v>
      </c>
      <c r="G3008">
        <v>202604</v>
      </c>
      <c r="H3008" t="s">
        <v>75</v>
      </c>
      <c r="I3008" t="s">
        <v>76</v>
      </c>
      <c r="J3008" t="s">
        <v>77</v>
      </c>
      <c r="K3008" t="s">
        <v>78</v>
      </c>
      <c r="L3008" t="s">
        <v>122</v>
      </c>
      <c r="M3008" t="s">
        <v>123</v>
      </c>
      <c r="N3008" t="s">
        <v>2931</v>
      </c>
      <c r="O3008" t="s">
        <v>82</v>
      </c>
      <c r="P3008" t="str">
        <f>"4170050083                    "</f>
        <v xml:space="preserve">4170050083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22.6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71.2</v>
      </c>
      <c r="BM3008">
        <v>10.68</v>
      </c>
      <c r="BN3008">
        <v>81.88</v>
      </c>
      <c r="BO3008">
        <v>81.88</v>
      </c>
      <c r="BQ3008" t="s">
        <v>2932</v>
      </c>
      <c r="BR3008" t="s">
        <v>84</v>
      </c>
      <c r="BS3008" s="3">
        <v>45860</v>
      </c>
      <c r="BT3008" s="4">
        <v>0.61250000000000004</v>
      </c>
      <c r="BU3008" t="s">
        <v>3064</v>
      </c>
      <c r="BV3008" t="s">
        <v>86</v>
      </c>
      <c r="BY3008">
        <v>1200</v>
      </c>
      <c r="CA3008" t="s">
        <v>2974</v>
      </c>
      <c r="CC3008" t="s">
        <v>123</v>
      </c>
      <c r="CD3008">
        <v>3610</v>
      </c>
      <c r="CE3008" t="s">
        <v>121</v>
      </c>
      <c r="CF3008" s="3">
        <v>45861</v>
      </c>
      <c r="CI3008">
        <v>1</v>
      </c>
      <c r="CJ3008">
        <v>1</v>
      </c>
      <c r="CK3008">
        <v>21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"080066699439"</f>
        <v>080066699439</v>
      </c>
      <c r="F3009" s="3">
        <v>45859</v>
      </c>
      <c r="G3009">
        <v>202604</v>
      </c>
      <c r="H3009" t="s">
        <v>75</v>
      </c>
      <c r="I3009" t="s">
        <v>76</v>
      </c>
      <c r="J3009" t="s">
        <v>77</v>
      </c>
      <c r="K3009" t="s">
        <v>78</v>
      </c>
      <c r="L3009" t="s">
        <v>554</v>
      </c>
      <c r="M3009" t="s">
        <v>555</v>
      </c>
      <c r="N3009" t="s">
        <v>556</v>
      </c>
      <c r="O3009" t="s">
        <v>82</v>
      </c>
      <c r="P3009" t="str">
        <f>"4170049811                    "</f>
        <v xml:space="preserve">4170049811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22.6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71.2</v>
      </c>
      <c r="BM3009">
        <v>10.68</v>
      </c>
      <c r="BN3009">
        <v>81.88</v>
      </c>
      <c r="BO3009">
        <v>81.88</v>
      </c>
      <c r="BQ3009" t="s">
        <v>557</v>
      </c>
      <c r="BR3009" t="s">
        <v>84</v>
      </c>
      <c r="BS3009" s="3">
        <v>45860</v>
      </c>
      <c r="BT3009" s="4">
        <v>0.38819444444444445</v>
      </c>
      <c r="BU3009" t="s">
        <v>558</v>
      </c>
      <c r="BV3009" t="s">
        <v>98</v>
      </c>
      <c r="BY3009">
        <v>1200</v>
      </c>
      <c r="CA3009" t="s">
        <v>559</v>
      </c>
      <c r="CC3009" t="s">
        <v>555</v>
      </c>
      <c r="CD3009" s="5" t="s">
        <v>560</v>
      </c>
      <c r="CE3009" t="s">
        <v>121</v>
      </c>
      <c r="CF3009" s="3">
        <v>45860</v>
      </c>
      <c r="CI3009">
        <v>1</v>
      </c>
      <c r="CJ3009">
        <v>1</v>
      </c>
      <c r="CK3009">
        <v>21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"080066699446"</f>
        <v>080066699446</v>
      </c>
      <c r="F3010" s="3">
        <v>45859</v>
      </c>
      <c r="G3010">
        <v>202604</v>
      </c>
      <c r="H3010" t="s">
        <v>75</v>
      </c>
      <c r="I3010" t="s">
        <v>76</v>
      </c>
      <c r="J3010" t="s">
        <v>77</v>
      </c>
      <c r="K3010" t="s">
        <v>78</v>
      </c>
      <c r="L3010" t="s">
        <v>122</v>
      </c>
      <c r="M3010" t="s">
        <v>123</v>
      </c>
      <c r="N3010" t="s">
        <v>283</v>
      </c>
      <c r="O3010" t="s">
        <v>82</v>
      </c>
      <c r="P3010" t="str">
        <f>"4170050106                    "</f>
        <v xml:space="preserve">4170050106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22.6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71.2</v>
      </c>
      <c r="BM3010">
        <v>10.68</v>
      </c>
      <c r="BN3010">
        <v>81.88</v>
      </c>
      <c r="BO3010">
        <v>81.88</v>
      </c>
      <c r="BQ3010" t="s">
        <v>284</v>
      </c>
      <c r="BR3010" t="s">
        <v>84</v>
      </c>
      <c r="BS3010" s="3">
        <v>45860</v>
      </c>
      <c r="BT3010" s="4">
        <v>0.37916666666666665</v>
      </c>
      <c r="BU3010" t="s">
        <v>285</v>
      </c>
      <c r="BV3010" t="s">
        <v>98</v>
      </c>
      <c r="BY3010">
        <v>1200</v>
      </c>
      <c r="CA3010" t="s">
        <v>187</v>
      </c>
      <c r="CC3010" t="s">
        <v>123</v>
      </c>
      <c r="CD3010">
        <v>3608</v>
      </c>
      <c r="CE3010" t="s">
        <v>121</v>
      </c>
      <c r="CF3010" s="3">
        <v>45861</v>
      </c>
      <c r="CI3010">
        <v>1</v>
      </c>
      <c r="CJ3010">
        <v>1</v>
      </c>
      <c r="CK3010">
        <v>21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"080066699467"</f>
        <v>080066699467</v>
      </c>
      <c r="F3011" s="3">
        <v>45859</v>
      </c>
      <c r="G3011">
        <v>202604</v>
      </c>
      <c r="H3011" t="s">
        <v>75</v>
      </c>
      <c r="I3011" t="s">
        <v>76</v>
      </c>
      <c r="J3011" t="s">
        <v>77</v>
      </c>
      <c r="K3011" t="s">
        <v>78</v>
      </c>
      <c r="L3011" t="s">
        <v>240</v>
      </c>
      <c r="M3011" t="s">
        <v>241</v>
      </c>
      <c r="N3011" t="s">
        <v>779</v>
      </c>
      <c r="O3011" t="s">
        <v>82</v>
      </c>
      <c r="P3011" t="str">
        <f>"4170049856                    "</f>
        <v xml:space="preserve">4170049856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17.649999999999999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55.61</v>
      </c>
      <c r="BM3011">
        <v>8.34</v>
      </c>
      <c r="BN3011">
        <v>63.95</v>
      </c>
      <c r="BO3011">
        <v>63.95</v>
      </c>
      <c r="BQ3011" t="s">
        <v>780</v>
      </c>
      <c r="BR3011" t="s">
        <v>84</v>
      </c>
      <c r="BS3011" s="3">
        <v>45861</v>
      </c>
      <c r="BT3011" s="4">
        <v>0.41111111111111109</v>
      </c>
      <c r="BU3011" t="s">
        <v>3092</v>
      </c>
      <c r="BV3011" t="s">
        <v>86</v>
      </c>
      <c r="BY3011">
        <v>1200</v>
      </c>
      <c r="CC3011" t="s">
        <v>241</v>
      </c>
      <c r="CD3011">
        <v>2092</v>
      </c>
      <c r="CE3011" t="s">
        <v>121</v>
      </c>
      <c r="CF3011" s="3">
        <v>45862</v>
      </c>
      <c r="CI3011">
        <v>1</v>
      </c>
      <c r="CJ3011">
        <v>2</v>
      </c>
      <c r="CK3011">
        <v>22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"080066699484"</f>
        <v>080066699484</v>
      </c>
      <c r="F3012" s="3">
        <v>45859</v>
      </c>
      <c r="G3012">
        <v>202604</v>
      </c>
      <c r="H3012" t="s">
        <v>75</v>
      </c>
      <c r="I3012" t="s">
        <v>76</v>
      </c>
      <c r="J3012" t="s">
        <v>77</v>
      </c>
      <c r="K3012" t="s">
        <v>78</v>
      </c>
      <c r="L3012" t="s">
        <v>79</v>
      </c>
      <c r="M3012" t="s">
        <v>80</v>
      </c>
      <c r="N3012" t="s">
        <v>1816</v>
      </c>
      <c r="O3012" t="s">
        <v>82</v>
      </c>
      <c r="P3012" t="str">
        <f>"4170049945                    "</f>
        <v xml:space="preserve">4170049945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22.6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71.2</v>
      </c>
      <c r="BM3012">
        <v>10.68</v>
      </c>
      <c r="BN3012">
        <v>81.88</v>
      </c>
      <c r="BO3012">
        <v>81.88</v>
      </c>
      <c r="BQ3012" t="s">
        <v>1817</v>
      </c>
      <c r="BR3012" t="s">
        <v>84</v>
      </c>
      <c r="BS3012" s="3">
        <v>45860</v>
      </c>
      <c r="BT3012" s="4">
        <v>0.65625</v>
      </c>
      <c r="BU3012" t="s">
        <v>3093</v>
      </c>
      <c r="BV3012" t="s">
        <v>86</v>
      </c>
      <c r="BW3012" t="s">
        <v>1395</v>
      </c>
      <c r="BX3012" t="s">
        <v>1420</v>
      </c>
      <c r="BY3012">
        <v>1200</v>
      </c>
      <c r="CC3012" t="s">
        <v>80</v>
      </c>
      <c r="CD3012">
        <v>7550</v>
      </c>
      <c r="CE3012" t="s">
        <v>121</v>
      </c>
      <c r="CF3012" s="3">
        <v>45861</v>
      </c>
      <c r="CI3012">
        <v>1</v>
      </c>
      <c r="CJ3012">
        <v>1</v>
      </c>
      <c r="CK3012">
        <v>21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"080066699494"</f>
        <v>080066699494</v>
      </c>
      <c r="F3013" s="3">
        <v>45859</v>
      </c>
      <c r="G3013">
        <v>202604</v>
      </c>
      <c r="H3013" t="s">
        <v>75</v>
      </c>
      <c r="I3013" t="s">
        <v>76</v>
      </c>
      <c r="J3013" t="s">
        <v>77</v>
      </c>
      <c r="K3013" t="s">
        <v>78</v>
      </c>
      <c r="L3013" t="s">
        <v>79</v>
      </c>
      <c r="M3013" t="s">
        <v>80</v>
      </c>
      <c r="N3013" t="s">
        <v>1775</v>
      </c>
      <c r="O3013" t="s">
        <v>82</v>
      </c>
      <c r="P3013" t="str">
        <f>"4170049953                    "</f>
        <v xml:space="preserve">4170049953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22.6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71.2</v>
      </c>
      <c r="BM3013">
        <v>10.68</v>
      </c>
      <c r="BN3013">
        <v>81.88</v>
      </c>
      <c r="BO3013">
        <v>81.88</v>
      </c>
      <c r="BQ3013" t="s">
        <v>1776</v>
      </c>
      <c r="BR3013" t="s">
        <v>84</v>
      </c>
      <c r="BS3013" s="3">
        <v>45860</v>
      </c>
      <c r="BT3013" s="4">
        <v>0.39652777777777776</v>
      </c>
      <c r="BU3013" t="s">
        <v>933</v>
      </c>
      <c r="BV3013" t="s">
        <v>98</v>
      </c>
      <c r="BY3013">
        <v>1200</v>
      </c>
      <c r="CA3013" t="s">
        <v>934</v>
      </c>
      <c r="CC3013" t="s">
        <v>80</v>
      </c>
      <c r="CD3013">
        <v>7535</v>
      </c>
      <c r="CE3013" t="s">
        <v>121</v>
      </c>
      <c r="CF3013" s="3">
        <v>45861</v>
      </c>
      <c r="CI3013">
        <v>1</v>
      </c>
      <c r="CJ3013">
        <v>1</v>
      </c>
      <c r="CK3013">
        <v>21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"080066699505"</f>
        <v>080066699505</v>
      </c>
      <c r="F3014" s="3">
        <v>45859</v>
      </c>
      <c r="G3014">
        <v>202604</v>
      </c>
      <c r="H3014" t="s">
        <v>75</v>
      </c>
      <c r="I3014" t="s">
        <v>76</v>
      </c>
      <c r="J3014" t="s">
        <v>77</v>
      </c>
      <c r="K3014" t="s">
        <v>78</v>
      </c>
      <c r="L3014" t="s">
        <v>79</v>
      </c>
      <c r="M3014" t="s">
        <v>80</v>
      </c>
      <c r="N3014" t="s">
        <v>188</v>
      </c>
      <c r="O3014" t="s">
        <v>82</v>
      </c>
      <c r="P3014" t="str">
        <f>"4170049742                    "</f>
        <v xml:space="preserve">4170049742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22.6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71.2</v>
      </c>
      <c r="BM3014">
        <v>10.68</v>
      </c>
      <c r="BN3014">
        <v>81.88</v>
      </c>
      <c r="BO3014">
        <v>81.88</v>
      </c>
      <c r="BQ3014" t="s">
        <v>189</v>
      </c>
      <c r="BR3014" t="s">
        <v>84</v>
      </c>
      <c r="BS3014" s="3">
        <v>45860</v>
      </c>
      <c r="BT3014" s="4">
        <v>0.36458333333333331</v>
      </c>
      <c r="BU3014" t="s">
        <v>1216</v>
      </c>
      <c r="BV3014" t="s">
        <v>98</v>
      </c>
      <c r="BY3014">
        <v>1200</v>
      </c>
      <c r="CA3014" t="s">
        <v>144</v>
      </c>
      <c r="CC3014" t="s">
        <v>80</v>
      </c>
      <c r="CD3014">
        <v>7441</v>
      </c>
      <c r="CE3014" t="s">
        <v>121</v>
      </c>
      <c r="CF3014" s="3">
        <v>45861</v>
      </c>
      <c r="CI3014">
        <v>1</v>
      </c>
      <c r="CJ3014">
        <v>1</v>
      </c>
      <c r="CK3014">
        <v>21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"080011565462"</f>
        <v>080011565462</v>
      </c>
      <c r="F3015" s="3">
        <v>45853</v>
      </c>
      <c r="G3015">
        <v>202604</v>
      </c>
      <c r="H3015" t="s">
        <v>1520</v>
      </c>
      <c r="I3015" t="s">
        <v>1521</v>
      </c>
      <c r="J3015" t="s">
        <v>3094</v>
      </c>
      <c r="K3015" t="s">
        <v>78</v>
      </c>
      <c r="L3015" t="s">
        <v>75</v>
      </c>
      <c r="M3015" t="s">
        <v>76</v>
      </c>
      <c r="N3015" t="s">
        <v>228</v>
      </c>
      <c r="O3015" t="s">
        <v>82</v>
      </c>
      <c r="P3015" t="str">
        <f>"Incorrect delivery            "</f>
        <v xml:space="preserve">Incorrect delivery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0</v>
      </c>
      <c r="BK3015">
        <v>2</v>
      </c>
      <c r="BL3015">
        <v>0</v>
      </c>
      <c r="BM3015">
        <v>0</v>
      </c>
      <c r="BN3015">
        <v>0</v>
      </c>
      <c r="BO3015">
        <v>0</v>
      </c>
      <c r="BP3015" t="s">
        <v>587</v>
      </c>
      <c r="BQ3015" t="s">
        <v>230</v>
      </c>
      <c r="BR3015" t="s">
        <v>3095</v>
      </c>
      <c r="BS3015" s="3">
        <v>45854</v>
      </c>
      <c r="BT3015" s="4">
        <v>0.35694444444444445</v>
      </c>
      <c r="BU3015" t="s">
        <v>232</v>
      </c>
      <c r="BV3015" t="s">
        <v>98</v>
      </c>
      <c r="BY3015">
        <v>3150</v>
      </c>
      <c r="BZ3015" t="s">
        <v>89</v>
      </c>
      <c r="CA3015" t="s">
        <v>304</v>
      </c>
      <c r="CC3015" t="s">
        <v>76</v>
      </c>
      <c r="CD3015">
        <v>1619</v>
      </c>
      <c r="CE3015" t="s">
        <v>2756</v>
      </c>
      <c r="CF3015" s="3">
        <v>45854</v>
      </c>
      <c r="CI3015">
        <v>1</v>
      </c>
      <c r="CJ3015">
        <v>1</v>
      </c>
      <c r="CK3015">
        <v>-1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"080066274854"</f>
        <v>080066274854</v>
      </c>
      <c r="F3016" s="3">
        <v>45839</v>
      </c>
      <c r="G3016">
        <v>202604</v>
      </c>
      <c r="H3016" t="s">
        <v>75</v>
      </c>
      <c r="I3016" t="s">
        <v>76</v>
      </c>
      <c r="J3016" t="s">
        <v>101</v>
      </c>
      <c r="K3016" t="s">
        <v>78</v>
      </c>
      <c r="L3016" t="s">
        <v>260</v>
      </c>
      <c r="M3016" t="s">
        <v>261</v>
      </c>
      <c r="N3016" t="s">
        <v>3096</v>
      </c>
      <c r="O3016" t="s">
        <v>95</v>
      </c>
      <c r="P3016" t="str">
        <f>"4170046365                    "</f>
        <v xml:space="preserve">4170046365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57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4</v>
      </c>
      <c r="BJ3016">
        <v>1.1000000000000001</v>
      </c>
      <c r="BK3016">
        <v>4</v>
      </c>
      <c r="BL3016">
        <v>195.42</v>
      </c>
      <c r="BM3016">
        <v>29.31</v>
      </c>
      <c r="BN3016">
        <v>224.73</v>
      </c>
      <c r="BO3016">
        <v>224.73</v>
      </c>
      <c r="BQ3016" t="s">
        <v>3097</v>
      </c>
      <c r="BR3016" t="s">
        <v>106</v>
      </c>
      <c r="BS3016" s="3">
        <v>45841</v>
      </c>
      <c r="BT3016" s="4">
        <v>0.43541666666666667</v>
      </c>
      <c r="BU3016" t="s">
        <v>3098</v>
      </c>
      <c r="BV3016" t="s">
        <v>86</v>
      </c>
      <c r="BW3016" t="s">
        <v>818</v>
      </c>
      <c r="BX3016" t="s">
        <v>1446</v>
      </c>
      <c r="BY3016">
        <v>5320</v>
      </c>
      <c r="BZ3016" t="s">
        <v>108</v>
      </c>
      <c r="CC3016" t="s">
        <v>261</v>
      </c>
      <c r="CD3016">
        <v>1911</v>
      </c>
      <c r="CE3016" t="s">
        <v>117</v>
      </c>
      <c r="CF3016" s="3">
        <v>45841</v>
      </c>
      <c r="CI3016">
        <v>1</v>
      </c>
      <c r="CJ3016">
        <v>2</v>
      </c>
      <c r="CK3016">
        <v>43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"080066285684"</f>
        <v>080066285684</v>
      </c>
      <c r="F3017" s="3">
        <v>45839</v>
      </c>
      <c r="G3017">
        <v>202604</v>
      </c>
      <c r="H3017" t="s">
        <v>75</v>
      </c>
      <c r="I3017" t="s">
        <v>76</v>
      </c>
      <c r="J3017" t="s">
        <v>101</v>
      </c>
      <c r="K3017" t="s">
        <v>78</v>
      </c>
      <c r="L3017" t="s">
        <v>1000</v>
      </c>
      <c r="M3017" t="s">
        <v>1001</v>
      </c>
      <c r="N3017" t="s">
        <v>1002</v>
      </c>
      <c r="O3017" t="s">
        <v>95</v>
      </c>
      <c r="P3017" t="str">
        <f>"4170046473                    "</f>
        <v xml:space="preserve">4170046473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44.63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3.8</v>
      </c>
      <c r="BK3017">
        <v>4</v>
      </c>
      <c r="BL3017">
        <v>154.29</v>
      </c>
      <c r="BM3017">
        <v>23.14</v>
      </c>
      <c r="BN3017">
        <v>177.43</v>
      </c>
      <c r="BO3017">
        <v>177.43</v>
      </c>
      <c r="BQ3017" t="s">
        <v>3099</v>
      </c>
      <c r="BR3017" t="s">
        <v>106</v>
      </c>
      <c r="BS3017" s="3">
        <v>45840</v>
      </c>
      <c r="BT3017" s="4">
        <v>0.38750000000000001</v>
      </c>
      <c r="BU3017" t="s">
        <v>1004</v>
      </c>
      <c r="BV3017" t="s">
        <v>98</v>
      </c>
      <c r="BY3017">
        <v>19152</v>
      </c>
      <c r="BZ3017" t="s">
        <v>108</v>
      </c>
      <c r="CA3017" t="s">
        <v>1005</v>
      </c>
      <c r="CC3017" t="s">
        <v>1001</v>
      </c>
      <c r="CD3017">
        <v>2410</v>
      </c>
      <c r="CE3017" t="s">
        <v>110</v>
      </c>
      <c r="CF3017" s="3">
        <v>45840</v>
      </c>
      <c r="CI3017">
        <v>1</v>
      </c>
      <c r="CJ3017">
        <v>1</v>
      </c>
      <c r="CK3017">
        <v>44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"080066310990"</f>
        <v>080066310990</v>
      </c>
      <c r="F3018" s="3">
        <v>45840</v>
      </c>
      <c r="G3018">
        <v>202604</v>
      </c>
      <c r="H3018" t="s">
        <v>75</v>
      </c>
      <c r="I3018" t="s">
        <v>76</v>
      </c>
      <c r="J3018" t="s">
        <v>101</v>
      </c>
      <c r="K3018" t="s">
        <v>78</v>
      </c>
      <c r="L3018" t="s">
        <v>151</v>
      </c>
      <c r="M3018" t="s">
        <v>152</v>
      </c>
      <c r="N3018" t="s">
        <v>835</v>
      </c>
      <c r="O3018" t="s">
        <v>95</v>
      </c>
      <c r="P3018" t="str">
        <f>"4170046667                    "</f>
        <v xml:space="preserve">4170046667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43.7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4</v>
      </c>
      <c r="BJ3018">
        <v>4.5</v>
      </c>
      <c r="BK3018">
        <v>5</v>
      </c>
      <c r="BL3018">
        <v>143.55000000000001</v>
      </c>
      <c r="BM3018">
        <v>21.53</v>
      </c>
      <c r="BN3018">
        <v>165.08</v>
      </c>
      <c r="BO3018">
        <v>165.08</v>
      </c>
      <c r="BQ3018" t="s">
        <v>3100</v>
      </c>
      <c r="BR3018" t="s">
        <v>106</v>
      </c>
      <c r="BS3018" s="3">
        <v>45841</v>
      </c>
      <c r="BT3018" s="4">
        <v>0.38055555555555554</v>
      </c>
      <c r="BU3018" t="s">
        <v>837</v>
      </c>
      <c r="BV3018" t="s">
        <v>98</v>
      </c>
      <c r="BY3018">
        <v>22500</v>
      </c>
      <c r="BZ3018" t="s">
        <v>108</v>
      </c>
      <c r="CA3018" t="s">
        <v>716</v>
      </c>
      <c r="CC3018" t="s">
        <v>152</v>
      </c>
      <c r="CD3018" s="5" t="s">
        <v>717</v>
      </c>
      <c r="CE3018" t="s">
        <v>110</v>
      </c>
      <c r="CF3018" s="3">
        <v>45841</v>
      </c>
      <c r="CI3018">
        <v>1</v>
      </c>
      <c r="CJ3018">
        <v>1</v>
      </c>
      <c r="CK3018">
        <v>41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"080066329040"</f>
        <v>080066329040</v>
      </c>
      <c r="F3019" s="3">
        <v>45841</v>
      </c>
      <c r="G3019">
        <v>202604</v>
      </c>
      <c r="H3019" t="s">
        <v>75</v>
      </c>
      <c r="I3019" t="s">
        <v>76</v>
      </c>
      <c r="J3019" t="s">
        <v>101</v>
      </c>
      <c r="K3019" t="s">
        <v>78</v>
      </c>
      <c r="L3019" t="s">
        <v>1908</v>
      </c>
      <c r="M3019" t="s">
        <v>1909</v>
      </c>
      <c r="N3019" t="s">
        <v>1910</v>
      </c>
      <c r="O3019" t="s">
        <v>95</v>
      </c>
      <c r="P3019" t="str">
        <f>"4170046741                    "</f>
        <v xml:space="preserve">4170046741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48.26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3</v>
      </c>
      <c r="BJ3019">
        <v>5.3</v>
      </c>
      <c r="BK3019">
        <v>6</v>
      </c>
      <c r="BL3019">
        <v>157.91999999999999</v>
      </c>
      <c r="BM3019">
        <v>23.69</v>
      </c>
      <c r="BN3019">
        <v>181.61</v>
      </c>
      <c r="BO3019">
        <v>181.61</v>
      </c>
      <c r="BQ3019" t="s">
        <v>3101</v>
      </c>
      <c r="BR3019" t="s">
        <v>106</v>
      </c>
      <c r="BS3019" s="3">
        <v>45848</v>
      </c>
      <c r="BT3019" s="4">
        <v>0.4909722222222222</v>
      </c>
      <c r="BU3019" t="s">
        <v>534</v>
      </c>
      <c r="BV3019" t="s">
        <v>86</v>
      </c>
      <c r="BY3019">
        <v>26730</v>
      </c>
      <c r="BZ3019" t="s">
        <v>108</v>
      </c>
      <c r="CA3019" t="s">
        <v>535</v>
      </c>
      <c r="CC3019" t="s">
        <v>1909</v>
      </c>
      <c r="CD3019">
        <v>2501</v>
      </c>
      <c r="CE3019" t="s">
        <v>110</v>
      </c>
      <c r="CF3019" s="3">
        <v>45850</v>
      </c>
      <c r="CI3019">
        <v>1</v>
      </c>
      <c r="CJ3019">
        <v>5</v>
      </c>
      <c r="CK3019">
        <v>44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"080066331578"</f>
        <v>080066331578</v>
      </c>
      <c r="F3020" s="3">
        <v>45841</v>
      </c>
      <c r="G3020">
        <v>202604</v>
      </c>
      <c r="H3020" t="s">
        <v>75</v>
      </c>
      <c r="I3020" t="s">
        <v>76</v>
      </c>
      <c r="J3020" t="s">
        <v>101</v>
      </c>
      <c r="K3020" t="s">
        <v>78</v>
      </c>
      <c r="L3020" t="s">
        <v>554</v>
      </c>
      <c r="M3020" t="s">
        <v>555</v>
      </c>
      <c r="N3020" t="s">
        <v>3102</v>
      </c>
      <c r="O3020" t="s">
        <v>95</v>
      </c>
      <c r="P3020" t="str">
        <f>"4170046739                    "</f>
        <v xml:space="preserve">4170046739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43.7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5</v>
      </c>
      <c r="BJ3020">
        <v>13</v>
      </c>
      <c r="BK3020">
        <v>13</v>
      </c>
      <c r="BL3020">
        <v>143.55000000000001</v>
      </c>
      <c r="BM3020">
        <v>21.53</v>
      </c>
      <c r="BN3020">
        <v>165.08</v>
      </c>
      <c r="BO3020">
        <v>165.08</v>
      </c>
      <c r="BQ3020" t="s">
        <v>3103</v>
      </c>
      <c r="BR3020" t="s">
        <v>106</v>
      </c>
      <c r="BS3020" s="3">
        <v>45842</v>
      </c>
      <c r="BT3020" s="4">
        <v>0.43125000000000002</v>
      </c>
      <c r="BU3020" t="s">
        <v>2814</v>
      </c>
      <c r="BV3020" t="s">
        <v>98</v>
      </c>
      <c r="BY3020">
        <v>64980</v>
      </c>
      <c r="BZ3020" t="s">
        <v>108</v>
      </c>
      <c r="CA3020" t="s">
        <v>2271</v>
      </c>
      <c r="CC3020" t="s">
        <v>555</v>
      </c>
      <c r="CD3020" s="5" t="s">
        <v>560</v>
      </c>
      <c r="CE3020" t="s">
        <v>110</v>
      </c>
      <c r="CF3020" s="3">
        <v>45842</v>
      </c>
      <c r="CI3020">
        <v>1</v>
      </c>
      <c r="CJ3020">
        <v>1</v>
      </c>
      <c r="CK3020">
        <v>41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"080066357834"</f>
        <v>080066357834</v>
      </c>
      <c r="F3021" s="3">
        <v>45842</v>
      </c>
      <c r="G3021">
        <v>202604</v>
      </c>
      <c r="H3021" t="s">
        <v>75</v>
      </c>
      <c r="I3021" t="s">
        <v>76</v>
      </c>
      <c r="J3021" t="s">
        <v>101</v>
      </c>
      <c r="K3021" t="s">
        <v>78</v>
      </c>
      <c r="L3021" t="s">
        <v>1768</v>
      </c>
      <c r="M3021" t="s">
        <v>1769</v>
      </c>
      <c r="N3021" t="s">
        <v>1770</v>
      </c>
      <c r="O3021" t="s">
        <v>95</v>
      </c>
      <c r="P3021" t="str">
        <f>"4170046876                    "</f>
        <v xml:space="preserve">4170046876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61.64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5</v>
      </c>
      <c r="BJ3021">
        <v>1.9</v>
      </c>
      <c r="BK3021">
        <v>5</v>
      </c>
      <c r="BL3021">
        <v>200.06</v>
      </c>
      <c r="BM3021">
        <v>30.01</v>
      </c>
      <c r="BN3021">
        <v>230.07</v>
      </c>
      <c r="BO3021">
        <v>230.07</v>
      </c>
      <c r="BQ3021" t="s">
        <v>3104</v>
      </c>
      <c r="BR3021" t="s">
        <v>106</v>
      </c>
      <c r="BS3021" s="3">
        <v>45845</v>
      </c>
      <c r="BT3021" s="4">
        <v>0.41805555555555557</v>
      </c>
      <c r="BU3021" t="s">
        <v>1772</v>
      </c>
      <c r="BV3021" t="s">
        <v>98</v>
      </c>
      <c r="BY3021">
        <v>9600</v>
      </c>
      <c r="BZ3021" t="s">
        <v>108</v>
      </c>
      <c r="CA3021" t="s">
        <v>1773</v>
      </c>
      <c r="CC3021" t="s">
        <v>1769</v>
      </c>
      <c r="CD3021">
        <v>2302</v>
      </c>
      <c r="CE3021" t="s">
        <v>117</v>
      </c>
      <c r="CF3021" s="3">
        <v>45845</v>
      </c>
      <c r="CI3021">
        <v>1</v>
      </c>
      <c r="CJ3021">
        <v>1</v>
      </c>
      <c r="CK3021">
        <v>43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"080066357939"</f>
        <v>080066357939</v>
      </c>
      <c r="F3022" s="3">
        <v>45842</v>
      </c>
      <c r="G3022">
        <v>202604</v>
      </c>
      <c r="H3022" t="s">
        <v>75</v>
      </c>
      <c r="I3022" t="s">
        <v>76</v>
      </c>
      <c r="J3022" t="s">
        <v>101</v>
      </c>
      <c r="K3022" t="s">
        <v>78</v>
      </c>
      <c r="L3022" t="s">
        <v>252</v>
      </c>
      <c r="M3022" t="s">
        <v>253</v>
      </c>
      <c r="N3022" t="s">
        <v>254</v>
      </c>
      <c r="O3022" t="s">
        <v>95</v>
      </c>
      <c r="P3022" t="str">
        <f>"4170046909                    "</f>
        <v xml:space="preserve">4170046909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61.64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13</v>
      </c>
      <c r="BJ3022">
        <v>8.9</v>
      </c>
      <c r="BK3022">
        <v>13</v>
      </c>
      <c r="BL3022">
        <v>200.06</v>
      </c>
      <c r="BM3022">
        <v>30.01</v>
      </c>
      <c r="BN3022">
        <v>230.07</v>
      </c>
      <c r="BO3022">
        <v>230.07</v>
      </c>
      <c r="BQ3022" t="s">
        <v>3105</v>
      </c>
      <c r="BR3022" t="s">
        <v>106</v>
      </c>
      <c r="BS3022" s="3">
        <v>45845</v>
      </c>
      <c r="BT3022" s="4">
        <v>0.37152777777777779</v>
      </c>
      <c r="BU3022" t="s">
        <v>256</v>
      </c>
      <c r="BV3022" t="s">
        <v>98</v>
      </c>
      <c r="BY3022">
        <v>44640</v>
      </c>
      <c r="BZ3022" t="s">
        <v>108</v>
      </c>
      <c r="CC3022" t="s">
        <v>253</v>
      </c>
      <c r="CD3022">
        <v>1947</v>
      </c>
      <c r="CE3022" t="s">
        <v>117</v>
      </c>
      <c r="CF3022" s="3">
        <v>45845</v>
      </c>
      <c r="CI3022">
        <v>1</v>
      </c>
      <c r="CJ3022">
        <v>1</v>
      </c>
      <c r="CK3022">
        <v>43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"080066357962"</f>
        <v>080066357962</v>
      </c>
      <c r="F3023" s="3">
        <v>45842</v>
      </c>
      <c r="G3023">
        <v>202604</v>
      </c>
      <c r="H3023" t="s">
        <v>75</v>
      </c>
      <c r="I3023" t="s">
        <v>76</v>
      </c>
      <c r="J3023" t="s">
        <v>101</v>
      </c>
      <c r="K3023" t="s">
        <v>78</v>
      </c>
      <c r="L3023" t="s">
        <v>128</v>
      </c>
      <c r="M3023" t="s">
        <v>129</v>
      </c>
      <c r="N3023" t="s">
        <v>2038</v>
      </c>
      <c r="O3023" t="s">
        <v>95</v>
      </c>
      <c r="P3023" t="str">
        <f>"4170046921                    "</f>
        <v xml:space="preserve">4170046921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61.64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3</v>
      </c>
      <c r="BJ3023">
        <v>8.9</v>
      </c>
      <c r="BK3023">
        <v>9</v>
      </c>
      <c r="BL3023">
        <v>200.06</v>
      </c>
      <c r="BM3023">
        <v>30.01</v>
      </c>
      <c r="BN3023">
        <v>230.07</v>
      </c>
      <c r="BO3023">
        <v>230.07</v>
      </c>
      <c r="BQ3023" t="s">
        <v>3106</v>
      </c>
      <c r="BR3023" t="s">
        <v>106</v>
      </c>
      <c r="BS3023" s="3">
        <v>45845</v>
      </c>
      <c r="BT3023" s="4">
        <v>0.4284722222222222</v>
      </c>
      <c r="BU3023" t="s">
        <v>3107</v>
      </c>
      <c r="BV3023" t="s">
        <v>98</v>
      </c>
      <c r="BY3023">
        <v>44640</v>
      </c>
      <c r="BZ3023" t="s">
        <v>108</v>
      </c>
      <c r="CA3023" t="s">
        <v>2284</v>
      </c>
      <c r="CC3023" t="s">
        <v>129</v>
      </c>
      <c r="CD3023" s="5" t="s">
        <v>134</v>
      </c>
      <c r="CE3023" t="s">
        <v>117</v>
      </c>
      <c r="CF3023" s="3">
        <v>45846</v>
      </c>
      <c r="CI3023">
        <v>1</v>
      </c>
      <c r="CJ3023">
        <v>1</v>
      </c>
      <c r="CK3023">
        <v>43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"080066405260"</f>
        <v>080066405260</v>
      </c>
      <c r="F3024" s="3">
        <v>45845</v>
      </c>
      <c r="G3024">
        <v>202604</v>
      </c>
      <c r="H3024" t="s">
        <v>75</v>
      </c>
      <c r="I3024" t="s">
        <v>76</v>
      </c>
      <c r="J3024" t="s">
        <v>101</v>
      </c>
      <c r="K3024" t="s">
        <v>78</v>
      </c>
      <c r="L3024" t="s">
        <v>102</v>
      </c>
      <c r="M3024" t="s">
        <v>103</v>
      </c>
      <c r="N3024" t="s">
        <v>104</v>
      </c>
      <c r="O3024" t="s">
        <v>95</v>
      </c>
      <c r="P3024" t="str">
        <f>"4170047093                    "</f>
        <v xml:space="preserve">4170047093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48.26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9</v>
      </c>
      <c r="BJ3024">
        <v>9.1</v>
      </c>
      <c r="BK3024">
        <v>10</v>
      </c>
      <c r="BL3024">
        <v>157.91999999999999</v>
      </c>
      <c r="BM3024">
        <v>23.69</v>
      </c>
      <c r="BN3024">
        <v>181.61</v>
      </c>
      <c r="BO3024">
        <v>181.61</v>
      </c>
      <c r="BQ3024" t="s">
        <v>105</v>
      </c>
      <c r="BR3024" t="s">
        <v>106</v>
      </c>
      <c r="BS3024" s="3">
        <v>45846</v>
      </c>
      <c r="BT3024" s="4">
        <v>0.34236111111111112</v>
      </c>
      <c r="BU3024" t="s">
        <v>1386</v>
      </c>
      <c r="BV3024" t="s">
        <v>98</v>
      </c>
      <c r="BY3024">
        <v>45632</v>
      </c>
      <c r="BZ3024" t="s">
        <v>108</v>
      </c>
      <c r="CA3024" t="s">
        <v>109</v>
      </c>
      <c r="CC3024" t="s">
        <v>103</v>
      </c>
      <c r="CD3024">
        <v>1748</v>
      </c>
      <c r="CE3024" t="s">
        <v>117</v>
      </c>
      <c r="CF3024" s="3">
        <v>45846</v>
      </c>
      <c r="CI3024">
        <v>1</v>
      </c>
      <c r="CJ3024">
        <v>1</v>
      </c>
      <c r="CK3024">
        <v>44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"080066412434"</f>
        <v>080066412434</v>
      </c>
      <c r="F3025" s="3">
        <v>45846</v>
      </c>
      <c r="G3025">
        <v>202604</v>
      </c>
      <c r="H3025" t="s">
        <v>75</v>
      </c>
      <c r="I3025" t="s">
        <v>76</v>
      </c>
      <c r="J3025" t="s">
        <v>101</v>
      </c>
      <c r="K3025" t="s">
        <v>78</v>
      </c>
      <c r="L3025" t="s">
        <v>1370</v>
      </c>
      <c r="M3025" t="s">
        <v>1371</v>
      </c>
      <c r="N3025" t="s">
        <v>1346</v>
      </c>
      <c r="O3025" t="s">
        <v>95</v>
      </c>
      <c r="P3025" t="str">
        <f>"4170047225                    "</f>
        <v xml:space="preserve">4170047225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61.64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2</v>
      </c>
      <c r="BI3025">
        <v>4</v>
      </c>
      <c r="BJ3025">
        <v>4.9000000000000004</v>
      </c>
      <c r="BK3025">
        <v>5</v>
      </c>
      <c r="BL3025">
        <v>200.06</v>
      </c>
      <c r="BM3025">
        <v>30.01</v>
      </c>
      <c r="BN3025">
        <v>230.07</v>
      </c>
      <c r="BO3025">
        <v>230.07</v>
      </c>
      <c r="BQ3025" t="s">
        <v>3108</v>
      </c>
      <c r="BR3025" t="s">
        <v>106</v>
      </c>
      <c r="BS3025" s="3">
        <v>45847</v>
      </c>
      <c r="BT3025" s="4">
        <v>0.44027777777777777</v>
      </c>
      <c r="BU3025" t="s">
        <v>3109</v>
      </c>
      <c r="BV3025" t="s">
        <v>98</v>
      </c>
      <c r="BY3025">
        <v>24688</v>
      </c>
      <c r="BZ3025" t="s">
        <v>108</v>
      </c>
      <c r="CA3025" t="s">
        <v>1375</v>
      </c>
      <c r="CC3025" t="s">
        <v>1371</v>
      </c>
      <c r="CD3025" s="5" t="s">
        <v>1376</v>
      </c>
      <c r="CE3025" t="s">
        <v>117</v>
      </c>
      <c r="CF3025" s="3">
        <v>45848</v>
      </c>
      <c r="CI3025">
        <v>1</v>
      </c>
      <c r="CJ3025">
        <v>1</v>
      </c>
      <c r="CK3025">
        <v>43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"080066412451"</f>
        <v>080066412451</v>
      </c>
      <c r="F3026" s="3">
        <v>45846</v>
      </c>
      <c r="G3026">
        <v>202604</v>
      </c>
      <c r="H3026" t="s">
        <v>75</v>
      </c>
      <c r="I3026" t="s">
        <v>76</v>
      </c>
      <c r="J3026" t="s">
        <v>101</v>
      </c>
      <c r="K3026" t="s">
        <v>78</v>
      </c>
      <c r="L3026" t="s">
        <v>102</v>
      </c>
      <c r="M3026" t="s">
        <v>103</v>
      </c>
      <c r="N3026" t="s">
        <v>2293</v>
      </c>
      <c r="O3026" t="s">
        <v>95</v>
      </c>
      <c r="P3026" t="str">
        <f>"4170047244                    "</f>
        <v xml:space="preserve">4170047244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48.26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9</v>
      </c>
      <c r="BJ3026">
        <v>2.9</v>
      </c>
      <c r="BK3026">
        <v>9</v>
      </c>
      <c r="BL3026">
        <v>157.91999999999999</v>
      </c>
      <c r="BM3026">
        <v>23.69</v>
      </c>
      <c r="BN3026">
        <v>181.61</v>
      </c>
      <c r="BO3026">
        <v>181.61</v>
      </c>
      <c r="BQ3026" t="s">
        <v>3110</v>
      </c>
      <c r="BR3026" t="s">
        <v>106</v>
      </c>
      <c r="BS3026" s="3">
        <v>45847</v>
      </c>
      <c r="BT3026" s="4">
        <v>0.47986111111111113</v>
      </c>
      <c r="BU3026" t="s">
        <v>2295</v>
      </c>
      <c r="BV3026" t="s">
        <v>98</v>
      </c>
      <c r="BY3026">
        <v>14688</v>
      </c>
      <c r="BZ3026" t="s">
        <v>108</v>
      </c>
      <c r="CA3026" t="s">
        <v>2296</v>
      </c>
      <c r="CC3026" t="s">
        <v>103</v>
      </c>
      <c r="CD3026">
        <v>1739</v>
      </c>
      <c r="CE3026" t="s">
        <v>117</v>
      </c>
      <c r="CF3026" s="3">
        <v>45847</v>
      </c>
      <c r="CI3026">
        <v>1</v>
      </c>
      <c r="CJ3026">
        <v>1</v>
      </c>
      <c r="CK3026">
        <v>44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"080066412743"</f>
        <v>080066412743</v>
      </c>
      <c r="F3027" s="3">
        <v>45846</v>
      </c>
      <c r="G3027">
        <v>202604</v>
      </c>
      <c r="H3027" t="s">
        <v>75</v>
      </c>
      <c r="I3027" t="s">
        <v>76</v>
      </c>
      <c r="J3027" t="s">
        <v>101</v>
      </c>
      <c r="K3027" t="s">
        <v>78</v>
      </c>
      <c r="L3027" t="s">
        <v>1370</v>
      </c>
      <c r="M3027" t="s">
        <v>1371</v>
      </c>
      <c r="N3027" t="s">
        <v>1346</v>
      </c>
      <c r="O3027" t="s">
        <v>95</v>
      </c>
      <c r="P3027" t="str">
        <f>"4170047212                    "</f>
        <v xml:space="preserve">4170047212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61.64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2</v>
      </c>
      <c r="BJ3027">
        <v>3.7</v>
      </c>
      <c r="BK3027">
        <v>4</v>
      </c>
      <c r="BL3027">
        <v>200.06</v>
      </c>
      <c r="BM3027">
        <v>30.01</v>
      </c>
      <c r="BN3027">
        <v>230.07</v>
      </c>
      <c r="BO3027">
        <v>230.07</v>
      </c>
      <c r="BQ3027" t="s">
        <v>3108</v>
      </c>
      <c r="BR3027" t="s">
        <v>106</v>
      </c>
      <c r="BS3027" s="3">
        <v>45847</v>
      </c>
      <c r="BT3027" s="4">
        <v>0.44097222222222221</v>
      </c>
      <c r="BU3027" t="s">
        <v>3109</v>
      </c>
      <c r="BV3027" t="s">
        <v>98</v>
      </c>
      <c r="BY3027">
        <v>18304</v>
      </c>
      <c r="BZ3027" t="s">
        <v>108</v>
      </c>
      <c r="CA3027" t="s">
        <v>1375</v>
      </c>
      <c r="CC3027" t="s">
        <v>1371</v>
      </c>
      <c r="CD3027" s="5" t="s">
        <v>1376</v>
      </c>
      <c r="CE3027" t="s">
        <v>117</v>
      </c>
      <c r="CF3027" s="3">
        <v>45848</v>
      </c>
      <c r="CI3027">
        <v>1</v>
      </c>
      <c r="CJ3027">
        <v>1</v>
      </c>
      <c r="CK3027">
        <v>43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"080066412776"</f>
        <v>080066412776</v>
      </c>
      <c r="F3028" s="3">
        <v>45846</v>
      </c>
      <c r="G3028">
        <v>202604</v>
      </c>
      <c r="H3028" t="s">
        <v>75</v>
      </c>
      <c r="I3028" t="s">
        <v>76</v>
      </c>
      <c r="J3028" t="s">
        <v>101</v>
      </c>
      <c r="K3028" t="s">
        <v>78</v>
      </c>
      <c r="L3028" t="s">
        <v>1370</v>
      </c>
      <c r="M3028" t="s">
        <v>1371</v>
      </c>
      <c r="N3028" t="s">
        <v>2067</v>
      </c>
      <c r="O3028" t="s">
        <v>95</v>
      </c>
      <c r="P3028" t="str">
        <f>"4170047262                    "</f>
        <v xml:space="preserve">4170047262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61.64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6</v>
      </c>
      <c r="BJ3028">
        <v>5.7</v>
      </c>
      <c r="BK3028">
        <v>6</v>
      </c>
      <c r="BL3028">
        <v>200.06</v>
      </c>
      <c r="BM3028">
        <v>30.01</v>
      </c>
      <c r="BN3028">
        <v>230.07</v>
      </c>
      <c r="BO3028">
        <v>230.07</v>
      </c>
      <c r="BQ3028" t="s">
        <v>2068</v>
      </c>
      <c r="BR3028" t="s">
        <v>106</v>
      </c>
      <c r="BS3028" s="3">
        <v>45847</v>
      </c>
      <c r="BT3028" s="4">
        <v>0.45069444444444445</v>
      </c>
      <c r="BU3028" t="s">
        <v>2069</v>
      </c>
      <c r="BV3028" t="s">
        <v>98</v>
      </c>
      <c r="BY3028">
        <v>28616</v>
      </c>
      <c r="BZ3028" t="s">
        <v>108</v>
      </c>
      <c r="CA3028" t="s">
        <v>1375</v>
      </c>
      <c r="CC3028" t="s">
        <v>1371</v>
      </c>
      <c r="CD3028" s="5" t="s">
        <v>1376</v>
      </c>
      <c r="CE3028" t="s">
        <v>110</v>
      </c>
      <c r="CF3028" s="3">
        <v>45848</v>
      </c>
      <c r="CI3028">
        <v>1</v>
      </c>
      <c r="CJ3028">
        <v>1</v>
      </c>
      <c r="CK3028">
        <v>43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"080066422901"</f>
        <v>080066422901</v>
      </c>
      <c r="F3029" s="3">
        <v>45846</v>
      </c>
      <c r="G3029">
        <v>202604</v>
      </c>
      <c r="H3029" t="s">
        <v>75</v>
      </c>
      <c r="I3029" t="s">
        <v>76</v>
      </c>
      <c r="J3029" t="s">
        <v>101</v>
      </c>
      <c r="K3029" t="s">
        <v>78</v>
      </c>
      <c r="L3029" t="s">
        <v>554</v>
      </c>
      <c r="M3029" t="s">
        <v>555</v>
      </c>
      <c r="N3029" t="s">
        <v>556</v>
      </c>
      <c r="O3029" t="s">
        <v>95</v>
      </c>
      <c r="P3029" t="str">
        <f>"4170047324                    "</f>
        <v xml:space="preserve">4170047324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43.7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6</v>
      </c>
      <c r="BJ3029">
        <v>2.7</v>
      </c>
      <c r="BK3029">
        <v>6</v>
      </c>
      <c r="BL3029">
        <v>143.55000000000001</v>
      </c>
      <c r="BM3029">
        <v>21.53</v>
      </c>
      <c r="BN3029">
        <v>165.08</v>
      </c>
      <c r="BO3029">
        <v>165.08</v>
      </c>
      <c r="BQ3029" t="s">
        <v>557</v>
      </c>
      <c r="BR3029" t="s">
        <v>106</v>
      </c>
      <c r="BS3029" s="3">
        <v>45847</v>
      </c>
      <c r="BT3029" s="4">
        <v>0.36458333333333331</v>
      </c>
      <c r="BU3029" t="s">
        <v>558</v>
      </c>
      <c r="BV3029" t="s">
        <v>98</v>
      </c>
      <c r="BY3029">
        <v>13328</v>
      </c>
      <c r="BZ3029" t="s">
        <v>108</v>
      </c>
      <c r="CA3029" t="s">
        <v>559</v>
      </c>
      <c r="CC3029" t="s">
        <v>555</v>
      </c>
      <c r="CD3029" s="5" t="s">
        <v>560</v>
      </c>
      <c r="CE3029" t="s">
        <v>110</v>
      </c>
      <c r="CF3029" s="3">
        <v>45847</v>
      </c>
      <c r="CI3029">
        <v>1</v>
      </c>
      <c r="CJ3029">
        <v>1</v>
      </c>
      <c r="CK3029">
        <v>41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"080066426687"</f>
        <v>080066426687</v>
      </c>
      <c r="F3030" s="3">
        <v>45846</v>
      </c>
      <c r="G3030">
        <v>202604</v>
      </c>
      <c r="H3030" t="s">
        <v>75</v>
      </c>
      <c r="I3030" t="s">
        <v>76</v>
      </c>
      <c r="J3030" t="s">
        <v>101</v>
      </c>
      <c r="K3030" t="s">
        <v>78</v>
      </c>
      <c r="L3030" t="s">
        <v>566</v>
      </c>
      <c r="M3030" t="s">
        <v>567</v>
      </c>
      <c r="N3030" t="s">
        <v>568</v>
      </c>
      <c r="O3030" t="s">
        <v>95</v>
      </c>
      <c r="P3030" t="str">
        <f>"4170047296                    "</f>
        <v xml:space="preserve">4170047296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48.26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</v>
      </c>
      <c r="BJ3030">
        <v>3.4</v>
      </c>
      <c r="BK3030">
        <v>4</v>
      </c>
      <c r="BL3030">
        <v>157.91999999999999</v>
      </c>
      <c r="BM3030">
        <v>23.69</v>
      </c>
      <c r="BN3030">
        <v>181.61</v>
      </c>
      <c r="BO3030">
        <v>181.61</v>
      </c>
      <c r="BQ3030" t="s">
        <v>3111</v>
      </c>
      <c r="BR3030" t="s">
        <v>106</v>
      </c>
      <c r="BS3030" s="3">
        <v>45847</v>
      </c>
      <c r="BT3030" s="4">
        <v>0.40694444444444444</v>
      </c>
      <c r="BU3030" t="s">
        <v>570</v>
      </c>
      <c r="BV3030" t="s">
        <v>98</v>
      </c>
      <c r="BY3030">
        <v>16965</v>
      </c>
      <c r="BZ3030" t="s">
        <v>108</v>
      </c>
      <c r="CA3030" t="s">
        <v>571</v>
      </c>
      <c r="CC3030" t="s">
        <v>567</v>
      </c>
      <c r="CD3030">
        <v>2210</v>
      </c>
      <c r="CE3030" t="s">
        <v>117</v>
      </c>
      <c r="CF3030" s="3">
        <v>45848</v>
      </c>
      <c r="CI3030">
        <v>1</v>
      </c>
      <c r="CJ3030">
        <v>1</v>
      </c>
      <c r="CK3030">
        <v>44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"080066428833"</f>
        <v>080066428833</v>
      </c>
      <c r="F3031" s="3">
        <v>45846</v>
      </c>
      <c r="G3031">
        <v>202604</v>
      </c>
      <c r="H3031" t="s">
        <v>75</v>
      </c>
      <c r="I3031" t="s">
        <v>76</v>
      </c>
      <c r="J3031" t="s">
        <v>101</v>
      </c>
      <c r="K3031" t="s">
        <v>78</v>
      </c>
      <c r="L3031" t="s">
        <v>1370</v>
      </c>
      <c r="M3031" t="s">
        <v>1371</v>
      </c>
      <c r="N3031" t="s">
        <v>2067</v>
      </c>
      <c r="O3031" t="s">
        <v>95</v>
      </c>
      <c r="P3031" t="str">
        <f>"4170047439                    "</f>
        <v xml:space="preserve">4170047439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61.64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5</v>
      </c>
      <c r="BJ3031">
        <v>3.4</v>
      </c>
      <c r="BK3031">
        <v>5</v>
      </c>
      <c r="BL3031">
        <v>200.06</v>
      </c>
      <c r="BM3031">
        <v>30.01</v>
      </c>
      <c r="BN3031">
        <v>230.07</v>
      </c>
      <c r="BO3031">
        <v>230.07</v>
      </c>
      <c r="BQ3031" t="s">
        <v>2068</v>
      </c>
      <c r="BR3031" t="s">
        <v>106</v>
      </c>
      <c r="BS3031" s="3">
        <v>45847</v>
      </c>
      <c r="BT3031" s="4">
        <v>0.45069444444444445</v>
      </c>
      <c r="BU3031" t="s">
        <v>2069</v>
      </c>
      <c r="BV3031" t="s">
        <v>98</v>
      </c>
      <c r="BY3031">
        <v>16965</v>
      </c>
      <c r="BZ3031" t="s">
        <v>108</v>
      </c>
      <c r="CA3031" t="s">
        <v>1375</v>
      </c>
      <c r="CC3031" t="s">
        <v>1371</v>
      </c>
      <c r="CD3031" s="5" t="s">
        <v>1376</v>
      </c>
      <c r="CE3031" t="s">
        <v>966</v>
      </c>
      <c r="CF3031" s="3">
        <v>45848</v>
      </c>
      <c r="CI3031">
        <v>1</v>
      </c>
      <c r="CJ3031">
        <v>1</v>
      </c>
      <c r="CK3031">
        <v>43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"080066430869"</f>
        <v>080066430869</v>
      </c>
      <c r="F3032" s="3">
        <v>45846</v>
      </c>
      <c r="G3032">
        <v>202604</v>
      </c>
      <c r="H3032" t="s">
        <v>75</v>
      </c>
      <c r="I3032" t="s">
        <v>76</v>
      </c>
      <c r="J3032" t="s">
        <v>101</v>
      </c>
      <c r="K3032" t="s">
        <v>78</v>
      </c>
      <c r="L3032" t="s">
        <v>151</v>
      </c>
      <c r="M3032" t="s">
        <v>152</v>
      </c>
      <c r="N3032" t="s">
        <v>1858</v>
      </c>
      <c r="O3032" t="s">
        <v>95</v>
      </c>
      <c r="P3032" t="str">
        <f>"4170047492                    "</f>
        <v xml:space="preserve">4170047492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43.7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3</v>
      </c>
      <c r="BJ3032">
        <v>5.0999999999999996</v>
      </c>
      <c r="BK3032">
        <v>6</v>
      </c>
      <c r="BL3032">
        <v>143.55000000000001</v>
      </c>
      <c r="BM3032">
        <v>21.53</v>
      </c>
      <c r="BN3032">
        <v>165.08</v>
      </c>
      <c r="BO3032">
        <v>165.08</v>
      </c>
      <c r="BQ3032" t="s">
        <v>3112</v>
      </c>
      <c r="BR3032" t="s">
        <v>106</v>
      </c>
      <c r="BS3032" s="3">
        <v>45847</v>
      </c>
      <c r="BT3032" s="4">
        <v>0.36041666666666666</v>
      </c>
      <c r="BU3032" t="s">
        <v>3113</v>
      </c>
      <c r="BV3032" t="s">
        <v>98</v>
      </c>
      <c r="BY3032">
        <v>25600</v>
      </c>
      <c r="BZ3032" t="s">
        <v>108</v>
      </c>
      <c r="CA3032" t="s">
        <v>906</v>
      </c>
      <c r="CC3032" t="s">
        <v>152</v>
      </c>
      <c r="CD3032" s="5" t="s">
        <v>1013</v>
      </c>
      <c r="CE3032" t="s">
        <v>110</v>
      </c>
      <c r="CF3032" s="3">
        <v>45847</v>
      </c>
      <c r="CI3032">
        <v>1</v>
      </c>
      <c r="CJ3032">
        <v>1</v>
      </c>
      <c r="CK3032">
        <v>41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"080066451909"</f>
        <v>080066451909</v>
      </c>
      <c r="F3033" s="3">
        <v>45847</v>
      </c>
      <c r="G3033">
        <v>202604</v>
      </c>
      <c r="H3033" t="s">
        <v>75</v>
      </c>
      <c r="I3033" t="s">
        <v>76</v>
      </c>
      <c r="J3033" t="s">
        <v>101</v>
      </c>
      <c r="K3033" t="s">
        <v>78</v>
      </c>
      <c r="L3033" t="s">
        <v>128</v>
      </c>
      <c r="M3033" t="s">
        <v>129</v>
      </c>
      <c r="N3033" t="s">
        <v>636</v>
      </c>
      <c r="O3033" t="s">
        <v>95</v>
      </c>
      <c r="P3033" t="str">
        <f>"4170047567                    "</f>
        <v xml:space="preserve">4170047567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61.64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7</v>
      </c>
      <c r="BJ3033">
        <v>6.8</v>
      </c>
      <c r="BK3033">
        <v>7</v>
      </c>
      <c r="BL3033">
        <v>200.06</v>
      </c>
      <c r="BM3033">
        <v>30.01</v>
      </c>
      <c r="BN3033">
        <v>230.07</v>
      </c>
      <c r="BO3033">
        <v>230.07</v>
      </c>
      <c r="BQ3033" t="s">
        <v>3114</v>
      </c>
      <c r="BR3033" t="s">
        <v>106</v>
      </c>
      <c r="BS3033" s="3">
        <v>45848</v>
      </c>
      <c r="BT3033" s="4">
        <v>0.41458333333333336</v>
      </c>
      <c r="BU3033" t="s">
        <v>1935</v>
      </c>
      <c r="BV3033" t="s">
        <v>98</v>
      </c>
      <c r="BY3033">
        <v>34048</v>
      </c>
      <c r="BZ3033" t="s">
        <v>108</v>
      </c>
      <c r="CA3033" t="s">
        <v>2284</v>
      </c>
      <c r="CC3033" t="s">
        <v>129</v>
      </c>
      <c r="CD3033" s="5" t="s">
        <v>134</v>
      </c>
      <c r="CE3033" t="s">
        <v>117</v>
      </c>
      <c r="CF3033" s="3">
        <v>45849</v>
      </c>
      <c r="CI3033">
        <v>1</v>
      </c>
      <c r="CJ3033">
        <v>1</v>
      </c>
      <c r="CK3033">
        <v>43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"080066452193"</f>
        <v>080066452193</v>
      </c>
      <c r="F3034" s="3">
        <v>45847</v>
      </c>
      <c r="G3034">
        <v>202604</v>
      </c>
      <c r="H3034" t="s">
        <v>75</v>
      </c>
      <c r="I3034" t="s">
        <v>76</v>
      </c>
      <c r="J3034" t="s">
        <v>101</v>
      </c>
      <c r="K3034" t="s">
        <v>78</v>
      </c>
      <c r="L3034" t="s">
        <v>1370</v>
      </c>
      <c r="M3034" t="s">
        <v>1371</v>
      </c>
      <c r="N3034" t="s">
        <v>2067</v>
      </c>
      <c r="O3034" t="s">
        <v>95</v>
      </c>
      <c r="P3034" t="str">
        <f>"4170047667                    "</f>
        <v xml:space="preserve">4170047667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61.64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6</v>
      </c>
      <c r="BJ3034">
        <v>1.7</v>
      </c>
      <c r="BK3034">
        <v>6</v>
      </c>
      <c r="BL3034">
        <v>200.06</v>
      </c>
      <c r="BM3034">
        <v>30.01</v>
      </c>
      <c r="BN3034">
        <v>230.07</v>
      </c>
      <c r="BO3034">
        <v>230.07</v>
      </c>
      <c r="BQ3034" t="s">
        <v>2068</v>
      </c>
      <c r="BR3034" t="s">
        <v>106</v>
      </c>
      <c r="BS3034" s="3">
        <v>45848</v>
      </c>
      <c r="BT3034" s="4">
        <v>0.42708333333333331</v>
      </c>
      <c r="BU3034" t="s">
        <v>2069</v>
      </c>
      <c r="BV3034" t="s">
        <v>98</v>
      </c>
      <c r="BY3034">
        <v>8512</v>
      </c>
      <c r="BZ3034" t="s">
        <v>108</v>
      </c>
      <c r="CA3034" t="s">
        <v>1375</v>
      </c>
      <c r="CC3034" t="s">
        <v>1371</v>
      </c>
      <c r="CD3034" s="5" t="s">
        <v>1376</v>
      </c>
      <c r="CE3034" t="s">
        <v>117</v>
      </c>
      <c r="CF3034" s="3">
        <v>45849</v>
      </c>
      <c r="CI3034">
        <v>1</v>
      </c>
      <c r="CJ3034">
        <v>1</v>
      </c>
      <c r="CK3034">
        <v>43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"080066452989"</f>
        <v>080066452989</v>
      </c>
      <c r="F3035" s="3">
        <v>45847</v>
      </c>
      <c r="G3035">
        <v>202604</v>
      </c>
      <c r="H3035" t="s">
        <v>75</v>
      </c>
      <c r="I3035" t="s">
        <v>76</v>
      </c>
      <c r="J3035" t="s">
        <v>101</v>
      </c>
      <c r="K3035" t="s">
        <v>78</v>
      </c>
      <c r="L3035" t="s">
        <v>1447</v>
      </c>
      <c r="M3035" t="s">
        <v>1448</v>
      </c>
      <c r="N3035" t="s">
        <v>1449</v>
      </c>
      <c r="O3035" t="s">
        <v>95</v>
      </c>
      <c r="P3035" t="str">
        <f>"4170047539                    "</f>
        <v xml:space="preserve">4170047539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61.64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5</v>
      </c>
      <c r="BJ3035">
        <v>2</v>
      </c>
      <c r="BK3035">
        <v>5</v>
      </c>
      <c r="BL3035">
        <v>200.06</v>
      </c>
      <c r="BM3035">
        <v>30.01</v>
      </c>
      <c r="BN3035">
        <v>230.07</v>
      </c>
      <c r="BO3035">
        <v>230.07</v>
      </c>
      <c r="BQ3035" t="s">
        <v>1450</v>
      </c>
      <c r="BR3035" t="s">
        <v>106</v>
      </c>
      <c r="BS3035" s="3">
        <v>45848</v>
      </c>
      <c r="BT3035" s="4">
        <v>0.53472222222222221</v>
      </c>
      <c r="BU3035" t="s">
        <v>1451</v>
      </c>
      <c r="BV3035" t="s">
        <v>98</v>
      </c>
      <c r="BY3035">
        <v>10240</v>
      </c>
      <c r="BZ3035" t="s">
        <v>108</v>
      </c>
      <c r="CC3035" t="s">
        <v>1448</v>
      </c>
      <c r="CD3035">
        <v>2380</v>
      </c>
      <c r="CE3035" t="s">
        <v>110</v>
      </c>
      <c r="CF3035" s="3">
        <v>45849</v>
      </c>
      <c r="CI3035">
        <v>1</v>
      </c>
      <c r="CJ3035">
        <v>1</v>
      </c>
      <c r="CK3035">
        <v>43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"080066474006"</f>
        <v>080066474006</v>
      </c>
      <c r="F3036" s="3">
        <v>45848</v>
      </c>
      <c r="G3036">
        <v>202604</v>
      </c>
      <c r="H3036" t="s">
        <v>75</v>
      </c>
      <c r="I3036" t="s">
        <v>76</v>
      </c>
      <c r="J3036" t="s">
        <v>101</v>
      </c>
      <c r="K3036" t="s">
        <v>78</v>
      </c>
      <c r="L3036" t="s">
        <v>151</v>
      </c>
      <c r="M3036" t="s">
        <v>152</v>
      </c>
      <c r="N3036" t="s">
        <v>500</v>
      </c>
      <c r="O3036" t="s">
        <v>95</v>
      </c>
      <c r="P3036" t="str">
        <f>"4170048058                    "</f>
        <v xml:space="preserve">4170048058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43.7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5</v>
      </c>
      <c r="BJ3036">
        <v>1.7</v>
      </c>
      <c r="BK3036">
        <v>5</v>
      </c>
      <c r="BL3036">
        <v>143.55000000000001</v>
      </c>
      <c r="BM3036">
        <v>21.53</v>
      </c>
      <c r="BN3036">
        <v>165.08</v>
      </c>
      <c r="BO3036">
        <v>165.08</v>
      </c>
      <c r="BQ3036" t="s">
        <v>3115</v>
      </c>
      <c r="BR3036" t="s">
        <v>106</v>
      </c>
      <c r="BS3036" s="3">
        <v>45849</v>
      </c>
      <c r="BT3036" s="4">
        <v>0.41875000000000001</v>
      </c>
      <c r="BU3036" t="s">
        <v>561</v>
      </c>
      <c r="BV3036" t="s">
        <v>98</v>
      </c>
      <c r="BY3036">
        <v>8640</v>
      </c>
      <c r="BZ3036" t="s">
        <v>108</v>
      </c>
      <c r="CA3036" t="s">
        <v>388</v>
      </c>
      <c r="CC3036" t="s">
        <v>152</v>
      </c>
      <c r="CD3036" s="5" t="s">
        <v>157</v>
      </c>
      <c r="CE3036" t="s">
        <v>110</v>
      </c>
      <c r="CF3036" s="3">
        <v>45849</v>
      </c>
      <c r="CI3036">
        <v>1</v>
      </c>
      <c r="CJ3036">
        <v>1</v>
      </c>
      <c r="CK3036">
        <v>41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"080066477988"</f>
        <v>080066477988</v>
      </c>
      <c r="F3037" s="3">
        <v>45848</v>
      </c>
      <c r="G3037">
        <v>202604</v>
      </c>
      <c r="H3037" t="s">
        <v>75</v>
      </c>
      <c r="I3037" t="s">
        <v>76</v>
      </c>
      <c r="J3037" t="s">
        <v>101</v>
      </c>
      <c r="K3037" t="s">
        <v>78</v>
      </c>
      <c r="L3037" t="s">
        <v>246</v>
      </c>
      <c r="M3037" t="s">
        <v>247</v>
      </c>
      <c r="N3037" t="s">
        <v>1359</v>
      </c>
      <c r="O3037" t="s">
        <v>95</v>
      </c>
      <c r="P3037" t="str">
        <f>"4170047854                    "</f>
        <v xml:space="preserve">4170047854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48.26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3.4</v>
      </c>
      <c r="BK3037">
        <v>4</v>
      </c>
      <c r="BL3037">
        <v>157.91999999999999</v>
      </c>
      <c r="BM3037">
        <v>23.69</v>
      </c>
      <c r="BN3037">
        <v>181.61</v>
      </c>
      <c r="BO3037">
        <v>181.61</v>
      </c>
      <c r="BQ3037" t="s">
        <v>3116</v>
      </c>
      <c r="BR3037" t="s">
        <v>106</v>
      </c>
      <c r="BS3037" s="3">
        <v>45849</v>
      </c>
      <c r="BT3037" s="4">
        <v>0.40972222222222221</v>
      </c>
      <c r="BU3037" t="s">
        <v>3117</v>
      </c>
      <c r="BV3037" t="s">
        <v>98</v>
      </c>
      <c r="BY3037">
        <v>16965</v>
      </c>
      <c r="BZ3037" t="s">
        <v>108</v>
      </c>
      <c r="CA3037" t="s">
        <v>812</v>
      </c>
      <c r="CC3037" t="s">
        <v>247</v>
      </c>
      <c r="CD3037">
        <v>1438</v>
      </c>
      <c r="CE3037" t="s">
        <v>117</v>
      </c>
      <c r="CF3037" s="3">
        <v>45850</v>
      </c>
      <c r="CI3037">
        <v>1</v>
      </c>
      <c r="CJ3037">
        <v>1</v>
      </c>
      <c r="CK3037">
        <v>44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"080066478679"</f>
        <v>080066478679</v>
      </c>
      <c r="F3038" s="3">
        <v>45848</v>
      </c>
      <c r="G3038">
        <v>202604</v>
      </c>
      <c r="H3038" t="s">
        <v>75</v>
      </c>
      <c r="I3038" t="s">
        <v>76</v>
      </c>
      <c r="J3038" t="s">
        <v>101</v>
      </c>
      <c r="K3038" t="s">
        <v>78</v>
      </c>
      <c r="L3038" t="s">
        <v>151</v>
      </c>
      <c r="M3038" t="s">
        <v>152</v>
      </c>
      <c r="N3038" t="s">
        <v>801</v>
      </c>
      <c r="O3038" t="s">
        <v>95</v>
      </c>
      <c r="P3038" t="str">
        <f>"4170048069                    "</f>
        <v xml:space="preserve">4170048069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43.7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8.1</v>
      </c>
      <c r="BK3038">
        <v>9</v>
      </c>
      <c r="BL3038">
        <v>143.55000000000001</v>
      </c>
      <c r="BM3038">
        <v>21.53</v>
      </c>
      <c r="BN3038">
        <v>165.08</v>
      </c>
      <c r="BO3038">
        <v>165.08</v>
      </c>
      <c r="BQ3038" t="s">
        <v>802</v>
      </c>
      <c r="BR3038" t="s">
        <v>106</v>
      </c>
      <c r="BS3038" s="3">
        <v>45849</v>
      </c>
      <c r="BT3038" s="4">
        <v>0.39305555555555555</v>
      </c>
      <c r="BU3038" t="s">
        <v>2936</v>
      </c>
      <c r="BV3038" t="s">
        <v>98</v>
      </c>
      <c r="BY3038">
        <v>40500</v>
      </c>
      <c r="BZ3038" t="s">
        <v>108</v>
      </c>
      <c r="CA3038" t="s">
        <v>716</v>
      </c>
      <c r="CC3038" t="s">
        <v>152</v>
      </c>
      <c r="CD3038" s="5" t="s">
        <v>717</v>
      </c>
      <c r="CE3038" t="s">
        <v>1868</v>
      </c>
      <c r="CF3038" s="3">
        <v>45849</v>
      </c>
      <c r="CI3038">
        <v>1</v>
      </c>
      <c r="CJ3038">
        <v>1</v>
      </c>
      <c r="CK3038">
        <v>41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"080066479631"</f>
        <v>080066479631</v>
      </c>
      <c r="F3039" s="3">
        <v>45848</v>
      </c>
      <c r="G3039">
        <v>202604</v>
      </c>
      <c r="H3039" t="s">
        <v>75</v>
      </c>
      <c r="I3039" t="s">
        <v>76</v>
      </c>
      <c r="J3039" t="s">
        <v>101</v>
      </c>
      <c r="K3039" t="s">
        <v>78</v>
      </c>
      <c r="L3039" t="s">
        <v>151</v>
      </c>
      <c r="M3039" t="s">
        <v>152</v>
      </c>
      <c r="N3039" t="s">
        <v>510</v>
      </c>
      <c r="O3039" t="s">
        <v>95</v>
      </c>
      <c r="P3039" t="str">
        <f>"4170047858                    "</f>
        <v xml:space="preserve">4170047858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43.7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3</v>
      </c>
      <c r="BJ3039">
        <v>4.4000000000000004</v>
      </c>
      <c r="BK3039">
        <v>5</v>
      </c>
      <c r="BL3039">
        <v>143.55000000000001</v>
      </c>
      <c r="BM3039">
        <v>21.53</v>
      </c>
      <c r="BN3039">
        <v>165.08</v>
      </c>
      <c r="BO3039">
        <v>165.08</v>
      </c>
      <c r="BQ3039" t="s">
        <v>3118</v>
      </c>
      <c r="BR3039" t="s">
        <v>106</v>
      </c>
      <c r="BS3039" s="3">
        <v>45849</v>
      </c>
      <c r="BT3039" s="4">
        <v>0.41249999999999998</v>
      </c>
      <c r="BU3039" t="s">
        <v>512</v>
      </c>
      <c r="BV3039" t="s">
        <v>98</v>
      </c>
      <c r="BY3039">
        <v>22230</v>
      </c>
      <c r="BZ3039" t="s">
        <v>108</v>
      </c>
      <c r="CA3039" t="s">
        <v>513</v>
      </c>
      <c r="CC3039" t="s">
        <v>152</v>
      </c>
      <c r="CD3039" s="5" t="s">
        <v>389</v>
      </c>
      <c r="CE3039" t="s">
        <v>117</v>
      </c>
      <c r="CF3039" s="3">
        <v>45849</v>
      </c>
      <c r="CI3039">
        <v>1</v>
      </c>
      <c r="CJ3039">
        <v>1</v>
      </c>
      <c r="CK3039">
        <v>41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"080066494183"</f>
        <v>080066494183</v>
      </c>
      <c r="F3040" s="3">
        <v>45849</v>
      </c>
      <c r="G3040">
        <v>202604</v>
      </c>
      <c r="H3040" t="s">
        <v>75</v>
      </c>
      <c r="I3040" t="s">
        <v>76</v>
      </c>
      <c r="J3040" t="s">
        <v>101</v>
      </c>
      <c r="K3040" t="s">
        <v>78</v>
      </c>
      <c r="L3040" t="s">
        <v>1370</v>
      </c>
      <c r="M3040" t="s">
        <v>1371</v>
      </c>
      <c r="N3040" t="s">
        <v>1346</v>
      </c>
      <c r="O3040" t="s">
        <v>95</v>
      </c>
      <c r="P3040" t="str">
        <f>"4170048021                    "</f>
        <v xml:space="preserve">4170048021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61.64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4</v>
      </c>
      <c r="BJ3040">
        <v>1.7</v>
      </c>
      <c r="BK3040">
        <v>4</v>
      </c>
      <c r="BL3040">
        <v>200.06</v>
      </c>
      <c r="BM3040">
        <v>30.01</v>
      </c>
      <c r="BN3040">
        <v>230.07</v>
      </c>
      <c r="BO3040">
        <v>230.07</v>
      </c>
      <c r="BQ3040" t="s">
        <v>3108</v>
      </c>
      <c r="BR3040" t="s">
        <v>106</v>
      </c>
      <c r="BS3040" s="3">
        <v>45852</v>
      </c>
      <c r="BT3040" s="4">
        <v>0.53055555555555556</v>
      </c>
      <c r="BU3040" t="s">
        <v>2160</v>
      </c>
      <c r="BV3040" t="s">
        <v>98</v>
      </c>
      <c r="BY3040">
        <v>8512</v>
      </c>
      <c r="BZ3040" t="s">
        <v>108</v>
      </c>
      <c r="CA3040" t="s">
        <v>1375</v>
      </c>
      <c r="CC3040" t="s">
        <v>1371</v>
      </c>
      <c r="CD3040" s="5" t="s">
        <v>1376</v>
      </c>
      <c r="CE3040" t="s">
        <v>117</v>
      </c>
      <c r="CF3040" s="3">
        <v>45853</v>
      </c>
      <c r="CI3040">
        <v>1</v>
      </c>
      <c r="CJ3040">
        <v>1</v>
      </c>
      <c r="CK3040">
        <v>43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"080066500727"</f>
        <v>080066500727</v>
      </c>
      <c r="F3041" s="3">
        <v>45849</v>
      </c>
      <c r="G3041">
        <v>202604</v>
      </c>
      <c r="H3041" t="s">
        <v>75</v>
      </c>
      <c r="I3041" t="s">
        <v>76</v>
      </c>
      <c r="J3041" t="s">
        <v>101</v>
      </c>
      <c r="K3041" t="s">
        <v>78</v>
      </c>
      <c r="L3041" t="s">
        <v>1370</v>
      </c>
      <c r="M3041" t="s">
        <v>1371</v>
      </c>
      <c r="N3041" t="s">
        <v>2067</v>
      </c>
      <c r="O3041" t="s">
        <v>95</v>
      </c>
      <c r="P3041" t="str">
        <f>"4170048245                    "</f>
        <v xml:space="preserve">4170048245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61.64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</v>
      </c>
      <c r="BJ3041">
        <v>3.4</v>
      </c>
      <c r="BK3041">
        <v>4</v>
      </c>
      <c r="BL3041">
        <v>200.06</v>
      </c>
      <c r="BM3041">
        <v>30.01</v>
      </c>
      <c r="BN3041">
        <v>230.07</v>
      </c>
      <c r="BO3041">
        <v>230.07</v>
      </c>
      <c r="BQ3041" t="s">
        <v>2068</v>
      </c>
      <c r="BR3041" t="s">
        <v>106</v>
      </c>
      <c r="BS3041" s="3">
        <v>45852</v>
      </c>
      <c r="BT3041" s="4">
        <v>0.49166666666666664</v>
      </c>
      <c r="BU3041" t="s">
        <v>2156</v>
      </c>
      <c r="BV3041" t="s">
        <v>98</v>
      </c>
      <c r="BY3041">
        <v>16965</v>
      </c>
      <c r="BZ3041" t="s">
        <v>108</v>
      </c>
      <c r="CA3041" t="s">
        <v>1375</v>
      </c>
      <c r="CC3041" t="s">
        <v>1371</v>
      </c>
      <c r="CD3041" s="5" t="s">
        <v>1376</v>
      </c>
      <c r="CE3041" t="s">
        <v>117</v>
      </c>
      <c r="CF3041" s="3">
        <v>45853</v>
      </c>
      <c r="CI3041">
        <v>1</v>
      </c>
      <c r="CJ3041">
        <v>1</v>
      </c>
      <c r="CK3041">
        <v>43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"080066542520"</f>
        <v>080066542520</v>
      </c>
      <c r="F3042" s="3">
        <v>45852</v>
      </c>
      <c r="G3042">
        <v>202604</v>
      </c>
      <c r="H3042" t="s">
        <v>75</v>
      </c>
      <c r="I3042" t="s">
        <v>76</v>
      </c>
      <c r="J3042" t="s">
        <v>101</v>
      </c>
      <c r="K3042" t="s">
        <v>78</v>
      </c>
      <c r="L3042" t="s">
        <v>252</v>
      </c>
      <c r="M3042" t="s">
        <v>253</v>
      </c>
      <c r="N3042" t="s">
        <v>254</v>
      </c>
      <c r="O3042" t="s">
        <v>95</v>
      </c>
      <c r="P3042" t="str">
        <f>"4170048408                    "</f>
        <v xml:space="preserve">4170048408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61.64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6</v>
      </c>
      <c r="BJ3042">
        <v>1.7</v>
      </c>
      <c r="BK3042">
        <v>6</v>
      </c>
      <c r="BL3042">
        <v>200.06</v>
      </c>
      <c r="BM3042">
        <v>30.01</v>
      </c>
      <c r="BN3042">
        <v>230.07</v>
      </c>
      <c r="BO3042">
        <v>230.07</v>
      </c>
      <c r="BQ3042" t="s">
        <v>3105</v>
      </c>
      <c r="BR3042" t="s">
        <v>106</v>
      </c>
      <c r="BS3042" s="3">
        <v>45853</v>
      </c>
      <c r="BT3042" s="4">
        <v>0.33888888888888891</v>
      </c>
      <c r="BU3042" t="s">
        <v>2512</v>
      </c>
      <c r="BV3042" t="s">
        <v>98</v>
      </c>
      <c r="BY3042">
        <v>8512</v>
      </c>
      <c r="BZ3042" t="s">
        <v>108</v>
      </c>
      <c r="CA3042" t="s">
        <v>2513</v>
      </c>
      <c r="CC3042" t="s">
        <v>253</v>
      </c>
      <c r="CD3042">
        <v>1947</v>
      </c>
      <c r="CE3042" t="s">
        <v>117</v>
      </c>
      <c r="CF3042" s="3">
        <v>45853</v>
      </c>
      <c r="CI3042">
        <v>1</v>
      </c>
      <c r="CJ3042">
        <v>1</v>
      </c>
      <c r="CK3042">
        <v>43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"080066546740"</f>
        <v>080066546740</v>
      </c>
      <c r="F3043" s="3">
        <v>45852</v>
      </c>
      <c r="G3043">
        <v>202604</v>
      </c>
      <c r="H3043" t="s">
        <v>75</v>
      </c>
      <c r="I3043" t="s">
        <v>76</v>
      </c>
      <c r="J3043" t="s">
        <v>101</v>
      </c>
      <c r="K3043" t="s">
        <v>78</v>
      </c>
      <c r="L3043" t="s">
        <v>554</v>
      </c>
      <c r="M3043" t="s">
        <v>555</v>
      </c>
      <c r="N3043" t="s">
        <v>2163</v>
      </c>
      <c r="O3043" t="s">
        <v>95</v>
      </c>
      <c r="P3043" t="str">
        <f>"4170048599                    "</f>
        <v xml:space="preserve">4170048599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43.7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3</v>
      </c>
      <c r="BJ3043">
        <v>5.7</v>
      </c>
      <c r="BK3043">
        <v>6</v>
      </c>
      <c r="BL3043">
        <v>143.55000000000001</v>
      </c>
      <c r="BM3043">
        <v>21.53</v>
      </c>
      <c r="BN3043">
        <v>165.08</v>
      </c>
      <c r="BO3043">
        <v>165.08</v>
      </c>
      <c r="BQ3043" t="s">
        <v>3119</v>
      </c>
      <c r="BR3043" t="s">
        <v>106</v>
      </c>
      <c r="BS3043" s="3">
        <v>45853</v>
      </c>
      <c r="BT3043" s="4">
        <v>0.36180555555555555</v>
      </c>
      <c r="BU3043" t="s">
        <v>257</v>
      </c>
      <c r="BV3043" t="s">
        <v>98</v>
      </c>
      <c r="BY3043">
        <v>28275</v>
      </c>
      <c r="BZ3043" t="s">
        <v>108</v>
      </c>
      <c r="CA3043" t="s">
        <v>156</v>
      </c>
      <c r="CC3043" t="s">
        <v>555</v>
      </c>
      <c r="CD3043" s="5" t="s">
        <v>560</v>
      </c>
      <c r="CE3043" t="s">
        <v>117</v>
      </c>
      <c r="CF3043" s="3">
        <v>45853</v>
      </c>
      <c r="CI3043">
        <v>1</v>
      </c>
      <c r="CJ3043">
        <v>1</v>
      </c>
      <c r="CK3043">
        <v>41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"080066548041"</f>
        <v>080066548041</v>
      </c>
      <c r="F3044" s="3">
        <v>45852</v>
      </c>
      <c r="G3044">
        <v>202604</v>
      </c>
      <c r="H3044" t="s">
        <v>75</v>
      </c>
      <c r="I3044" t="s">
        <v>76</v>
      </c>
      <c r="J3044" t="s">
        <v>101</v>
      </c>
      <c r="K3044" t="s">
        <v>78</v>
      </c>
      <c r="L3044" t="s">
        <v>128</v>
      </c>
      <c r="M3044" t="s">
        <v>129</v>
      </c>
      <c r="N3044" t="s">
        <v>130</v>
      </c>
      <c r="O3044" t="s">
        <v>95</v>
      </c>
      <c r="P3044" t="str">
        <f>"4170048502                    "</f>
        <v xml:space="preserve">4170048502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61.64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2</v>
      </c>
      <c r="BI3044">
        <v>15</v>
      </c>
      <c r="BJ3044">
        <v>8.9</v>
      </c>
      <c r="BK3044">
        <v>15</v>
      </c>
      <c r="BL3044">
        <v>200.06</v>
      </c>
      <c r="BM3044">
        <v>30.01</v>
      </c>
      <c r="BN3044">
        <v>230.07</v>
      </c>
      <c r="BO3044">
        <v>230.07</v>
      </c>
      <c r="BQ3044" t="s">
        <v>3120</v>
      </c>
      <c r="BR3044" t="s">
        <v>106</v>
      </c>
      <c r="BS3044" s="3">
        <v>45853</v>
      </c>
      <c r="BT3044" s="4">
        <v>0.42152777777777778</v>
      </c>
      <c r="BU3044" t="s">
        <v>1274</v>
      </c>
      <c r="BV3044" t="s">
        <v>98</v>
      </c>
      <c r="BY3044">
        <v>44480</v>
      </c>
      <c r="BZ3044" t="s">
        <v>108</v>
      </c>
      <c r="CA3044" t="s">
        <v>133</v>
      </c>
      <c r="CC3044" t="s">
        <v>129</v>
      </c>
      <c r="CD3044" s="5" t="s">
        <v>134</v>
      </c>
      <c r="CE3044" t="s">
        <v>110</v>
      </c>
      <c r="CF3044" s="3">
        <v>45854</v>
      </c>
      <c r="CI3044">
        <v>1</v>
      </c>
      <c r="CJ3044">
        <v>1</v>
      </c>
      <c r="CK3044">
        <v>43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"080066551003"</f>
        <v>080066551003</v>
      </c>
      <c r="F3045" s="3">
        <v>45852</v>
      </c>
      <c r="G3045">
        <v>202604</v>
      </c>
      <c r="H3045" t="s">
        <v>75</v>
      </c>
      <c r="I3045" t="s">
        <v>76</v>
      </c>
      <c r="J3045" t="s">
        <v>101</v>
      </c>
      <c r="K3045" t="s">
        <v>78</v>
      </c>
      <c r="L3045" t="s">
        <v>252</v>
      </c>
      <c r="M3045" t="s">
        <v>253</v>
      </c>
      <c r="N3045" t="s">
        <v>254</v>
      </c>
      <c r="O3045" t="s">
        <v>95</v>
      </c>
      <c r="P3045" t="str">
        <f>"4170048662                    "</f>
        <v xml:space="preserve">4170048662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61.64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6</v>
      </c>
      <c r="BJ3045">
        <v>13.1</v>
      </c>
      <c r="BK3045">
        <v>14</v>
      </c>
      <c r="BL3045">
        <v>200.06</v>
      </c>
      <c r="BM3045">
        <v>30.01</v>
      </c>
      <c r="BN3045">
        <v>230.07</v>
      </c>
      <c r="BO3045">
        <v>230.07</v>
      </c>
      <c r="BQ3045" t="s">
        <v>3105</v>
      </c>
      <c r="BR3045" t="s">
        <v>106</v>
      </c>
      <c r="BS3045" s="3">
        <v>45853</v>
      </c>
      <c r="BT3045" s="4">
        <v>0.33888888888888891</v>
      </c>
      <c r="BU3045" t="s">
        <v>2512</v>
      </c>
      <c r="BV3045" t="s">
        <v>98</v>
      </c>
      <c r="BY3045">
        <v>65536</v>
      </c>
      <c r="BZ3045" t="s">
        <v>108</v>
      </c>
      <c r="CA3045" t="s">
        <v>2513</v>
      </c>
      <c r="CC3045" t="s">
        <v>253</v>
      </c>
      <c r="CD3045">
        <v>1947</v>
      </c>
      <c r="CE3045" t="s">
        <v>110</v>
      </c>
      <c r="CF3045" s="3">
        <v>45853</v>
      </c>
      <c r="CI3045">
        <v>1</v>
      </c>
      <c r="CJ3045">
        <v>1</v>
      </c>
      <c r="CK3045">
        <v>43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"080066552911"</f>
        <v>080066552911</v>
      </c>
      <c r="F3046" s="3">
        <v>45852</v>
      </c>
      <c r="G3046">
        <v>202604</v>
      </c>
      <c r="H3046" t="s">
        <v>75</v>
      </c>
      <c r="I3046" t="s">
        <v>76</v>
      </c>
      <c r="J3046" t="s">
        <v>101</v>
      </c>
      <c r="K3046" t="s">
        <v>78</v>
      </c>
      <c r="L3046" t="s">
        <v>260</v>
      </c>
      <c r="M3046" t="s">
        <v>261</v>
      </c>
      <c r="N3046" t="s">
        <v>1315</v>
      </c>
      <c r="O3046" t="s">
        <v>95</v>
      </c>
      <c r="P3046" t="str">
        <f>"4170048640                    "</f>
        <v xml:space="preserve">4170048640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61.64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4</v>
      </c>
      <c r="BJ3046">
        <v>3.4</v>
      </c>
      <c r="BK3046">
        <v>4</v>
      </c>
      <c r="BL3046">
        <v>200.06</v>
      </c>
      <c r="BM3046">
        <v>30.01</v>
      </c>
      <c r="BN3046">
        <v>230.07</v>
      </c>
      <c r="BO3046">
        <v>230.07</v>
      </c>
      <c r="BQ3046" t="s">
        <v>3121</v>
      </c>
      <c r="BR3046" t="s">
        <v>106</v>
      </c>
      <c r="BS3046" s="3">
        <v>45853</v>
      </c>
      <c r="BT3046" s="4">
        <v>0.41944444444444445</v>
      </c>
      <c r="BU3046" t="s">
        <v>3122</v>
      </c>
      <c r="BV3046" t="s">
        <v>98</v>
      </c>
      <c r="BY3046">
        <v>16965</v>
      </c>
      <c r="BZ3046" t="s">
        <v>108</v>
      </c>
      <c r="CA3046" t="s">
        <v>375</v>
      </c>
      <c r="CC3046" t="s">
        <v>261</v>
      </c>
      <c r="CD3046">
        <v>1939</v>
      </c>
      <c r="CE3046" t="s">
        <v>117</v>
      </c>
      <c r="CF3046" s="3">
        <v>45853</v>
      </c>
      <c r="CI3046">
        <v>1</v>
      </c>
      <c r="CJ3046">
        <v>1</v>
      </c>
      <c r="CK3046">
        <v>43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"080066575303"</f>
        <v>080066575303</v>
      </c>
      <c r="F3047" s="3">
        <v>45853</v>
      </c>
      <c r="G3047">
        <v>202604</v>
      </c>
      <c r="H3047" t="s">
        <v>75</v>
      </c>
      <c r="I3047" t="s">
        <v>76</v>
      </c>
      <c r="J3047" t="s">
        <v>101</v>
      </c>
      <c r="K3047" t="s">
        <v>78</v>
      </c>
      <c r="L3047" t="s">
        <v>554</v>
      </c>
      <c r="M3047" t="s">
        <v>555</v>
      </c>
      <c r="N3047" t="s">
        <v>792</v>
      </c>
      <c r="O3047" t="s">
        <v>95</v>
      </c>
      <c r="P3047" t="str">
        <f>"4170048705                    "</f>
        <v xml:space="preserve">4170048705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43.7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4</v>
      </c>
      <c r="BJ3047">
        <v>2.7</v>
      </c>
      <c r="BK3047">
        <v>4</v>
      </c>
      <c r="BL3047">
        <v>143.55000000000001</v>
      </c>
      <c r="BM3047">
        <v>21.53</v>
      </c>
      <c r="BN3047">
        <v>165.08</v>
      </c>
      <c r="BO3047">
        <v>165.08</v>
      </c>
      <c r="BQ3047" t="s">
        <v>793</v>
      </c>
      <c r="BR3047" t="s">
        <v>106</v>
      </c>
      <c r="BS3047" s="3">
        <v>45854</v>
      </c>
      <c r="BT3047" s="4">
        <v>0.34583333333333333</v>
      </c>
      <c r="BU3047" t="s">
        <v>3123</v>
      </c>
      <c r="BV3047" t="s">
        <v>98</v>
      </c>
      <c r="BY3047">
        <v>13440</v>
      </c>
      <c r="BZ3047" t="s">
        <v>108</v>
      </c>
      <c r="CA3047" t="s">
        <v>3124</v>
      </c>
      <c r="CC3047" t="s">
        <v>555</v>
      </c>
      <c r="CD3047" s="5" t="s">
        <v>560</v>
      </c>
      <c r="CE3047" t="s">
        <v>110</v>
      </c>
      <c r="CF3047" s="3">
        <v>45854</v>
      </c>
      <c r="CI3047">
        <v>1</v>
      </c>
      <c r="CJ3047">
        <v>1</v>
      </c>
      <c r="CK3047">
        <v>41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"080066576479"</f>
        <v>080066576479</v>
      </c>
      <c r="F3048" s="3">
        <v>45853</v>
      </c>
      <c r="G3048">
        <v>202604</v>
      </c>
      <c r="H3048" t="s">
        <v>75</v>
      </c>
      <c r="I3048" t="s">
        <v>76</v>
      </c>
      <c r="J3048" t="s">
        <v>101</v>
      </c>
      <c r="K3048" t="s">
        <v>78</v>
      </c>
      <c r="L3048" t="s">
        <v>821</v>
      </c>
      <c r="M3048" t="s">
        <v>822</v>
      </c>
      <c r="N3048" t="s">
        <v>3053</v>
      </c>
      <c r="O3048" t="s">
        <v>95</v>
      </c>
      <c r="P3048" t="str">
        <f>"4170048690                    "</f>
        <v xml:space="preserve">4170048690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48.26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2</v>
      </c>
      <c r="BI3048">
        <v>12</v>
      </c>
      <c r="BJ3048">
        <v>5.4</v>
      </c>
      <c r="BK3048">
        <v>12</v>
      </c>
      <c r="BL3048">
        <v>157.91999999999999</v>
      </c>
      <c r="BM3048">
        <v>23.69</v>
      </c>
      <c r="BN3048">
        <v>181.61</v>
      </c>
      <c r="BO3048">
        <v>181.61</v>
      </c>
      <c r="BQ3048" t="s">
        <v>3125</v>
      </c>
      <c r="BR3048" t="s">
        <v>106</v>
      </c>
      <c r="BS3048" s="3">
        <v>45854</v>
      </c>
      <c r="BT3048" s="4">
        <v>0.48749999999999999</v>
      </c>
      <c r="BU3048" t="s">
        <v>3126</v>
      </c>
      <c r="BV3048" t="s">
        <v>98</v>
      </c>
      <c r="BY3048">
        <v>26780</v>
      </c>
      <c r="BZ3048" t="s">
        <v>108</v>
      </c>
      <c r="CA3048" t="s">
        <v>3127</v>
      </c>
      <c r="CC3048" t="s">
        <v>822</v>
      </c>
      <c r="CD3048">
        <v>1759</v>
      </c>
      <c r="CE3048" t="s">
        <v>110</v>
      </c>
      <c r="CF3048" s="3">
        <v>45854</v>
      </c>
      <c r="CI3048">
        <v>1</v>
      </c>
      <c r="CJ3048">
        <v>1</v>
      </c>
      <c r="CK3048">
        <v>44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"080066578747"</f>
        <v>080066578747</v>
      </c>
      <c r="F3049" s="3">
        <v>45853</v>
      </c>
      <c r="G3049">
        <v>202604</v>
      </c>
      <c r="H3049" t="s">
        <v>75</v>
      </c>
      <c r="I3049" t="s">
        <v>76</v>
      </c>
      <c r="J3049" t="s">
        <v>101</v>
      </c>
      <c r="K3049" t="s">
        <v>78</v>
      </c>
      <c r="L3049" t="s">
        <v>151</v>
      </c>
      <c r="M3049" t="s">
        <v>152</v>
      </c>
      <c r="N3049" t="s">
        <v>3039</v>
      </c>
      <c r="O3049" t="s">
        <v>95</v>
      </c>
      <c r="P3049" t="str">
        <f>"4170048906                    "</f>
        <v xml:space="preserve">4170048906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43.7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5.7</v>
      </c>
      <c r="BK3049">
        <v>6</v>
      </c>
      <c r="BL3049">
        <v>143.55000000000001</v>
      </c>
      <c r="BM3049">
        <v>21.53</v>
      </c>
      <c r="BN3049">
        <v>165.08</v>
      </c>
      <c r="BO3049">
        <v>165.08</v>
      </c>
      <c r="BQ3049" t="s">
        <v>3128</v>
      </c>
      <c r="BR3049" t="s">
        <v>106</v>
      </c>
      <c r="BS3049" s="3">
        <v>45854</v>
      </c>
      <c r="BT3049" s="4">
        <v>0.38750000000000001</v>
      </c>
      <c r="BU3049" t="s">
        <v>3129</v>
      </c>
      <c r="BV3049" t="s">
        <v>98</v>
      </c>
      <c r="BY3049">
        <v>28350</v>
      </c>
      <c r="BZ3049" t="s">
        <v>108</v>
      </c>
      <c r="CA3049" t="s">
        <v>3130</v>
      </c>
      <c r="CC3049" t="s">
        <v>152</v>
      </c>
      <c r="CD3049" s="5" t="s">
        <v>1013</v>
      </c>
      <c r="CE3049" t="s">
        <v>1868</v>
      </c>
      <c r="CF3049" s="3">
        <v>45854</v>
      </c>
      <c r="CI3049">
        <v>1</v>
      </c>
      <c r="CJ3049">
        <v>1</v>
      </c>
      <c r="CK3049">
        <v>41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"080066581277"</f>
        <v>080066581277</v>
      </c>
      <c r="F3050" s="3">
        <v>45853</v>
      </c>
      <c r="G3050">
        <v>202604</v>
      </c>
      <c r="H3050" t="s">
        <v>75</v>
      </c>
      <c r="I3050" t="s">
        <v>76</v>
      </c>
      <c r="J3050" t="s">
        <v>101</v>
      </c>
      <c r="K3050" t="s">
        <v>78</v>
      </c>
      <c r="L3050" t="s">
        <v>260</v>
      </c>
      <c r="M3050" t="s">
        <v>261</v>
      </c>
      <c r="N3050" t="s">
        <v>1315</v>
      </c>
      <c r="O3050" t="s">
        <v>95</v>
      </c>
      <c r="P3050" t="str">
        <f>"4170048972                    "</f>
        <v xml:space="preserve">4170048972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61.64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6</v>
      </c>
      <c r="BJ3050">
        <v>4</v>
      </c>
      <c r="BK3050">
        <v>6</v>
      </c>
      <c r="BL3050">
        <v>200.06</v>
      </c>
      <c r="BM3050">
        <v>30.01</v>
      </c>
      <c r="BN3050">
        <v>230.07</v>
      </c>
      <c r="BO3050">
        <v>230.07</v>
      </c>
      <c r="BQ3050" t="s">
        <v>3121</v>
      </c>
      <c r="BR3050" t="s">
        <v>106</v>
      </c>
      <c r="BS3050" s="3">
        <v>45854</v>
      </c>
      <c r="BT3050" s="4">
        <v>0.41805555555555557</v>
      </c>
      <c r="BU3050" t="s">
        <v>3131</v>
      </c>
      <c r="BV3050" t="s">
        <v>98</v>
      </c>
      <c r="BY3050">
        <v>20216</v>
      </c>
      <c r="BZ3050" t="s">
        <v>108</v>
      </c>
      <c r="CA3050" t="s">
        <v>375</v>
      </c>
      <c r="CC3050" t="s">
        <v>261</v>
      </c>
      <c r="CD3050">
        <v>1939</v>
      </c>
      <c r="CE3050" t="s">
        <v>110</v>
      </c>
      <c r="CF3050" s="3">
        <v>45855</v>
      </c>
      <c r="CI3050">
        <v>1</v>
      </c>
      <c r="CJ3050">
        <v>1</v>
      </c>
      <c r="CK3050">
        <v>43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"080066582842"</f>
        <v>080066582842</v>
      </c>
      <c r="F3051" s="3">
        <v>45853</v>
      </c>
      <c r="G3051">
        <v>202604</v>
      </c>
      <c r="H3051" t="s">
        <v>75</v>
      </c>
      <c r="I3051" t="s">
        <v>76</v>
      </c>
      <c r="J3051" t="s">
        <v>101</v>
      </c>
      <c r="K3051" t="s">
        <v>78</v>
      </c>
      <c r="L3051" t="s">
        <v>246</v>
      </c>
      <c r="M3051" t="s">
        <v>247</v>
      </c>
      <c r="N3051" t="s">
        <v>248</v>
      </c>
      <c r="O3051" t="s">
        <v>95</v>
      </c>
      <c r="P3051" t="str">
        <f>"4170048284                    "</f>
        <v xml:space="preserve">4170048284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48.26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4</v>
      </c>
      <c r="BJ3051">
        <v>3.7</v>
      </c>
      <c r="BK3051">
        <v>4</v>
      </c>
      <c r="BL3051">
        <v>157.91999999999999</v>
      </c>
      <c r="BM3051">
        <v>23.69</v>
      </c>
      <c r="BN3051">
        <v>181.61</v>
      </c>
      <c r="BO3051">
        <v>181.61</v>
      </c>
      <c r="BQ3051" t="s">
        <v>3132</v>
      </c>
      <c r="BR3051" t="s">
        <v>106</v>
      </c>
      <c r="BS3051" s="3">
        <v>45854</v>
      </c>
      <c r="BT3051" s="4">
        <v>0.4375</v>
      </c>
      <c r="BU3051" t="s">
        <v>3133</v>
      </c>
      <c r="BV3051" t="s">
        <v>98</v>
      </c>
      <c r="BY3051">
        <v>18392</v>
      </c>
      <c r="BZ3051" t="s">
        <v>108</v>
      </c>
      <c r="CA3051" t="s">
        <v>251</v>
      </c>
      <c r="CC3051" t="s">
        <v>247</v>
      </c>
      <c r="CD3051">
        <v>1438</v>
      </c>
      <c r="CE3051" t="s">
        <v>110</v>
      </c>
      <c r="CF3051" s="3">
        <v>45855</v>
      </c>
      <c r="CI3051">
        <v>1</v>
      </c>
      <c r="CJ3051">
        <v>1</v>
      </c>
      <c r="CK3051">
        <v>44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"080066603434"</f>
        <v>080066603434</v>
      </c>
      <c r="F3052" s="3">
        <v>45854</v>
      </c>
      <c r="G3052">
        <v>202604</v>
      </c>
      <c r="H3052" t="s">
        <v>75</v>
      </c>
      <c r="I3052" t="s">
        <v>76</v>
      </c>
      <c r="J3052" t="s">
        <v>101</v>
      </c>
      <c r="K3052" t="s">
        <v>78</v>
      </c>
      <c r="L3052" t="s">
        <v>128</v>
      </c>
      <c r="M3052" t="s">
        <v>129</v>
      </c>
      <c r="N3052" t="s">
        <v>2038</v>
      </c>
      <c r="O3052" t="s">
        <v>95</v>
      </c>
      <c r="P3052" t="str">
        <f>"4170049078                    "</f>
        <v xml:space="preserve">4170049078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61.64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4</v>
      </c>
      <c r="BJ3052">
        <v>1.9</v>
      </c>
      <c r="BK3052">
        <v>4</v>
      </c>
      <c r="BL3052">
        <v>200.06</v>
      </c>
      <c r="BM3052">
        <v>30.01</v>
      </c>
      <c r="BN3052">
        <v>230.07</v>
      </c>
      <c r="BO3052">
        <v>230.07</v>
      </c>
      <c r="BQ3052" t="s">
        <v>3106</v>
      </c>
      <c r="BR3052" t="s">
        <v>106</v>
      </c>
      <c r="BS3052" s="3">
        <v>45855</v>
      </c>
      <c r="BT3052" s="4">
        <v>0.3972222222222222</v>
      </c>
      <c r="BU3052" t="s">
        <v>3134</v>
      </c>
      <c r="BV3052" t="s">
        <v>98</v>
      </c>
      <c r="BY3052">
        <v>9690</v>
      </c>
      <c r="BZ3052" t="s">
        <v>108</v>
      </c>
      <c r="CA3052" t="s">
        <v>2284</v>
      </c>
      <c r="CC3052" t="s">
        <v>129</v>
      </c>
      <c r="CD3052" s="5" t="s">
        <v>134</v>
      </c>
      <c r="CE3052" t="s">
        <v>117</v>
      </c>
      <c r="CF3052" s="3">
        <v>45856</v>
      </c>
      <c r="CI3052">
        <v>1</v>
      </c>
      <c r="CJ3052">
        <v>1</v>
      </c>
      <c r="CK3052">
        <v>43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"080066605966"</f>
        <v>080066605966</v>
      </c>
      <c r="F3053" s="3">
        <v>45854</v>
      </c>
      <c r="G3053">
        <v>202604</v>
      </c>
      <c r="H3053" t="s">
        <v>75</v>
      </c>
      <c r="I3053" t="s">
        <v>76</v>
      </c>
      <c r="J3053" t="s">
        <v>101</v>
      </c>
      <c r="K3053" t="s">
        <v>78</v>
      </c>
      <c r="L3053" t="s">
        <v>808</v>
      </c>
      <c r="M3053" t="s">
        <v>808</v>
      </c>
      <c r="N3053" t="s">
        <v>3135</v>
      </c>
      <c r="O3053" t="s">
        <v>95</v>
      </c>
      <c r="P3053" t="str">
        <f>"4170049095                    "</f>
        <v xml:space="preserve">4170049095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48.26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</v>
      </c>
      <c r="BJ3053">
        <v>4.5</v>
      </c>
      <c r="BK3053">
        <v>5</v>
      </c>
      <c r="BL3053">
        <v>157.91999999999999</v>
      </c>
      <c r="BM3053">
        <v>23.69</v>
      </c>
      <c r="BN3053">
        <v>181.61</v>
      </c>
      <c r="BO3053">
        <v>181.61</v>
      </c>
      <c r="BQ3053" t="s">
        <v>3136</v>
      </c>
      <c r="BR3053" t="s">
        <v>106</v>
      </c>
      <c r="BS3053" s="3">
        <v>45855</v>
      </c>
      <c r="BT3053" s="4">
        <v>0.51388888888888884</v>
      </c>
      <c r="BU3053" t="s">
        <v>3137</v>
      </c>
      <c r="BV3053" t="s">
        <v>98</v>
      </c>
      <c r="BY3053">
        <v>22344</v>
      </c>
      <c r="BZ3053" t="s">
        <v>108</v>
      </c>
      <c r="CA3053" t="s">
        <v>251</v>
      </c>
      <c r="CC3053" t="s">
        <v>808</v>
      </c>
      <c r="CD3053">
        <v>1490</v>
      </c>
      <c r="CE3053" t="s">
        <v>110</v>
      </c>
      <c r="CF3053" s="3">
        <v>45855</v>
      </c>
      <c r="CI3053">
        <v>1</v>
      </c>
      <c r="CJ3053">
        <v>1</v>
      </c>
      <c r="CK3053">
        <v>44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"080066607339"</f>
        <v>080066607339</v>
      </c>
      <c r="F3054" s="3">
        <v>45854</v>
      </c>
      <c r="G3054">
        <v>202604</v>
      </c>
      <c r="H3054" t="s">
        <v>75</v>
      </c>
      <c r="I3054" t="s">
        <v>76</v>
      </c>
      <c r="J3054" t="s">
        <v>101</v>
      </c>
      <c r="K3054" t="s">
        <v>78</v>
      </c>
      <c r="L3054" t="s">
        <v>252</v>
      </c>
      <c r="M3054" t="s">
        <v>253</v>
      </c>
      <c r="N3054" t="s">
        <v>254</v>
      </c>
      <c r="O3054" t="s">
        <v>95</v>
      </c>
      <c r="P3054" t="str">
        <f>"4170049152                    "</f>
        <v xml:space="preserve">4170049152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61.64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5</v>
      </c>
      <c r="BJ3054">
        <v>2.6</v>
      </c>
      <c r="BK3054">
        <v>5</v>
      </c>
      <c r="BL3054">
        <v>200.06</v>
      </c>
      <c r="BM3054">
        <v>30.01</v>
      </c>
      <c r="BN3054">
        <v>230.07</v>
      </c>
      <c r="BO3054">
        <v>230.07</v>
      </c>
      <c r="BQ3054" t="s">
        <v>3105</v>
      </c>
      <c r="BR3054" t="s">
        <v>106</v>
      </c>
      <c r="BS3054" s="3">
        <v>45855</v>
      </c>
      <c r="BT3054" s="4">
        <v>0.35347222222222224</v>
      </c>
      <c r="BU3054" t="s">
        <v>2512</v>
      </c>
      <c r="BV3054" t="s">
        <v>98</v>
      </c>
      <c r="BY3054">
        <v>13034</v>
      </c>
      <c r="BZ3054" t="s">
        <v>108</v>
      </c>
      <c r="CA3054" t="s">
        <v>2513</v>
      </c>
      <c r="CC3054" t="s">
        <v>253</v>
      </c>
      <c r="CD3054">
        <v>1947</v>
      </c>
      <c r="CE3054" t="s">
        <v>110</v>
      </c>
      <c r="CF3054" s="3">
        <v>45855</v>
      </c>
      <c r="CI3054">
        <v>1</v>
      </c>
      <c r="CJ3054">
        <v>1</v>
      </c>
      <c r="CK3054">
        <v>43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"080066625649"</f>
        <v>080066625649</v>
      </c>
      <c r="F3055" s="3">
        <v>45855</v>
      </c>
      <c r="G3055">
        <v>202604</v>
      </c>
      <c r="H3055" t="s">
        <v>75</v>
      </c>
      <c r="I3055" t="s">
        <v>76</v>
      </c>
      <c r="J3055" t="s">
        <v>101</v>
      </c>
      <c r="K3055" t="s">
        <v>78</v>
      </c>
      <c r="L3055" t="s">
        <v>252</v>
      </c>
      <c r="M3055" t="s">
        <v>253</v>
      </c>
      <c r="N3055" t="s">
        <v>254</v>
      </c>
      <c r="O3055" t="s">
        <v>95</v>
      </c>
      <c r="P3055" t="str">
        <f>"4170049207                    "</f>
        <v xml:space="preserve">4170049207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61.64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4</v>
      </c>
      <c r="BJ3055">
        <v>3.4</v>
      </c>
      <c r="BK3055">
        <v>4</v>
      </c>
      <c r="BL3055">
        <v>200.06</v>
      </c>
      <c r="BM3055">
        <v>30.01</v>
      </c>
      <c r="BN3055">
        <v>230.07</v>
      </c>
      <c r="BO3055">
        <v>230.07</v>
      </c>
      <c r="BQ3055" t="s">
        <v>3105</v>
      </c>
      <c r="BR3055" t="s">
        <v>106</v>
      </c>
      <c r="BS3055" s="3">
        <v>45856</v>
      </c>
      <c r="BT3055" s="4">
        <v>0.3215277777777778</v>
      </c>
      <c r="BU3055" t="s">
        <v>3138</v>
      </c>
      <c r="BV3055" t="s">
        <v>98</v>
      </c>
      <c r="BY3055">
        <v>16965</v>
      </c>
      <c r="BZ3055" t="s">
        <v>108</v>
      </c>
      <c r="CA3055" t="s">
        <v>328</v>
      </c>
      <c r="CC3055" t="s">
        <v>253</v>
      </c>
      <c r="CD3055">
        <v>1947</v>
      </c>
      <c r="CE3055" t="s">
        <v>117</v>
      </c>
      <c r="CF3055" s="3">
        <v>45859</v>
      </c>
      <c r="CI3055">
        <v>1</v>
      </c>
      <c r="CJ3055">
        <v>1</v>
      </c>
      <c r="CK3055">
        <v>43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"080066635688"</f>
        <v>080066635688</v>
      </c>
      <c r="F3056" s="3">
        <v>45855</v>
      </c>
      <c r="G3056">
        <v>202604</v>
      </c>
      <c r="H3056" t="s">
        <v>75</v>
      </c>
      <c r="I3056" t="s">
        <v>76</v>
      </c>
      <c r="J3056" t="s">
        <v>101</v>
      </c>
      <c r="K3056" t="s">
        <v>78</v>
      </c>
      <c r="L3056" t="s">
        <v>1000</v>
      </c>
      <c r="M3056" t="s">
        <v>1001</v>
      </c>
      <c r="N3056" t="s">
        <v>1002</v>
      </c>
      <c r="O3056" t="s">
        <v>95</v>
      </c>
      <c r="P3056" t="str">
        <f>"4170049389                    "</f>
        <v xml:space="preserve">4170049389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48.26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9</v>
      </c>
      <c r="BJ3056">
        <v>4.0999999999999996</v>
      </c>
      <c r="BK3056">
        <v>9</v>
      </c>
      <c r="BL3056">
        <v>157.91999999999999</v>
      </c>
      <c r="BM3056">
        <v>23.69</v>
      </c>
      <c r="BN3056">
        <v>181.61</v>
      </c>
      <c r="BO3056">
        <v>181.61</v>
      </c>
      <c r="BQ3056" t="s">
        <v>3099</v>
      </c>
      <c r="BR3056" t="s">
        <v>106</v>
      </c>
      <c r="BS3056" s="3">
        <v>45856</v>
      </c>
      <c r="BT3056" s="4">
        <v>0.35625000000000001</v>
      </c>
      <c r="BU3056" t="s">
        <v>1004</v>
      </c>
      <c r="BV3056" t="s">
        <v>98</v>
      </c>
      <c r="BY3056">
        <v>20358</v>
      </c>
      <c r="BZ3056" t="s">
        <v>108</v>
      </c>
      <c r="CA3056" t="s">
        <v>1005</v>
      </c>
      <c r="CC3056" t="s">
        <v>1001</v>
      </c>
      <c r="CD3056">
        <v>2410</v>
      </c>
      <c r="CE3056" t="s">
        <v>117</v>
      </c>
      <c r="CF3056" s="3">
        <v>45856</v>
      </c>
      <c r="CI3056">
        <v>1</v>
      </c>
      <c r="CJ3056">
        <v>1</v>
      </c>
      <c r="CK3056">
        <v>44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"080066659694"</f>
        <v>080066659694</v>
      </c>
      <c r="F3057" s="3">
        <v>45856</v>
      </c>
      <c r="G3057">
        <v>202604</v>
      </c>
      <c r="H3057" t="s">
        <v>75</v>
      </c>
      <c r="I3057" t="s">
        <v>76</v>
      </c>
      <c r="J3057" t="s">
        <v>101</v>
      </c>
      <c r="K3057" t="s">
        <v>78</v>
      </c>
      <c r="L3057" t="s">
        <v>102</v>
      </c>
      <c r="M3057" t="s">
        <v>103</v>
      </c>
      <c r="N3057" t="s">
        <v>3139</v>
      </c>
      <c r="O3057" t="s">
        <v>95</v>
      </c>
      <c r="P3057" t="str">
        <f>"4170049484                    "</f>
        <v xml:space="preserve">4170049484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48.26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2</v>
      </c>
      <c r="BJ3057">
        <v>4.3</v>
      </c>
      <c r="BK3057">
        <v>5</v>
      </c>
      <c r="BL3057">
        <v>157.91999999999999</v>
      </c>
      <c r="BM3057">
        <v>23.69</v>
      </c>
      <c r="BN3057">
        <v>181.61</v>
      </c>
      <c r="BO3057">
        <v>181.61</v>
      </c>
      <c r="BQ3057" t="s">
        <v>3140</v>
      </c>
      <c r="BR3057" t="s">
        <v>106</v>
      </c>
      <c r="BS3057" s="3">
        <v>45859</v>
      </c>
      <c r="BT3057" s="4">
        <v>0.46805555555555556</v>
      </c>
      <c r="BU3057" t="s">
        <v>3141</v>
      </c>
      <c r="BV3057" t="s">
        <v>98</v>
      </c>
      <c r="BY3057">
        <v>21280</v>
      </c>
      <c r="BZ3057" t="s">
        <v>108</v>
      </c>
      <c r="CA3057" t="s">
        <v>2878</v>
      </c>
      <c r="CC3057" t="s">
        <v>103</v>
      </c>
      <c r="CD3057">
        <v>1739</v>
      </c>
      <c r="CE3057" t="s">
        <v>110</v>
      </c>
      <c r="CF3057" s="3">
        <v>45859</v>
      </c>
      <c r="CI3057">
        <v>1</v>
      </c>
      <c r="CJ3057">
        <v>1</v>
      </c>
      <c r="CK3057">
        <v>44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"080066659812"</f>
        <v>080066659812</v>
      </c>
      <c r="F3058" s="3">
        <v>45856</v>
      </c>
      <c r="G3058">
        <v>202604</v>
      </c>
      <c r="H3058" t="s">
        <v>75</v>
      </c>
      <c r="I3058" t="s">
        <v>76</v>
      </c>
      <c r="J3058" t="s">
        <v>101</v>
      </c>
      <c r="K3058" t="s">
        <v>78</v>
      </c>
      <c r="L3058" t="s">
        <v>102</v>
      </c>
      <c r="M3058" t="s">
        <v>103</v>
      </c>
      <c r="N3058" t="s">
        <v>2293</v>
      </c>
      <c r="O3058" t="s">
        <v>95</v>
      </c>
      <c r="P3058" t="str">
        <f>"4170049527                    "</f>
        <v xml:space="preserve">4170049527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48.26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4.3</v>
      </c>
      <c r="BK3058">
        <v>5</v>
      </c>
      <c r="BL3058">
        <v>157.91999999999999</v>
      </c>
      <c r="BM3058">
        <v>23.69</v>
      </c>
      <c r="BN3058">
        <v>181.61</v>
      </c>
      <c r="BO3058">
        <v>181.61</v>
      </c>
      <c r="BQ3058" t="s">
        <v>3110</v>
      </c>
      <c r="BR3058" t="s">
        <v>106</v>
      </c>
      <c r="BS3058" s="3">
        <v>45859</v>
      </c>
      <c r="BT3058" s="4">
        <v>0.47986111111111113</v>
      </c>
      <c r="BU3058" t="s">
        <v>2295</v>
      </c>
      <c r="BV3058" t="s">
        <v>98</v>
      </c>
      <c r="BY3058">
        <v>21672</v>
      </c>
      <c r="BZ3058" t="s">
        <v>108</v>
      </c>
      <c r="CA3058" t="s">
        <v>2296</v>
      </c>
      <c r="CC3058" t="s">
        <v>103</v>
      </c>
      <c r="CD3058">
        <v>1739</v>
      </c>
      <c r="CE3058" t="s">
        <v>110</v>
      </c>
      <c r="CF3058" s="3">
        <v>45859</v>
      </c>
      <c r="CI3058">
        <v>1</v>
      </c>
      <c r="CJ3058">
        <v>1</v>
      </c>
      <c r="CK3058">
        <v>44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"080066711598"</f>
        <v>080066711598</v>
      </c>
      <c r="F3059" s="3">
        <v>45860</v>
      </c>
      <c r="G3059">
        <v>202604</v>
      </c>
      <c r="H3059" t="s">
        <v>75</v>
      </c>
      <c r="I3059" t="s">
        <v>76</v>
      </c>
      <c r="J3059" t="s">
        <v>77</v>
      </c>
      <c r="K3059" t="s">
        <v>78</v>
      </c>
      <c r="L3059" t="s">
        <v>79</v>
      </c>
      <c r="M3059" t="s">
        <v>80</v>
      </c>
      <c r="N3059" t="s">
        <v>141</v>
      </c>
      <c r="O3059" t="s">
        <v>82</v>
      </c>
      <c r="P3059" t="str">
        <f>"41700459761                   "</f>
        <v xml:space="preserve">41700459761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112.92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10</v>
      </c>
      <c r="BJ3059">
        <v>3.4</v>
      </c>
      <c r="BK3059">
        <v>10</v>
      </c>
      <c r="BL3059">
        <v>355.76</v>
      </c>
      <c r="BM3059">
        <v>53.36</v>
      </c>
      <c r="BN3059">
        <v>409.12</v>
      </c>
      <c r="BO3059">
        <v>409.12</v>
      </c>
      <c r="BQ3059" t="s">
        <v>142</v>
      </c>
      <c r="BR3059" t="s">
        <v>84</v>
      </c>
      <c r="BS3059" s="3">
        <v>45861</v>
      </c>
      <c r="BT3059" s="4">
        <v>0.43333333333333335</v>
      </c>
      <c r="BU3059" t="s">
        <v>2437</v>
      </c>
      <c r="BV3059" t="s">
        <v>98</v>
      </c>
      <c r="BY3059">
        <v>16965</v>
      </c>
      <c r="CA3059" t="s">
        <v>144</v>
      </c>
      <c r="CC3059" t="s">
        <v>80</v>
      </c>
      <c r="CD3059">
        <v>7441</v>
      </c>
      <c r="CE3059" t="s">
        <v>145</v>
      </c>
      <c r="CF3059" s="3">
        <v>45862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"080066711615"</f>
        <v>080066711615</v>
      </c>
      <c r="F3060" s="3">
        <v>45860</v>
      </c>
      <c r="G3060">
        <v>202604</v>
      </c>
      <c r="H3060" t="s">
        <v>75</v>
      </c>
      <c r="I3060" t="s">
        <v>76</v>
      </c>
      <c r="J3060" t="s">
        <v>77</v>
      </c>
      <c r="K3060" t="s">
        <v>78</v>
      </c>
      <c r="L3060" t="s">
        <v>75</v>
      </c>
      <c r="M3060" t="s">
        <v>76</v>
      </c>
      <c r="N3060" t="s">
        <v>118</v>
      </c>
      <c r="O3060" t="s">
        <v>82</v>
      </c>
      <c r="P3060" t="str">
        <f>"4170049763                    "</f>
        <v xml:space="preserve">4170049763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17.649999999999999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55.61</v>
      </c>
      <c r="BM3060">
        <v>8.34</v>
      </c>
      <c r="BN3060">
        <v>63.95</v>
      </c>
      <c r="BO3060">
        <v>63.95</v>
      </c>
      <c r="BQ3060" t="s">
        <v>119</v>
      </c>
      <c r="BR3060" t="s">
        <v>84</v>
      </c>
      <c r="BS3060" s="3">
        <v>45861</v>
      </c>
      <c r="BT3060" s="4">
        <v>0.32916666666666666</v>
      </c>
      <c r="BU3060" t="s">
        <v>832</v>
      </c>
      <c r="BV3060" t="s">
        <v>98</v>
      </c>
      <c r="BY3060">
        <v>1200</v>
      </c>
      <c r="CA3060" t="s">
        <v>213</v>
      </c>
      <c r="CC3060" t="s">
        <v>76</v>
      </c>
      <c r="CD3060">
        <v>1600</v>
      </c>
      <c r="CE3060" t="s">
        <v>121</v>
      </c>
      <c r="CF3060" s="3">
        <v>45861</v>
      </c>
      <c r="CI3060">
        <v>1</v>
      </c>
      <c r="CJ3060">
        <v>1</v>
      </c>
      <c r="CK3060">
        <v>22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"080066711660"</f>
        <v>080066711660</v>
      </c>
      <c r="F3061" s="3">
        <v>45860</v>
      </c>
      <c r="G3061">
        <v>202604</v>
      </c>
      <c r="H3061" t="s">
        <v>75</v>
      </c>
      <c r="I3061" t="s">
        <v>76</v>
      </c>
      <c r="J3061" t="s">
        <v>77</v>
      </c>
      <c r="K3061" t="s">
        <v>78</v>
      </c>
      <c r="L3061" t="s">
        <v>135</v>
      </c>
      <c r="M3061" t="s">
        <v>136</v>
      </c>
      <c r="N3061" t="s">
        <v>416</v>
      </c>
      <c r="O3061" t="s">
        <v>82</v>
      </c>
      <c r="P3061" t="str">
        <f>"4170049765                    "</f>
        <v xml:space="preserve">4170049765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33.89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3</v>
      </c>
      <c r="BJ3061">
        <v>0.6</v>
      </c>
      <c r="BK3061">
        <v>3</v>
      </c>
      <c r="BL3061">
        <v>106.77</v>
      </c>
      <c r="BM3061">
        <v>16.02</v>
      </c>
      <c r="BN3061">
        <v>122.79</v>
      </c>
      <c r="BO3061">
        <v>122.79</v>
      </c>
      <c r="BQ3061" t="s">
        <v>417</v>
      </c>
      <c r="BR3061" t="s">
        <v>84</v>
      </c>
      <c r="BS3061" s="3">
        <v>45861</v>
      </c>
      <c r="BT3061" s="4">
        <v>0.58333333333333337</v>
      </c>
      <c r="BU3061" t="s">
        <v>3142</v>
      </c>
      <c r="BV3061" t="s">
        <v>86</v>
      </c>
      <c r="BY3061">
        <v>3192</v>
      </c>
      <c r="CC3061" t="s">
        <v>136</v>
      </c>
      <c r="CD3061">
        <v>3201</v>
      </c>
      <c r="CE3061" t="s">
        <v>259</v>
      </c>
      <c r="CF3061" s="3">
        <v>45862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"080066711839"</f>
        <v>080066711839</v>
      </c>
      <c r="F3062" s="3">
        <v>45860</v>
      </c>
      <c r="G3062">
        <v>202604</v>
      </c>
      <c r="H3062" t="s">
        <v>75</v>
      </c>
      <c r="I3062" t="s">
        <v>76</v>
      </c>
      <c r="J3062" t="s">
        <v>77</v>
      </c>
      <c r="K3062" t="s">
        <v>78</v>
      </c>
      <c r="L3062" t="s">
        <v>503</v>
      </c>
      <c r="M3062" t="s">
        <v>504</v>
      </c>
      <c r="N3062" t="s">
        <v>505</v>
      </c>
      <c r="O3062" t="s">
        <v>95</v>
      </c>
      <c r="P3062" t="str">
        <f>"4170049914                    "</f>
        <v xml:space="preserve">4170049914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71.08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9</v>
      </c>
      <c r="BJ3062">
        <v>17.7</v>
      </c>
      <c r="BK3062">
        <v>18</v>
      </c>
      <c r="BL3062">
        <v>229.81</v>
      </c>
      <c r="BM3062">
        <v>34.47</v>
      </c>
      <c r="BN3062">
        <v>264.27999999999997</v>
      </c>
      <c r="BO3062">
        <v>264.27999999999997</v>
      </c>
      <c r="BQ3062" t="s">
        <v>506</v>
      </c>
      <c r="BR3062" t="s">
        <v>84</v>
      </c>
      <c r="BS3062" s="3">
        <v>45862</v>
      </c>
      <c r="BT3062" s="4">
        <v>0.45624999999999999</v>
      </c>
      <c r="BU3062" t="s">
        <v>1235</v>
      </c>
      <c r="BV3062" t="s">
        <v>98</v>
      </c>
      <c r="BY3062">
        <v>88320</v>
      </c>
      <c r="CA3062" t="s">
        <v>508</v>
      </c>
      <c r="CC3062" t="s">
        <v>504</v>
      </c>
      <c r="CD3062">
        <v>7130</v>
      </c>
      <c r="CE3062" t="s">
        <v>145</v>
      </c>
      <c r="CF3062" s="3">
        <v>45863</v>
      </c>
      <c r="CI3062">
        <v>3</v>
      </c>
      <c r="CJ3062">
        <v>2</v>
      </c>
      <c r="CK3062">
        <v>43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"080066712179"</f>
        <v>080066712179</v>
      </c>
      <c r="F3063" s="3">
        <v>45860</v>
      </c>
      <c r="G3063">
        <v>202604</v>
      </c>
      <c r="H3063" t="s">
        <v>75</v>
      </c>
      <c r="I3063" t="s">
        <v>76</v>
      </c>
      <c r="J3063" t="s">
        <v>77</v>
      </c>
      <c r="K3063" t="s">
        <v>78</v>
      </c>
      <c r="L3063" t="s">
        <v>122</v>
      </c>
      <c r="M3063" t="s">
        <v>123</v>
      </c>
      <c r="N3063" t="s">
        <v>2931</v>
      </c>
      <c r="O3063" t="s">
        <v>82</v>
      </c>
      <c r="P3063" t="str">
        <f>"4170050069                    "</f>
        <v xml:space="preserve">4170050069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22.6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71.2</v>
      </c>
      <c r="BM3063">
        <v>10.68</v>
      </c>
      <c r="BN3063">
        <v>81.88</v>
      </c>
      <c r="BO3063">
        <v>81.88</v>
      </c>
      <c r="BQ3063" t="s">
        <v>2932</v>
      </c>
      <c r="BR3063" t="s">
        <v>84</v>
      </c>
      <c r="BS3063" s="3">
        <v>45861</v>
      </c>
      <c r="BT3063" s="4">
        <v>0.41875000000000001</v>
      </c>
      <c r="BU3063" t="s">
        <v>212</v>
      </c>
      <c r="BV3063" t="s">
        <v>98</v>
      </c>
      <c r="BY3063">
        <v>1200</v>
      </c>
      <c r="CA3063" t="s">
        <v>2974</v>
      </c>
      <c r="CC3063" t="s">
        <v>123</v>
      </c>
      <c r="CD3063">
        <v>3610</v>
      </c>
      <c r="CE3063" t="s">
        <v>121</v>
      </c>
      <c r="CF3063" s="3">
        <v>45861</v>
      </c>
      <c r="CI3063">
        <v>1</v>
      </c>
      <c r="CJ3063">
        <v>1</v>
      </c>
      <c r="CK3063">
        <v>21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"080066712224"</f>
        <v>080066712224</v>
      </c>
      <c r="F3064" s="3">
        <v>45860</v>
      </c>
      <c r="G3064">
        <v>202604</v>
      </c>
      <c r="H3064" t="s">
        <v>75</v>
      </c>
      <c r="I3064" t="s">
        <v>76</v>
      </c>
      <c r="J3064" t="s">
        <v>77</v>
      </c>
      <c r="K3064" t="s">
        <v>78</v>
      </c>
      <c r="L3064" t="s">
        <v>295</v>
      </c>
      <c r="M3064" t="s">
        <v>296</v>
      </c>
      <c r="N3064" t="s">
        <v>1837</v>
      </c>
      <c r="O3064" t="s">
        <v>82</v>
      </c>
      <c r="P3064" t="str">
        <f>"4170049805                    "</f>
        <v xml:space="preserve">4170049805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17.649999999999999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55.61</v>
      </c>
      <c r="BM3064">
        <v>8.34</v>
      </c>
      <c r="BN3064">
        <v>63.95</v>
      </c>
      <c r="BO3064">
        <v>63.95</v>
      </c>
      <c r="BQ3064" t="s">
        <v>1838</v>
      </c>
      <c r="BR3064" t="s">
        <v>84</v>
      </c>
      <c r="BS3064" s="3">
        <v>45861</v>
      </c>
      <c r="BT3064" s="4">
        <v>0.3215277777777778</v>
      </c>
      <c r="BU3064" t="s">
        <v>299</v>
      </c>
      <c r="BV3064" t="s">
        <v>98</v>
      </c>
      <c r="BY3064">
        <v>1200</v>
      </c>
      <c r="CA3064" t="s">
        <v>300</v>
      </c>
      <c r="CC3064" t="s">
        <v>296</v>
      </c>
      <c r="CD3064">
        <v>1459</v>
      </c>
      <c r="CE3064" t="s">
        <v>121</v>
      </c>
      <c r="CF3064" s="3">
        <v>45861</v>
      </c>
      <c r="CI3064">
        <v>1</v>
      </c>
      <c r="CJ3064">
        <v>1</v>
      </c>
      <c r="CK3064">
        <v>22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"080066712266"</f>
        <v>080066712266</v>
      </c>
      <c r="F3065" s="3">
        <v>45860</v>
      </c>
      <c r="G3065">
        <v>202604</v>
      </c>
      <c r="H3065" t="s">
        <v>75</v>
      </c>
      <c r="I3065" t="s">
        <v>76</v>
      </c>
      <c r="J3065" t="s">
        <v>77</v>
      </c>
      <c r="K3065" t="s">
        <v>78</v>
      </c>
      <c r="L3065" t="s">
        <v>240</v>
      </c>
      <c r="M3065" t="s">
        <v>241</v>
      </c>
      <c r="N3065" t="s">
        <v>610</v>
      </c>
      <c r="O3065" t="s">
        <v>82</v>
      </c>
      <c r="P3065" t="str">
        <f>"4170049773                    "</f>
        <v xml:space="preserve">4170049773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17.649999999999999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55.61</v>
      </c>
      <c r="BM3065">
        <v>8.34</v>
      </c>
      <c r="BN3065">
        <v>63.95</v>
      </c>
      <c r="BO3065">
        <v>63.95</v>
      </c>
      <c r="BQ3065" t="s">
        <v>611</v>
      </c>
      <c r="BR3065" t="s">
        <v>84</v>
      </c>
      <c r="BS3065" s="3">
        <v>45861</v>
      </c>
      <c r="BT3065" s="4">
        <v>0.3923611111111111</v>
      </c>
      <c r="BU3065" t="s">
        <v>1629</v>
      </c>
      <c r="BV3065" t="s">
        <v>98</v>
      </c>
      <c r="BY3065">
        <v>1200</v>
      </c>
      <c r="CA3065" t="s">
        <v>451</v>
      </c>
      <c r="CC3065" t="s">
        <v>241</v>
      </c>
      <c r="CD3065">
        <v>2197</v>
      </c>
      <c r="CE3065" t="s">
        <v>121</v>
      </c>
      <c r="CF3065" s="3">
        <v>45861</v>
      </c>
      <c r="CI3065">
        <v>1</v>
      </c>
      <c r="CJ3065">
        <v>1</v>
      </c>
      <c r="CK3065">
        <v>22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"080066712307"</f>
        <v>080066712307</v>
      </c>
      <c r="F3066" s="3">
        <v>45860</v>
      </c>
      <c r="G3066">
        <v>202604</v>
      </c>
      <c r="H3066" t="s">
        <v>75</v>
      </c>
      <c r="I3066" t="s">
        <v>76</v>
      </c>
      <c r="J3066" t="s">
        <v>77</v>
      </c>
      <c r="K3066" t="s">
        <v>78</v>
      </c>
      <c r="L3066" t="s">
        <v>122</v>
      </c>
      <c r="M3066" t="s">
        <v>123</v>
      </c>
      <c r="N3066" t="s">
        <v>1825</v>
      </c>
      <c r="O3066" t="s">
        <v>82</v>
      </c>
      <c r="P3066" t="str">
        <f>"4170049950                    "</f>
        <v xml:space="preserve">4170049950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22.6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0.9</v>
      </c>
      <c r="BK3066">
        <v>1</v>
      </c>
      <c r="BL3066">
        <v>71.2</v>
      </c>
      <c r="BM3066">
        <v>10.68</v>
      </c>
      <c r="BN3066">
        <v>81.88</v>
      </c>
      <c r="BO3066">
        <v>81.88</v>
      </c>
      <c r="BQ3066" t="s">
        <v>1826</v>
      </c>
      <c r="BR3066" t="s">
        <v>84</v>
      </c>
      <c r="BS3066" s="3">
        <v>45861</v>
      </c>
      <c r="BT3066" s="4">
        <v>0.43888888888888888</v>
      </c>
      <c r="BU3066" t="s">
        <v>3143</v>
      </c>
      <c r="BV3066" t="s">
        <v>98</v>
      </c>
      <c r="BY3066">
        <v>4275</v>
      </c>
      <c r="CA3066" t="s">
        <v>2974</v>
      </c>
      <c r="CC3066" t="s">
        <v>123</v>
      </c>
      <c r="CD3066">
        <v>3610</v>
      </c>
      <c r="CE3066" t="s">
        <v>259</v>
      </c>
      <c r="CF3066" s="3">
        <v>45861</v>
      </c>
      <c r="CI3066">
        <v>1</v>
      </c>
      <c r="CJ3066">
        <v>1</v>
      </c>
      <c r="CK3066">
        <v>21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"080066712346"</f>
        <v>080066712346</v>
      </c>
      <c r="F3067" s="3">
        <v>45860</v>
      </c>
      <c r="G3067">
        <v>202604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1324</v>
      </c>
      <c r="O3067" t="s">
        <v>82</v>
      </c>
      <c r="P3067" t="str">
        <f>"4170049755                    "</f>
        <v xml:space="preserve">4170049755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17.649999999999999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0.6</v>
      </c>
      <c r="BK3067">
        <v>1</v>
      </c>
      <c r="BL3067">
        <v>55.61</v>
      </c>
      <c r="BM3067">
        <v>8.34</v>
      </c>
      <c r="BN3067">
        <v>63.95</v>
      </c>
      <c r="BO3067">
        <v>63.95</v>
      </c>
      <c r="BQ3067" t="s">
        <v>1325</v>
      </c>
      <c r="BR3067" t="s">
        <v>84</v>
      </c>
      <c r="BS3067" s="3">
        <v>45861</v>
      </c>
      <c r="BT3067" s="4">
        <v>0.29166666666666669</v>
      </c>
      <c r="BU3067" t="s">
        <v>1797</v>
      </c>
      <c r="BV3067" t="s">
        <v>98</v>
      </c>
      <c r="BY3067">
        <v>3192</v>
      </c>
      <c r="CA3067" t="s">
        <v>213</v>
      </c>
      <c r="CC3067" t="s">
        <v>76</v>
      </c>
      <c r="CD3067">
        <v>1600</v>
      </c>
      <c r="CE3067" t="s">
        <v>259</v>
      </c>
      <c r="CF3067" s="3">
        <v>45861</v>
      </c>
      <c r="CI3067">
        <v>1</v>
      </c>
      <c r="CJ3067">
        <v>1</v>
      </c>
      <c r="CK3067">
        <v>22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"080066712392"</f>
        <v>080066712392</v>
      </c>
      <c r="F3068" s="3">
        <v>45860</v>
      </c>
      <c r="G3068">
        <v>202604</v>
      </c>
      <c r="H3068" t="s">
        <v>75</v>
      </c>
      <c r="I3068" t="s">
        <v>76</v>
      </c>
      <c r="J3068" t="s">
        <v>77</v>
      </c>
      <c r="K3068" t="s">
        <v>78</v>
      </c>
      <c r="L3068" t="s">
        <v>580</v>
      </c>
      <c r="M3068" t="s">
        <v>581</v>
      </c>
      <c r="N3068" t="s">
        <v>582</v>
      </c>
      <c r="O3068" t="s">
        <v>82</v>
      </c>
      <c r="P3068" t="str">
        <f>"4170049799                    "</f>
        <v xml:space="preserve">4170049799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22.6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0.6</v>
      </c>
      <c r="BK3068">
        <v>1</v>
      </c>
      <c r="BL3068">
        <v>71.2</v>
      </c>
      <c r="BM3068">
        <v>10.68</v>
      </c>
      <c r="BN3068">
        <v>81.88</v>
      </c>
      <c r="BO3068">
        <v>81.88</v>
      </c>
      <c r="BQ3068" t="s">
        <v>583</v>
      </c>
      <c r="BR3068" t="s">
        <v>84</v>
      </c>
      <c r="BS3068" s="3">
        <v>45861</v>
      </c>
      <c r="BT3068" s="4">
        <v>0.39930555555555558</v>
      </c>
      <c r="BU3068" t="s">
        <v>584</v>
      </c>
      <c r="BV3068" t="s">
        <v>98</v>
      </c>
      <c r="BY3068">
        <v>3192</v>
      </c>
      <c r="CA3068" t="s">
        <v>585</v>
      </c>
      <c r="CC3068" t="s">
        <v>581</v>
      </c>
      <c r="CD3068">
        <v>4302</v>
      </c>
      <c r="CE3068" t="s">
        <v>145</v>
      </c>
      <c r="CF3068" s="3">
        <v>45862</v>
      </c>
      <c r="CI3068">
        <v>1</v>
      </c>
      <c r="CJ3068">
        <v>1</v>
      </c>
      <c r="CK3068">
        <v>21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"080066712464"</f>
        <v>080066712464</v>
      </c>
      <c r="F3069" s="3">
        <v>45860</v>
      </c>
      <c r="G3069">
        <v>202604</v>
      </c>
      <c r="H3069" t="s">
        <v>75</v>
      </c>
      <c r="I3069" t="s">
        <v>76</v>
      </c>
      <c r="J3069" t="s">
        <v>77</v>
      </c>
      <c r="K3069" t="s">
        <v>78</v>
      </c>
      <c r="L3069" t="s">
        <v>305</v>
      </c>
      <c r="M3069" t="s">
        <v>306</v>
      </c>
      <c r="N3069" t="s">
        <v>640</v>
      </c>
      <c r="O3069" t="s">
        <v>95</v>
      </c>
      <c r="P3069" t="str">
        <f>"4170050091                    "</f>
        <v xml:space="preserve">4170050091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43.7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2</v>
      </c>
      <c r="BI3069">
        <v>12</v>
      </c>
      <c r="BJ3069">
        <v>6.3</v>
      </c>
      <c r="BK3069">
        <v>12</v>
      </c>
      <c r="BL3069">
        <v>143.55000000000001</v>
      </c>
      <c r="BM3069">
        <v>21.53</v>
      </c>
      <c r="BN3069">
        <v>165.08</v>
      </c>
      <c r="BO3069">
        <v>165.08</v>
      </c>
      <c r="BQ3069" t="s">
        <v>641</v>
      </c>
      <c r="BR3069" t="s">
        <v>84</v>
      </c>
      <c r="BS3069" s="3">
        <v>45862</v>
      </c>
      <c r="BT3069" s="4">
        <v>0.51527777777777772</v>
      </c>
      <c r="BU3069" t="s">
        <v>975</v>
      </c>
      <c r="BV3069" t="s">
        <v>98</v>
      </c>
      <c r="BY3069">
        <v>31704</v>
      </c>
      <c r="CA3069" t="s">
        <v>310</v>
      </c>
      <c r="CC3069" t="s">
        <v>306</v>
      </c>
      <c r="CD3069">
        <v>5201</v>
      </c>
      <c r="CE3069" t="s">
        <v>259</v>
      </c>
      <c r="CF3069" s="3">
        <v>45862</v>
      </c>
      <c r="CI3069">
        <v>3</v>
      </c>
      <c r="CJ3069">
        <v>2</v>
      </c>
      <c r="CK3069">
        <v>41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"080066712801"</f>
        <v>080066712801</v>
      </c>
      <c r="F3070" s="3">
        <v>45860</v>
      </c>
      <c r="G3070">
        <v>202604</v>
      </c>
      <c r="H3070" t="s">
        <v>75</v>
      </c>
      <c r="I3070" t="s">
        <v>76</v>
      </c>
      <c r="J3070" t="s">
        <v>77</v>
      </c>
      <c r="K3070" t="s">
        <v>78</v>
      </c>
      <c r="L3070" t="s">
        <v>151</v>
      </c>
      <c r="M3070" t="s">
        <v>152</v>
      </c>
      <c r="N3070" t="s">
        <v>3144</v>
      </c>
      <c r="O3070" t="s">
        <v>82</v>
      </c>
      <c r="P3070" t="str">
        <f>"4170050297                    "</f>
        <v xml:space="preserve">4170050297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22.6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71.2</v>
      </c>
      <c r="BM3070">
        <v>10.68</v>
      </c>
      <c r="BN3070">
        <v>81.88</v>
      </c>
      <c r="BO3070">
        <v>81.88</v>
      </c>
      <c r="BQ3070" t="s">
        <v>3145</v>
      </c>
      <c r="BR3070" t="s">
        <v>84</v>
      </c>
      <c r="BS3070" s="3">
        <v>45861</v>
      </c>
      <c r="BT3070" s="4">
        <v>0.38819444444444445</v>
      </c>
      <c r="BU3070" t="s">
        <v>3146</v>
      </c>
      <c r="BV3070" t="s">
        <v>98</v>
      </c>
      <c r="BY3070">
        <v>1200</v>
      </c>
      <c r="CA3070" t="s">
        <v>906</v>
      </c>
      <c r="CC3070" t="s">
        <v>152</v>
      </c>
      <c r="CD3070" s="5" t="s">
        <v>1141</v>
      </c>
      <c r="CE3070" t="s">
        <v>121</v>
      </c>
      <c r="CF3070" s="3">
        <v>45861</v>
      </c>
      <c r="CI3070">
        <v>1</v>
      </c>
      <c r="CJ3070">
        <v>1</v>
      </c>
      <c r="CK3070">
        <v>21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"080066713187"</f>
        <v>080066713187</v>
      </c>
      <c r="F3071" s="3">
        <v>45860</v>
      </c>
      <c r="G3071">
        <v>202604</v>
      </c>
      <c r="H3071" t="s">
        <v>75</v>
      </c>
      <c r="I3071" t="s">
        <v>76</v>
      </c>
      <c r="J3071" t="s">
        <v>77</v>
      </c>
      <c r="K3071" t="s">
        <v>78</v>
      </c>
      <c r="L3071" t="s">
        <v>240</v>
      </c>
      <c r="M3071" t="s">
        <v>241</v>
      </c>
      <c r="N3071" t="s">
        <v>1828</v>
      </c>
      <c r="O3071" t="s">
        <v>82</v>
      </c>
      <c r="P3071" t="str">
        <f>"4170049797                    "</f>
        <v xml:space="preserve">4170049797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17.649999999999999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55.61</v>
      </c>
      <c r="BM3071">
        <v>8.34</v>
      </c>
      <c r="BN3071">
        <v>63.95</v>
      </c>
      <c r="BO3071">
        <v>63.95</v>
      </c>
      <c r="BQ3071" t="s">
        <v>1829</v>
      </c>
      <c r="BR3071" t="s">
        <v>84</v>
      </c>
      <c r="BS3071" s="3">
        <v>45861</v>
      </c>
      <c r="BT3071" s="4">
        <v>0.38958333333333334</v>
      </c>
      <c r="BU3071" t="s">
        <v>3147</v>
      </c>
      <c r="BV3071" t="s">
        <v>98</v>
      </c>
      <c r="BY3071">
        <v>1200</v>
      </c>
      <c r="CA3071" t="s">
        <v>2624</v>
      </c>
      <c r="CC3071" t="s">
        <v>241</v>
      </c>
      <c r="CD3071">
        <v>2091</v>
      </c>
      <c r="CE3071" t="s">
        <v>121</v>
      </c>
      <c r="CF3071" s="3">
        <v>45862</v>
      </c>
      <c r="CI3071">
        <v>1</v>
      </c>
      <c r="CJ3071">
        <v>1</v>
      </c>
      <c r="CK3071">
        <v>22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"080066713281"</f>
        <v>080066713281</v>
      </c>
      <c r="F3072" s="3">
        <v>45860</v>
      </c>
      <c r="G3072">
        <v>202604</v>
      </c>
      <c r="H3072" t="s">
        <v>75</v>
      </c>
      <c r="I3072" t="s">
        <v>76</v>
      </c>
      <c r="J3072" t="s">
        <v>77</v>
      </c>
      <c r="K3072" t="s">
        <v>78</v>
      </c>
      <c r="L3072" t="s">
        <v>854</v>
      </c>
      <c r="M3072" t="s">
        <v>855</v>
      </c>
      <c r="N3072" t="s">
        <v>429</v>
      </c>
      <c r="O3072" t="s">
        <v>82</v>
      </c>
      <c r="P3072" t="str">
        <f>"417004943                     "</f>
        <v xml:space="preserve">417004943 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43.78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16.739999999999998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154.68</v>
      </c>
      <c r="BM3072">
        <v>23.2</v>
      </c>
      <c r="BN3072">
        <v>177.88</v>
      </c>
      <c r="BO3072">
        <v>177.88</v>
      </c>
      <c r="BQ3072" t="s">
        <v>430</v>
      </c>
      <c r="BR3072" t="s">
        <v>84</v>
      </c>
      <c r="BS3072" s="3">
        <v>45861</v>
      </c>
      <c r="BT3072" s="4">
        <v>0.4826388888888889</v>
      </c>
      <c r="BU3072" t="s">
        <v>3148</v>
      </c>
      <c r="BV3072" t="s">
        <v>98</v>
      </c>
      <c r="BY3072">
        <v>1200</v>
      </c>
      <c r="BZ3072" t="s">
        <v>30</v>
      </c>
      <c r="CA3072" t="s">
        <v>2137</v>
      </c>
      <c r="CC3072" t="s">
        <v>855</v>
      </c>
      <c r="CD3072" s="5" t="s">
        <v>993</v>
      </c>
      <c r="CE3072" t="s">
        <v>121</v>
      </c>
      <c r="CF3072" s="3">
        <v>45861</v>
      </c>
      <c r="CI3072">
        <v>1</v>
      </c>
      <c r="CJ3072">
        <v>1</v>
      </c>
      <c r="CK3072">
        <v>23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"080066713688"</f>
        <v>080066713688</v>
      </c>
      <c r="F3073" s="3">
        <v>45860</v>
      </c>
      <c r="G3073">
        <v>202604</v>
      </c>
      <c r="H3073" t="s">
        <v>75</v>
      </c>
      <c r="I3073" t="s">
        <v>76</v>
      </c>
      <c r="J3073" t="s">
        <v>77</v>
      </c>
      <c r="K3073" t="s">
        <v>78</v>
      </c>
      <c r="L3073" t="s">
        <v>554</v>
      </c>
      <c r="M3073" t="s">
        <v>555</v>
      </c>
      <c r="N3073" t="s">
        <v>556</v>
      </c>
      <c r="O3073" t="s">
        <v>82</v>
      </c>
      <c r="P3073" t="str">
        <f>"4170049842                    "</f>
        <v xml:space="preserve">4170049842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22.6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71.2</v>
      </c>
      <c r="BM3073">
        <v>10.68</v>
      </c>
      <c r="BN3073">
        <v>81.88</v>
      </c>
      <c r="BO3073">
        <v>81.88</v>
      </c>
      <c r="BQ3073" t="s">
        <v>557</v>
      </c>
      <c r="BR3073" t="s">
        <v>84</v>
      </c>
      <c r="BS3073" s="3">
        <v>45861</v>
      </c>
      <c r="BT3073" s="4">
        <v>0.37291666666666667</v>
      </c>
      <c r="BU3073" t="s">
        <v>1810</v>
      </c>
      <c r="BV3073" t="s">
        <v>98</v>
      </c>
      <c r="BY3073">
        <v>1200</v>
      </c>
      <c r="CA3073" t="s">
        <v>559</v>
      </c>
      <c r="CC3073" t="s">
        <v>555</v>
      </c>
      <c r="CD3073" s="5" t="s">
        <v>560</v>
      </c>
      <c r="CE3073" t="s">
        <v>121</v>
      </c>
      <c r="CF3073" s="3">
        <v>45861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"080066713780"</f>
        <v>080066713780</v>
      </c>
      <c r="F3074" s="3">
        <v>45860</v>
      </c>
      <c r="G3074">
        <v>202604</v>
      </c>
      <c r="H3074" t="s">
        <v>75</v>
      </c>
      <c r="I3074" t="s">
        <v>76</v>
      </c>
      <c r="J3074" t="s">
        <v>77</v>
      </c>
      <c r="K3074" t="s">
        <v>78</v>
      </c>
      <c r="L3074" t="s">
        <v>122</v>
      </c>
      <c r="M3074" t="s">
        <v>123</v>
      </c>
      <c r="N3074" t="s">
        <v>2931</v>
      </c>
      <c r="O3074" t="s">
        <v>82</v>
      </c>
      <c r="P3074" t="str">
        <f>"4170050068                    "</f>
        <v xml:space="preserve">4170050068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22.6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71.2</v>
      </c>
      <c r="BM3074">
        <v>10.68</v>
      </c>
      <c r="BN3074">
        <v>81.88</v>
      </c>
      <c r="BO3074">
        <v>81.88</v>
      </c>
      <c r="BQ3074" t="s">
        <v>2932</v>
      </c>
      <c r="BR3074" t="s">
        <v>84</v>
      </c>
      <c r="BS3074" s="3">
        <v>45861</v>
      </c>
      <c r="BT3074" s="4">
        <v>0.40625</v>
      </c>
      <c r="BU3074" t="s">
        <v>212</v>
      </c>
      <c r="BV3074" t="s">
        <v>98</v>
      </c>
      <c r="BY3074">
        <v>1200</v>
      </c>
      <c r="CA3074" t="s">
        <v>2974</v>
      </c>
      <c r="CC3074" t="s">
        <v>123</v>
      </c>
      <c r="CD3074">
        <v>3610</v>
      </c>
      <c r="CE3074" t="s">
        <v>121</v>
      </c>
      <c r="CF3074" s="3">
        <v>45861</v>
      </c>
      <c r="CI3074">
        <v>1</v>
      </c>
      <c r="CJ3074">
        <v>1</v>
      </c>
      <c r="CK3074">
        <v>21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"080066714270"</f>
        <v>080066714270</v>
      </c>
      <c r="F3075" s="3">
        <v>45860</v>
      </c>
      <c r="G3075">
        <v>202604</v>
      </c>
      <c r="H3075" t="s">
        <v>75</v>
      </c>
      <c r="I3075" t="s">
        <v>76</v>
      </c>
      <c r="J3075" t="s">
        <v>77</v>
      </c>
      <c r="K3075" t="s">
        <v>78</v>
      </c>
      <c r="L3075" t="s">
        <v>79</v>
      </c>
      <c r="M3075" t="s">
        <v>80</v>
      </c>
      <c r="N3075" t="s">
        <v>1083</v>
      </c>
      <c r="O3075" t="s">
        <v>82</v>
      </c>
      <c r="P3075" t="str">
        <f>"4170049905                    "</f>
        <v xml:space="preserve">4170049905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22.6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71.2</v>
      </c>
      <c r="BM3075">
        <v>10.68</v>
      </c>
      <c r="BN3075">
        <v>81.88</v>
      </c>
      <c r="BO3075">
        <v>81.88</v>
      </c>
      <c r="BQ3075" t="s">
        <v>1084</v>
      </c>
      <c r="BR3075" t="s">
        <v>84</v>
      </c>
      <c r="BS3075" s="3">
        <v>45861</v>
      </c>
      <c r="BT3075" s="4">
        <v>0.42430555555555555</v>
      </c>
      <c r="BU3075" t="s">
        <v>3149</v>
      </c>
      <c r="BV3075" t="s">
        <v>98</v>
      </c>
      <c r="BY3075">
        <v>1200</v>
      </c>
      <c r="CA3075" t="s">
        <v>522</v>
      </c>
      <c r="CC3075" t="s">
        <v>80</v>
      </c>
      <c r="CD3075">
        <v>8001</v>
      </c>
      <c r="CE3075" t="s">
        <v>121</v>
      </c>
      <c r="CF3075" s="3">
        <v>45862</v>
      </c>
      <c r="CI3075">
        <v>1</v>
      </c>
      <c r="CJ3075">
        <v>1</v>
      </c>
      <c r="CK3075">
        <v>21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"080066714271"</f>
        <v>080066714271</v>
      </c>
      <c r="F3076" s="3">
        <v>45860</v>
      </c>
      <c r="G3076">
        <v>202604</v>
      </c>
      <c r="H3076" t="s">
        <v>75</v>
      </c>
      <c r="I3076" t="s">
        <v>76</v>
      </c>
      <c r="J3076" t="s">
        <v>77</v>
      </c>
      <c r="K3076" t="s">
        <v>78</v>
      </c>
      <c r="L3076" t="s">
        <v>670</v>
      </c>
      <c r="M3076" t="s">
        <v>671</v>
      </c>
      <c r="N3076" t="s">
        <v>3150</v>
      </c>
      <c r="O3076" t="s">
        <v>82</v>
      </c>
      <c r="P3076" t="str">
        <f>"4170050097                    "</f>
        <v xml:space="preserve">4170050097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17.649999999999999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55.61</v>
      </c>
      <c r="BM3076">
        <v>8.34</v>
      </c>
      <c r="BN3076">
        <v>63.95</v>
      </c>
      <c r="BO3076">
        <v>63.95</v>
      </c>
      <c r="BQ3076" t="s">
        <v>3151</v>
      </c>
      <c r="BR3076" t="s">
        <v>84</v>
      </c>
      <c r="BS3076" s="3">
        <v>45861</v>
      </c>
      <c r="BT3076" s="4">
        <v>0.43055555555555558</v>
      </c>
      <c r="BU3076" t="s">
        <v>3152</v>
      </c>
      <c r="BV3076" t="s">
        <v>98</v>
      </c>
      <c r="BY3076">
        <v>1200</v>
      </c>
      <c r="CA3076" t="s">
        <v>461</v>
      </c>
      <c r="CC3076" t="s">
        <v>671</v>
      </c>
      <c r="CD3076">
        <v>2163</v>
      </c>
      <c r="CE3076" t="s">
        <v>121</v>
      </c>
      <c r="CF3076" s="3">
        <v>45861</v>
      </c>
      <c r="CI3076">
        <v>1</v>
      </c>
      <c r="CJ3076">
        <v>1</v>
      </c>
      <c r="CK3076">
        <v>22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"080066714326"</f>
        <v>080066714326</v>
      </c>
      <c r="F3077" s="3">
        <v>45860</v>
      </c>
      <c r="G3077">
        <v>202604</v>
      </c>
      <c r="H3077" t="s">
        <v>75</v>
      </c>
      <c r="I3077" t="s">
        <v>76</v>
      </c>
      <c r="J3077" t="s">
        <v>77</v>
      </c>
      <c r="K3077" t="s">
        <v>78</v>
      </c>
      <c r="L3077" t="s">
        <v>79</v>
      </c>
      <c r="M3077" t="s">
        <v>80</v>
      </c>
      <c r="N3077" t="s">
        <v>3153</v>
      </c>
      <c r="O3077" t="s">
        <v>82</v>
      </c>
      <c r="P3077" t="str">
        <f>"4170050013                    "</f>
        <v xml:space="preserve">4170050013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22.6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2</v>
      </c>
      <c r="BJ3077">
        <v>1.1000000000000001</v>
      </c>
      <c r="BK3077">
        <v>2</v>
      </c>
      <c r="BL3077">
        <v>71.2</v>
      </c>
      <c r="BM3077">
        <v>10.68</v>
      </c>
      <c r="BN3077">
        <v>81.88</v>
      </c>
      <c r="BO3077">
        <v>81.88</v>
      </c>
      <c r="BQ3077" t="s">
        <v>3154</v>
      </c>
      <c r="BR3077" t="s">
        <v>84</v>
      </c>
      <c r="BS3077" s="3">
        <v>45862</v>
      </c>
      <c r="BT3077" s="4">
        <v>0.42708333333333331</v>
      </c>
      <c r="BU3077" t="s">
        <v>323</v>
      </c>
      <c r="BV3077" t="s">
        <v>86</v>
      </c>
      <c r="BW3077" t="s">
        <v>87</v>
      </c>
      <c r="BX3077" t="s">
        <v>1185</v>
      </c>
      <c r="BY3077">
        <v>5320</v>
      </c>
      <c r="CA3077" t="s">
        <v>144</v>
      </c>
      <c r="CC3077" t="s">
        <v>80</v>
      </c>
      <c r="CD3077">
        <v>7441</v>
      </c>
      <c r="CE3077" t="s">
        <v>145</v>
      </c>
      <c r="CF3077" s="3">
        <v>45863</v>
      </c>
      <c r="CI3077">
        <v>1</v>
      </c>
      <c r="CJ3077">
        <v>2</v>
      </c>
      <c r="CK3077">
        <v>21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"080066714377"</f>
        <v>080066714377</v>
      </c>
      <c r="F3078" s="3">
        <v>45860</v>
      </c>
      <c r="G3078">
        <v>202604</v>
      </c>
      <c r="H3078" t="s">
        <v>75</v>
      </c>
      <c r="I3078" t="s">
        <v>76</v>
      </c>
      <c r="J3078" t="s">
        <v>77</v>
      </c>
      <c r="K3078" t="s">
        <v>78</v>
      </c>
      <c r="L3078" t="s">
        <v>135</v>
      </c>
      <c r="M3078" t="s">
        <v>136</v>
      </c>
      <c r="N3078" t="s">
        <v>416</v>
      </c>
      <c r="O3078" t="s">
        <v>82</v>
      </c>
      <c r="P3078" t="str">
        <f>"4170049770                    "</f>
        <v xml:space="preserve">4170049770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56.47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5</v>
      </c>
      <c r="BJ3078">
        <v>1.7</v>
      </c>
      <c r="BK3078">
        <v>5</v>
      </c>
      <c r="BL3078">
        <v>177.91</v>
      </c>
      <c r="BM3078">
        <v>26.69</v>
      </c>
      <c r="BN3078">
        <v>204.6</v>
      </c>
      <c r="BO3078">
        <v>204.6</v>
      </c>
      <c r="BQ3078" t="s">
        <v>417</v>
      </c>
      <c r="BR3078" t="s">
        <v>84</v>
      </c>
      <c r="BS3078" s="3">
        <v>45861</v>
      </c>
      <c r="BT3078" s="4">
        <v>0.58333333333333337</v>
      </c>
      <c r="BU3078" t="s">
        <v>3142</v>
      </c>
      <c r="BV3078" t="s">
        <v>86</v>
      </c>
      <c r="BY3078">
        <v>8512</v>
      </c>
      <c r="CC3078" t="s">
        <v>136</v>
      </c>
      <c r="CD3078">
        <v>3201</v>
      </c>
      <c r="CE3078" t="s">
        <v>145</v>
      </c>
      <c r="CF3078" s="3">
        <v>45862</v>
      </c>
      <c r="CI3078">
        <v>1</v>
      </c>
      <c r="CJ3078">
        <v>1</v>
      </c>
      <c r="CK3078">
        <v>21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"080066714463"</f>
        <v>080066714463</v>
      </c>
      <c r="F3079" s="3">
        <v>45860</v>
      </c>
      <c r="G3079">
        <v>202604</v>
      </c>
      <c r="H3079" t="s">
        <v>75</v>
      </c>
      <c r="I3079" t="s">
        <v>76</v>
      </c>
      <c r="J3079" t="s">
        <v>77</v>
      </c>
      <c r="K3079" t="s">
        <v>78</v>
      </c>
      <c r="L3079" t="s">
        <v>240</v>
      </c>
      <c r="M3079" t="s">
        <v>241</v>
      </c>
      <c r="N3079" t="s">
        <v>457</v>
      </c>
      <c r="O3079" t="s">
        <v>95</v>
      </c>
      <c r="P3079" t="str">
        <f>"4170050278                    "</f>
        <v xml:space="preserve">4170050278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201.31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16.739999999999998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86</v>
      </c>
      <c r="BJ3079">
        <v>184.1</v>
      </c>
      <c r="BK3079">
        <v>185</v>
      </c>
      <c r="BL3079">
        <v>656.84</v>
      </c>
      <c r="BM3079">
        <v>98.53</v>
      </c>
      <c r="BN3079">
        <v>755.37</v>
      </c>
      <c r="BO3079">
        <v>755.37</v>
      </c>
      <c r="BQ3079" t="s">
        <v>458</v>
      </c>
      <c r="BR3079" t="s">
        <v>84</v>
      </c>
      <c r="BS3079" s="3">
        <v>45861</v>
      </c>
      <c r="BT3079" s="4">
        <v>0.4375</v>
      </c>
      <c r="BU3079" t="s">
        <v>3155</v>
      </c>
      <c r="BV3079" t="s">
        <v>98</v>
      </c>
      <c r="BY3079">
        <v>920368</v>
      </c>
      <c r="BZ3079" t="s">
        <v>30</v>
      </c>
      <c r="CA3079" t="s">
        <v>522</v>
      </c>
      <c r="CC3079" t="s">
        <v>241</v>
      </c>
      <c r="CD3079">
        <v>2188</v>
      </c>
      <c r="CE3079" t="s">
        <v>3156</v>
      </c>
      <c r="CF3079" s="3">
        <v>45862</v>
      </c>
      <c r="CI3079">
        <v>1</v>
      </c>
      <c r="CJ3079">
        <v>1</v>
      </c>
      <c r="CK3079">
        <v>42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"080066714497"</f>
        <v>080066714497</v>
      </c>
      <c r="F3080" s="3">
        <v>45860</v>
      </c>
      <c r="G3080">
        <v>202604</v>
      </c>
      <c r="H3080" t="s">
        <v>75</v>
      </c>
      <c r="I3080" t="s">
        <v>76</v>
      </c>
      <c r="J3080" t="s">
        <v>77</v>
      </c>
      <c r="K3080" t="s">
        <v>78</v>
      </c>
      <c r="L3080" t="s">
        <v>240</v>
      </c>
      <c r="M3080" t="s">
        <v>241</v>
      </c>
      <c r="N3080" t="s">
        <v>242</v>
      </c>
      <c r="O3080" t="s">
        <v>82</v>
      </c>
      <c r="P3080" t="str">
        <f>"4170049956                    "</f>
        <v xml:space="preserve">4170049956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17.649999999999999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3.4</v>
      </c>
      <c r="BK3080">
        <v>4</v>
      </c>
      <c r="BL3080">
        <v>55.61</v>
      </c>
      <c r="BM3080">
        <v>8.34</v>
      </c>
      <c r="BN3080">
        <v>63.95</v>
      </c>
      <c r="BO3080">
        <v>63.95</v>
      </c>
      <c r="BQ3080" t="s">
        <v>243</v>
      </c>
      <c r="BR3080" t="s">
        <v>84</v>
      </c>
      <c r="BS3080" s="3">
        <v>45861</v>
      </c>
      <c r="BT3080" s="4">
        <v>0.38541666666666669</v>
      </c>
      <c r="BU3080" t="s">
        <v>244</v>
      </c>
      <c r="BV3080" t="s">
        <v>98</v>
      </c>
      <c r="BY3080">
        <v>17136</v>
      </c>
      <c r="CA3080" t="s">
        <v>245</v>
      </c>
      <c r="CC3080" t="s">
        <v>241</v>
      </c>
      <c r="CD3080">
        <v>2091</v>
      </c>
      <c r="CE3080" t="s">
        <v>91</v>
      </c>
      <c r="CF3080" s="3">
        <v>45861</v>
      </c>
      <c r="CI3080">
        <v>1</v>
      </c>
      <c r="CJ3080">
        <v>1</v>
      </c>
      <c r="CK3080">
        <v>22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"080066714527"</f>
        <v>080066714527</v>
      </c>
      <c r="F3081" s="3">
        <v>45860</v>
      </c>
      <c r="G3081">
        <v>202604</v>
      </c>
      <c r="H3081" t="s">
        <v>75</v>
      </c>
      <c r="I3081" t="s">
        <v>76</v>
      </c>
      <c r="J3081" t="s">
        <v>77</v>
      </c>
      <c r="K3081" t="s">
        <v>78</v>
      </c>
      <c r="L3081" t="s">
        <v>865</v>
      </c>
      <c r="M3081" t="s">
        <v>866</v>
      </c>
      <c r="N3081" t="s">
        <v>867</v>
      </c>
      <c r="O3081" t="s">
        <v>82</v>
      </c>
      <c r="P3081" t="str">
        <f>"4170049775                    "</f>
        <v xml:space="preserve">4170049775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43.78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2</v>
      </c>
      <c r="BJ3081">
        <v>1.9</v>
      </c>
      <c r="BK3081">
        <v>2</v>
      </c>
      <c r="BL3081">
        <v>137.94</v>
      </c>
      <c r="BM3081">
        <v>20.69</v>
      </c>
      <c r="BN3081">
        <v>158.63</v>
      </c>
      <c r="BO3081">
        <v>158.63</v>
      </c>
      <c r="BQ3081" t="s">
        <v>868</v>
      </c>
      <c r="BR3081" t="s">
        <v>84</v>
      </c>
      <c r="BS3081" s="3">
        <v>45862</v>
      </c>
      <c r="BT3081" s="4">
        <v>0.54166666666666663</v>
      </c>
      <c r="BU3081" t="s">
        <v>3157</v>
      </c>
      <c r="BV3081" t="s">
        <v>86</v>
      </c>
      <c r="BW3081" t="s">
        <v>395</v>
      </c>
      <c r="BX3081" t="s">
        <v>3158</v>
      </c>
      <c r="BY3081">
        <v>9600</v>
      </c>
      <c r="CA3081" t="s">
        <v>3159</v>
      </c>
      <c r="CC3081" t="s">
        <v>866</v>
      </c>
      <c r="CD3081">
        <v>8446</v>
      </c>
      <c r="CE3081" t="s">
        <v>110</v>
      </c>
      <c r="CF3081" s="3">
        <v>45862</v>
      </c>
      <c r="CI3081">
        <v>1</v>
      </c>
      <c r="CJ3081">
        <v>2</v>
      </c>
      <c r="CK3081">
        <v>23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"080066714561"</f>
        <v>080066714561</v>
      </c>
      <c r="F3082" s="3">
        <v>45860</v>
      </c>
      <c r="G3082">
        <v>202604</v>
      </c>
      <c r="H3082" t="s">
        <v>75</v>
      </c>
      <c r="I3082" t="s">
        <v>76</v>
      </c>
      <c r="J3082" t="s">
        <v>77</v>
      </c>
      <c r="K3082" t="s">
        <v>78</v>
      </c>
      <c r="L3082" t="s">
        <v>122</v>
      </c>
      <c r="M3082" t="s">
        <v>123</v>
      </c>
      <c r="N3082" t="s">
        <v>2931</v>
      </c>
      <c r="O3082" t="s">
        <v>82</v>
      </c>
      <c r="P3082" t="str">
        <f>"4170050079                    "</f>
        <v xml:space="preserve">4170050079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39.53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</v>
      </c>
      <c r="BJ3082">
        <v>3.4</v>
      </c>
      <c r="BK3082">
        <v>3.5</v>
      </c>
      <c r="BL3082">
        <v>124.55</v>
      </c>
      <c r="BM3082">
        <v>18.68</v>
      </c>
      <c r="BN3082">
        <v>143.22999999999999</v>
      </c>
      <c r="BO3082">
        <v>143.22999999999999</v>
      </c>
      <c r="BQ3082" t="s">
        <v>2932</v>
      </c>
      <c r="BR3082" t="s">
        <v>84</v>
      </c>
      <c r="BS3082" s="3">
        <v>45861</v>
      </c>
      <c r="BT3082" s="4">
        <v>0.40625</v>
      </c>
      <c r="BU3082" t="s">
        <v>212</v>
      </c>
      <c r="BV3082" t="s">
        <v>98</v>
      </c>
      <c r="BY3082">
        <v>16965</v>
      </c>
      <c r="CA3082" t="s">
        <v>2974</v>
      </c>
      <c r="CC3082" t="s">
        <v>123</v>
      </c>
      <c r="CD3082">
        <v>3610</v>
      </c>
      <c r="CE3082" t="s">
        <v>110</v>
      </c>
      <c r="CF3082" s="3">
        <v>45861</v>
      </c>
      <c r="CI3082">
        <v>1</v>
      </c>
      <c r="CJ3082">
        <v>1</v>
      </c>
      <c r="CK3082">
        <v>21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"080066714598"</f>
        <v>080066714598</v>
      </c>
      <c r="F3083" s="3">
        <v>45860</v>
      </c>
      <c r="G3083">
        <v>202604</v>
      </c>
      <c r="H3083" t="s">
        <v>75</v>
      </c>
      <c r="I3083" t="s">
        <v>76</v>
      </c>
      <c r="J3083" t="s">
        <v>77</v>
      </c>
      <c r="K3083" t="s">
        <v>78</v>
      </c>
      <c r="L3083" t="s">
        <v>503</v>
      </c>
      <c r="M3083" t="s">
        <v>504</v>
      </c>
      <c r="N3083" t="s">
        <v>505</v>
      </c>
      <c r="O3083" t="s">
        <v>82</v>
      </c>
      <c r="P3083" t="str">
        <f>"4170049757                    "</f>
        <v xml:space="preserve">4170049757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43.78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0.9</v>
      </c>
      <c r="BK3083">
        <v>1</v>
      </c>
      <c r="BL3083">
        <v>137.94</v>
      </c>
      <c r="BM3083">
        <v>20.69</v>
      </c>
      <c r="BN3083">
        <v>158.63</v>
      </c>
      <c r="BO3083">
        <v>158.63</v>
      </c>
      <c r="BQ3083" t="s">
        <v>506</v>
      </c>
      <c r="BR3083" t="s">
        <v>84</v>
      </c>
      <c r="BS3083" s="3">
        <v>45861</v>
      </c>
      <c r="BT3083" s="4">
        <v>0.45763888888888887</v>
      </c>
      <c r="BU3083" t="s">
        <v>507</v>
      </c>
      <c r="BV3083" t="s">
        <v>98</v>
      </c>
      <c r="BY3083">
        <v>4275</v>
      </c>
      <c r="CA3083" t="s">
        <v>508</v>
      </c>
      <c r="CC3083" t="s">
        <v>504</v>
      </c>
      <c r="CD3083">
        <v>7130</v>
      </c>
      <c r="CE3083" t="s">
        <v>110</v>
      </c>
      <c r="CF3083" s="3">
        <v>45862</v>
      </c>
      <c r="CI3083">
        <v>1</v>
      </c>
      <c r="CJ3083">
        <v>1</v>
      </c>
      <c r="CK3083">
        <v>23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"080066714640"</f>
        <v>080066714640</v>
      </c>
      <c r="F3084" s="3">
        <v>45860</v>
      </c>
      <c r="G3084">
        <v>202604</v>
      </c>
      <c r="H3084" t="s">
        <v>75</v>
      </c>
      <c r="I3084" t="s">
        <v>76</v>
      </c>
      <c r="J3084" t="s">
        <v>77</v>
      </c>
      <c r="K3084" t="s">
        <v>78</v>
      </c>
      <c r="L3084" t="s">
        <v>168</v>
      </c>
      <c r="M3084" t="s">
        <v>169</v>
      </c>
      <c r="N3084" t="s">
        <v>206</v>
      </c>
      <c r="O3084" t="s">
        <v>82</v>
      </c>
      <c r="P3084" t="str">
        <f>"4170050001                    "</f>
        <v xml:space="preserve">4170050001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90.34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2</v>
      </c>
      <c r="BI3084">
        <v>6</v>
      </c>
      <c r="BJ3084">
        <v>7.9</v>
      </c>
      <c r="BK3084">
        <v>8</v>
      </c>
      <c r="BL3084">
        <v>284.62</v>
      </c>
      <c r="BM3084">
        <v>42.69</v>
      </c>
      <c r="BN3084">
        <v>327.31</v>
      </c>
      <c r="BO3084">
        <v>327.31</v>
      </c>
      <c r="BQ3084" t="s">
        <v>207</v>
      </c>
      <c r="BR3084" t="s">
        <v>84</v>
      </c>
      <c r="BS3084" s="3">
        <v>45861</v>
      </c>
      <c r="BT3084" s="4">
        <v>0.40138888888888891</v>
      </c>
      <c r="BU3084" t="s">
        <v>2957</v>
      </c>
      <c r="BV3084" t="s">
        <v>98</v>
      </c>
      <c r="BY3084">
        <v>39585</v>
      </c>
      <c r="CA3084" t="s">
        <v>196</v>
      </c>
      <c r="CC3084" t="s">
        <v>169</v>
      </c>
      <c r="CD3084">
        <v>6001</v>
      </c>
      <c r="CE3084" t="s">
        <v>110</v>
      </c>
      <c r="CF3084" s="3">
        <v>45861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"080066714703"</f>
        <v>080066714703</v>
      </c>
      <c r="F3085" s="3">
        <v>45860</v>
      </c>
      <c r="G3085">
        <v>202604</v>
      </c>
      <c r="H3085" t="s">
        <v>75</v>
      </c>
      <c r="I3085" t="s">
        <v>76</v>
      </c>
      <c r="J3085" t="s">
        <v>77</v>
      </c>
      <c r="K3085" t="s">
        <v>78</v>
      </c>
      <c r="L3085" t="s">
        <v>554</v>
      </c>
      <c r="M3085" t="s">
        <v>555</v>
      </c>
      <c r="N3085" t="s">
        <v>2163</v>
      </c>
      <c r="O3085" t="s">
        <v>82</v>
      </c>
      <c r="P3085" t="str">
        <f>"4170049981                    "</f>
        <v xml:space="preserve">4170049981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39.53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2</v>
      </c>
      <c r="BJ3085">
        <v>3.1</v>
      </c>
      <c r="BK3085">
        <v>3.5</v>
      </c>
      <c r="BL3085">
        <v>124.55</v>
      </c>
      <c r="BM3085">
        <v>18.68</v>
      </c>
      <c r="BN3085">
        <v>143.22999999999999</v>
      </c>
      <c r="BO3085">
        <v>143.22999999999999</v>
      </c>
      <c r="BQ3085" t="s">
        <v>2164</v>
      </c>
      <c r="BR3085" t="s">
        <v>84</v>
      </c>
      <c r="BS3085" s="3">
        <v>45861</v>
      </c>
      <c r="BT3085" s="4">
        <v>0.34305555555555556</v>
      </c>
      <c r="BU3085" t="s">
        <v>3160</v>
      </c>
      <c r="BV3085" t="s">
        <v>98</v>
      </c>
      <c r="BY3085">
        <v>15360</v>
      </c>
      <c r="BZ3085" t="s">
        <v>89</v>
      </c>
      <c r="CA3085" t="s">
        <v>156</v>
      </c>
      <c r="CC3085" t="s">
        <v>555</v>
      </c>
      <c r="CD3085" s="5" t="s">
        <v>560</v>
      </c>
      <c r="CE3085" t="s">
        <v>145</v>
      </c>
      <c r="CF3085" s="3">
        <v>45861</v>
      </c>
      <c r="CI3085">
        <v>1</v>
      </c>
      <c r="CJ3085">
        <v>1</v>
      </c>
      <c r="CK3085">
        <v>21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"080066714822"</f>
        <v>080066714822</v>
      </c>
      <c r="F3086" s="3">
        <v>45860</v>
      </c>
      <c r="G3086">
        <v>202604</v>
      </c>
      <c r="H3086" t="s">
        <v>75</v>
      </c>
      <c r="I3086" t="s">
        <v>76</v>
      </c>
      <c r="J3086" t="s">
        <v>77</v>
      </c>
      <c r="K3086" t="s">
        <v>78</v>
      </c>
      <c r="L3086" t="s">
        <v>234</v>
      </c>
      <c r="M3086" t="s">
        <v>235</v>
      </c>
      <c r="N3086" t="s">
        <v>3161</v>
      </c>
      <c r="O3086" t="s">
        <v>311</v>
      </c>
      <c r="P3086" t="str">
        <f>"4170050061                    "</f>
        <v xml:space="preserve">4170050061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17.66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8</v>
      </c>
      <c r="BJ3086">
        <v>3.8</v>
      </c>
      <c r="BK3086">
        <v>8</v>
      </c>
      <c r="BL3086">
        <v>55.63</v>
      </c>
      <c r="BM3086">
        <v>8.34</v>
      </c>
      <c r="BN3086">
        <v>63.97</v>
      </c>
      <c r="BO3086">
        <v>63.97</v>
      </c>
      <c r="BQ3086" t="s">
        <v>3162</v>
      </c>
      <c r="BR3086" t="s">
        <v>84</v>
      </c>
      <c r="BS3086" s="3">
        <v>45861</v>
      </c>
      <c r="BT3086" s="4">
        <v>0.45763888888888887</v>
      </c>
      <c r="BU3086" t="s">
        <v>212</v>
      </c>
      <c r="BV3086" t="s">
        <v>98</v>
      </c>
      <c r="BY3086">
        <v>19227</v>
      </c>
      <c r="BZ3086" t="s">
        <v>99</v>
      </c>
      <c r="CA3086" t="s">
        <v>900</v>
      </c>
      <c r="CC3086" t="s">
        <v>235</v>
      </c>
      <c r="CD3086">
        <v>1684</v>
      </c>
      <c r="CE3086" t="s">
        <v>145</v>
      </c>
      <c r="CF3086" s="3">
        <v>45862</v>
      </c>
      <c r="CI3086">
        <v>1</v>
      </c>
      <c r="CJ3086">
        <v>1</v>
      </c>
      <c r="CK3086">
        <v>32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"080066714921"</f>
        <v>080066714921</v>
      </c>
      <c r="F3087" s="3">
        <v>45860</v>
      </c>
      <c r="G3087">
        <v>202604</v>
      </c>
      <c r="H3087" t="s">
        <v>75</v>
      </c>
      <c r="I3087" t="s">
        <v>76</v>
      </c>
      <c r="J3087" t="s">
        <v>77</v>
      </c>
      <c r="K3087" t="s">
        <v>78</v>
      </c>
      <c r="L3087" t="s">
        <v>295</v>
      </c>
      <c r="M3087" t="s">
        <v>296</v>
      </c>
      <c r="N3087" t="s">
        <v>1262</v>
      </c>
      <c r="O3087" t="s">
        <v>82</v>
      </c>
      <c r="P3087" t="str">
        <f>"4170049762                    "</f>
        <v xml:space="preserve">4170049762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17.649999999999999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1.1000000000000001</v>
      </c>
      <c r="BK3087">
        <v>2</v>
      </c>
      <c r="BL3087">
        <v>55.61</v>
      </c>
      <c r="BM3087">
        <v>8.34</v>
      </c>
      <c r="BN3087">
        <v>63.95</v>
      </c>
      <c r="BO3087">
        <v>63.95</v>
      </c>
      <c r="BQ3087" t="s">
        <v>1263</v>
      </c>
      <c r="BR3087" t="s">
        <v>84</v>
      </c>
      <c r="BS3087" s="3">
        <v>45861</v>
      </c>
      <c r="BT3087" s="4">
        <v>0.35972222222222222</v>
      </c>
      <c r="BU3087" t="s">
        <v>624</v>
      </c>
      <c r="BV3087" t="s">
        <v>98</v>
      </c>
      <c r="BY3087">
        <v>5320</v>
      </c>
      <c r="CA3087" t="s">
        <v>2782</v>
      </c>
      <c r="CC3087" t="s">
        <v>296</v>
      </c>
      <c r="CD3087">
        <v>1459</v>
      </c>
      <c r="CE3087" t="s">
        <v>145</v>
      </c>
      <c r="CF3087" s="3">
        <v>45862</v>
      </c>
      <c r="CI3087">
        <v>1</v>
      </c>
      <c r="CJ3087">
        <v>1</v>
      </c>
      <c r="CK3087">
        <v>22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"080066715002"</f>
        <v>080066715002</v>
      </c>
      <c r="F3088" s="3">
        <v>45860</v>
      </c>
      <c r="G3088">
        <v>202604</v>
      </c>
      <c r="H3088" t="s">
        <v>75</v>
      </c>
      <c r="I3088" t="s">
        <v>76</v>
      </c>
      <c r="J3088" t="s">
        <v>77</v>
      </c>
      <c r="K3088" t="s">
        <v>78</v>
      </c>
      <c r="L3088" t="s">
        <v>75</v>
      </c>
      <c r="M3088" t="s">
        <v>76</v>
      </c>
      <c r="N3088" t="s">
        <v>3163</v>
      </c>
      <c r="O3088" t="s">
        <v>82</v>
      </c>
      <c r="P3088" t="str">
        <f>"4170050090                    "</f>
        <v xml:space="preserve">4170050090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17.649999999999999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3</v>
      </c>
      <c r="BJ3088">
        <v>1.7</v>
      </c>
      <c r="BK3088">
        <v>3</v>
      </c>
      <c r="BL3088">
        <v>55.61</v>
      </c>
      <c r="BM3088">
        <v>8.34</v>
      </c>
      <c r="BN3088">
        <v>63.95</v>
      </c>
      <c r="BO3088">
        <v>63.95</v>
      </c>
      <c r="BQ3088" t="s">
        <v>3164</v>
      </c>
      <c r="BR3088" t="s">
        <v>84</v>
      </c>
      <c r="BS3088" s="3">
        <v>45861</v>
      </c>
      <c r="BT3088" s="4">
        <v>0.41666666666666669</v>
      </c>
      <c r="BU3088" t="s">
        <v>3165</v>
      </c>
      <c r="BV3088" t="s">
        <v>98</v>
      </c>
      <c r="BY3088">
        <v>8512</v>
      </c>
      <c r="CA3088" t="s">
        <v>2442</v>
      </c>
      <c r="CC3088" t="s">
        <v>76</v>
      </c>
      <c r="CD3088">
        <v>1666</v>
      </c>
      <c r="CE3088" t="s">
        <v>145</v>
      </c>
      <c r="CF3088" s="3">
        <v>45862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"080066715067"</f>
        <v>080066715067</v>
      </c>
      <c r="F3089" s="3">
        <v>45860</v>
      </c>
      <c r="G3089">
        <v>202604</v>
      </c>
      <c r="H3089" t="s">
        <v>75</v>
      </c>
      <c r="I3089" t="s">
        <v>76</v>
      </c>
      <c r="J3089" t="s">
        <v>77</v>
      </c>
      <c r="K3089" t="s">
        <v>78</v>
      </c>
      <c r="L3089" t="s">
        <v>151</v>
      </c>
      <c r="M3089" t="s">
        <v>152</v>
      </c>
      <c r="N3089" t="s">
        <v>153</v>
      </c>
      <c r="O3089" t="s">
        <v>82</v>
      </c>
      <c r="P3089" t="str">
        <f>"4170050100                    "</f>
        <v xml:space="preserve">4170050100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45.18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4</v>
      </c>
      <c r="BJ3089">
        <v>0.6</v>
      </c>
      <c r="BK3089">
        <v>4</v>
      </c>
      <c r="BL3089">
        <v>142.34</v>
      </c>
      <c r="BM3089">
        <v>21.35</v>
      </c>
      <c r="BN3089">
        <v>163.69</v>
      </c>
      <c r="BO3089">
        <v>163.69</v>
      </c>
      <c r="BQ3089" t="s">
        <v>154</v>
      </c>
      <c r="BR3089" t="s">
        <v>84</v>
      </c>
      <c r="BS3089" s="3">
        <v>45861</v>
      </c>
      <c r="BT3089" s="4">
        <v>0.34305555555555556</v>
      </c>
      <c r="BU3089" t="s">
        <v>1297</v>
      </c>
      <c r="BV3089" t="s">
        <v>98</v>
      </c>
      <c r="BY3089">
        <v>3192</v>
      </c>
      <c r="CA3089" t="s">
        <v>156</v>
      </c>
      <c r="CC3089" t="s">
        <v>152</v>
      </c>
      <c r="CD3089" s="5" t="s">
        <v>157</v>
      </c>
      <c r="CE3089" t="s">
        <v>145</v>
      </c>
      <c r="CF3089" s="3">
        <v>45861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"080066715109"</f>
        <v>080066715109</v>
      </c>
      <c r="F3090" s="3">
        <v>45860</v>
      </c>
      <c r="G3090">
        <v>202604</v>
      </c>
      <c r="H3090" t="s">
        <v>75</v>
      </c>
      <c r="I3090" t="s">
        <v>76</v>
      </c>
      <c r="J3090" t="s">
        <v>77</v>
      </c>
      <c r="K3090" t="s">
        <v>78</v>
      </c>
      <c r="L3090" t="s">
        <v>554</v>
      </c>
      <c r="M3090" t="s">
        <v>555</v>
      </c>
      <c r="N3090" t="s">
        <v>556</v>
      </c>
      <c r="O3090" t="s">
        <v>82</v>
      </c>
      <c r="P3090" t="str">
        <f>"4170049792                    "</f>
        <v xml:space="preserve">4170049792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22.6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1.2</v>
      </c>
      <c r="BK3090">
        <v>2</v>
      </c>
      <c r="BL3090">
        <v>71.2</v>
      </c>
      <c r="BM3090">
        <v>10.68</v>
      </c>
      <c r="BN3090">
        <v>81.88</v>
      </c>
      <c r="BO3090">
        <v>81.88</v>
      </c>
      <c r="BQ3090" t="s">
        <v>557</v>
      </c>
      <c r="BR3090" t="s">
        <v>84</v>
      </c>
      <c r="BS3090" s="3">
        <v>45861</v>
      </c>
      <c r="BT3090" s="4">
        <v>0.37361111111111112</v>
      </c>
      <c r="BU3090" t="s">
        <v>1810</v>
      </c>
      <c r="BV3090" t="s">
        <v>98</v>
      </c>
      <c r="BY3090">
        <v>6000</v>
      </c>
      <c r="CA3090" t="s">
        <v>559</v>
      </c>
      <c r="CC3090" t="s">
        <v>555</v>
      </c>
      <c r="CD3090" s="5" t="s">
        <v>560</v>
      </c>
      <c r="CE3090" t="s">
        <v>145</v>
      </c>
      <c r="CF3090" s="3">
        <v>45861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"080066715144"</f>
        <v>080066715144</v>
      </c>
      <c r="F3091" s="3">
        <v>45860</v>
      </c>
      <c r="G3091">
        <v>202604</v>
      </c>
      <c r="H3091" t="s">
        <v>75</v>
      </c>
      <c r="I3091" t="s">
        <v>76</v>
      </c>
      <c r="J3091" t="s">
        <v>77</v>
      </c>
      <c r="K3091" t="s">
        <v>78</v>
      </c>
      <c r="L3091" t="s">
        <v>122</v>
      </c>
      <c r="M3091" t="s">
        <v>123</v>
      </c>
      <c r="N3091" t="s">
        <v>2931</v>
      </c>
      <c r="O3091" t="s">
        <v>82</v>
      </c>
      <c r="P3091" t="str">
        <f>"4170050072                    "</f>
        <v xml:space="preserve">4170050072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22.6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71.2</v>
      </c>
      <c r="BM3091">
        <v>10.68</v>
      </c>
      <c r="BN3091">
        <v>81.88</v>
      </c>
      <c r="BO3091">
        <v>81.88</v>
      </c>
      <c r="BQ3091" t="s">
        <v>2932</v>
      </c>
      <c r="BR3091" t="s">
        <v>84</v>
      </c>
      <c r="BS3091" s="3">
        <v>45861</v>
      </c>
      <c r="BT3091" s="4">
        <v>0.40625</v>
      </c>
      <c r="BU3091" t="s">
        <v>212</v>
      </c>
      <c r="BV3091" t="s">
        <v>98</v>
      </c>
      <c r="BY3091">
        <v>1200</v>
      </c>
      <c r="CA3091" t="s">
        <v>2974</v>
      </c>
      <c r="CC3091" t="s">
        <v>123</v>
      </c>
      <c r="CD3091">
        <v>3610</v>
      </c>
      <c r="CE3091" t="s">
        <v>110</v>
      </c>
      <c r="CF3091" s="3">
        <v>45861</v>
      </c>
      <c r="CI3091">
        <v>1</v>
      </c>
      <c r="CJ3091">
        <v>1</v>
      </c>
      <c r="CK3091">
        <v>21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"080066715161"</f>
        <v>080066715161</v>
      </c>
      <c r="F3092" s="3">
        <v>45860</v>
      </c>
      <c r="G3092">
        <v>202604</v>
      </c>
      <c r="H3092" t="s">
        <v>75</v>
      </c>
      <c r="I3092" t="s">
        <v>76</v>
      </c>
      <c r="J3092" t="s">
        <v>77</v>
      </c>
      <c r="K3092" t="s">
        <v>78</v>
      </c>
      <c r="L3092" t="s">
        <v>122</v>
      </c>
      <c r="M3092" t="s">
        <v>123</v>
      </c>
      <c r="N3092" t="s">
        <v>2931</v>
      </c>
      <c r="O3092" t="s">
        <v>82</v>
      </c>
      <c r="P3092" t="str">
        <f>"4170050070                    "</f>
        <v xml:space="preserve">4170050070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22.6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71.2</v>
      </c>
      <c r="BM3092">
        <v>10.68</v>
      </c>
      <c r="BN3092">
        <v>81.88</v>
      </c>
      <c r="BO3092">
        <v>81.88</v>
      </c>
      <c r="BQ3092" t="s">
        <v>2932</v>
      </c>
      <c r="BR3092" t="s">
        <v>84</v>
      </c>
      <c r="BS3092" s="3">
        <v>45861</v>
      </c>
      <c r="BT3092" s="4">
        <v>0.40625</v>
      </c>
      <c r="BU3092" t="s">
        <v>212</v>
      </c>
      <c r="BV3092" t="s">
        <v>98</v>
      </c>
      <c r="BY3092">
        <v>1200</v>
      </c>
      <c r="CA3092" t="s">
        <v>2974</v>
      </c>
      <c r="CC3092" t="s">
        <v>123</v>
      </c>
      <c r="CD3092">
        <v>3610</v>
      </c>
      <c r="CE3092" t="s">
        <v>110</v>
      </c>
      <c r="CF3092" s="3">
        <v>45861</v>
      </c>
      <c r="CI3092">
        <v>1</v>
      </c>
      <c r="CJ3092">
        <v>1</v>
      </c>
      <c r="CK3092">
        <v>21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"080066715197"</f>
        <v>080066715197</v>
      </c>
      <c r="F3093" s="3">
        <v>45860</v>
      </c>
      <c r="G3093">
        <v>202604</v>
      </c>
      <c r="H3093" t="s">
        <v>75</v>
      </c>
      <c r="I3093" t="s">
        <v>76</v>
      </c>
      <c r="J3093" t="s">
        <v>77</v>
      </c>
      <c r="K3093" t="s">
        <v>78</v>
      </c>
      <c r="L3093" t="s">
        <v>122</v>
      </c>
      <c r="M3093" t="s">
        <v>123</v>
      </c>
      <c r="N3093" t="s">
        <v>2931</v>
      </c>
      <c r="O3093" t="s">
        <v>82</v>
      </c>
      <c r="P3093" t="str">
        <f>"4170050067                    "</f>
        <v xml:space="preserve">4170050067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22.6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71.2</v>
      </c>
      <c r="BM3093">
        <v>10.68</v>
      </c>
      <c r="BN3093">
        <v>81.88</v>
      </c>
      <c r="BO3093">
        <v>81.88</v>
      </c>
      <c r="BQ3093" t="s">
        <v>2932</v>
      </c>
      <c r="BR3093" t="s">
        <v>84</v>
      </c>
      <c r="BS3093" s="3">
        <v>45861</v>
      </c>
      <c r="BT3093" s="4">
        <v>0.41666666666666669</v>
      </c>
      <c r="BU3093" t="s">
        <v>212</v>
      </c>
      <c r="BV3093" t="s">
        <v>98</v>
      </c>
      <c r="BY3093">
        <v>1200</v>
      </c>
      <c r="CA3093" t="s">
        <v>2974</v>
      </c>
      <c r="CC3093" t="s">
        <v>123</v>
      </c>
      <c r="CD3093">
        <v>3610</v>
      </c>
      <c r="CE3093" t="s">
        <v>110</v>
      </c>
      <c r="CF3093" s="3">
        <v>45861</v>
      </c>
      <c r="CI3093">
        <v>1</v>
      </c>
      <c r="CJ3093">
        <v>1</v>
      </c>
      <c r="CK3093">
        <v>21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"080066715225"</f>
        <v>080066715225</v>
      </c>
      <c r="F3094" s="3">
        <v>45860</v>
      </c>
      <c r="G3094">
        <v>202604</v>
      </c>
      <c r="H3094" t="s">
        <v>75</v>
      </c>
      <c r="I3094" t="s">
        <v>76</v>
      </c>
      <c r="J3094" t="s">
        <v>77</v>
      </c>
      <c r="K3094" t="s">
        <v>78</v>
      </c>
      <c r="L3094" t="s">
        <v>295</v>
      </c>
      <c r="M3094" t="s">
        <v>296</v>
      </c>
      <c r="N3094" t="s">
        <v>539</v>
      </c>
      <c r="O3094" t="s">
        <v>82</v>
      </c>
      <c r="P3094" t="str">
        <f>"417011049751                  "</f>
        <v xml:space="preserve">417011049751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17.649999999999999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1.6</v>
      </c>
      <c r="BK3094">
        <v>2</v>
      </c>
      <c r="BL3094">
        <v>55.61</v>
      </c>
      <c r="BM3094">
        <v>8.34</v>
      </c>
      <c r="BN3094">
        <v>63.95</v>
      </c>
      <c r="BO3094">
        <v>63.95</v>
      </c>
      <c r="BQ3094" t="s">
        <v>540</v>
      </c>
      <c r="BR3094" t="s">
        <v>84</v>
      </c>
      <c r="BS3094" s="3">
        <v>45861</v>
      </c>
      <c r="BT3094" s="4">
        <v>0.38958333333333334</v>
      </c>
      <c r="BU3094" t="s">
        <v>2629</v>
      </c>
      <c r="BV3094" t="s">
        <v>98</v>
      </c>
      <c r="BY3094">
        <v>7980</v>
      </c>
      <c r="CA3094" t="s">
        <v>300</v>
      </c>
      <c r="CC3094" t="s">
        <v>296</v>
      </c>
      <c r="CD3094">
        <v>1459</v>
      </c>
      <c r="CE3094" t="s">
        <v>110</v>
      </c>
      <c r="CF3094" s="3">
        <v>45861</v>
      </c>
      <c r="CI3094">
        <v>1</v>
      </c>
      <c r="CJ3094">
        <v>1</v>
      </c>
      <c r="CK3094">
        <v>22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"080066715226"</f>
        <v>080066715226</v>
      </c>
      <c r="F3095" s="3">
        <v>45860</v>
      </c>
      <c r="G3095">
        <v>202604</v>
      </c>
      <c r="H3095" t="s">
        <v>75</v>
      </c>
      <c r="I3095" t="s">
        <v>76</v>
      </c>
      <c r="J3095" t="s">
        <v>77</v>
      </c>
      <c r="K3095" t="s">
        <v>78</v>
      </c>
      <c r="L3095" t="s">
        <v>122</v>
      </c>
      <c r="M3095" t="s">
        <v>123</v>
      </c>
      <c r="N3095" t="s">
        <v>1715</v>
      </c>
      <c r="O3095" t="s">
        <v>82</v>
      </c>
      <c r="P3095" t="str">
        <f>"4170049946                    "</f>
        <v xml:space="preserve">4170049946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22.6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71.2</v>
      </c>
      <c r="BM3095">
        <v>10.68</v>
      </c>
      <c r="BN3095">
        <v>81.88</v>
      </c>
      <c r="BO3095">
        <v>81.88</v>
      </c>
      <c r="BQ3095" t="s">
        <v>1716</v>
      </c>
      <c r="BR3095" t="s">
        <v>84</v>
      </c>
      <c r="BS3095" s="3">
        <v>45861</v>
      </c>
      <c r="BT3095" s="4">
        <v>0.55555555555555558</v>
      </c>
      <c r="BU3095" t="s">
        <v>2364</v>
      </c>
      <c r="BV3095" t="s">
        <v>86</v>
      </c>
      <c r="BW3095" t="s">
        <v>219</v>
      </c>
      <c r="BX3095" t="s">
        <v>220</v>
      </c>
      <c r="BY3095">
        <v>1200</v>
      </c>
      <c r="CA3095" t="s">
        <v>2974</v>
      </c>
      <c r="CC3095" t="s">
        <v>123</v>
      </c>
      <c r="CD3095">
        <v>3600</v>
      </c>
      <c r="CE3095" t="s">
        <v>110</v>
      </c>
      <c r="CF3095" s="3">
        <v>45861</v>
      </c>
      <c r="CI3095">
        <v>1</v>
      </c>
      <c r="CJ3095">
        <v>1</v>
      </c>
      <c r="CK3095">
        <v>21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"080066715248"</f>
        <v>080066715248</v>
      </c>
      <c r="F3096" s="3">
        <v>45860</v>
      </c>
      <c r="G3096">
        <v>202604</v>
      </c>
      <c r="H3096" t="s">
        <v>75</v>
      </c>
      <c r="I3096" t="s">
        <v>76</v>
      </c>
      <c r="J3096" t="s">
        <v>77</v>
      </c>
      <c r="K3096" t="s">
        <v>78</v>
      </c>
      <c r="L3096" t="s">
        <v>295</v>
      </c>
      <c r="M3096" t="s">
        <v>296</v>
      </c>
      <c r="N3096" t="s">
        <v>1262</v>
      </c>
      <c r="O3096" t="s">
        <v>311</v>
      </c>
      <c r="P3096" t="str">
        <f>"4170049785                    "</f>
        <v xml:space="preserve">4170049785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17.66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5</v>
      </c>
      <c r="BJ3096">
        <v>3.4</v>
      </c>
      <c r="BK3096">
        <v>5</v>
      </c>
      <c r="BL3096">
        <v>55.63</v>
      </c>
      <c r="BM3096">
        <v>8.34</v>
      </c>
      <c r="BN3096">
        <v>63.97</v>
      </c>
      <c r="BO3096">
        <v>63.97</v>
      </c>
      <c r="BQ3096" t="s">
        <v>1263</v>
      </c>
      <c r="BR3096" t="s">
        <v>84</v>
      </c>
      <c r="BS3096" s="3">
        <v>45861</v>
      </c>
      <c r="BT3096" s="4">
        <v>0.36041666666666666</v>
      </c>
      <c r="BU3096" t="s">
        <v>624</v>
      </c>
      <c r="BV3096" t="s">
        <v>98</v>
      </c>
      <c r="BY3096">
        <v>16965</v>
      </c>
      <c r="CA3096" t="s">
        <v>2782</v>
      </c>
      <c r="CC3096" t="s">
        <v>296</v>
      </c>
      <c r="CD3096">
        <v>1459</v>
      </c>
      <c r="CE3096" t="s">
        <v>110</v>
      </c>
      <c r="CF3096" s="3">
        <v>45862</v>
      </c>
      <c r="CI3096">
        <v>1</v>
      </c>
      <c r="CJ3096">
        <v>1</v>
      </c>
      <c r="CK3096">
        <v>32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"080066715252"</f>
        <v>080066715252</v>
      </c>
      <c r="F3097" s="3">
        <v>45860</v>
      </c>
      <c r="G3097">
        <v>202604</v>
      </c>
      <c r="H3097" t="s">
        <v>75</v>
      </c>
      <c r="I3097" t="s">
        <v>76</v>
      </c>
      <c r="J3097" t="s">
        <v>77</v>
      </c>
      <c r="K3097" t="s">
        <v>78</v>
      </c>
      <c r="L3097" t="s">
        <v>102</v>
      </c>
      <c r="M3097" t="s">
        <v>103</v>
      </c>
      <c r="N3097" t="s">
        <v>104</v>
      </c>
      <c r="O3097" t="s">
        <v>82</v>
      </c>
      <c r="P3097" t="str">
        <f>"4170050094                    "</f>
        <v xml:space="preserve">4170050094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31.78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100.13</v>
      </c>
      <c r="BM3097">
        <v>15.02</v>
      </c>
      <c r="BN3097">
        <v>115.15</v>
      </c>
      <c r="BO3097">
        <v>115.15</v>
      </c>
      <c r="BQ3097" t="s">
        <v>833</v>
      </c>
      <c r="BR3097" t="s">
        <v>84</v>
      </c>
      <c r="BS3097" s="3">
        <v>45861</v>
      </c>
      <c r="BT3097" s="4">
        <v>0.36527777777777776</v>
      </c>
      <c r="BU3097" t="s">
        <v>107</v>
      </c>
      <c r="BV3097" t="s">
        <v>98</v>
      </c>
      <c r="BY3097">
        <v>1200</v>
      </c>
      <c r="CA3097" t="s">
        <v>109</v>
      </c>
      <c r="CC3097" t="s">
        <v>103</v>
      </c>
      <c r="CD3097">
        <v>1748</v>
      </c>
      <c r="CE3097" t="s">
        <v>110</v>
      </c>
      <c r="CF3097" s="3">
        <v>45861</v>
      </c>
      <c r="CI3097">
        <v>1</v>
      </c>
      <c r="CJ3097">
        <v>1</v>
      </c>
      <c r="CK3097">
        <v>24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"080066715316"</f>
        <v>080066715316</v>
      </c>
      <c r="F3098" s="3">
        <v>45860</v>
      </c>
      <c r="G3098">
        <v>202604</v>
      </c>
      <c r="H3098" t="s">
        <v>75</v>
      </c>
      <c r="I3098" t="s">
        <v>76</v>
      </c>
      <c r="J3098" t="s">
        <v>77</v>
      </c>
      <c r="K3098" t="s">
        <v>78</v>
      </c>
      <c r="L3098" t="s">
        <v>122</v>
      </c>
      <c r="M3098" t="s">
        <v>123</v>
      </c>
      <c r="N3098" t="s">
        <v>267</v>
      </c>
      <c r="O3098" t="s">
        <v>82</v>
      </c>
      <c r="P3098" t="str">
        <f>"4170049960                    "</f>
        <v xml:space="preserve">4170049960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22.6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71.2</v>
      </c>
      <c r="BM3098">
        <v>10.68</v>
      </c>
      <c r="BN3098">
        <v>81.88</v>
      </c>
      <c r="BO3098">
        <v>81.88</v>
      </c>
      <c r="BQ3098" t="s">
        <v>268</v>
      </c>
      <c r="BR3098" t="s">
        <v>84</v>
      </c>
      <c r="BS3098" s="3">
        <v>45861</v>
      </c>
      <c r="BT3098" s="4">
        <v>0.42708333333333331</v>
      </c>
      <c r="BU3098" t="s">
        <v>722</v>
      </c>
      <c r="BV3098" t="s">
        <v>98</v>
      </c>
      <c r="BY3098">
        <v>1200</v>
      </c>
      <c r="CA3098" t="s">
        <v>2974</v>
      </c>
      <c r="CC3098" t="s">
        <v>123</v>
      </c>
      <c r="CD3098">
        <v>3610</v>
      </c>
      <c r="CE3098" t="s">
        <v>121</v>
      </c>
      <c r="CF3098" s="3">
        <v>45861</v>
      </c>
      <c r="CI3098">
        <v>1</v>
      </c>
      <c r="CJ3098">
        <v>1</v>
      </c>
      <c r="CK3098">
        <v>21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"080066715341"</f>
        <v>080066715341</v>
      </c>
      <c r="F3099" s="3">
        <v>45860</v>
      </c>
      <c r="G3099">
        <v>202604</v>
      </c>
      <c r="H3099" t="s">
        <v>75</v>
      </c>
      <c r="I3099" t="s">
        <v>76</v>
      </c>
      <c r="J3099" t="s">
        <v>77</v>
      </c>
      <c r="K3099" t="s">
        <v>78</v>
      </c>
      <c r="L3099" t="s">
        <v>2837</v>
      </c>
      <c r="M3099" t="s">
        <v>2838</v>
      </c>
      <c r="N3099" t="s">
        <v>2839</v>
      </c>
      <c r="O3099" t="s">
        <v>82</v>
      </c>
      <c r="P3099" t="str">
        <f>"4170049786                    "</f>
        <v xml:space="preserve">4170049786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43.78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137.94</v>
      </c>
      <c r="BM3099">
        <v>20.69</v>
      </c>
      <c r="BN3099">
        <v>158.63</v>
      </c>
      <c r="BO3099">
        <v>158.63</v>
      </c>
      <c r="BQ3099" t="s">
        <v>2840</v>
      </c>
      <c r="BR3099" t="s">
        <v>84</v>
      </c>
      <c r="BS3099" s="3">
        <v>45861</v>
      </c>
      <c r="BT3099" s="4">
        <v>0.40069444444444446</v>
      </c>
      <c r="BU3099" t="s">
        <v>3166</v>
      </c>
      <c r="BV3099" t="s">
        <v>98</v>
      </c>
      <c r="BY3099">
        <v>1200</v>
      </c>
      <c r="CA3099" t="s">
        <v>2842</v>
      </c>
      <c r="CC3099" t="s">
        <v>2838</v>
      </c>
      <c r="CD3099">
        <v>7349</v>
      </c>
      <c r="CE3099" t="s">
        <v>121</v>
      </c>
      <c r="CF3099" s="3">
        <v>45863</v>
      </c>
      <c r="CI3099">
        <v>1</v>
      </c>
      <c r="CJ3099">
        <v>1</v>
      </c>
      <c r="CK3099">
        <v>23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"080066715365"</f>
        <v>080066715365</v>
      </c>
      <c r="F3100" s="3">
        <v>45860</v>
      </c>
      <c r="G3100">
        <v>202604</v>
      </c>
      <c r="H3100" t="s">
        <v>75</v>
      </c>
      <c r="I3100" t="s">
        <v>76</v>
      </c>
      <c r="J3100" t="s">
        <v>77</v>
      </c>
      <c r="K3100" t="s">
        <v>78</v>
      </c>
      <c r="L3100" t="s">
        <v>168</v>
      </c>
      <c r="M3100" t="s">
        <v>169</v>
      </c>
      <c r="N3100" t="s">
        <v>206</v>
      </c>
      <c r="O3100" t="s">
        <v>82</v>
      </c>
      <c r="P3100" t="str">
        <f>"4170049808                    "</f>
        <v xml:space="preserve">4170049808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22.6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71.2</v>
      </c>
      <c r="BM3100">
        <v>10.68</v>
      </c>
      <c r="BN3100">
        <v>81.88</v>
      </c>
      <c r="BO3100">
        <v>81.88</v>
      </c>
      <c r="BQ3100" t="s">
        <v>207</v>
      </c>
      <c r="BR3100" t="s">
        <v>84</v>
      </c>
      <c r="BS3100" s="3">
        <v>45861</v>
      </c>
      <c r="BT3100" s="4">
        <v>0.40138888888888891</v>
      </c>
      <c r="BU3100" t="s">
        <v>2957</v>
      </c>
      <c r="BV3100" t="s">
        <v>98</v>
      </c>
      <c r="BY3100">
        <v>1200</v>
      </c>
      <c r="CA3100" t="s">
        <v>196</v>
      </c>
      <c r="CC3100" t="s">
        <v>169</v>
      </c>
      <c r="CD3100">
        <v>6001</v>
      </c>
      <c r="CE3100" t="s">
        <v>121</v>
      </c>
      <c r="CF3100" s="3">
        <v>45861</v>
      </c>
      <c r="CI3100">
        <v>1</v>
      </c>
      <c r="CJ3100">
        <v>1</v>
      </c>
      <c r="CK3100">
        <v>21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"080066715379"</f>
        <v>080066715379</v>
      </c>
      <c r="F3101" s="3">
        <v>45860</v>
      </c>
      <c r="G3101">
        <v>202604</v>
      </c>
      <c r="H3101" t="s">
        <v>75</v>
      </c>
      <c r="I3101" t="s">
        <v>76</v>
      </c>
      <c r="J3101" t="s">
        <v>77</v>
      </c>
      <c r="K3101" t="s">
        <v>78</v>
      </c>
      <c r="L3101" t="s">
        <v>79</v>
      </c>
      <c r="M3101" t="s">
        <v>80</v>
      </c>
      <c r="N3101" t="s">
        <v>689</v>
      </c>
      <c r="O3101" t="s">
        <v>82</v>
      </c>
      <c r="P3101" t="str">
        <f>"4170049806                    "</f>
        <v xml:space="preserve">4170049806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22.6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71.2</v>
      </c>
      <c r="BM3101">
        <v>10.68</v>
      </c>
      <c r="BN3101">
        <v>81.88</v>
      </c>
      <c r="BO3101">
        <v>81.88</v>
      </c>
      <c r="BQ3101" t="s">
        <v>690</v>
      </c>
      <c r="BR3101" t="s">
        <v>84</v>
      </c>
      <c r="BS3101" s="3">
        <v>45861</v>
      </c>
      <c r="BT3101" s="4">
        <v>0.43402777777777779</v>
      </c>
      <c r="BU3101" t="s">
        <v>691</v>
      </c>
      <c r="BV3101" t="s">
        <v>98</v>
      </c>
      <c r="BY3101">
        <v>1200</v>
      </c>
      <c r="CA3101" t="s">
        <v>692</v>
      </c>
      <c r="CC3101" t="s">
        <v>80</v>
      </c>
      <c r="CD3101">
        <v>7800</v>
      </c>
      <c r="CE3101" t="s">
        <v>121</v>
      </c>
      <c r="CF3101" s="3">
        <v>45862</v>
      </c>
      <c r="CI3101">
        <v>1</v>
      </c>
      <c r="CJ3101">
        <v>1</v>
      </c>
      <c r="CK3101">
        <v>21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"080066715399"</f>
        <v>080066715399</v>
      </c>
      <c r="F3102" s="3">
        <v>45860</v>
      </c>
      <c r="G3102">
        <v>202604</v>
      </c>
      <c r="H3102" t="s">
        <v>75</v>
      </c>
      <c r="I3102" t="s">
        <v>76</v>
      </c>
      <c r="J3102" t="s">
        <v>77</v>
      </c>
      <c r="K3102" t="s">
        <v>78</v>
      </c>
      <c r="L3102" t="s">
        <v>168</v>
      </c>
      <c r="M3102" t="s">
        <v>169</v>
      </c>
      <c r="N3102" t="s">
        <v>191</v>
      </c>
      <c r="O3102" t="s">
        <v>82</v>
      </c>
      <c r="P3102" t="str">
        <f>"4170049829                    "</f>
        <v xml:space="preserve">4170049829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22.6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71.2</v>
      </c>
      <c r="BM3102">
        <v>10.68</v>
      </c>
      <c r="BN3102">
        <v>81.88</v>
      </c>
      <c r="BO3102">
        <v>81.88</v>
      </c>
      <c r="BQ3102" t="s">
        <v>192</v>
      </c>
      <c r="BR3102" t="s">
        <v>84</v>
      </c>
      <c r="BS3102" s="3">
        <v>45861</v>
      </c>
      <c r="BT3102" s="4">
        <v>0.43541666666666667</v>
      </c>
      <c r="BU3102" t="s">
        <v>193</v>
      </c>
      <c r="BV3102" t="s">
        <v>98</v>
      </c>
      <c r="BY3102">
        <v>1200</v>
      </c>
      <c r="CA3102" t="s">
        <v>196</v>
      </c>
      <c r="CC3102" t="s">
        <v>169</v>
      </c>
      <c r="CD3102">
        <v>6056</v>
      </c>
      <c r="CE3102" t="s">
        <v>121</v>
      </c>
      <c r="CF3102" s="3">
        <v>45861</v>
      </c>
      <c r="CI3102">
        <v>1</v>
      </c>
      <c r="CJ3102">
        <v>1</v>
      </c>
      <c r="CK3102">
        <v>21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"080066715439"</f>
        <v>080066715439</v>
      </c>
      <c r="F3103" s="3">
        <v>45860</v>
      </c>
      <c r="G3103">
        <v>202604</v>
      </c>
      <c r="H3103" t="s">
        <v>75</v>
      </c>
      <c r="I3103" t="s">
        <v>76</v>
      </c>
      <c r="J3103" t="s">
        <v>77</v>
      </c>
      <c r="K3103" t="s">
        <v>78</v>
      </c>
      <c r="L3103" t="s">
        <v>854</v>
      </c>
      <c r="M3103" t="s">
        <v>855</v>
      </c>
      <c r="N3103" t="s">
        <v>429</v>
      </c>
      <c r="O3103" t="s">
        <v>82</v>
      </c>
      <c r="P3103" t="str">
        <f>"4170050027                    "</f>
        <v xml:space="preserve">4170050027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43.78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16.739999999999998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154.68</v>
      </c>
      <c r="BM3103">
        <v>23.2</v>
      </c>
      <c r="BN3103">
        <v>177.88</v>
      </c>
      <c r="BO3103">
        <v>177.88</v>
      </c>
      <c r="BQ3103" t="s">
        <v>430</v>
      </c>
      <c r="BR3103" t="s">
        <v>84</v>
      </c>
      <c r="BS3103" s="3">
        <v>45861</v>
      </c>
      <c r="BT3103" s="4">
        <v>0.4826388888888889</v>
      </c>
      <c r="BU3103" t="s">
        <v>3148</v>
      </c>
      <c r="BV3103" t="s">
        <v>98</v>
      </c>
      <c r="BY3103">
        <v>1200</v>
      </c>
      <c r="BZ3103" t="s">
        <v>30</v>
      </c>
      <c r="CA3103" t="s">
        <v>2137</v>
      </c>
      <c r="CC3103" t="s">
        <v>855</v>
      </c>
      <c r="CD3103" s="5" t="s">
        <v>993</v>
      </c>
      <c r="CE3103" t="s">
        <v>121</v>
      </c>
      <c r="CF3103" s="3">
        <v>45861</v>
      </c>
      <c r="CI3103">
        <v>1</v>
      </c>
      <c r="CJ3103">
        <v>1</v>
      </c>
      <c r="CK3103">
        <v>23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"080066715469"</f>
        <v>080066715469</v>
      </c>
      <c r="F3104" s="3">
        <v>45860</v>
      </c>
      <c r="G3104">
        <v>202604</v>
      </c>
      <c r="H3104" t="s">
        <v>75</v>
      </c>
      <c r="I3104" t="s">
        <v>76</v>
      </c>
      <c r="J3104" t="s">
        <v>77</v>
      </c>
      <c r="K3104" t="s">
        <v>78</v>
      </c>
      <c r="L3104" t="s">
        <v>168</v>
      </c>
      <c r="M3104" t="s">
        <v>169</v>
      </c>
      <c r="N3104" t="s">
        <v>342</v>
      </c>
      <c r="O3104" t="s">
        <v>82</v>
      </c>
      <c r="P3104" t="str">
        <f>"4170050098                    "</f>
        <v xml:space="preserve">4170050098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22.6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71.2</v>
      </c>
      <c r="BM3104">
        <v>10.68</v>
      </c>
      <c r="BN3104">
        <v>81.88</v>
      </c>
      <c r="BO3104">
        <v>81.88</v>
      </c>
      <c r="BQ3104" t="s">
        <v>343</v>
      </c>
      <c r="BR3104" t="s">
        <v>84</v>
      </c>
      <c r="BS3104" s="3">
        <v>45861</v>
      </c>
      <c r="BT3104" s="4">
        <v>0.40208333333333335</v>
      </c>
      <c r="BU3104" t="s">
        <v>1497</v>
      </c>
      <c r="BV3104" t="s">
        <v>98</v>
      </c>
      <c r="BY3104">
        <v>1200</v>
      </c>
      <c r="CA3104" t="s">
        <v>423</v>
      </c>
      <c r="CC3104" t="s">
        <v>169</v>
      </c>
      <c r="CD3104">
        <v>6000</v>
      </c>
      <c r="CE3104" t="s">
        <v>121</v>
      </c>
      <c r="CF3104" s="3">
        <v>45861</v>
      </c>
      <c r="CI3104">
        <v>1</v>
      </c>
      <c r="CJ3104">
        <v>1</v>
      </c>
      <c r="CK3104">
        <v>21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"080066715490"</f>
        <v>080066715490</v>
      </c>
      <c r="F3105" s="3">
        <v>45860</v>
      </c>
      <c r="G3105">
        <v>202604</v>
      </c>
      <c r="H3105" t="s">
        <v>75</v>
      </c>
      <c r="I3105" t="s">
        <v>76</v>
      </c>
      <c r="J3105" t="s">
        <v>77</v>
      </c>
      <c r="K3105" t="s">
        <v>78</v>
      </c>
      <c r="L3105" t="s">
        <v>92</v>
      </c>
      <c r="M3105" t="s">
        <v>93</v>
      </c>
      <c r="N3105" t="s">
        <v>334</v>
      </c>
      <c r="O3105" t="s">
        <v>82</v>
      </c>
      <c r="P3105" t="str">
        <f>"4170049888                    "</f>
        <v xml:space="preserve">4170049888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22.6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71.2</v>
      </c>
      <c r="BM3105">
        <v>10.68</v>
      </c>
      <c r="BN3105">
        <v>81.88</v>
      </c>
      <c r="BO3105">
        <v>81.88</v>
      </c>
      <c r="BQ3105" t="s">
        <v>335</v>
      </c>
      <c r="BR3105" t="s">
        <v>84</v>
      </c>
      <c r="BS3105" s="3">
        <v>45861</v>
      </c>
      <c r="BT3105" s="4">
        <v>0.40416666666666667</v>
      </c>
      <c r="BU3105" t="s">
        <v>2849</v>
      </c>
      <c r="BV3105" t="s">
        <v>98</v>
      </c>
      <c r="BY3105">
        <v>1200</v>
      </c>
      <c r="CA3105" t="s">
        <v>337</v>
      </c>
      <c r="CC3105" t="s">
        <v>93</v>
      </c>
      <c r="CD3105">
        <v>4052</v>
      </c>
      <c r="CE3105" t="s">
        <v>121</v>
      </c>
      <c r="CF3105" s="3">
        <v>45862</v>
      </c>
      <c r="CI3105">
        <v>1</v>
      </c>
      <c r="CJ3105">
        <v>1</v>
      </c>
      <c r="CK3105">
        <v>21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"080066715512"</f>
        <v>080066715512</v>
      </c>
      <c r="F3106" s="3">
        <v>45860</v>
      </c>
      <c r="G3106">
        <v>202604</v>
      </c>
      <c r="H3106" t="s">
        <v>75</v>
      </c>
      <c r="I3106" t="s">
        <v>76</v>
      </c>
      <c r="J3106" t="s">
        <v>77</v>
      </c>
      <c r="K3106" t="s">
        <v>78</v>
      </c>
      <c r="L3106" t="s">
        <v>102</v>
      </c>
      <c r="M3106" t="s">
        <v>103</v>
      </c>
      <c r="N3106" t="s">
        <v>1643</v>
      </c>
      <c r="O3106" t="s">
        <v>82</v>
      </c>
      <c r="P3106" t="str">
        <f>"4170049833                    "</f>
        <v xml:space="preserve">4170049833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31.78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100.13</v>
      </c>
      <c r="BM3106">
        <v>15.02</v>
      </c>
      <c r="BN3106">
        <v>115.15</v>
      </c>
      <c r="BO3106">
        <v>115.15</v>
      </c>
      <c r="BQ3106" t="s">
        <v>1644</v>
      </c>
      <c r="BR3106" t="s">
        <v>84</v>
      </c>
      <c r="BS3106" s="3">
        <v>45861</v>
      </c>
      <c r="BT3106" s="4">
        <v>0.38333333333333336</v>
      </c>
      <c r="BU3106" t="s">
        <v>1709</v>
      </c>
      <c r="BV3106" t="s">
        <v>98</v>
      </c>
      <c r="BY3106">
        <v>1200</v>
      </c>
      <c r="CA3106" t="s">
        <v>109</v>
      </c>
      <c r="CC3106" t="s">
        <v>103</v>
      </c>
      <c r="CD3106">
        <v>1748</v>
      </c>
      <c r="CE3106" t="s">
        <v>121</v>
      </c>
      <c r="CF3106" s="3">
        <v>45861</v>
      </c>
      <c r="CI3106">
        <v>1</v>
      </c>
      <c r="CJ3106">
        <v>1</v>
      </c>
      <c r="CK3106">
        <v>24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"080066715527"</f>
        <v>080066715527</v>
      </c>
      <c r="F3107" s="3">
        <v>45860</v>
      </c>
      <c r="G3107">
        <v>202604</v>
      </c>
      <c r="H3107" t="s">
        <v>75</v>
      </c>
      <c r="I3107" t="s">
        <v>76</v>
      </c>
      <c r="J3107" t="s">
        <v>77</v>
      </c>
      <c r="K3107" t="s">
        <v>78</v>
      </c>
      <c r="L3107" t="s">
        <v>168</v>
      </c>
      <c r="M3107" t="s">
        <v>169</v>
      </c>
      <c r="N3107" t="s">
        <v>206</v>
      </c>
      <c r="O3107" t="s">
        <v>82</v>
      </c>
      <c r="P3107" t="str">
        <f>"4170050103                    "</f>
        <v xml:space="preserve">4170050103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22.6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71.2</v>
      </c>
      <c r="BM3107">
        <v>10.68</v>
      </c>
      <c r="BN3107">
        <v>81.88</v>
      </c>
      <c r="BO3107">
        <v>81.88</v>
      </c>
      <c r="BQ3107" t="s">
        <v>207</v>
      </c>
      <c r="BR3107" t="s">
        <v>84</v>
      </c>
      <c r="BS3107" s="3">
        <v>45861</v>
      </c>
      <c r="BT3107" s="4">
        <v>0.40138888888888891</v>
      </c>
      <c r="BU3107" t="s">
        <v>2957</v>
      </c>
      <c r="BV3107" t="s">
        <v>98</v>
      </c>
      <c r="BY3107">
        <v>1200</v>
      </c>
      <c r="CA3107" t="s">
        <v>196</v>
      </c>
      <c r="CC3107" t="s">
        <v>169</v>
      </c>
      <c r="CD3107">
        <v>6001</v>
      </c>
      <c r="CE3107" t="s">
        <v>121</v>
      </c>
      <c r="CF3107" s="3">
        <v>45861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"080066715556"</f>
        <v>080066715556</v>
      </c>
      <c r="F3108" s="3">
        <v>45860</v>
      </c>
      <c r="G3108">
        <v>202604</v>
      </c>
      <c r="H3108" t="s">
        <v>75</v>
      </c>
      <c r="I3108" t="s">
        <v>76</v>
      </c>
      <c r="J3108" t="s">
        <v>77</v>
      </c>
      <c r="K3108" t="s">
        <v>78</v>
      </c>
      <c r="L3108" t="s">
        <v>122</v>
      </c>
      <c r="M3108" t="s">
        <v>123</v>
      </c>
      <c r="N3108" t="s">
        <v>2931</v>
      </c>
      <c r="O3108" t="s">
        <v>82</v>
      </c>
      <c r="P3108" t="str">
        <f>"4170050066                    "</f>
        <v xml:space="preserve">4170050066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22.6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71.2</v>
      </c>
      <c r="BM3108">
        <v>10.68</v>
      </c>
      <c r="BN3108">
        <v>81.88</v>
      </c>
      <c r="BO3108">
        <v>81.88</v>
      </c>
      <c r="BQ3108" t="s">
        <v>2932</v>
      </c>
      <c r="BR3108" t="s">
        <v>84</v>
      </c>
      <c r="BS3108" s="3">
        <v>45861</v>
      </c>
      <c r="BT3108" s="4">
        <v>0.40625</v>
      </c>
      <c r="BU3108" t="s">
        <v>212</v>
      </c>
      <c r="BV3108" t="s">
        <v>98</v>
      </c>
      <c r="BY3108">
        <v>1200</v>
      </c>
      <c r="CA3108" t="s">
        <v>2974</v>
      </c>
      <c r="CC3108" t="s">
        <v>123</v>
      </c>
      <c r="CD3108">
        <v>3610</v>
      </c>
      <c r="CE3108" t="s">
        <v>121</v>
      </c>
      <c r="CF3108" s="3">
        <v>45861</v>
      </c>
      <c r="CI3108">
        <v>1</v>
      </c>
      <c r="CJ3108">
        <v>1</v>
      </c>
      <c r="CK3108">
        <v>21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"080066715585"</f>
        <v>080066715585</v>
      </c>
      <c r="F3109" s="3">
        <v>45860</v>
      </c>
      <c r="G3109">
        <v>202604</v>
      </c>
      <c r="H3109" t="s">
        <v>75</v>
      </c>
      <c r="I3109" t="s">
        <v>76</v>
      </c>
      <c r="J3109" t="s">
        <v>77</v>
      </c>
      <c r="K3109" t="s">
        <v>78</v>
      </c>
      <c r="L3109" t="s">
        <v>122</v>
      </c>
      <c r="M3109" t="s">
        <v>123</v>
      </c>
      <c r="N3109" t="s">
        <v>2931</v>
      </c>
      <c r="O3109" t="s">
        <v>82</v>
      </c>
      <c r="P3109" t="str">
        <f>"4170050082                    "</f>
        <v xml:space="preserve">4170050082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71.2</v>
      </c>
      <c r="BM3109">
        <v>10.68</v>
      </c>
      <c r="BN3109">
        <v>81.88</v>
      </c>
      <c r="BO3109">
        <v>81.88</v>
      </c>
      <c r="BQ3109" t="s">
        <v>2932</v>
      </c>
      <c r="BR3109" t="s">
        <v>84</v>
      </c>
      <c r="BS3109" s="3">
        <v>45861</v>
      </c>
      <c r="BT3109" s="4">
        <v>0.40625</v>
      </c>
      <c r="BU3109" t="s">
        <v>212</v>
      </c>
      <c r="BV3109" t="s">
        <v>98</v>
      </c>
      <c r="BY3109">
        <v>1200</v>
      </c>
      <c r="CA3109" t="s">
        <v>2974</v>
      </c>
      <c r="CC3109" t="s">
        <v>123</v>
      </c>
      <c r="CD3109">
        <v>3610</v>
      </c>
      <c r="CE3109" t="s">
        <v>121</v>
      </c>
      <c r="CF3109" s="3">
        <v>45861</v>
      </c>
      <c r="CI3109">
        <v>1</v>
      </c>
      <c r="CJ3109">
        <v>1</v>
      </c>
      <c r="CK3109">
        <v>21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"080066715613"</f>
        <v>080066715613</v>
      </c>
      <c r="F3110" s="3">
        <v>45860</v>
      </c>
      <c r="G3110">
        <v>202604</v>
      </c>
      <c r="H3110" t="s">
        <v>75</v>
      </c>
      <c r="I3110" t="s">
        <v>76</v>
      </c>
      <c r="J3110" t="s">
        <v>77</v>
      </c>
      <c r="K3110" t="s">
        <v>78</v>
      </c>
      <c r="L3110" t="s">
        <v>122</v>
      </c>
      <c r="M3110" t="s">
        <v>123</v>
      </c>
      <c r="N3110" t="s">
        <v>2931</v>
      </c>
      <c r="O3110" t="s">
        <v>82</v>
      </c>
      <c r="P3110" t="str">
        <f>"4170050081                    "</f>
        <v xml:space="preserve">4170050081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22.6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71.2</v>
      </c>
      <c r="BM3110">
        <v>10.68</v>
      </c>
      <c r="BN3110">
        <v>81.88</v>
      </c>
      <c r="BO3110">
        <v>81.88</v>
      </c>
      <c r="BQ3110" t="s">
        <v>2932</v>
      </c>
      <c r="BR3110" t="s">
        <v>84</v>
      </c>
      <c r="BS3110" s="3">
        <v>45861</v>
      </c>
      <c r="BT3110" s="4">
        <v>0.40625</v>
      </c>
      <c r="BU3110" t="s">
        <v>212</v>
      </c>
      <c r="BV3110" t="s">
        <v>98</v>
      </c>
      <c r="BY3110">
        <v>1200</v>
      </c>
      <c r="CA3110" t="s">
        <v>2974</v>
      </c>
      <c r="CC3110" t="s">
        <v>123</v>
      </c>
      <c r="CD3110">
        <v>3610</v>
      </c>
      <c r="CE3110" t="s">
        <v>121</v>
      </c>
      <c r="CF3110" s="3">
        <v>45861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"080066715649"</f>
        <v>080066715649</v>
      </c>
      <c r="F3111" s="3">
        <v>45860</v>
      </c>
      <c r="G3111">
        <v>202604</v>
      </c>
      <c r="H3111" t="s">
        <v>75</v>
      </c>
      <c r="I3111" t="s">
        <v>76</v>
      </c>
      <c r="J3111" t="s">
        <v>77</v>
      </c>
      <c r="K3111" t="s">
        <v>78</v>
      </c>
      <c r="L3111" t="s">
        <v>122</v>
      </c>
      <c r="M3111" t="s">
        <v>123</v>
      </c>
      <c r="N3111" t="s">
        <v>2931</v>
      </c>
      <c r="O3111" t="s">
        <v>82</v>
      </c>
      <c r="P3111" t="str">
        <f>"4170050074                    "</f>
        <v xml:space="preserve">4170050074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22.6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71.2</v>
      </c>
      <c r="BM3111">
        <v>10.68</v>
      </c>
      <c r="BN3111">
        <v>81.88</v>
      </c>
      <c r="BO3111">
        <v>81.88</v>
      </c>
      <c r="BQ3111" t="s">
        <v>2932</v>
      </c>
      <c r="BR3111" t="s">
        <v>84</v>
      </c>
      <c r="BS3111" s="3">
        <v>45861</v>
      </c>
      <c r="BT3111" s="4">
        <v>0.40625</v>
      </c>
      <c r="BU3111" t="s">
        <v>212</v>
      </c>
      <c r="BV3111" t="s">
        <v>98</v>
      </c>
      <c r="BY3111">
        <v>1200</v>
      </c>
      <c r="CA3111" t="s">
        <v>2974</v>
      </c>
      <c r="CC3111" t="s">
        <v>123</v>
      </c>
      <c r="CD3111">
        <v>3610</v>
      </c>
      <c r="CE3111" t="s">
        <v>121</v>
      </c>
      <c r="CF3111" s="3">
        <v>45861</v>
      </c>
      <c r="CI3111">
        <v>1</v>
      </c>
      <c r="CJ3111">
        <v>1</v>
      </c>
      <c r="CK3111">
        <v>21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"080066715672"</f>
        <v>080066715672</v>
      </c>
      <c r="F3112" s="3">
        <v>45860</v>
      </c>
      <c r="G3112">
        <v>202604</v>
      </c>
      <c r="H3112" t="s">
        <v>75</v>
      </c>
      <c r="I3112" t="s">
        <v>76</v>
      </c>
      <c r="J3112" t="s">
        <v>77</v>
      </c>
      <c r="K3112" t="s">
        <v>78</v>
      </c>
      <c r="L3112" t="s">
        <v>122</v>
      </c>
      <c r="M3112" t="s">
        <v>123</v>
      </c>
      <c r="N3112" t="s">
        <v>2931</v>
      </c>
      <c r="O3112" t="s">
        <v>82</v>
      </c>
      <c r="P3112" t="str">
        <f>"4170050078                    "</f>
        <v xml:space="preserve">4170050078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22.6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71.2</v>
      </c>
      <c r="BM3112">
        <v>10.68</v>
      </c>
      <c r="BN3112">
        <v>81.88</v>
      </c>
      <c r="BO3112">
        <v>81.88</v>
      </c>
      <c r="BQ3112" t="s">
        <v>2932</v>
      </c>
      <c r="BR3112" t="s">
        <v>84</v>
      </c>
      <c r="BS3112" s="3">
        <v>45861</v>
      </c>
      <c r="BT3112" s="4">
        <v>0.40625</v>
      </c>
      <c r="BU3112" t="s">
        <v>212</v>
      </c>
      <c r="BV3112" t="s">
        <v>98</v>
      </c>
      <c r="BY3112">
        <v>1200</v>
      </c>
      <c r="CA3112" t="s">
        <v>2974</v>
      </c>
      <c r="CC3112" t="s">
        <v>123</v>
      </c>
      <c r="CD3112">
        <v>3610</v>
      </c>
      <c r="CE3112" t="s">
        <v>121</v>
      </c>
      <c r="CF3112" s="3">
        <v>45861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"080066715701"</f>
        <v>080066715701</v>
      </c>
      <c r="F3113" s="3">
        <v>45860</v>
      </c>
      <c r="G3113">
        <v>202604</v>
      </c>
      <c r="H3113" t="s">
        <v>75</v>
      </c>
      <c r="I3113" t="s">
        <v>76</v>
      </c>
      <c r="J3113" t="s">
        <v>77</v>
      </c>
      <c r="K3113" t="s">
        <v>78</v>
      </c>
      <c r="L3113" t="s">
        <v>122</v>
      </c>
      <c r="M3113" t="s">
        <v>123</v>
      </c>
      <c r="N3113" t="s">
        <v>2931</v>
      </c>
      <c r="O3113" t="s">
        <v>82</v>
      </c>
      <c r="P3113" t="str">
        <f>"4170050080                    "</f>
        <v xml:space="preserve">4170050080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22.6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71.2</v>
      </c>
      <c r="BM3113">
        <v>10.68</v>
      </c>
      <c r="BN3113">
        <v>81.88</v>
      </c>
      <c r="BO3113">
        <v>81.88</v>
      </c>
      <c r="BQ3113" t="s">
        <v>2932</v>
      </c>
      <c r="BR3113" t="s">
        <v>84</v>
      </c>
      <c r="BS3113" s="3">
        <v>45861</v>
      </c>
      <c r="BT3113" s="4">
        <v>0.40625</v>
      </c>
      <c r="BU3113" t="s">
        <v>212</v>
      </c>
      <c r="BV3113" t="s">
        <v>98</v>
      </c>
      <c r="BY3113">
        <v>1200</v>
      </c>
      <c r="CA3113" t="s">
        <v>2974</v>
      </c>
      <c r="CC3113" t="s">
        <v>123</v>
      </c>
      <c r="CD3113">
        <v>3610</v>
      </c>
      <c r="CE3113" t="s">
        <v>121</v>
      </c>
      <c r="CF3113" s="3">
        <v>45861</v>
      </c>
      <c r="CI3113">
        <v>1</v>
      </c>
      <c r="CJ3113">
        <v>1</v>
      </c>
      <c r="CK3113">
        <v>21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"080066715757"</f>
        <v>080066715757</v>
      </c>
      <c r="F3114" s="3">
        <v>45860</v>
      </c>
      <c r="G3114">
        <v>202604</v>
      </c>
      <c r="H3114" t="s">
        <v>75</v>
      </c>
      <c r="I3114" t="s">
        <v>76</v>
      </c>
      <c r="J3114" t="s">
        <v>77</v>
      </c>
      <c r="K3114" t="s">
        <v>78</v>
      </c>
      <c r="L3114" t="s">
        <v>122</v>
      </c>
      <c r="M3114" t="s">
        <v>123</v>
      </c>
      <c r="N3114" t="s">
        <v>2931</v>
      </c>
      <c r="O3114" t="s">
        <v>82</v>
      </c>
      <c r="P3114" t="str">
        <f>"4170050077                    "</f>
        <v xml:space="preserve">4170050077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22.6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71.2</v>
      </c>
      <c r="BM3114">
        <v>10.68</v>
      </c>
      <c r="BN3114">
        <v>81.88</v>
      </c>
      <c r="BO3114">
        <v>81.88</v>
      </c>
      <c r="BQ3114" t="s">
        <v>2932</v>
      </c>
      <c r="BR3114" t="s">
        <v>84</v>
      </c>
      <c r="BS3114" s="3">
        <v>45861</v>
      </c>
      <c r="BT3114" s="4">
        <v>0.40625</v>
      </c>
      <c r="BU3114" t="s">
        <v>212</v>
      </c>
      <c r="BV3114" t="s">
        <v>98</v>
      </c>
      <c r="BY3114">
        <v>1200</v>
      </c>
      <c r="CA3114" t="s">
        <v>2974</v>
      </c>
      <c r="CC3114" t="s">
        <v>123</v>
      </c>
      <c r="CD3114">
        <v>3610</v>
      </c>
      <c r="CE3114" t="s">
        <v>121</v>
      </c>
      <c r="CF3114" s="3">
        <v>45861</v>
      </c>
      <c r="CI3114">
        <v>1</v>
      </c>
      <c r="CJ3114">
        <v>1</v>
      </c>
      <c r="CK3114">
        <v>21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"080066715815"</f>
        <v>080066715815</v>
      </c>
      <c r="F3115" s="3">
        <v>45860</v>
      </c>
      <c r="G3115">
        <v>202604</v>
      </c>
      <c r="H3115" t="s">
        <v>75</v>
      </c>
      <c r="I3115" t="s">
        <v>76</v>
      </c>
      <c r="J3115" t="s">
        <v>77</v>
      </c>
      <c r="K3115" t="s">
        <v>78</v>
      </c>
      <c r="L3115" t="s">
        <v>122</v>
      </c>
      <c r="M3115" t="s">
        <v>123</v>
      </c>
      <c r="N3115" t="s">
        <v>2931</v>
      </c>
      <c r="O3115" t="s">
        <v>82</v>
      </c>
      <c r="P3115" t="str">
        <f>"4170050075                    "</f>
        <v xml:space="preserve">4170050075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22.6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71.2</v>
      </c>
      <c r="BM3115">
        <v>10.68</v>
      </c>
      <c r="BN3115">
        <v>81.88</v>
      </c>
      <c r="BO3115">
        <v>81.88</v>
      </c>
      <c r="BQ3115" t="s">
        <v>2932</v>
      </c>
      <c r="BR3115" t="s">
        <v>84</v>
      </c>
      <c r="BS3115" s="3">
        <v>45861</v>
      </c>
      <c r="BT3115" s="4">
        <v>0.40625</v>
      </c>
      <c r="BU3115" t="s">
        <v>212</v>
      </c>
      <c r="BV3115" t="s">
        <v>98</v>
      </c>
      <c r="BY3115">
        <v>1200</v>
      </c>
      <c r="CA3115" t="s">
        <v>2974</v>
      </c>
      <c r="CC3115" t="s">
        <v>123</v>
      </c>
      <c r="CD3115">
        <v>3610</v>
      </c>
      <c r="CE3115" t="s">
        <v>121</v>
      </c>
      <c r="CF3115" s="3">
        <v>45861</v>
      </c>
      <c r="CI3115">
        <v>1</v>
      </c>
      <c r="CJ3115">
        <v>1</v>
      </c>
      <c r="CK3115">
        <v>21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"080066715883"</f>
        <v>080066715883</v>
      </c>
      <c r="F3116" s="3">
        <v>45860</v>
      </c>
      <c r="G3116">
        <v>202604</v>
      </c>
      <c r="H3116" t="s">
        <v>75</v>
      </c>
      <c r="I3116" t="s">
        <v>76</v>
      </c>
      <c r="J3116" t="s">
        <v>77</v>
      </c>
      <c r="K3116" t="s">
        <v>78</v>
      </c>
      <c r="L3116" t="s">
        <v>122</v>
      </c>
      <c r="M3116" t="s">
        <v>123</v>
      </c>
      <c r="N3116" t="s">
        <v>2931</v>
      </c>
      <c r="O3116" t="s">
        <v>82</v>
      </c>
      <c r="P3116" t="str">
        <f>"4170050073                    "</f>
        <v xml:space="preserve">4170050073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22.6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71.2</v>
      </c>
      <c r="BM3116">
        <v>10.68</v>
      </c>
      <c r="BN3116">
        <v>81.88</v>
      </c>
      <c r="BO3116">
        <v>81.88</v>
      </c>
      <c r="BQ3116" t="s">
        <v>2932</v>
      </c>
      <c r="BR3116" t="s">
        <v>84</v>
      </c>
      <c r="BS3116" s="3">
        <v>45861</v>
      </c>
      <c r="BT3116" s="4">
        <v>0.40625</v>
      </c>
      <c r="BU3116" t="s">
        <v>212</v>
      </c>
      <c r="BV3116" t="s">
        <v>98</v>
      </c>
      <c r="BY3116">
        <v>1200</v>
      </c>
      <c r="CA3116" t="s">
        <v>2974</v>
      </c>
      <c r="CC3116" t="s">
        <v>123</v>
      </c>
      <c r="CD3116">
        <v>3610</v>
      </c>
      <c r="CE3116" t="s">
        <v>121</v>
      </c>
      <c r="CF3116" s="3">
        <v>45861</v>
      </c>
      <c r="CI3116">
        <v>1</v>
      </c>
      <c r="CJ3116">
        <v>1</v>
      </c>
      <c r="CK3116">
        <v>21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"080066715928"</f>
        <v>080066715928</v>
      </c>
      <c r="F3117" s="3">
        <v>45860</v>
      </c>
      <c r="G3117">
        <v>202604</v>
      </c>
      <c r="H3117" t="s">
        <v>75</v>
      </c>
      <c r="I3117" t="s">
        <v>76</v>
      </c>
      <c r="J3117" t="s">
        <v>77</v>
      </c>
      <c r="K3117" t="s">
        <v>78</v>
      </c>
      <c r="L3117" t="s">
        <v>122</v>
      </c>
      <c r="M3117" t="s">
        <v>123</v>
      </c>
      <c r="N3117" t="s">
        <v>2931</v>
      </c>
      <c r="O3117" t="s">
        <v>82</v>
      </c>
      <c r="P3117" t="str">
        <f>"4170050071                    "</f>
        <v xml:space="preserve">4170050071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22.6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71.2</v>
      </c>
      <c r="BM3117">
        <v>10.68</v>
      </c>
      <c r="BN3117">
        <v>81.88</v>
      </c>
      <c r="BO3117">
        <v>81.88</v>
      </c>
      <c r="BQ3117" t="s">
        <v>2932</v>
      </c>
      <c r="BR3117" t="s">
        <v>84</v>
      </c>
      <c r="BS3117" s="3">
        <v>45861</v>
      </c>
      <c r="BT3117" s="4">
        <v>0.40625</v>
      </c>
      <c r="BU3117" t="s">
        <v>212</v>
      </c>
      <c r="BV3117" t="s">
        <v>98</v>
      </c>
      <c r="BY3117">
        <v>1200</v>
      </c>
      <c r="CA3117" t="s">
        <v>2974</v>
      </c>
      <c r="CC3117" t="s">
        <v>123</v>
      </c>
      <c r="CD3117">
        <v>3610</v>
      </c>
      <c r="CE3117" t="s">
        <v>121</v>
      </c>
      <c r="CF3117" s="3">
        <v>45861</v>
      </c>
      <c r="CI3117">
        <v>1</v>
      </c>
      <c r="CJ3117">
        <v>1</v>
      </c>
      <c r="CK3117">
        <v>21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"080066716462"</f>
        <v>080066716462</v>
      </c>
      <c r="F3118" s="3">
        <v>45860</v>
      </c>
      <c r="G3118">
        <v>202604</v>
      </c>
      <c r="H3118" t="s">
        <v>75</v>
      </c>
      <c r="I3118" t="s">
        <v>76</v>
      </c>
      <c r="J3118" t="s">
        <v>77</v>
      </c>
      <c r="K3118" t="s">
        <v>78</v>
      </c>
      <c r="L3118" t="s">
        <v>221</v>
      </c>
      <c r="M3118" t="s">
        <v>222</v>
      </c>
      <c r="N3118" t="s">
        <v>223</v>
      </c>
      <c r="O3118" t="s">
        <v>95</v>
      </c>
      <c r="P3118" t="str">
        <f>"4170050041                    "</f>
        <v xml:space="preserve">4170050041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521.25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97</v>
      </c>
      <c r="BJ3118">
        <v>160.1</v>
      </c>
      <c r="BK3118">
        <v>161</v>
      </c>
      <c r="BL3118">
        <v>1648.09</v>
      </c>
      <c r="BM3118">
        <v>247.21</v>
      </c>
      <c r="BN3118">
        <v>1895.3</v>
      </c>
      <c r="BO3118">
        <v>1895.3</v>
      </c>
      <c r="BQ3118" t="s">
        <v>224</v>
      </c>
      <c r="BR3118" t="s">
        <v>84</v>
      </c>
      <c r="BS3118" s="3">
        <v>45861</v>
      </c>
      <c r="BT3118" s="4">
        <v>0.41666666666666669</v>
      </c>
      <c r="BU3118" t="s">
        <v>2632</v>
      </c>
      <c r="BV3118" t="s">
        <v>98</v>
      </c>
      <c r="BY3118">
        <v>800320</v>
      </c>
      <c r="CC3118" t="s">
        <v>222</v>
      </c>
      <c r="CD3118">
        <v>2740</v>
      </c>
      <c r="CE3118" t="s">
        <v>3156</v>
      </c>
      <c r="CF3118" s="3">
        <v>45862</v>
      </c>
      <c r="CI3118">
        <v>1</v>
      </c>
      <c r="CJ3118">
        <v>1</v>
      </c>
      <c r="CK3118">
        <v>43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"080066716847"</f>
        <v>080066716847</v>
      </c>
      <c r="F3119" s="3">
        <v>45860</v>
      </c>
      <c r="G3119">
        <v>202604</v>
      </c>
      <c r="H3119" t="s">
        <v>75</v>
      </c>
      <c r="I3119" t="s">
        <v>76</v>
      </c>
      <c r="J3119" t="s">
        <v>77</v>
      </c>
      <c r="K3119" t="s">
        <v>78</v>
      </c>
      <c r="L3119" t="s">
        <v>122</v>
      </c>
      <c r="M3119" t="s">
        <v>123</v>
      </c>
      <c r="N3119" t="s">
        <v>3167</v>
      </c>
      <c r="O3119" t="s">
        <v>82</v>
      </c>
      <c r="P3119" t="str">
        <f>"4170050120                    "</f>
        <v xml:space="preserve">4170050120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50.82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4.5</v>
      </c>
      <c r="BK3119">
        <v>4.5</v>
      </c>
      <c r="BL3119">
        <v>160.12</v>
      </c>
      <c r="BM3119">
        <v>24.02</v>
      </c>
      <c r="BN3119">
        <v>184.14</v>
      </c>
      <c r="BO3119">
        <v>184.14</v>
      </c>
      <c r="BQ3119" t="s">
        <v>3168</v>
      </c>
      <c r="BR3119" t="s">
        <v>84</v>
      </c>
      <c r="BS3119" s="3">
        <v>45861</v>
      </c>
      <c r="BT3119" s="4">
        <v>0.42708333333333331</v>
      </c>
      <c r="BU3119" t="s">
        <v>3169</v>
      </c>
      <c r="BV3119" t="s">
        <v>98</v>
      </c>
      <c r="BY3119">
        <v>22680</v>
      </c>
      <c r="CA3119" t="s">
        <v>187</v>
      </c>
      <c r="CC3119" t="s">
        <v>123</v>
      </c>
      <c r="CD3119">
        <v>3600</v>
      </c>
      <c r="CE3119" t="s">
        <v>91</v>
      </c>
      <c r="CF3119" s="3">
        <v>45861</v>
      </c>
      <c r="CI3119">
        <v>1</v>
      </c>
      <c r="CJ3119">
        <v>1</v>
      </c>
      <c r="CK3119">
        <v>21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"080066716992"</f>
        <v>080066716992</v>
      </c>
      <c r="F3120" s="3">
        <v>45860</v>
      </c>
      <c r="G3120">
        <v>202604</v>
      </c>
      <c r="H3120" t="s">
        <v>75</v>
      </c>
      <c r="I3120" t="s">
        <v>76</v>
      </c>
      <c r="J3120" t="s">
        <v>77</v>
      </c>
      <c r="K3120" t="s">
        <v>78</v>
      </c>
      <c r="L3120" t="s">
        <v>135</v>
      </c>
      <c r="M3120" t="s">
        <v>136</v>
      </c>
      <c r="N3120" t="s">
        <v>379</v>
      </c>
      <c r="O3120" t="s">
        <v>82</v>
      </c>
      <c r="P3120" t="str">
        <f>"4170050321                    "</f>
        <v xml:space="preserve">4170050321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33.89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3</v>
      </c>
      <c r="BJ3120">
        <v>1.7</v>
      </c>
      <c r="BK3120">
        <v>3</v>
      </c>
      <c r="BL3120">
        <v>106.77</v>
      </c>
      <c r="BM3120">
        <v>16.02</v>
      </c>
      <c r="BN3120">
        <v>122.79</v>
      </c>
      <c r="BO3120">
        <v>122.79</v>
      </c>
      <c r="BQ3120" t="s">
        <v>380</v>
      </c>
      <c r="BR3120" t="s">
        <v>84</v>
      </c>
      <c r="BS3120" s="3">
        <v>45861</v>
      </c>
      <c r="BT3120" s="4">
        <v>0.54166666666666663</v>
      </c>
      <c r="BU3120" t="s">
        <v>3170</v>
      </c>
      <c r="BV3120" t="s">
        <v>98</v>
      </c>
      <c r="BY3120">
        <v>8512</v>
      </c>
      <c r="CA3120" t="s">
        <v>382</v>
      </c>
      <c r="CC3120" t="s">
        <v>136</v>
      </c>
      <c r="CD3120">
        <v>3212</v>
      </c>
      <c r="CE3120" t="s">
        <v>145</v>
      </c>
      <c r="CF3120" s="3">
        <v>45862</v>
      </c>
      <c r="CI3120">
        <v>2</v>
      </c>
      <c r="CJ3120">
        <v>1</v>
      </c>
      <c r="CK3120">
        <v>21</v>
      </c>
      <c r="CL3120" t="s">
        <v>86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"080066717131"</f>
        <v>080066717131</v>
      </c>
      <c r="F3121" s="3">
        <v>45860</v>
      </c>
      <c r="G3121">
        <v>202604</v>
      </c>
      <c r="H3121" t="s">
        <v>75</v>
      </c>
      <c r="I3121" t="s">
        <v>76</v>
      </c>
      <c r="J3121" t="s">
        <v>77</v>
      </c>
      <c r="K3121" t="s">
        <v>78</v>
      </c>
      <c r="L3121" t="s">
        <v>92</v>
      </c>
      <c r="M3121" t="s">
        <v>93</v>
      </c>
      <c r="N3121" t="s">
        <v>3171</v>
      </c>
      <c r="O3121" t="s">
        <v>82</v>
      </c>
      <c r="P3121" t="str">
        <f>"4170050139                    "</f>
        <v xml:space="preserve">4170050139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22.6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</v>
      </c>
      <c r="BJ3121">
        <v>1.1000000000000001</v>
      </c>
      <c r="BK3121">
        <v>2</v>
      </c>
      <c r="BL3121">
        <v>71.2</v>
      </c>
      <c r="BM3121">
        <v>10.68</v>
      </c>
      <c r="BN3121">
        <v>81.88</v>
      </c>
      <c r="BO3121">
        <v>81.88</v>
      </c>
      <c r="BQ3121" t="s">
        <v>3172</v>
      </c>
      <c r="BR3121" t="s">
        <v>84</v>
      </c>
      <c r="BS3121" s="3">
        <v>45861</v>
      </c>
      <c r="BT3121" s="4">
        <v>0.40277777777777779</v>
      </c>
      <c r="BU3121" t="s">
        <v>3173</v>
      </c>
      <c r="BV3121" t="s">
        <v>98</v>
      </c>
      <c r="BY3121">
        <v>5320</v>
      </c>
      <c r="CA3121" t="s">
        <v>100</v>
      </c>
      <c r="CC3121" t="s">
        <v>93</v>
      </c>
      <c r="CD3121">
        <v>4052</v>
      </c>
      <c r="CE3121" t="s">
        <v>145</v>
      </c>
      <c r="CF3121" s="3">
        <v>45862</v>
      </c>
      <c r="CI3121">
        <v>1</v>
      </c>
      <c r="CJ3121">
        <v>1</v>
      </c>
      <c r="CK3121">
        <v>21</v>
      </c>
      <c r="CL3121" t="s">
        <v>86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"080066717210"</f>
        <v>080066717210</v>
      </c>
      <c r="F3122" s="3">
        <v>45860</v>
      </c>
      <c r="G3122">
        <v>202604</v>
      </c>
      <c r="H3122" t="s">
        <v>75</v>
      </c>
      <c r="I3122" t="s">
        <v>76</v>
      </c>
      <c r="J3122" t="s">
        <v>77</v>
      </c>
      <c r="K3122" t="s">
        <v>78</v>
      </c>
      <c r="L3122" t="s">
        <v>135</v>
      </c>
      <c r="M3122" t="s">
        <v>136</v>
      </c>
      <c r="N3122" t="s">
        <v>1093</v>
      </c>
      <c r="O3122" t="s">
        <v>82</v>
      </c>
      <c r="P3122" t="str">
        <f>"4170049948                    "</f>
        <v xml:space="preserve">4170049948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22.6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1.7</v>
      </c>
      <c r="BK3122">
        <v>2</v>
      </c>
      <c r="BL3122">
        <v>71.2</v>
      </c>
      <c r="BM3122">
        <v>10.68</v>
      </c>
      <c r="BN3122">
        <v>81.88</v>
      </c>
      <c r="BO3122">
        <v>81.88</v>
      </c>
      <c r="BQ3122" t="s">
        <v>1094</v>
      </c>
      <c r="BR3122" t="s">
        <v>84</v>
      </c>
      <c r="BS3122" s="3">
        <v>45862</v>
      </c>
      <c r="BT3122" s="4">
        <v>0.41666666666666669</v>
      </c>
      <c r="BU3122" t="s">
        <v>2630</v>
      </c>
      <c r="BV3122" t="s">
        <v>86</v>
      </c>
      <c r="BY3122">
        <v>8512</v>
      </c>
      <c r="CA3122" t="s">
        <v>1602</v>
      </c>
      <c r="CC3122" t="s">
        <v>136</v>
      </c>
      <c r="CD3122">
        <v>3201</v>
      </c>
      <c r="CE3122" t="s">
        <v>145</v>
      </c>
      <c r="CF3122" s="3">
        <v>45863</v>
      </c>
      <c r="CI3122">
        <v>1</v>
      </c>
      <c r="CJ3122">
        <v>2</v>
      </c>
      <c r="CK3122">
        <v>21</v>
      </c>
      <c r="CL3122" t="s">
        <v>86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"080066717284"</f>
        <v>080066717284</v>
      </c>
      <c r="F3123" s="3">
        <v>45860</v>
      </c>
      <c r="G3123">
        <v>202604</v>
      </c>
      <c r="H3123" t="s">
        <v>75</v>
      </c>
      <c r="I3123" t="s">
        <v>76</v>
      </c>
      <c r="J3123" t="s">
        <v>77</v>
      </c>
      <c r="K3123" t="s">
        <v>78</v>
      </c>
      <c r="L3123" t="s">
        <v>135</v>
      </c>
      <c r="M3123" t="s">
        <v>136</v>
      </c>
      <c r="N3123" t="s">
        <v>416</v>
      </c>
      <c r="O3123" t="s">
        <v>82</v>
      </c>
      <c r="P3123" t="str">
        <f>"4170050116                    "</f>
        <v xml:space="preserve">4170050116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22.6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71.2</v>
      </c>
      <c r="BM3123">
        <v>10.68</v>
      </c>
      <c r="BN3123">
        <v>81.88</v>
      </c>
      <c r="BO3123">
        <v>81.88</v>
      </c>
      <c r="BQ3123" t="s">
        <v>417</v>
      </c>
      <c r="BR3123" t="s">
        <v>84</v>
      </c>
      <c r="BS3123" s="3">
        <v>45861</v>
      </c>
      <c r="BT3123" s="4">
        <v>0.58333333333333337</v>
      </c>
      <c r="BU3123" t="s">
        <v>3142</v>
      </c>
      <c r="BV3123" t="s">
        <v>86</v>
      </c>
      <c r="BY3123">
        <v>1200</v>
      </c>
      <c r="CC3123" t="s">
        <v>136</v>
      </c>
      <c r="CD3123">
        <v>3201</v>
      </c>
      <c r="CE3123" t="s">
        <v>121</v>
      </c>
      <c r="CF3123" s="3">
        <v>45862</v>
      </c>
      <c r="CI3123">
        <v>1</v>
      </c>
      <c r="CJ3123">
        <v>1</v>
      </c>
      <c r="CK3123">
        <v>21</v>
      </c>
      <c r="CL3123" t="s">
        <v>86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"080066717290"</f>
        <v>080066717290</v>
      </c>
      <c r="F3124" s="3">
        <v>45860</v>
      </c>
      <c r="G3124">
        <v>202604</v>
      </c>
      <c r="H3124" t="s">
        <v>75</v>
      </c>
      <c r="I3124" t="s">
        <v>76</v>
      </c>
      <c r="J3124" t="s">
        <v>77</v>
      </c>
      <c r="K3124" t="s">
        <v>78</v>
      </c>
      <c r="L3124" t="s">
        <v>135</v>
      </c>
      <c r="M3124" t="s">
        <v>136</v>
      </c>
      <c r="N3124" t="s">
        <v>379</v>
      </c>
      <c r="O3124" t="s">
        <v>82</v>
      </c>
      <c r="P3124" t="str">
        <f>"4170050059                    "</f>
        <v xml:space="preserve">4170050059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33.89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3</v>
      </c>
      <c r="BJ3124">
        <v>1.7</v>
      </c>
      <c r="BK3124">
        <v>3</v>
      </c>
      <c r="BL3124">
        <v>106.77</v>
      </c>
      <c r="BM3124">
        <v>16.02</v>
      </c>
      <c r="BN3124">
        <v>122.79</v>
      </c>
      <c r="BO3124">
        <v>122.79</v>
      </c>
      <c r="BQ3124" t="s">
        <v>380</v>
      </c>
      <c r="BR3124" t="s">
        <v>84</v>
      </c>
      <c r="BS3124" s="3">
        <v>45861</v>
      </c>
      <c r="BT3124" s="4">
        <v>0.54166666666666663</v>
      </c>
      <c r="BU3124" t="s">
        <v>3174</v>
      </c>
      <c r="BV3124" t="s">
        <v>98</v>
      </c>
      <c r="BY3124">
        <v>8512</v>
      </c>
      <c r="CA3124" t="s">
        <v>382</v>
      </c>
      <c r="CC3124" t="s">
        <v>136</v>
      </c>
      <c r="CD3124">
        <v>3212</v>
      </c>
      <c r="CE3124" t="s">
        <v>145</v>
      </c>
      <c r="CF3124" s="3">
        <v>45862</v>
      </c>
      <c r="CI3124">
        <v>2</v>
      </c>
      <c r="CJ3124">
        <v>1</v>
      </c>
      <c r="CK3124">
        <v>21</v>
      </c>
      <c r="CL3124" t="s">
        <v>86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"080066717376"</f>
        <v>080066717376</v>
      </c>
      <c r="F3125" s="3">
        <v>45860</v>
      </c>
      <c r="G3125">
        <v>202604</v>
      </c>
      <c r="H3125" t="s">
        <v>75</v>
      </c>
      <c r="I3125" t="s">
        <v>76</v>
      </c>
      <c r="J3125" t="s">
        <v>77</v>
      </c>
      <c r="K3125" t="s">
        <v>78</v>
      </c>
      <c r="L3125" t="s">
        <v>277</v>
      </c>
      <c r="M3125" t="s">
        <v>278</v>
      </c>
      <c r="N3125" t="s">
        <v>651</v>
      </c>
      <c r="O3125" t="s">
        <v>82</v>
      </c>
      <c r="P3125" t="str">
        <f>"4170050124                    "</f>
        <v xml:space="preserve">4170050124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22.6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71.2</v>
      </c>
      <c r="BM3125">
        <v>10.68</v>
      </c>
      <c r="BN3125">
        <v>81.88</v>
      </c>
      <c r="BO3125">
        <v>81.88</v>
      </c>
      <c r="BQ3125" t="s">
        <v>652</v>
      </c>
      <c r="BR3125" t="s">
        <v>84</v>
      </c>
      <c r="BS3125" s="3">
        <v>45861</v>
      </c>
      <c r="BT3125" s="4">
        <v>0.43263888888888891</v>
      </c>
      <c r="BU3125" t="s">
        <v>2119</v>
      </c>
      <c r="BV3125" t="s">
        <v>98</v>
      </c>
      <c r="BY3125">
        <v>1200</v>
      </c>
      <c r="CA3125" t="s">
        <v>282</v>
      </c>
      <c r="CC3125" t="s">
        <v>278</v>
      </c>
      <c r="CD3125">
        <v>6229</v>
      </c>
      <c r="CE3125" t="s">
        <v>121</v>
      </c>
      <c r="CF3125" s="3">
        <v>45862</v>
      </c>
      <c r="CI3125">
        <v>1</v>
      </c>
      <c r="CJ3125">
        <v>1</v>
      </c>
      <c r="CK3125">
        <v>21</v>
      </c>
      <c r="CL3125" t="s">
        <v>86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"080066717406"</f>
        <v>080066717406</v>
      </c>
      <c r="F3126" s="3">
        <v>45860</v>
      </c>
      <c r="G3126">
        <v>202604</v>
      </c>
      <c r="H3126" t="s">
        <v>75</v>
      </c>
      <c r="I3126" t="s">
        <v>76</v>
      </c>
      <c r="J3126" t="s">
        <v>77</v>
      </c>
      <c r="K3126" t="s">
        <v>78</v>
      </c>
      <c r="L3126" t="s">
        <v>363</v>
      </c>
      <c r="M3126" t="s">
        <v>364</v>
      </c>
      <c r="N3126" t="s">
        <v>365</v>
      </c>
      <c r="O3126" t="s">
        <v>82</v>
      </c>
      <c r="P3126" t="str">
        <f>"41700580042                   "</f>
        <v xml:space="preserve">41700580042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43.78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0.6</v>
      </c>
      <c r="BK3126">
        <v>1</v>
      </c>
      <c r="BL3126">
        <v>137.94</v>
      </c>
      <c r="BM3126">
        <v>20.69</v>
      </c>
      <c r="BN3126">
        <v>158.63</v>
      </c>
      <c r="BO3126">
        <v>158.63</v>
      </c>
      <c r="BQ3126" t="s">
        <v>1118</v>
      </c>
      <c r="BR3126" t="s">
        <v>84</v>
      </c>
      <c r="BS3126" s="3">
        <v>45861</v>
      </c>
      <c r="BT3126" s="4">
        <v>0.5625</v>
      </c>
      <c r="BU3126" t="s">
        <v>3175</v>
      </c>
      <c r="BV3126" t="s">
        <v>98</v>
      </c>
      <c r="BY3126">
        <v>3192</v>
      </c>
      <c r="CC3126" t="s">
        <v>364</v>
      </c>
      <c r="CD3126">
        <v>7300</v>
      </c>
      <c r="CE3126" t="s">
        <v>145</v>
      </c>
      <c r="CF3126" s="3">
        <v>45862</v>
      </c>
      <c r="CI3126">
        <v>1</v>
      </c>
      <c r="CJ3126">
        <v>1</v>
      </c>
      <c r="CK3126">
        <v>23</v>
      </c>
      <c r="CL3126" t="s">
        <v>86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"080066717442"</f>
        <v>080066717442</v>
      </c>
      <c r="F3127" s="3">
        <v>45860</v>
      </c>
      <c r="G3127">
        <v>202604</v>
      </c>
      <c r="H3127" t="s">
        <v>75</v>
      </c>
      <c r="I3127" t="s">
        <v>76</v>
      </c>
      <c r="J3127" t="s">
        <v>77</v>
      </c>
      <c r="K3127" t="s">
        <v>78</v>
      </c>
      <c r="L3127" t="s">
        <v>554</v>
      </c>
      <c r="M3127" t="s">
        <v>555</v>
      </c>
      <c r="N3127" t="s">
        <v>556</v>
      </c>
      <c r="O3127" t="s">
        <v>82</v>
      </c>
      <c r="P3127" t="str">
        <f>"4170050111                    "</f>
        <v xml:space="preserve">4170050111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22.6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71.2</v>
      </c>
      <c r="BM3127">
        <v>10.68</v>
      </c>
      <c r="BN3127">
        <v>81.88</v>
      </c>
      <c r="BO3127">
        <v>81.88</v>
      </c>
      <c r="BQ3127" t="s">
        <v>557</v>
      </c>
      <c r="BR3127" t="s">
        <v>84</v>
      </c>
      <c r="BS3127" s="3">
        <v>45861</v>
      </c>
      <c r="BT3127" s="4">
        <v>0.37222222222222223</v>
      </c>
      <c r="BU3127" t="s">
        <v>1810</v>
      </c>
      <c r="BV3127" t="s">
        <v>98</v>
      </c>
      <c r="BY3127">
        <v>1200</v>
      </c>
      <c r="CA3127" t="s">
        <v>559</v>
      </c>
      <c r="CC3127" t="s">
        <v>555</v>
      </c>
      <c r="CD3127" s="5" t="s">
        <v>560</v>
      </c>
      <c r="CE3127" t="s">
        <v>121</v>
      </c>
      <c r="CF3127" s="3">
        <v>45861</v>
      </c>
      <c r="CI3127">
        <v>1</v>
      </c>
      <c r="CJ3127">
        <v>1</v>
      </c>
      <c r="CK3127">
        <v>21</v>
      </c>
      <c r="CL3127" t="s">
        <v>86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"080066717503"</f>
        <v>080066717503</v>
      </c>
      <c r="F3128" s="3">
        <v>45860</v>
      </c>
      <c r="G3128">
        <v>202604</v>
      </c>
      <c r="H3128" t="s">
        <v>75</v>
      </c>
      <c r="I3128" t="s">
        <v>76</v>
      </c>
      <c r="J3128" t="s">
        <v>77</v>
      </c>
      <c r="K3128" t="s">
        <v>78</v>
      </c>
      <c r="L3128" t="s">
        <v>1882</v>
      </c>
      <c r="M3128" t="s">
        <v>1883</v>
      </c>
      <c r="N3128" t="s">
        <v>1884</v>
      </c>
      <c r="O3128" t="s">
        <v>82</v>
      </c>
      <c r="P3128" t="str">
        <f>"4170050037                    "</f>
        <v xml:space="preserve">4170050037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63.56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3</v>
      </c>
      <c r="BJ3128">
        <v>1.7</v>
      </c>
      <c r="BK3128">
        <v>3</v>
      </c>
      <c r="BL3128">
        <v>200.24</v>
      </c>
      <c r="BM3128">
        <v>30.04</v>
      </c>
      <c r="BN3128">
        <v>230.28</v>
      </c>
      <c r="BO3128">
        <v>230.28</v>
      </c>
      <c r="BQ3128" t="s">
        <v>1885</v>
      </c>
      <c r="BR3128" t="s">
        <v>84</v>
      </c>
      <c r="BS3128" s="3">
        <v>45862</v>
      </c>
      <c r="BT3128" s="4">
        <v>0.45833333333333331</v>
      </c>
      <c r="BU3128" t="s">
        <v>3176</v>
      </c>
      <c r="BV3128" t="s">
        <v>98</v>
      </c>
      <c r="BY3128">
        <v>8512</v>
      </c>
      <c r="BZ3128" t="s">
        <v>35</v>
      </c>
      <c r="CA3128" t="s">
        <v>1888</v>
      </c>
      <c r="CC3128" t="s">
        <v>1883</v>
      </c>
      <c r="CD3128">
        <v>3236</v>
      </c>
      <c r="CE3128" t="s">
        <v>145</v>
      </c>
      <c r="CF3128" s="3">
        <v>45863</v>
      </c>
      <c r="CI3128">
        <v>5</v>
      </c>
      <c r="CJ3128">
        <v>2</v>
      </c>
      <c r="CK3128">
        <v>23</v>
      </c>
      <c r="CL3128" t="s">
        <v>86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"080066717508"</f>
        <v>080066717508</v>
      </c>
      <c r="F3129" s="3">
        <v>45860</v>
      </c>
      <c r="G3129">
        <v>202604</v>
      </c>
      <c r="H3129" t="s">
        <v>75</v>
      </c>
      <c r="I3129" t="s">
        <v>76</v>
      </c>
      <c r="J3129" t="s">
        <v>77</v>
      </c>
      <c r="K3129" t="s">
        <v>78</v>
      </c>
      <c r="L3129" t="s">
        <v>151</v>
      </c>
      <c r="M3129" t="s">
        <v>152</v>
      </c>
      <c r="N3129" t="s">
        <v>500</v>
      </c>
      <c r="O3129" t="s">
        <v>82</v>
      </c>
      <c r="P3129" t="str">
        <f>"4170050287                    "</f>
        <v xml:space="preserve">4170050287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22.6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71.2</v>
      </c>
      <c r="BM3129">
        <v>10.68</v>
      </c>
      <c r="BN3129">
        <v>81.88</v>
      </c>
      <c r="BO3129">
        <v>81.88</v>
      </c>
      <c r="BQ3129" t="s">
        <v>501</v>
      </c>
      <c r="BR3129" t="s">
        <v>84</v>
      </c>
      <c r="BS3129" s="3">
        <v>45861</v>
      </c>
      <c r="BT3129" s="4">
        <v>0.40902777777777777</v>
      </c>
      <c r="BU3129" t="s">
        <v>561</v>
      </c>
      <c r="BV3129" t="s">
        <v>98</v>
      </c>
      <c r="BY3129">
        <v>1200</v>
      </c>
      <c r="CA3129" t="s">
        <v>388</v>
      </c>
      <c r="CC3129" t="s">
        <v>152</v>
      </c>
      <c r="CD3129" s="5" t="s">
        <v>157</v>
      </c>
      <c r="CE3129" t="s">
        <v>121</v>
      </c>
      <c r="CF3129" s="3">
        <v>45861</v>
      </c>
      <c r="CI3129">
        <v>1</v>
      </c>
      <c r="CJ3129">
        <v>1</v>
      </c>
      <c r="CK3129">
        <v>21</v>
      </c>
      <c r="CL3129" t="s">
        <v>86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"080066717578"</f>
        <v>080066717578</v>
      </c>
      <c r="F3130" s="3">
        <v>45860</v>
      </c>
      <c r="G3130">
        <v>202604</v>
      </c>
      <c r="H3130" t="s">
        <v>75</v>
      </c>
      <c r="I3130" t="s">
        <v>76</v>
      </c>
      <c r="J3130" t="s">
        <v>77</v>
      </c>
      <c r="K3130" t="s">
        <v>78</v>
      </c>
      <c r="L3130" t="s">
        <v>135</v>
      </c>
      <c r="M3130" t="s">
        <v>136</v>
      </c>
      <c r="N3130" t="s">
        <v>416</v>
      </c>
      <c r="O3130" t="s">
        <v>82</v>
      </c>
      <c r="P3130" t="str">
        <f>"4170050130                    "</f>
        <v xml:space="preserve">4170050130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22.6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71.2</v>
      </c>
      <c r="BM3130">
        <v>10.68</v>
      </c>
      <c r="BN3130">
        <v>81.88</v>
      </c>
      <c r="BO3130">
        <v>81.88</v>
      </c>
      <c r="BQ3130" t="s">
        <v>417</v>
      </c>
      <c r="BR3130" t="s">
        <v>84</v>
      </c>
      <c r="BS3130" s="3">
        <v>45861</v>
      </c>
      <c r="BT3130" s="4">
        <v>0.58333333333333337</v>
      </c>
      <c r="BU3130" t="s">
        <v>3142</v>
      </c>
      <c r="BV3130" t="s">
        <v>86</v>
      </c>
      <c r="BY3130">
        <v>1200</v>
      </c>
      <c r="CC3130" t="s">
        <v>136</v>
      </c>
      <c r="CD3130">
        <v>3201</v>
      </c>
      <c r="CE3130" t="s">
        <v>121</v>
      </c>
      <c r="CF3130" s="3">
        <v>45862</v>
      </c>
      <c r="CI3130">
        <v>1</v>
      </c>
      <c r="CJ3130">
        <v>1</v>
      </c>
      <c r="CK3130">
        <v>21</v>
      </c>
      <c r="CL3130" t="s">
        <v>86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"080066717603"</f>
        <v>080066717603</v>
      </c>
      <c r="F3131" s="3">
        <v>45860</v>
      </c>
      <c r="G3131">
        <v>202604</v>
      </c>
      <c r="H3131" t="s">
        <v>75</v>
      </c>
      <c r="I3131" t="s">
        <v>76</v>
      </c>
      <c r="J3131" t="s">
        <v>77</v>
      </c>
      <c r="K3131" t="s">
        <v>78</v>
      </c>
      <c r="L3131" t="s">
        <v>79</v>
      </c>
      <c r="M3131" t="s">
        <v>80</v>
      </c>
      <c r="N3131" t="s">
        <v>1919</v>
      </c>
      <c r="O3131" t="s">
        <v>82</v>
      </c>
      <c r="P3131" t="str">
        <f>"4170050052                    "</f>
        <v xml:space="preserve">4170050052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33.89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3</v>
      </c>
      <c r="BJ3131">
        <v>1.7</v>
      </c>
      <c r="BK3131">
        <v>3</v>
      </c>
      <c r="BL3131">
        <v>106.77</v>
      </c>
      <c r="BM3131">
        <v>16.02</v>
      </c>
      <c r="BN3131">
        <v>122.79</v>
      </c>
      <c r="BO3131">
        <v>122.79</v>
      </c>
      <c r="BQ3131" t="s">
        <v>1920</v>
      </c>
      <c r="BR3131" t="s">
        <v>84</v>
      </c>
      <c r="BS3131" s="3">
        <v>45861</v>
      </c>
      <c r="BT3131" s="4">
        <v>0.4201388888888889</v>
      </c>
      <c r="BU3131" t="s">
        <v>3177</v>
      </c>
      <c r="BV3131" t="s">
        <v>98</v>
      </c>
      <c r="BY3131">
        <v>8512</v>
      </c>
      <c r="CA3131" t="s">
        <v>579</v>
      </c>
      <c r="CC3131" t="s">
        <v>80</v>
      </c>
      <c r="CD3131">
        <v>7460</v>
      </c>
      <c r="CE3131" t="s">
        <v>145</v>
      </c>
      <c r="CF3131" s="3">
        <v>45862</v>
      </c>
      <c r="CI3131">
        <v>1</v>
      </c>
      <c r="CJ3131">
        <v>1</v>
      </c>
      <c r="CK3131">
        <v>21</v>
      </c>
      <c r="CL3131" t="s">
        <v>86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"080066717628"</f>
        <v>080066717628</v>
      </c>
      <c r="F3132" s="3">
        <v>45860</v>
      </c>
      <c r="G3132">
        <v>202604</v>
      </c>
      <c r="H3132" t="s">
        <v>75</v>
      </c>
      <c r="I3132" t="s">
        <v>76</v>
      </c>
      <c r="J3132" t="s">
        <v>77</v>
      </c>
      <c r="K3132" t="s">
        <v>78</v>
      </c>
      <c r="L3132" t="s">
        <v>92</v>
      </c>
      <c r="M3132" t="s">
        <v>93</v>
      </c>
      <c r="N3132" t="s">
        <v>291</v>
      </c>
      <c r="O3132" t="s">
        <v>82</v>
      </c>
      <c r="P3132" t="str">
        <f>"4170050265                    "</f>
        <v xml:space="preserve">4170050265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22.6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71.2</v>
      </c>
      <c r="BM3132">
        <v>10.68</v>
      </c>
      <c r="BN3132">
        <v>81.88</v>
      </c>
      <c r="BO3132">
        <v>81.88</v>
      </c>
      <c r="BQ3132" t="s">
        <v>292</v>
      </c>
      <c r="BR3132" t="s">
        <v>84</v>
      </c>
      <c r="BS3132" s="3">
        <v>45861</v>
      </c>
      <c r="BT3132" s="4">
        <v>0.34097222222222223</v>
      </c>
      <c r="BU3132" t="s">
        <v>847</v>
      </c>
      <c r="BV3132" t="s">
        <v>98</v>
      </c>
      <c r="BY3132">
        <v>1200</v>
      </c>
      <c r="CA3132" t="s">
        <v>294</v>
      </c>
      <c r="CC3132" t="s">
        <v>93</v>
      </c>
      <c r="CD3132">
        <v>4000</v>
      </c>
      <c r="CE3132" t="s">
        <v>121</v>
      </c>
      <c r="CF3132" s="3">
        <v>45861</v>
      </c>
      <c r="CI3132">
        <v>1</v>
      </c>
      <c r="CJ3132">
        <v>1</v>
      </c>
      <c r="CK3132">
        <v>21</v>
      </c>
      <c r="CL3132" t="s">
        <v>86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"080066717696"</f>
        <v>080066717696</v>
      </c>
      <c r="F3133" s="3">
        <v>45860</v>
      </c>
      <c r="G3133">
        <v>202604</v>
      </c>
      <c r="H3133" t="s">
        <v>75</v>
      </c>
      <c r="I3133" t="s">
        <v>76</v>
      </c>
      <c r="J3133" t="s">
        <v>77</v>
      </c>
      <c r="K3133" t="s">
        <v>78</v>
      </c>
      <c r="L3133" t="s">
        <v>79</v>
      </c>
      <c r="M3133" t="s">
        <v>80</v>
      </c>
      <c r="N3133" t="s">
        <v>3178</v>
      </c>
      <c r="O3133" t="s">
        <v>82</v>
      </c>
      <c r="P3133" t="str">
        <f>"4170050140                    "</f>
        <v xml:space="preserve">4170050140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22.6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71.2</v>
      </c>
      <c r="BM3133">
        <v>10.68</v>
      </c>
      <c r="BN3133">
        <v>81.88</v>
      </c>
      <c r="BO3133">
        <v>81.88</v>
      </c>
      <c r="BQ3133" t="s">
        <v>3179</v>
      </c>
      <c r="BR3133" t="s">
        <v>84</v>
      </c>
      <c r="BS3133" s="3">
        <v>45861</v>
      </c>
      <c r="BT3133" s="4">
        <v>0.43194444444444446</v>
      </c>
      <c r="BU3133" t="s">
        <v>3180</v>
      </c>
      <c r="BV3133" t="s">
        <v>98</v>
      </c>
      <c r="BY3133">
        <v>1200</v>
      </c>
      <c r="CA3133" t="s">
        <v>579</v>
      </c>
      <c r="CC3133" t="s">
        <v>80</v>
      </c>
      <c r="CD3133">
        <v>7460</v>
      </c>
      <c r="CE3133" t="s">
        <v>121</v>
      </c>
      <c r="CF3133" s="3">
        <v>45862</v>
      </c>
      <c r="CI3133">
        <v>1</v>
      </c>
      <c r="CJ3133">
        <v>1</v>
      </c>
      <c r="CK3133">
        <v>21</v>
      </c>
      <c r="CL3133" t="s">
        <v>86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"080066717723"</f>
        <v>080066717723</v>
      </c>
      <c r="F3134" s="3">
        <v>45860</v>
      </c>
      <c r="G3134">
        <v>202604</v>
      </c>
      <c r="H3134" t="s">
        <v>75</v>
      </c>
      <c r="I3134" t="s">
        <v>76</v>
      </c>
      <c r="J3134" t="s">
        <v>77</v>
      </c>
      <c r="K3134" t="s">
        <v>78</v>
      </c>
      <c r="L3134" t="s">
        <v>135</v>
      </c>
      <c r="M3134" t="s">
        <v>136</v>
      </c>
      <c r="N3134" t="s">
        <v>2213</v>
      </c>
      <c r="O3134" t="s">
        <v>82</v>
      </c>
      <c r="P3134" t="str">
        <f>"4170050126                    "</f>
        <v xml:space="preserve">4170050126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22.6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71.2</v>
      </c>
      <c r="BM3134">
        <v>10.68</v>
      </c>
      <c r="BN3134">
        <v>81.88</v>
      </c>
      <c r="BO3134">
        <v>81.88</v>
      </c>
      <c r="BQ3134" t="s">
        <v>2214</v>
      </c>
      <c r="BR3134" t="s">
        <v>84</v>
      </c>
      <c r="BS3134" s="3">
        <v>45862</v>
      </c>
      <c r="BT3134" s="4">
        <v>0.41666666666666669</v>
      </c>
      <c r="BU3134" t="s">
        <v>2416</v>
      </c>
      <c r="BV3134" t="s">
        <v>86</v>
      </c>
      <c r="BY3134">
        <v>1200</v>
      </c>
      <c r="CA3134" t="s">
        <v>349</v>
      </c>
      <c r="CC3134" t="s">
        <v>136</v>
      </c>
      <c r="CD3134">
        <v>3200</v>
      </c>
      <c r="CE3134" t="s">
        <v>121</v>
      </c>
      <c r="CF3134" s="3">
        <v>45863</v>
      </c>
      <c r="CI3134">
        <v>1</v>
      </c>
      <c r="CJ3134">
        <v>2</v>
      </c>
      <c r="CK3134">
        <v>21</v>
      </c>
      <c r="CL3134" t="s">
        <v>86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"080066718099"</f>
        <v>080066718099</v>
      </c>
      <c r="F3135" s="3">
        <v>45860</v>
      </c>
      <c r="G3135">
        <v>202604</v>
      </c>
      <c r="H3135" t="s">
        <v>75</v>
      </c>
      <c r="I3135" t="s">
        <v>76</v>
      </c>
      <c r="J3135" t="s">
        <v>77</v>
      </c>
      <c r="K3135" t="s">
        <v>78</v>
      </c>
      <c r="L3135" t="s">
        <v>79</v>
      </c>
      <c r="M3135" t="s">
        <v>80</v>
      </c>
      <c r="N3135" t="s">
        <v>3181</v>
      </c>
      <c r="O3135" t="s">
        <v>82</v>
      </c>
      <c r="P3135" t="str">
        <f>"4170050043                    "</f>
        <v xml:space="preserve">4170050043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22.6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71.2</v>
      </c>
      <c r="BM3135">
        <v>10.68</v>
      </c>
      <c r="BN3135">
        <v>81.88</v>
      </c>
      <c r="BO3135">
        <v>81.88</v>
      </c>
      <c r="BQ3135" t="s">
        <v>3182</v>
      </c>
      <c r="BR3135" t="s">
        <v>84</v>
      </c>
      <c r="BS3135" s="3">
        <v>45861</v>
      </c>
      <c r="BT3135" s="4">
        <v>0.39166666666666666</v>
      </c>
      <c r="BU3135" t="s">
        <v>3183</v>
      </c>
      <c r="BV3135" t="s">
        <v>98</v>
      </c>
      <c r="BY3135">
        <v>1200</v>
      </c>
      <c r="CA3135" t="s">
        <v>658</v>
      </c>
      <c r="CC3135" t="s">
        <v>80</v>
      </c>
      <c r="CD3135">
        <v>7405</v>
      </c>
      <c r="CE3135" t="s">
        <v>110</v>
      </c>
      <c r="CF3135" s="3">
        <v>45862</v>
      </c>
      <c r="CI3135">
        <v>1</v>
      </c>
      <c r="CJ3135">
        <v>1</v>
      </c>
      <c r="CK3135">
        <v>21</v>
      </c>
      <c r="CL3135" t="s">
        <v>86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"080066718126"</f>
        <v>080066718126</v>
      </c>
      <c r="F3136" s="3">
        <v>45860</v>
      </c>
      <c r="G3136">
        <v>202604</v>
      </c>
      <c r="H3136" t="s">
        <v>75</v>
      </c>
      <c r="I3136" t="s">
        <v>76</v>
      </c>
      <c r="J3136" t="s">
        <v>77</v>
      </c>
      <c r="K3136" t="s">
        <v>78</v>
      </c>
      <c r="L3136" t="s">
        <v>197</v>
      </c>
      <c r="M3136" t="s">
        <v>198</v>
      </c>
      <c r="N3136" t="s">
        <v>945</v>
      </c>
      <c r="O3136" t="s">
        <v>82</v>
      </c>
      <c r="P3136" t="str">
        <f>"4170050135                    "</f>
        <v xml:space="preserve">4170050135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17.649999999999999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55.61</v>
      </c>
      <c r="BM3136">
        <v>8.34</v>
      </c>
      <c r="BN3136">
        <v>63.95</v>
      </c>
      <c r="BO3136">
        <v>63.95</v>
      </c>
      <c r="BQ3136" t="s">
        <v>946</v>
      </c>
      <c r="BR3136" t="s">
        <v>84</v>
      </c>
      <c r="BS3136" s="3">
        <v>45861</v>
      </c>
      <c r="BT3136" s="4">
        <v>0.43055555555555558</v>
      </c>
      <c r="BU3136" t="s">
        <v>1388</v>
      </c>
      <c r="BV3136" t="s">
        <v>98</v>
      </c>
      <c r="BY3136">
        <v>1200</v>
      </c>
      <c r="BZ3136" t="s">
        <v>89</v>
      </c>
      <c r="CA3136" t="s">
        <v>948</v>
      </c>
      <c r="CC3136" t="s">
        <v>198</v>
      </c>
      <c r="CD3136">
        <v>1422</v>
      </c>
      <c r="CE3136" t="s">
        <v>121</v>
      </c>
      <c r="CF3136" s="3">
        <v>45862</v>
      </c>
      <c r="CI3136">
        <v>1</v>
      </c>
      <c r="CJ3136">
        <v>1</v>
      </c>
      <c r="CK3136">
        <v>22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"080066718175"</f>
        <v>080066718175</v>
      </c>
      <c r="F3137" s="3">
        <v>45860</v>
      </c>
      <c r="G3137">
        <v>202604</v>
      </c>
      <c r="H3137" t="s">
        <v>75</v>
      </c>
      <c r="I3137" t="s">
        <v>76</v>
      </c>
      <c r="J3137" t="s">
        <v>77</v>
      </c>
      <c r="K3137" t="s">
        <v>78</v>
      </c>
      <c r="L3137" t="s">
        <v>79</v>
      </c>
      <c r="M3137" t="s">
        <v>80</v>
      </c>
      <c r="N3137" t="s">
        <v>188</v>
      </c>
      <c r="O3137" t="s">
        <v>82</v>
      </c>
      <c r="P3137" t="str">
        <f>"4170049774                    "</f>
        <v xml:space="preserve">4170049774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22.6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71.2</v>
      </c>
      <c r="BM3137">
        <v>10.68</v>
      </c>
      <c r="BN3137">
        <v>81.88</v>
      </c>
      <c r="BO3137">
        <v>81.88</v>
      </c>
      <c r="BQ3137" t="s">
        <v>189</v>
      </c>
      <c r="BR3137" t="s">
        <v>84</v>
      </c>
      <c r="BS3137" s="3">
        <v>45861</v>
      </c>
      <c r="BT3137" s="4">
        <v>0.38055555555555554</v>
      </c>
      <c r="BU3137" t="s">
        <v>3184</v>
      </c>
      <c r="BV3137" t="s">
        <v>98</v>
      </c>
      <c r="BY3137">
        <v>1200</v>
      </c>
      <c r="BZ3137" t="s">
        <v>89</v>
      </c>
      <c r="CA3137" t="s">
        <v>842</v>
      </c>
      <c r="CC3137" t="s">
        <v>80</v>
      </c>
      <c r="CD3137">
        <v>7441</v>
      </c>
      <c r="CE3137" t="s">
        <v>121</v>
      </c>
      <c r="CF3137" s="3">
        <v>45862</v>
      </c>
      <c r="CI3137">
        <v>1</v>
      </c>
      <c r="CJ3137">
        <v>1</v>
      </c>
      <c r="CK3137">
        <v>21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"080066718205"</f>
        <v>080066718205</v>
      </c>
      <c r="F3138" s="3">
        <v>45860</v>
      </c>
      <c r="G3138">
        <v>202604</v>
      </c>
      <c r="H3138" t="s">
        <v>75</v>
      </c>
      <c r="I3138" t="s">
        <v>76</v>
      </c>
      <c r="J3138" t="s">
        <v>77</v>
      </c>
      <c r="K3138" t="s">
        <v>78</v>
      </c>
      <c r="L3138" t="s">
        <v>79</v>
      </c>
      <c r="M3138" t="s">
        <v>80</v>
      </c>
      <c r="N3138" t="s">
        <v>931</v>
      </c>
      <c r="O3138" t="s">
        <v>82</v>
      </c>
      <c r="P3138" t="str">
        <f>"4170050055                    "</f>
        <v xml:space="preserve">4170050055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22.6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71.2</v>
      </c>
      <c r="BM3138">
        <v>10.68</v>
      </c>
      <c r="BN3138">
        <v>81.88</v>
      </c>
      <c r="BO3138">
        <v>81.88</v>
      </c>
      <c r="BQ3138" t="s">
        <v>932</v>
      </c>
      <c r="BR3138" t="s">
        <v>84</v>
      </c>
      <c r="BS3138" s="3">
        <v>45861</v>
      </c>
      <c r="BT3138" s="4">
        <v>0.38611111111111113</v>
      </c>
      <c r="BU3138" t="s">
        <v>3185</v>
      </c>
      <c r="BV3138" t="s">
        <v>98</v>
      </c>
      <c r="BY3138">
        <v>1200</v>
      </c>
      <c r="BZ3138" t="s">
        <v>89</v>
      </c>
      <c r="CA3138" t="s">
        <v>2311</v>
      </c>
      <c r="CC3138" t="s">
        <v>80</v>
      </c>
      <c r="CD3138">
        <v>7535</v>
      </c>
      <c r="CE3138" t="s">
        <v>121</v>
      </c>
      <c r="CF3138" s="3">
        <v>45862</v>
      </c>
      <c r="CI3138">
        <v>1</v>
      </c>
      <c r="CJ3138">
        <v>1</v>
      </c>
      <c r="CK3138">
        <v>21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"080066718231"</f>
        <v>080066718231</v>
      </c>
      <c r="F3139" s="3">
        <v>45860</v>
      </c>
      <c r="G3139">
        <v>202604</v>
      </c>
      <c r="H3139" t="s">
        <v>75</v>
      </c>
      <c r="I3139" t="s">
        <v>76</v>
      </c>
      <c r="J3139" t="s">
        <v>77</v>
      </c>
      <c r="K3139" t="s">
        <v>78</v>
      </c>
      <c r="L3139" t="s">
        <v>75</v>
      </c>
      <c r="M3139" t="s">
        <v>76</v>
      </c>
      <c r="N3139" t="s">
        <v>562</v>
      </c>
      <c r="O3139" t="s">
        <v>82</v>
      </c>
      <c r="P3139" t="str">
        <f>"4170050060                    "</f>
        <v xml:space="preserve">4170050060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17.649999999999999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55.61</v>
      </c>
      <c r="BM3139">
        <v>8.34</v>
      </c>
      <c r="BN3139">
        <v>63.95</v>
      </c>
      <c r="BO3139">
        <v>63.95</v>
      </c>
      <c r="BQ3139" t="s">
        <v>563</v>
      </c>
      <c r="BR3139" t="s">
        <v>84</v>
      </c>
      <c r="BS3139" s="3">
        <v>45861</v>
      </c>
      <c r="BT3139" s="4">
        <v>0.41249999999999998</v>
      </c>
      <c r="BU3139" t="s">
        <v>2155</v>
      </c>
      <c r="BV3139" t="s">
        <v>98</v>
      </c>
      <c r="BY3139">
        <v>1200</v>
      </c>
      <c r="CA3139" t="s">
        <v>565</v>
      </c>
      <c r="CC3139" t="s">
        <v>76</v>
      </c>
      <c r="CD3139">
        <v>1619</v>
      </c>
      <c r="CE3139" t="s">
        <v>121</v>
      </c>
      <c r="CF3139" s="3">
        <v>45861</v>
      </c>
      <c r="CI3139">
        <v>1</v>
      </c>
      <c r="CJ3139">
        <v>1</v>
      </c>
      <c r="CK3139">
        <v>22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"080066718314"</f>
        <v>080066718314</v>
      </c>
      <c r="F3140" s="3">
        <v>45860</v>
      </c>
      <c r="G3140">
        <v>202604</v>
      </c>
      <c r="H3140" t="s">
        <v>75</v>
      </c>
      <c r="I3140" t="s">
        <v>76</v>
      </c>
      <c r="J3140" t="s">
        <v>77</v>
      </c>
      <c r="K3140" t="s">
        <v>78</v>
      </c>
      <c r="L3140" t="s">
        <v>92</v>
      </c>
      <c r="M3140" t="s">
        <v>93</v>
      </c>
      <c r="N3140" t="s">
        <v>291</v>
      </c>
      <c r="O3140" t="s">
        <v>82</v>
      </c>
      <c r="P3140" t="str">
        <f>"4170050051                    "</f>
        <v xml:space="preserve">4170050051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22.6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0.9</v>
      </c>
      <c r="BK3140">
        <v>2</v>
      </c>
      <c r="BL3140">
        <v>71.2</v>
      </c>
      <c r="BM3140">
        <v>10.68</v>
      </c>
      <c r="BN3140">
        <v>81.88</v>
      </c>
      <c r="BO3140">
        <v>81.88</v>
      </c>
      <c r="BQ3140" t="s">
        <v>292</v>
      </c>
      <c r="BR3140" t="s">
        <v>84</v>
      </c>
      <c r="BS3140" s="3">
        <v>45861</v>
      </c>
      <c r="BT3140" s="4">
        <v>0.34097222222222223</v>
      </c>
      <c r="BU3140" t="s">
        <v>847</v>
      </c>
      <c r="BV3140" t="s">
        <v>98</v>
      </c>
      <c r="BY3140">
        <v>4560</v>
      </c>
      <c r="CA3140" t="s">
        <v>294</v>
      </c>
      <c r="CC3140" t="s">
        <v>93</v>
      </c>
      <c r="CD3140">
        <v>4051</v>
      </c>
      <c r="CE3140" t="s">
        <v>145</v>
      </c>
      <c r="CF3140" s="3">
        <v>45861</v>
      </c>
      <c r="CI3140">
        <v>1</v>
      </c>
      <c r="CJ3140">
        <v>1</v>
      </c>
      <c r="CK3140">
        <v>21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"080066718342"</f>
        <v>080066718342</v>
      </c>
      <c r="F3141" s="3">
        <v>45860</v>
      </c>
      <c r="G3141">
        <v>202604</v>
      </c>
      <c r="H3141" t="s">
        <v>75</v>
      </c>
      <c r="I3141" t="s">
        <v>76</v>
      </c>
      <c r="J3141" t="s">
        <v>77</v>
      </c>
      <c r="K3141" t="s">
        <v>78</v>
      </c>
      <c r="L3141" t="s">
        <v>1882</v>
      </c>
      <c r="M3141" t="s">
        <v>1883</v>
      </c>
      <c r="N3141" t="s">
        <v>1884</v>
      </c>
      <c r="O3141" t="s">
        <v>82</v>
      </c>
      <c r="P3141" t="str">
        <f>"4170050038                    "</f>
        <v xml:space="preserve">4170050038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63.56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3</v>
      </c>
      <c r="BJ3141">
        <v>1.1000000000000001</v>
      </c>
      <c r="BK3141">
        <v>3</v>
      </c>
      <c r="BL3141">
        <v>200.24</v>
      </c>
      <c r="BM3141">
        <v>30.04</v>
      </c>
      <c r="BN3141">
        <v>230.28</v>
      </c>
      <c r="BO3141">
        <v>230.28</v>
      </c>
      <c r="BQ3141" t="s">
        <v>1885</v>
      </c>
      <c r="BR3141" t="s">
        <v>84</v>
      </c>
      <c r="BS3141" s="3">
        <v>45862</v>
      </c>
      <c r="BT3141" s="4">
        <v>0.46180555555555558</v>
      </c>
      <c r="BU3141" t="s">
        <v>3176</v>
      </c>
      <c r="BV3141" t="s">
        <v>98</v>
      </c>
      <c r="BY3141">
        <v>5320</v>
      </c>
      <c r="BZ3141" t="s">
        <v>35</v>
      </c>
      <c r="CA3141" t="s">
        <v>1888</v>
      </c>
      <c r="CC3141" t="s">
        <v>1883</v>
      </c>
      <c r="CD3141">
        <v>3236</v>
      </c>
      <c r="CE3141" t="s">
        <v>145</v>
      </c>
      <c r="CF3141" s="3">
        <v>45863</v>
      </c>
      <c r="CI3141">
        <v>5</v>
      </c>
      <c r="CJ3141">
        <v>2</v>
      </c>
      <c r="CK3141">
        <v>23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"080066718387"</f>
        <v>080066718387</v>
      </c>
      <c r="F3142" s="3">
        <v>45860</v>
      </c>
      <c r="G3142">
        <v>202604</v>
      </c>
      <c r="H3142" t="s">
        <v>75</v>
      </c>
      <c r="I3142" t="s">
        <v>76</v>
      </c>
      <c r="J3142" t="s">
        <v>77</v>
      </c>
      <c r="K3142" t="s">
        <v>78</v>
      </c>
      <c r="L3142" t="s">
        <v>1882</v>
      </c>
      <c r="M3142" t="s">
        <v>1883</v>
      </c>
      <c r="N3142" t="s">
        <v>1884</v>
      </c>
      <c r="O3142" t="s">
        <v>82</v>
      </c>
      <c r="P3142" t="str">
        <f>"4170050050                    "</f>
        <v xml:space="preserve">4170050050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63.56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3</v>
      </c>
      <c r="BJ3142">
        <v>1.1000000000000001</v>
      </c>
      <c r="BK3142">
        <v>3</v>
      </c>
      <c r="BL3142">
        <v>200.24</v>
      </c>
      <c r="BM3142">
        <v>30.04</v>
      </c>
      <c r="BN3142">
        <v>230.28</v>
      </c>
      <c r="BO3142">
        <v>230.28</v>
      </c>
      <c r="BQ3142" t="s">
        <v>1885</v>
      </c>
      <c r="BR3142" t="s">
        <v>84</v>
      </c>
      <c r="BS3142" s="3">
        <v>45862</v>
      </c>
      <c r="BT3142" s="4">
        <v>0.45833333333333331</v>
      </c>
      <c r="BU3142" t="s">
        <v>3176</v>
      </c>
      <c r="BV3142" t="s">
        <v>98</v>
      </c>
      <c r="BY3142">
        <v>5320</v>
      </c>
      <c r="BZ3142" t="s">
        <v>35</v>
      </c>
      <c r="CA3142" t="s">
        <v>1888</v>
      </c>
      <c r="CC3142" t="s">
        <v>1883</v>
      </c>
      <c r="CD3142">
        <v>3236</v>
      </c>
      <c r="CE3142" t="s">
        <v>110</v>
      </c>
      <c r="CF3142" s="3">
        <v>45863</v>
      </c>
      <c r="CI3142">
        <v>5</v>
      </c>
      <c r="CJ3142">
        <v>2</v>
      </c>
      <c r="CK3142">
        <v>23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"080066718410"</f>
        <v>080066718410</v>
      </c>
      <c r="F3143" s="3">
        <v>45860</v>
      </c>
      <c r="G3143">
        <v>202604</v>
      </c>
      <c r="H3143" t="s">
        <v>75</v>
      </c>
      <c r="I3143" t="s">
        <v>76</v>
      </c>
      <c r="J3143" t="s">
        <v>77</v>
      </c>
      <c r="K3143" t="s">
        <v>78</v>
      </c>
      <c r="L3143" t="s">
        <v>168</v>
      </c>
      <c r="M3143" t="s">
        <v>169</v>
      </c>
      <c r="N3143" t="s">
        <v>420</v>
      </c>
      <c r="O3143" t="s">
        <v>82</v>
      </c>
      <c r="P3143" t="str">
        <f>"4170050049                    "</f>
        <v xml:space="preserve">4170050049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22.6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2</v>
      </c>
      <c r="BJ3143">
        <v>1.1000000000000001</v>
      </c>
      <c r="BK3143">
        <v>2</v>
      </c>
      <c r="BL3143">
        <v>71.2</v>
      </c>
      <c r="BM3143">
        <v>10.68</v>
      </c>
      <c r="BN3143">
        <v>81.88</v>
      </c>
      <c r="BO3143">
        <v>81.88</v>
      </c>
      <c r="BQ3143" t="s">
        <v>421</v>
      </c>
      <c r="BR3143" t="s">
        <v>84</v>
      </c>
      <c r="BS3143" s="3">
        <v>45861</v>
      </c>
      <c r="BT3143" s="4">
        <v>0.4201388888888889</v>
      </c>
      <c r="BU3143" t="s">
        <v>422</v>
      </c>
      <c r="BV3143" t="s">
        <v>98</v>
      </c>
      <c r="BY3143">
        <v>5320</v>
      </c>
      <c r="CA3143" t="s">
        <v>423</v>
      </c>
      <c r="CC3143" t="s">
        <v>169</v>
      </c>
      <c r="CD3143">
        <v>6001</v>
      </c>
      <c r="CE3143" t="s">
        <v>110</v>
      </c>
      <c r="CF3143" s="3">
        <v>45861</v>
      </c>
      <c r="CI3143">
        <v>1</v>
      </c>
      <c r="CJ3143">
        <v>1</v>
      </c>
      <c r="CK3143">
        <v>21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"080066718434"</f>
        <v>080066718434</v>
      </c>
      <c r="F3144" s="3">
        <v>45860</v>
      </c>
      <c r="G3144">
        <v>202604</v>
      </c>
      <c r="H3144" t="s">
        <v>75</v>
      </c>
      <c r="I3144" t="s">
        <v>76</v>
      </c>
      <c r="J3144" t="s">
        <v>77</v>
      </c>
      <c r="K3144" t="s">
        <v>78</v>
      </c>
      <c r="L3144" t="s">
        <v>135</v>
      </c>
      <c r="M3144" t="s">
        <v>136</v>
      </c>
      <c r="N3144" t="s">
        <v>416</v>
      </c>
      <c r="O3144" t="s">
        <v>82</v>
      </c>
      <c r="P3144" t="str">
        <f>"4170049759                    "</f>
        <v xml:space="preserve">4170049759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22.6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1.1000000000000001</v>
      </c>
      <c r="BK3144">
        <v>1.5</v>
      </c>
      <c r="BL3144">
        <v>71.2</v>
      </c>
      <c r="BM3144">
        <v>10.68</v>
      </c>
      <c r="BN3144">
        <v>81.88</v>
      </c>
      <c r="BO3144">
        <v>81.88</v>
      </c>
      <c r="BQ3144" t="s">
        <v>417</v>
      </c>
      <c r="BR3144" t="s">
        <v>84</v>
      </c>
      <c r="BS3144" s="3">
        <v>45861</v>
      </c>
      <c r="BT3144" s="4">
        <v>0.58333333333333337</v>
      </c>
      <c r="BU3144" t="s">
        <v>3142</v>
      </c>
      <c r="BV3144" t="s">
        <v>86</v>
      </c>
      <c r="BY3144">
        <v>5320</v>
      </c>
      <c r="CC3144" t="s">
        <v>136</v>
      </c>
      <c r="CD3144">
        <v>3201</v>
      </c>
      <c r="CE3144" t="s">
        <v>145</v>
      </c>
      <c r="CF3144" s="3">
        <v>45862</v>
      </c>
      <c r="CI3144">
        <v>1</v>
      </c>
      <c r="CJ3144">
        <v>1</v>
      </c>
      <c r="CK3144">
        <v>21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"080066718549"</f>
        <v>080066718549</v>
      </c>
      <c r="F3145" s="3">
        <v>45860</v>
      </c>
      <c r="G3145">
        <v>202604</v>
      </c>
      <c r="H3145" t="s">
        <v>75</v>
      </c>
      <c r="I3145" t="s">
        <v>76</v>
      </c>
      <c r="J3145" t="s">
        <v>77</v>
      </c>
      <c r="K3145" t="s">
        <v>78</v>
      </c>
      <c r="L3145" t="s">
        <v>503</v>
      </c>
      <c r="M3145" t="s">
        <v>504</v>
      </c>
      <c r="N3145" t="s">
        <v>505</v>
      </c>
      <c r="O3145" t="s">
        <v>82</v>
      </c>
      <c r="P3145" t="str">
        <f>"41700500121                   "</f>
        <v xml:space="preserve">41700500121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103.1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5</v>
      </c>
      <c r="BJ3145">
        <v>3.3</v>
      </c>
      <c r="BK3145">
        <v>5</v>
      </c>
      <c r="BL3145">
        <v>324.82</v>
      </c>
      <c r="BM3145">
        <v>48.72</v>
      </c>
      <c r="BN3145">
        <v>373.54</v>
      </c>
      <c r="BO3145">
        <v>373.54</v>
      </c>
      <c r="BQ3145" t="s">
        <v>506</v>
      </c>
      <c r="BR3145" t="s">
        <v>84</v>
      </c>
      <c r="BS3145" s="3">
        <v>45861</v>
      </c>
      <c r="BT3145" s="4">
        <v>0.45763888888888887</v>
      </c>
      <c r="BU3145" t="s">
        <v>507</v>
      </c>
      <c r="BV3145" t="s">
        <v>98</v>
      </c>
      <c r="BY3145">
        <v>16464</v>
      </c>
      <c r="CA3145" t="s">
        <v>508</v>
      </c>
      <c r="CC3145" t="s">
        <v>504</v>
      </c>
      <c r="CD3145">
        <v>7130</v>
      </c>
      <c r="CE3145" t="s">
        <v>91</v>
      </c>
      <c r="CF3145" s="3">
        <v>45862</v>
      </c>
      <c r="CI3145">
        <v>1</v>
      </c>
      <c r="CJ3145">
        <v>1</v>
      </c>
      <c r="CK3145">
        <v>23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"080066718609"</f>
        <v>080066718609</v>
      </c>
      <c r="F3146" s="3">
        <v>45860</v>
      </c>
      <c r="G3146">
        <v>202604</v>
      </c>
      <c r="H3146" t="s">
        <v>75</v>
      </c>
      <c r="I3146" t="s">
        <v>76</v>
      </c>
      <c r="J3146" t="s">
        <v>77</v>
      </c>
      <c r="K3146" t="s">
        <v>78</v>
      </c>
      <c r="L3146" t="s">
        <v>221</v>
      </c>
      <c r="M3146" t="s">
        <v>222</v>
      </c>
      <c r="N3146" t="s">
        <v>223</v>
      </c>
      <c r="O3146" t="s">
        <v>95</v>
      </c>
      <c r="P3146" t="str">
        <f>"4175000039                    "</f>
        <v xml:space="preserve">4175000039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99.41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2</v>
      </c>
      <c r="BI3146">
        <v>27</v>
      </c>
      <c r="BJ3146">
        <v>13.6</v>
      </c>
      <c r="BK3146">
        <v>27</v>
      </c>
      <c r="BL3146">
        <v>319.07</v>
      </c>
      <c r="BM3146">
        <v>47.86</v>
      </c>
      <c r="BN3146">
        <v>366.93</v>
      </c>
      <c r="BO3146">
        <v>366.93</v>
      </c>
      <c r="BQ3146" t="s">
        <v>224</v>
      </c>
      <c r="BR3146" t="s">
        <v>84</v>
      </c>
      <c r="BS3146" s="3">
        <v>45861</v>
      </c>
      <c r="BT3146" s="4">
        <v>0.41666666666666669</v>
      </c>
      <c r="BU3146" t="s">
        <v>1707</v>
      </c>
      <c r="BV3146" t="s">
        <v>98</v>
      </c>
      <c r="BY3146">
        <v>68096</v>
      </c>
      <c r="CC3146" t="s">
        <v>222</v>
      </c>
      <c r="CD3146">
        <v>2740</v>
      </c>
      <c r="CE3146" t="s">
        <v>145</v>
      </c>
      <c r="CF3146" s="3">
        <v>45862</v>
      </c>
      <c r="CI3146">
        <v>1</v>
      </c>
      <c r="CJ3146">
        <v>1</v>
      </c>
      <c r="CK3146">
        <v>43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"080066718636"</f>
        <v>080066718636</v>
      </c>
      <c r="F3147" s="3">
        <v>45860</v>
      </c>
      <c r="G3147">
        <v>202604</v>
      </c>
      <c r="H3147" t="s">
        <v>75</v>
      </c>
      <c r="I3147" t="s">
        <v>76</v>
      </c>
      <c r="J3147" t="s">
        <v>77</v>
      </c>
      <c r="K3147" t="s">
        <v>78</v>
      </c>
      <c r="L3147" t="s">
        <v>295</v>
      </c>
      <c r="M3147" t="s">
        <v>296</v>
      </c>
      <c r="N3147" t="s">
        <v>1262</v>
      </c>
      <c r="O3147" t="s">
        <v>82</v>
      </c>
      <c r="P3147" t="str">
        <f>"4170050290                    "</f>
        <v xml:space="preserve">4170050290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17.649999999999999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55.61</v>
      </c>
      <c r="BM3147">
        <v>8.34</v>
      </c>
      <c r="BN3147">
        <v>63.95</v>
      </c>
      <c r="BO3147">
        <v>63.95</v>
      </c>
      <c r="BQ3147" t="s">
        <v>1263</v>
      </c>
      <c r="BR3147" t="s">
        <v>84</v>
      </c>
      <c r="BS3147" s="3">
        <v>45861</v>
      </c>
      <c r="BT3147" s="4">
        <v>0.35902777777777778</v>
      </c>
      <c r="BU3147" t="s">
        <v>624</v>
      </c>
      <c r="BV3147" t="s">
        <v>98</v>
      </c>
      <c r="BY3147">
        <v>1200</v>
      </c>
      <c r="CA3147" t="s">
        <v>2782</v>
      </c>
      <c r="CC3147" t="s">
        <v>296</v>
      </c>
      <c r="CD3147">
        <v>1459</v>
      </c>
      <c r="CE3147" t="s">
        <v>258</v>
      </c>
      <c r="CF3147" s="3">
        <v>45862</v>
      </c>
      <c r="CI3147">
        <v>1</v>
      </c>
      <c r="CJ3147">
        <v>1</v>
      </c>
      <c r="CK3147">
        <v>22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"080066719038"</f>
        <v>080066719038</v>
      </c>
      <c r="F3148" s="3">
        <v>45860</v>
      </c>
      <c r="G3148">
        <v>202604</v>
      </c>
      <c r="H3148" t="s">
        <v>75</v>
      </c>
      <c r="I3148" t="s">
        <v>76</v>
      </c>
      <c r="J3148" t="s">
        <v>77</v>
      </c>
      <c r="K3148" t="s">
        <v>78</v>
      </c>
      <c r="L3148" t="s">
        <v>305</v>
      </c>
      <c r="M3148" t="s">
        <v>306</v>
      </c>
      <c r="N3148" t="s">
        <v>710</v>
      </c>
      <c r="O3148" t="s">
        <v>82</v>
      </c>
      <c r="P3148" t="str">
        <f>"4170050048                    "</f>
        <v xml:space="preserve">4170050048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22.6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71.2</v>
      </c>
      <c r="BM3148">
        <v>10.68</v>
      </c>
      <c r="BN3148">
        <v>81.88</v>
      </c>
      <c r="BO3148">
        <v>81.88</v>
      </c>
      <c r="BQ3148" t="s">
        <v>711</v>
      </c>
      <c r="BR3148" t="s">
        <v>84</v>
      </c>
      <c r="BS3148" s="3">
        <v>45861</v>
      </c>
      <c r="BT3148" s="4">
        <v>0.54166666666666663</v>
      </c>
      <c r="BU3148" t="s">
        <v>2850</v>
      </c>
      <c r="BV3148" t="s">
        <v>98</v>
      </c>
      <c r="BY3148">
        <v>1200</v>
      </c>
      <c r="CC3148" t="s">
        <v>306</v>
      </c>
      <c r="CD3148">
        <v>5201</v>
      </c>
      <c r="CE3148" t="s">
        <v>121</v>
      </c>
      <c r="CF3148" s="3">
        <v>45862</v>
      </c>
      <c r="CI3148">
        <v>5</v>
      </c>
      <c r="CJ3148">
        <v>1</v>
      </c>
      <c r="CK3148">
        <v>21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"080066719044"</f>
        <v>080066719044</v>
      </c>
      <c r="F3149" s="3">
        <v>45860</v>
      </c>
      <c r="G3149">
        <v>202604</v>
      </c>
      <c r="H3149" t="s">
        <v>75</v>
      </c>
      <c r="I3149" t="s">
        <v>76</v>
      </c>
      <c r="J3149" t="s">
        <v>77</v>
      </c>
      <c r="K3149" t="s">
        <v>78</v>
      </c>
      <c r="L3149" t="s">
        <v>122</v>
      </c>
      <c r="M3149" t="s">
        <v>123</v>
      </c>
      <c r="N3149" t="s">
        <v>2931</v>
      </c>
      <c r="O3149" t="s">
        <v>82</v>
      </c>
      <c r="P3149" t="str">
        <f>"4170050065                    "</f>
        <v xml:space="preserve">4170050065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39.53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3.4</v>
      </c>
      <c r="BK3149">
        <v>3.5</v>
      </c>
      <c r="BL3149">
        <v>124.55</v>
      </c>
      <c r="BM3149">
        <v>18.68</v>
      </c>
      <c r="BN3149">
        <v>143.22999999999999</v>
      </c>
      <c r="BO3149">
        <v>143.22999999999999</v>
      </c>
      <c r="BQ3149" t="s">
        <v>2932</v>
      </c>
      <c r="BR3149" t="s">
        <v>84</v>
      </c>
      <c r="BS3149" s="3">
        <v>45861</v>
      </c>
      <c r="BT3149" s="4">
        <v>0.40555555555555556</v>
      </c>
      <c r="BU3149" t="s">
        <v>212</v>
      </c>
      <c r="BV3149" t="s">
        <v>98</v>
      </c>
      <c r="BY3149">
        <v>16965</v>
      </c>
      <c r="CA3149" t="s">
        <v>2974</v>
      </c>
      <c r="CC3149" t="s">
        <v>123</v>
      </c>
      <c r="CD3149">
        <v>3610</v>
      </c>
      <c r="CE3149" t="s">
        <v>145</v>
      </c>
      <c r="CF3149" s="3">
        <v>45861</v>
      </c>
      <c r="CI3149">
        <v>1</v>
      </c>
      <c r="CJ3149">
        <v>1</v>
      </c>
      <c r="CK3149">
        <v>21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"080066719052"</f>
        <v>080066719052</v>
      </c>
      <c r="F3150" s="3">
        <v>45860</v>
      </c>
      <c r="G3150">
        <v>202604</v>
      </c>
      <c r="H3150" t="s">
        <v>75</v>
      </c>
      <c r="I3150" t="s">
        <v>76</v>
      </c>
      <c r="J3150" t="s">
        <v>77</v>
      </c>
      <c r="K3150" t="s">
        <v>78</v>
      </c>
      <c r="L3150" t="s">
        <v>146</v>
      </c>
      <c r="M3150" t="s">
        <v>146</v>
      </c>
      <c r="N3150" t="s">
        <v>1134</v>
      </c>
      <c r="O3150" t="s">
        <v>82</v>
      </c>
      <c r="P3150" t="str">
        <f>"4170050209                    "</f>
        <v xml:space="preserve">4170050209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43.78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137.94</v>
      </c>
      <c r="BM3150">
        <v>20.69</v>
      </c>
      <c r="BN3150">
        <v>158.63</v>
      </c>
      <c r="BO3150">
        <v>158.63</v>
      </c>
      <c r="BQ3150" t="s">
        <v>1135</v>
      </c>
      <c r="BR3150" t="s">
        <v>84</v>
      </c>
      <c r="BS3150" s="3">
        <v>45861</v>
      </c>
      <c r="BT3150" s="4">
        <v>0.52500000000000002</v>
      </c>
      <c r="BU3150" t="s">
        <v>3186</v>
      </c>
      <c r="BV3150" t="s">
        <v>98</v>
      </c>
      <c r="BY3150">
        <v>1200</v>
      </c>
      <c r="CA3150" t="s">
        <v>150</v>
      </c>
      <c r="CC3150" t="s">
        <v>146</v>
      </c>
      <c r="CD3150">
        <v>7646</v>
      </c>
      <c r="CE3150" t="s">
        <v>121</v>
      </c>
      <c r="CF3150" s="3">
        <v>45862</v>
      </c>
      <c r="CI3150">
        <v>1</v>
      </c>
      <c r="CJ3150">
        <v>1</v>
      </c>
      <c r="CK3150">
        <v>23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"080066719073"</f>
        <v>080066719073</v>
      </c>
      <c r="F3151" s="3">
        <v>45860</v>
      </c>
      <c r="G3151">
        <v>202604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3187</v>
      </c>
      <c r="O3151" t="s">
        <v>82</v>
      </c>
      <c r="P3151" t="str">
        <f>"4170050264                    "</f>
        <v xml:space="preserve">4170050264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17.649999999999999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55.61</v>
      </c>
      <c r="BM3151">
        <v>8.34</v>
      </c>
      <c r="BN3151">
        <v>63.95</v>
      </c>
      <c r="BO3151">
        <v>63.95</v>
      </c>
      <c r="BQ3151" t="s">
        <v>3188</v>
      </c>
      <c r="BR3151" t="s">
        <v>84</v>
      </c>
      <c r="BS3151" s="3">
        <v>45861</v>
      </c>
      <c r="BT3151" s="4">
        <v>0.42152777777777778</v>
      </c>
      <c r="BU3151" t="s">
        <v>668</v>
      </c>
      <c r="BV3151" t="s">
        <v>98</v>
      </c>
      <c r="BY3151">
        <v>1200</v>
      </c>
      <c r="CA3151" t="s">
        <v>1799</v>
      </c>
      <c r="CC3151" t="s">
        <v>76</v>
      </c>
      <c r="CD3151">
        <v>1614</v>
      </c>
      <c r="CE3151" t="s">
        <v>121</v>
      </c>
      <c r="CF3151" s="3">
        <v>45862</v>
      </c>
      <c r="CI3151">
        <v>1</v>
      </c>
      <c r="CJ3151">
        <v>1</v>
      </c>
      <c r="CK3151">
        <v>22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"080066719083"</f>
        <v>080066719083</v>
      </c>
      <c r="F3152" s="3">
        <v>45860</v>
      </c>
      <c r="G3152">
        <v>202604</v>
      </c>
      <c r="H3152" t="s">
        <v>75</v>
      </c>
      <c r="I3152" t="s">
        <v>76</v>
      </c>
      <c r="J3152" t="s">
        <v>77</v>
      </c>
      <c r="K3152" t="s">
        <v>78</v>
      </c>
      <c r="L3152" t="s">
        <v>79</v>
      </c>
      <c r="M3152" t="s">
        <v>80</v>
      </c>
      <c r="N3152" t="s">
        <v>914</v>
      </c>
      <c r="O3152" t="s">
        <v>82</v>
      </c>
      <c r="P3152" t="str">
        <f>"4170050036                    "</f>
        <v xml:space="preserve">4170050036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22.6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1.1000000000000001</v>
      </c>
      <c r="BK3152">
        <v>1.5</v>
      </c>
      <c r="BL3152">
        <v>71.2</v>
      </c>
      <c r="BM3152">
        <v>10.68</v>
      </c>
      <c r="BN3152">
        <v>81.88</v>
      </c>
      <c r="BO3152">
        <v>81.88</v>
      </c>
      <c r="BQ3152" t="s">
        <v>915</v>
      </c>
      <c r="BR3152" t="s">
        <v>84</v>
      </c>
      <c r="BS3152" s="3">
        <v>45861</v>
      </c>
      <c r="BT3152" s="4">
        <v>0.43472222222222223</v>
      </c>
      <c r="BU3152" t="s">
        <v>3189</v>
      </c>
      <c r="BV3152" t="s">
        <v>98</v>
      </c>
      <c r="BY3152">
        <v>5320</v>
      </c>
      <c r="CA3152" t="s">
        <v>733</v>
      </c>
      <c r="CC3152" t="s">
        <v>80</v>
      </c>
      <c r="CD3152">
        <v>7500</v>
      </c>
      <c r="CE3152" t="s">
        <v>145</v>
      </c>
      <c r="CF3152" s="3">
        <v>45862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"080066719119"</f>
        <v>080066719119</v>
      </c>
      <c r="F3153" s="3">
        <v>45860</v>
      </c>
      <c r="G3153">
        <v>202604</v>
      </c>
      <c r="H3153" t="s">
        <v>75</v>
      </c>
      <c r="I3153" t="s">
        <v>76</v>
      </c>
      <c r="J3153" t="s">
        <v>77</v>
      </c>
      <c r="K3153" t="s">
        <v>78</v>
      </c>
      <c r="L3153" t="s">
        <v>168</v>
      </c>
      <c r="M3153" t="s">
        <v>169</v>
      </c>
      <c r="N3153" t="s">
        <v>861</v>
      </c>
      <c r="O3153" t="s">
        <v>82</v>
      </c>
      <c r="P3153" t="str">
        <f>"4170050045                    "</f>
        <v xml:space="preserve">4170050045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22.6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71.2</v>
      </c>
      <c r="BM3153">
        <v>10.68</v>
      </c>
      <c r="BN3153">
        <v>81.88</v>
      </c>
      <c r="BO3153">
        <v>81.88</v>
      </c>
      <c r="BQ3153" t="s">
        <v>862</v>
      </c>
      <c r="BR3153" t="s">
        <v>84</v>
      </c>
      <c r="BS3153" s="3">
        <v>45861</v>
      </c>
      <c r="BT3153" s="4">
        <v>0.33680555555555558</v>
      </c>
      <c r="BU3153" t="s">
        <v>3190</v>
      </c>
      <c r="BV3153" t="s">
        <v>98</v>
      </c>
      <c r="BY3153">
        <v>1200</v>
      </c>
      <c r="CA3153" t="s">
        <v>423</v>
      </c>
      <c r="CC3153" t="s">
        <v>169</v>
      </c>
      <c r="CD3153">
        <v>6045</v>
      </c>
      <c r="CE3153" t="s">
        <v>121</v>
      </c>
      <c r="CF3153" s="3">
        <v>45861</v>
      </c>
      <c r="CI3153">
        <v>1</v>
      </c>
      <c r="CJ3153">
        <v>1</v>
      </c>
      <c r="CK3153">
        <v>21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"080066719137"</f>
        <v>080066719137</v>
      </c>
      <c r="F3154" s="3">
        <v>45860</v>
      </c>
      <c r="G3154">
        <v>202604</v>
      </c>
      <c r="H3154" t="s">
        <v>75</v>
      </c>
      <c r="I3154" t="s">
        <v>76</v>
      </c>
      <c r="J3154" t="s">
        <v>77</v>
      </c>
      <c r="K3154" t="s">
        <v>78</v>
      </c>
      <c r="L3154" t="s">
        <v>168</v>
      </c>
      <c r="M3154" t="s">
        <v>169</v>
      </c>
      <c r="N3154" t="s">
        <v>487</v>
      </c>
      <c r="O3154" t="s">
        <v>82</v>
      </c>
      <c r="P3154" t="str">
        <f>"4170050035                    "</f>
        <v xml:space="preserve">4170050035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22.6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0.6</v>
      </c>
      <c r="BK3154">
        <v>1</v>
      </c>
      <c r="BL3154">
        <v>71.2</v>
      </c>
      <c r="BM3154">
        <v>10.68</v>
      </c>
      <c r="BN3154">
        <v>81.88</v>
      </c>
      <c r="BO3154">
        <v>81.88</v>
      </c>
      <c r="BQ3154" t="s">
        <v>488</v>
      </c>
      <c r="BR3154" t="s">
        <v>84</v>
      </c>
      <c r="BS3154" s="3">
        <v>45861</v>
      </c>
      <c r="BT3154" s="4">
        <v>0.43680555555555556</v>
      </c>
      <c r="BU3154" t="s">
        <v>1554</v>
      </c>
      <c r="BV3154" t="s">
        <v>98</v>
      </c>
      <c r="BY3154">
        <v>3192</v>
      </c>
      <c r="CA3154" t="s">
        <v>415</v>
      </c>
      <c r="CC3154" t="s">
        <v>169</v>
      </c>
      <c r="CD3154">
        <v>6012</v>
      </c>
      <c r="CE3154" t="s">
        <v>145</v>
      </c>
      <c r="CF3154" s="3">
        <v>45861</v>
      </c>
      <c r="CI3154">
        <v>1</v>
      </c>
      <c r="CJ3154">
        <v>1</v>
      </c>
      <c r="CK3154">
        <v>21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"080066719162"</f>
        <v>080066719162</v>
      </c>
      <c r="F3155" s="3">
        <v>45860</v>
      </c>
      <c r="G3155">
        <v>202604</v>
      </c>
      <c r="H3155" t="s">
        <v>75</v>
      </c>
      <c r="I3155" t="s">
        <v>76</v>
      </c>
      <c r="J3155" t="s">
        <v>77</v>
      </c>
      <c r="K3155" t="s">
        <v>78</v>
      </c>
      <c r="L3155" t="s">
        <v>305</v>
      </c>
      <c r="M3155" t="s">
        <v>306</v>
      </c>
      <c r="N3155" t="s">
        <v>640</v>
      </c>
      <c r="O3155" t="s">
        <v>82</v>
      </c>
      <c r="P3155" t="str">
        <f>"4170050151                    "</f>
        <v xml:space="preserve">4170050151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22.6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71.2</v>
      </c>
      <c r="BM3155">
        <v>10.68</v>
      </c>
      <c r="BN3155">
        <v>81.88</v>
      </c>
      <c r="BO3155">
        <v>81.88</v>
      </c>
      <c r="BQ3155" t="s">
        <v>641</v>
      </c>
      <c r="BR3155" t="s">
        <v>84</v>
      </c>
      <c r="BS3155" s="3">
        <v>45861</v>
      </c>
      <c r="BT3155" s="4">
        <v>0.58333333333333337</v>
      </c>
      <c r="BU3155" t="s">
        <v>1565</v>
      </c>
      <c r="BV3155" t="s">
        <v>86</v>
      </c>
      <c r="BY3155">
        <v>1200</v>
      </c>
      <c r="CC3155" t="s">
        <v>306</v>
      </c>
      <c r="CD3155">
        <v>5201</v>
      </c>
      <c r="CE3155" t="s">
        <v>121</v>
      </c>
      <c r="CF3155" s="3">
        <v>45862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"080066719193"</f>
        <v>080066719193</v>
      </c>
      <c r="F3156" s="3">
        <v>45860</v>
      </c>
      <c r="G3156">
        <v>202604</v>
      </c>
      <c r="H3156" t="s">
        <v>75</v>
      </c>
      <c r="I3156" t="s">
        <v>76</v>
      </c>
      <c r="J3156" t="s">
        <v>77</v>
      </c>
      <c r="K3156" t="s">
        <v>78</v>
      </c>
      <c r="L3156" t="s">
        <v>135</v>
      </c>
      <c r="M3156" t="s">
        <v>136</v>
      </c>
      <c r="N3156" t="s">
        <v>1093</v>
      </c>
      <c r="O3156" t="s">
        <v>82</v>
      </c>
      <c r="P3156" t="str">
        <f>"4170049740                    "</f>
        <v xml:space="preserve">4170049740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56.47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5</v>
      </c>
      <c r="BJ3156">
        <v>1.7</v>
      </c>
      <c r="BK3156">
        <v>5</v>
      </c>
      <c r="BL3156">
        <v>177.91</v>
      </c>
      <c r="BM3156">
        <v>26.69</v>
      </c>
      <c r="BN3156">
        <v>204.6</v>
      </c>
      <c r="BO3156">
        <v>204.6</v>
      </c>
      <c r="BQ3156" t="s">
        <v>1094</v>
      </c>
      <c r="BR3156" t="s">
        <v>84</v>
      </c>
      <c r="BS3156" s="3">
        <v>45862</v>
      </c>
      <c r="BT3156" s="4">
        <v>0.41666666666666669</v>
      </c>
      <c r="BU3156" t="s">
        <v>2630</v>
      </c>
      <c r="BV3156" t="s">
        <v>86</v>
      </c>
      <c r="BY3156">
        <v>8512</v>
      </c>
      <c r="CA3156" t="s">
        <v>1602</v>
      </c>
      <c r="CC3156" t="s">
        <v>136</v>
      </c>
      <c r="CD3156">
        <v>3201</v>
      </c>
      <c r="CE3156" t="s">
        <v>145</v>
      </c>
      <c r="CF3156" s="3">
        <v>45863</v>
      </c>
      <c r="CI3156">
        <v>1</v>
      </c>
      <c r="CJ3156">
        <v>2</v>
      </c>
      <c r="CK3156">
        <v>21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"080066719201"</f>
        <v>080066719201</v>
      </c>
      <c r="F3157" s="3">
        <v>45860</v>
      </c>
      <c r="G3157">
        <v>202604</v>
      </c>
      <c r="H3157" t="s">
        <v>75</v>
      </c>
      <c r="I3157" t="s">
        <v>76</v>
      </c>
      <c r="J3157" t="s">
        <v>77</v>
      </c>
      <c r="K3157" t="s">
        <v>78</v>
      </c>
      <c r="L3157" t="s">
        <v>79</v>
      </c>
      <c r="M3157" t="s">
        <v>80</v>
      </c>
      <c r="N3157" t="s">
        <v>141</v>
      </c>
      <c r="O3157" t="s">
        <v>82</v>
      </c>
      <c r="P3157" t="str">
        <f>"4170050054                    "</f>
        <v xml:space="preserve">4170050054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22.6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71.2</v>
      </c>
      <c r="BM3157">
        <v>10.68</v>
      </c>
      <c r="BN3157">
        <v>81.88</v>
      </c>
      <c r="BO3157">
        <v>81.88</v>
      </c>
      <c r="BQ3157" t="s">
        <v>142</v>
      </c>
      <c r="BR3157" t="s">
        <v>84</v>
      </c>
      <c r="BS3157" s="3">
        <v>45861</v>
      </c>
      <c r="BT3157" s="4">
        <v>0.43333333333333335</v>
      </c>
      <c r="BU3157" t="s">
        <v>2437</v>
      </c>
      <c r="BV3157" t="s">
        <v>98</v>
      </c>
      <c r="BY3157">
        <v>1200</v>
      </c>
      <c r="CA3157" t="s">
        <v>144</v>
      </c>
      <c r="CC3157" t="s">
        <v>80</v>
      </c>
      <c r="CD3157">
        <v>7441</v>
      </c>
      <c r="CE3157" t="s">
        <v>121</v>
      </c>
      <c r="CF3157" s="3">
        <v>45862</v>
      </c>
      <c r="CI3157">
        <v>1</v>
      </c>
      <c r="CJ3157">
        <v>1</v>
      </c>
      <c r="CK3157">
        <v>21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"080066719241"</f>
        <v>080066719241</v>
      </c>
      <c r="F3158" s="3">
        <v>45860</v>
      </c>
      <c r="G3158">
        <v>202604</v>
      </c>
      <c r="H3158" t="s">
        <v>75</v>
      </c>
      <c r="I3158" t="s">
        <v>76</v>
      </c>
      <c r="J3158" t="s">
        <v>77</v>
      </c>
      <c r="K3158" t="s">
        <v>78</v>
      </c>
      <c r="L3158" t="s">
        <v>75</v>
      </c>
      <c r="M3158" t="s">
        <v>76</v>
      </c>
      <c r="N3158" t="s">
        <v>809</v>
      </c>
      <c r="O3158" t="s">
        <v>82</v>
      </c>
      <c r="P3158" t="str">
        <f>"4170050285                    "</f>
        <v xml:space="preserve">4170050285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17.649999999999999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55.61</v>
      </c>
      <c r="BM3158">
        <v>8.34</v>
      </c>
      <c r="BN3158">
        <v>63.95</v>
      </c>
      <c r="BO3158">
        <v>63.95</v>
      </c>
      <c r="BQ3158" t="s">
        <v>810</v>
      </c>
      <c r="BR3158" t="s">
        <v>84</v>
      </c>
      <c r="BS3158" s="3">
        <v>45861</v>
      </c>
      <c r="BT3158" s="4">
        <v>0.3611111111111111</v>
      </c>
      <c r="BU3158" t="s">
        <v>3191</v>
      </c>
      <c r="BV3158" t="s">
        <v>98</v>
      </c>
      <c r="BY3158">
        <v>1200</v>
      </c>
      <c r="CA3158" t="s">
        <v>2442</v>
      </c>
      <c r="CC3158" t="s">
        <v>76</v>
      </c>
      <c r="CD3158">
        <v>1666</v>
      </c>
      <c r="CE3158" t="s">
        <v>121</v>
      </c>
      <c r="CF3158" s="3">
        <v>45862</v>
      </c>
      <c r="CI3158">
        <v>1</v>
      </c>
      <c r="CJ3158">
        <v>1</v>
      </c>
      <c r="CK3158">
        <v>22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"080066719249"</f>
        <v>080066719249</v>
      </c>
      <c r="F3159" s="3">
        <v>45860</v>
      </c>
      <c r="G3159">
        <v>202604</v>
      </c>
      <c r="H3159" t="s">
        <v>75</v>
      </c>
      <c r="I3159" t="s">
        <v>76</v>
      </c>
      <c r="J3159" t="s">
        <v>77</v>
      </c>
      <c r="K3159" t="s">
        <v>78</v>
      </c>
      <c r="L3159" t="s">
        <v>75</v>
      </c>
      <c r="M3159" t="s">
        <v>76</v>
      </c>
      <c r="N3159" t="s">
        <v>1855</v>
      </c>
      <c r="O3159" t="s">
        <v>82</v>
      </c>
      <c r="P3159" t="str">
        <f>"4170050033                    "</f>
        <v xml:space="preserve">4170050033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17.649999999999999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3.4</v>
      </c>
      <c r="BK3159">
        <v>4</v>
      </c>
      <c r="BL3159">
        <v>55.61</v>
      </c>
      <c r="BM3159">
        <v>8.34</v>
      </c>
      <c r="BN3159">
        <v>63.95</v>
      </c>
      <c r="BO3159">
        <v>63.95</v>
      </c>
      <c r="BQ3159" t="s">
        <v>1856</v>
      </c>
      <c r="BR3159" t="s">
        <v>84</v>
      </c>
      <c r="BS3159" s="3">
        <v>45861</v>
      </c>
      <c r="BT3159" s="4">
        <v>0.34583333333333333</v>
      </c>
      <c r="BU3159" t="s">
        <v>212</v>
      </c>
      <c r="BV3159" t="s">
        <v>98</v>
      </c>
      <c r="BY3159">
        <v>17136</v>
      </c>
      <c r="CA3159" t="s">
        <v>304</v>
      </c>
      <c r="CC3159" t="s">
        <v>76</v>
      </c>
      <c r="CD3159">
        <v>1600</v>
      </c>
      <c r="CE3159" t="s">
        <v>91</v>
      </c>
      <c r="CF3159" s="3">
        <v>45861</v>
      </c>
      <c r="CI3159">
        <v>1</v>
      </c>
      <c r="CJ3159">
        <v>1</v>
      </c>
      <c r="CK3159">
        <v>22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"080066719276"</f>
        <v>080066719276</v>
      </c>
      <c r="F3160" s="3">
        <v>45860</v>
      </c>
      <c r="G3160">
        <v>202604</v>
      </c>
      <c r="H3160" t="s">
        <v>75</v>
      </c>
      <c r="I3160" t="s">
        <v>76</v>
      </c>
      <c r="J3160" t="s">
        <v>77</v>
      </c>
      <c r="K3160" t="s">
        <v>78</v>
      </c>
      <c r="L3160" t="s">
        <v>168</v>
      </c>
      <c r="M3160" t="s">
        <v>169</v>
      </c>
      <c r="N3160" t="s">
        <v>861</v>
      </c>
      <c r="O3160" t="s">
        <v>82</v>
      </c>
      <c r="P3160" t="str">
        <f>"4170050046                    "</f>
        <v xml:space="preserve">4170050046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22.6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71.2</v>
      </c>
      <c r="BM3160">
        <v>10.68</v>
      </c>
      <c r="BN3160">
        <v>81.88</v>
      </c>
      <c r="BO3160">
        <v>81.88</v>
      </c>
      <c r="BQ3160" t="s">
        <v>862</v>
      </c>
      <c r="BR3160" t="s">
        <v>84</v>
      </c>
      <c r="BS3160" s="3">
        <v>45861</v>
      </c>
      <c r="BT3160" s="4">
        <v>0.33680555555555558</v>
      </c>
      <c r="BU3160" t="s">
        <v>3190</v>
      </c>
      <c r="BV3160" t="s">
        <v>98</v>
      </c>
      <c r="BY3160">
        <v>1200</v>
      </c>
      <c r="CA3160" t="s">
        <v>423</v>
      </c>
      <c r="CC3160" t="s">
        <v>169</v>
      </c>
      <c r="CD3160">
        <v>6045</v>
      </c>
      <c r="CE3160" t="s">
        <v>121</v>
      </c>
      <c r="CF3160" s="3">
        <v>45861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"080066719312"</f>
        <v>080066719312</v>
      </c>
      <c r="F3161" s="3">
        <v>45860</v>
      </c>
      <c r="G3161">
        <v>202604</v>
      </c>
      <c r="H3161" t="s">
        <v>75</v>
      </c>
      <c r="I3161" t="s">
        <v>76</v>
      </c>
      <c r="J3161" t="s">
        <v>77</v>
      </c>
      <c r="K3161" t="s">
        <v>78</v>
      </c>
      <c r="L3161" t="s">
        <v>168</v>
      </c>
      <c r="M3161" t="s">
        <v>169</v>
      </c>
      <c r="N3161" t="s">
        <v>861</v>
      </c>
      <c r="O3161" t="s">
        <v>82</v>
      </c>
      <c r="P3161" t="str">
        <f>"4170050047                    "</f>
        <v xml:space="preserve">4170050047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71.2</v>
      </c>
      <c r="BM3161">
        <v>10.68</v>
      </c>
      <c r="BN3161">
        <v>81.88</v>
      </c>
      <c r="BO3161">
        <v>81.88</v>
      </c>
      <c r="BQ3161" t="s">
        <v>862</v>
      </c>
      <c r="BR3161" t="s">
        <v>84</v>
      </c>
      <c r="BS3161" s="3">
        <v>45861</v>
      </c>
      <c r="BT3161" s="4">
        <v>0.33680555555555558</v>
      </c>
      <c r="BU3161" t="s">
        <v>3192</v>
      </c>
      <c r="BV3161" t="s">
        <v>98</v>
      </c>
      <c r="BY3161">
        <v>1200</v>
      </c>
      <c r="CA3161" t="s">
        <v>423</v>
      </c>
      <c r="CC3161" t="s">
        <v>169</v>
      </c>
      <c r="CD3161">
        <v>6045</v>
      </c>
      <c r="CE3161" t="s">
        <v>121</v>
      </c>
      <c r="CF3161" s="3">
        <v>45861</v>
      </c>
      <c r="CI3161">
        <v>1</v>
      </c>
      <c r="CJ3161">
        <v>1</v>
      </c>
      <c r="CK3161">
        <v>21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"080066719384"</f>
        <v>080066719384</v>
      </c>
      <c r="F3162" s="3">
        <v>45860</v>
      </c>
      <c r="G3162">
        <v>202604</v>
      </c>
      <c r="H3162" t="s">
        <v>75</v>
      </c>
      <c r="I3162" t="s">
        <v>76</v>
      </c>
      <c r="J3162" t="s">
        <v>77</v>
      </c>
      <c r="K3162" t="s">
        <v>78</v>
      </c>
      <c r="L3162" t="s">
        <v>542</v>
      </c>
      <c r="M3162" t="s">
        <v>543</v>
      </c>
      <c r="N3162" t="s">
        <v>352</v>
      </c>
      <c r="O3162" t="s">
        <v>82</v>
      </c>
      <c r="P3162" t="str">
        <f>"4170050256                    "</f>
        <v xml:space="preserve">4170050256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17.649999999999999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55.61</v>
      </c>
      <c r="BM3162">
        <v>8.34</v>
      </c>
      <c r="BN3162">
        <v>63.95</v>
      </c>
      <c r="BO3162">
        <v>63.95</v>
      </c>
      <c r="BQ3162" t="s">
        <v>353</v>
      </c>
      <c r="BR3162" t="s">
        <v>84</v>
      </c>
      <c r="BS3162" s="3">
        <v>45861</v>
      </c>
      <c r="BT3162" s="4">
        <v>0.37847222222222221</v>
      </c>
      <c r="BU3162" t="s">
        <v>1407</v>
      </c>
      <c r="BV3162" t="s">
        <v>98</v>
      </c>
      <c r="BY3162">
        <v>1200</v>
      </c>
      <c r="CA3162" t="s">
        <v>748</v>
      </c>
      <c r="CC3162" t="s">
        <v>543</v>
      </c>
      <c r="CD3162">
        <v>1451</v>
      </c>
      <c r="CE3162" t="s">
        <v>121</v>
      </c>
      <c r="CF3162" s="3">
        <v>45861</v>
      </c>
      <c r="CI3162">
        <v>1</v>
      </c>
      <c r="CJ3162">
        <v>1</v>
      </c>
      <c r="CK3162">
        <v>22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"080066719704"</f>
        <v>080066719704</v>
      </c>
      <c r="F3163" s="3">
        <v>45860</v>
      </c>
      <c r="G3163">
        <v>202604</v>
      </c>
      <c r="H3163" t="s">
        <v>75</v>
      </c>
      <c r="I3163" t="s">
        <v>76</v>
      </c>
      <c r="J3163" t="s">
        <v>77</v>
      </c>
      <c r="K3163" t="s">
        <v>78</v>
      </c>
      <c r="L3163" t="s">
        <v>1768</v>
      </c>
      <c r="M3163" t="s">
        <v>1769</v>
      </c>
      <c r="N3163" t="s">
        <v>1770</v>
      </c>
      <c r="O3163" t="s">
        <v>82</v>
      </c>
      <c r="P3163" t="str">
        <f>"4170050165                    "</f>
        <v xml:space="preserve">4170050165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43.78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137.94</v>
      </c>
      <c r="BM3163">
        <v>20.69</v>
      </c>
      <c r="BN3163">
        <v>158.63</v>
      </c>
      <c r="BO3163">
        <v>158.63</v>
      </c>
      <c r="BQ3163" t="s">
        <v>1771</v>
      </c>
      <c r="BR3163" t="s">
        <v>84</v>
      </c>
      <c r="BS3163" s="3">
        <v>45861</v>
      </c>
      <c r="BT3163" s="4">
        <v>0.41666666666666669</v>
      </c>
      <c r="BU3163" t="s">
        <v>3193</v>
      </c>
      <c r="BV3163" t="s">
        <v>98</v>
      </c>
      <c r="BY3163">
        <v>1200</v>
      </c>
      <c r="CC3163" t="s">
        <v>1769</v>
      </c>
      <c r="CD3163">
        <v>2302</v>
      </c>
      <c r="CE3163" t="s">
        <v>121</v>
      </c>
      <c r="CF3163" s="3">
        <v>45861</v>
      </c>
      <c r="CI3163">
        <v>1</v>
      </c>
      <c r="CJ3163">
        <v>1</v>
      </c>
      <c r="CK3163">
        <v>23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"080066719770"</f>
        <v>080066719770</v>
      </c>
      <c r="F3164" s="3">
        <v>45860</v>
      </c>
      <c r="G3164">
        <v>202604</v>
      </c>
      <c r="H3164" t="s">
        <v>75</v>
      </c>
      <c r="I3164" t="s">
        <v>76</v>
      </c>
      <c r="J3164" t="s">
        <v>77</v>
      </c>
      <c r="K3164" t="s">
        <v>78</v>
      </c>
      <c r="L3164" t="s">
        <v>122</v>
      </c>
      <c r="M3164" t="s">
        <v>123</v>
      </c>
      <c r="N3164" t="s">
        <v>1142</v>
      </c>
      <c r="O3164" t="s">
        <v>82</v>
      </c>
      <c r="P3164" t="str">
        <f>"4170050171                    "</f>
        <v xml:space="preserve">4170050171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22.6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71.2</v>
      </c>
      <c r="BM3164">
        <v>10.68</v>
      </c>
      <c r="BN3164">
        <v>81.88</v>
      </c>
      <c r="BO3164">
        <v>81.88</v>
      </c>
      <c r="BQ3164" t="s">
        <v>1143</v>
      </c>
      <c r="BR3164" t="s">
        <v>84</v>
      </c>
      <c r="BS3164" s="3">
        <v>45861</v>
      </c>
      <c r="BT3164" s="4">
        <v>0.55069444444444449</v>
      </c>
      <c r="BU3164" t="s">
        <v>1144</v>
      </c>
      <c r="BV3164" t="s">
        <v>86</v>
      </c>
      <c r="BW3164" t="s">
        <v>219</v>
      </c>
      <c r="BX3164" t="s">
        <v>220</v>
      </c>
      <c r="BY3164">
        <v>1200</v>
      </c>
      <c r="CA3164" t="s">
        <v>2974</v>
      </c>
      <c r="CC3164" t="s">
        <v>123</v>
      </c>
      <c r="CD3164">
        <v>3620</v>
      </c>
      <c r="CE3164" t="s">
        <v>121</v>
      </c>
      <c r="CF3164" s="3">
        <v>45861</v>
      </c>
      <c r="CI3164">
        <v>1</v>
      </c>
      <c r="CJ3164">
        <v>1</v>
      </c>
      <c r="CK3164">
        <v>21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"080066719778"</f>
        <v>080066719778</v>
      </c>
      <c r="F3165" s="3">
        <v>45860</v>
      </c>
      <c r="G3165">
        <v>202604</v>
      </c>
      <c r="H3165" t="s">
        <v>75</v>
      </c>
      <c r="I3165" t="s">
        <v>76</v>
      </c>
      <c r="J3165" t="s">
        <v>77</v>
      </c>
      <c r="K3165" t="s">
        <v>78</v>
      </c>
      <c r="L3165" t="s">
        <v>128</v>
      </c>
      <c r="M3165" t="s">
        <v>129</v>
      </c>
      <c r="N3165" t="s">
        <v>130</v>
      </c>
      <c r="O3165" t="s">
        <v>82</v>
      </c>
      <c r="P3165" t="str">
        <f>"4170050258                    "</f>
        <v xml:space="preserve">4170050258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63.56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3</v>
      </c>
      <c r="BJ3165">
        <v>1.7</v>
      </c>
      <c r="BK3165">
        <v>3</v>
      </c>
      <c r="BL3165">
        <v>200.24</v>
      </c>
      <c r="BM3165">
        <v>30.04</v>
      </c>
      <c r="BN3165">
        <v>230.28</v>
      </c>
      <c r="BO3165">
        <v>230.28</v>
      </c>
      <c r="BQ3165" t="s">
        <v>131</v>
      </c>
      <c r="BR3165" t="s">
        <v>84</v>
      </c>
      <c r="BS3165" s="3">
        <v>45861</v>
      </c>
      <c r="BT3165" s="4">
        <v>0.40902777777777777</v>
      </c>
      <c r="BU3165" t="s">
        <v>132</v>
      </c>
      <c r="BV3165" t="s">
        <v>98</v>
      </c>
      <c r="BY3165">
        <v>8512</v>
      </c>
      <c r="CA3165" t="s">
        <v>133</v>
      </c>
      <c r="CC3165" t="s">
        <v>129</v>
      </c>
      <c r="CD3165" s="5" t="s">
        <v>134</v>
      </c>
      <c r="CE3165" t="s">
        <v>145</v>
      </c>
      <c r="CF3165" s="3">
        <v>45862</v>
      </c>
      <c r="CI3165">
        <v>1</v>
      </c>
      <c r="CJ3165">
        <v>1</v>
      </c>
      <c r="CK3165">
        <v>23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"080066719425"</f>
        <v>080066719425</v>
      </c>
      <c r="F3166" s="3">
        <v>45860</v>
      </c>
      <c r="G3166">
        <v>202604</v>
      </c>
      <c r="H3166" t="s">
        <v>75</v>
      </c>
      <c r="I3166" t="s">
        <v>76</v>
      </c>
      <c r="J3166" t="s">
        <v>77</v>
      </c>
      <c r="K3166" t="s">
        <v>78</v>
      </c>
      <c r="L3166" t="s">
        <v>122</v>
      </c>
      <c r="M3166" t="s">
        <v>123</v>
      </c>
      <c r="N3166" t="s">
        <v>2931</v>
      </c>
      <c r="O3166" t="s">
        <v>82</v>
      </c>
      <c r="P3166" t="str">
        <f>"4170050064                    "</f>
        <v xml:space="preserve">4170050064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22.6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71.2</v>
      </c>
      <c r="BM3166">
        <v>10.68</v>
      </c>
      <c r="BN3166">
        <v>81.88</v>
      </c>
      <c r="BO3166">
        <v>81.88</v>
      </c>
      <c r="BQ3166" t="s">
        <v>2932</v>
      </c>
      <c r="BR3166" t="s">
        <v>84</v>
      </c>
      <c r="BS3166" s="3">
        <v>45861</v>
      </c>
      <c r="BT3166" s="4">
        <v>0.40625</v>
      </c>
      <c r="BU3166" t="s">
        <v>212</v>
      </c>
      <c r="BV3166" t="s">
        <v>98</v>
      </c>
      <c r="BY3166">
        <v>1200</v>
      </c>
      <c r="CA3166" t="s">
        <v>2974</v>
      </c>
      <c r="CC3166" t="s">
        <v>123</v>
      </c>
      <c r="CD3166">
        <v>3610</v>
      </c>
      <c r="CE3166" t="s">
        <v>121</v>
      </c>
      <c r="CF3166" s="3">
        <v>45861</v>
      </c>
      <c r="CI3166">
        <v>1</v>
      </c>
      <c r="CJ3166">
        <v>1</v>
      </c>
      <c r="CK3166">
        <v>21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"080066719821"</f>
        <v>080066719821</v>
      </c>
      <c r="F3167" s="3">
        <v>45860</v>
      </c>
      <c r="G3167">
        <v>202604</v>
      </c>
      <c r="H3167" t="s">
        <v>75</v>
      </c>
      <c r="I3167" t="s">
        <v>76</v>
      </c>
      <c r="J3167" t="s">
        <v>77</v>
      </c>
      <c r="K3167" t="s">
        <v>78</v>
      </c>
      <c r="L3167" t="s">
        <v>79</v>
      </c>
      <c r="M3167" t="s">
        <v>80</v>
      </c>
      <c r="N3167" t="s">
        <v>188</v>
      </c>
      <c r="O3167" t="s">
        <v>82</v>
      </c>
      <c r="P3167" t="str">
        <f>"4170050119                    "</f>
        <v xml:space="preserve">4170050119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22.6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71.2</v>
      </c>
      <c r="BM3167">
        <v>10.68</v>
      </c>
      <c r="BN3167">
        <v>81.88</v>
      </c>
      <c r="BO3167">
        <v>81.88</v>
      </c>
      <c r="BQ3167" t="s">
        <v>189</v>
      </c>
      <c r="BR3167" t="s">
        <v>84</v>
      </c>
      <c r="BS3167" s="3">
        <v>45861</v>
      </c>
      <c r="BT3167" s="4">
        <v>0.38055555555555554</v>
      </c>
      <c r="BU3167" t="s">
        <v>3184</v>
      </c>
      <c r="BV3167" t="s">
        <v>98</v>
      </c>
      <c r="BY3167">
        <v>1200</v>
      </c>
      <c r="CA3167" t="s">
        <v>842</v>
      </c>
      <c r="CC3167" t="s">
        <v>80</v>
      </c>
      <c r="CD3167">
        <v>7441</v>
      </c>
      <c r="CE3167" t="s">
        <v>121</v>
      </c>
      <c r="CF3167" s="3">
        <v>45862</v>
      </c>
      <c r="CI3167">
        <v>1</v>
      </c>
      <c r="CJ3167">
        <v>1</v>
      </c>
      <c r="CK3167">
        <v>21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"080066719836"</f>
        <v>080066719836</v>
      </c>
      <c r="F3168" s="3">
        <v>45860</v>
      </c>
      <c r="G3168">
        <v>202604</v>
      </c>
      <c r="H3168" t="s">
        <v>75</v>
      </c>
      <c r="I3168" t="s">
        <v>76</v>
      </c>
      <c r="J3168" t="s">
        <v>77</v>
      </c>
      <c r="K3168" t="s">
        <v>78</v>
      </c>
      <c r="L3168" t="s">
        <v>92</v>
      </c>
      <c r="M3168" t="s">
        <v>93</v>
      </c>
      <c r="N3168" t="s">
        <v>334</v>
      </c>
      <c r="O3168" t="s">
        <v>82</v>
      </c>
      <c r="P3168" t="str">
        <f>"4170050253                    "</f>
        <v xml:space="preserve">4170050253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39.53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2</v>
      </c>
      <c r="BJ3168">
        <v>3.3</v>
      </c>
      <c r="BK3168">
        <v>3.5</v>
      </c>
      <c r="BL3168">
        <v>124.55</v>
      </c>
      <c r="BM3168">
        <v>18.68</v>
      </c>
      <c r="BN3168">
        <v>143.22999999999999</v>
      </c>
      <c r="BO3168">
        <v>143.22999999999999</v>
      </c>
      <c r="BQ3168" t="s">
        <v>335</v>
      </c>
      <c r="BR3168" t="s">
        <v>84</v>
      </c>
      <c r="BS3168" s="3">
        <v>45861</v>
      </c>
      <c r="BT3168" s="4">
        <v>0.40277777777777779</v>
      </c>
      <c r="BU3168" t="s">
        <v>2849</v>
      </c>
      <c r="BV3168" t="s">
        <v>98</v>
      </c>
      <c r="BY3168">
        <v>16384</v>
      </c>
      <c r="CA3168" t="s">
        <v>337</v>
      </c>
      <c r="CC3168" t="s">
        <v>93</v>
      </c>
      <c r="CD3168">
        <v>4052</v>
      </c>
      <c r="CE3168" t="s">
        <v>91</v>
      </c>
      <c r="CF3168" s="3">
        <v>45862</v>
      </c>
      <c r="CI3168">
        <v>1</v>
      </c>
      <c r="CJ3168">
        <v>1</v>
      </c>
      <c r="CK3168">
        <v>21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"080066719860"</f>
        <v>080066719860</v>
      </c>
      <c r="F3169" s="3">
        <v>45860</v>
      </c>
      <c r="G3169">
        <v>202604</v>
      </c>
      <c r="H3169" t="s">
        <v>75</v>
      </c>
      <c r="I3169" t="s">
        <v>76</v>
      </c>
      <c r="J3169" t="s">
        <v>77</v>
      </c>
      <c r="K3169" t="s">
        <v>78</v>
      </c>
      <c r="L3169" t="s">
        <v>295</v>
      </c>
      <c r="M3169" t="s">
        <v>296</v>
      </c>
      <c r="N3169" t="s">
        <v>433</v>
      </c>
      <c r="O3169" t="s">
        <v>82</v>
      </c>
      <c r="P3169" t="str">
        <f>"4170050218                    "</f>
        <v xml:space="preserve">4170050218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17.649999999999999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55.61</v>
      </c>
      <c r="BM3169">
        <v>8.34</v>
      </c>
      <c r="BN3169">
        <v>63.95</v>
      </c>
      <c r="BO3169">
        <v>63.95</v>
      </c>
      <c r="BQ3169" t="s">
        <v>434</v>
      </c>
      <c r="BR3169" t="s">
        <v>84</v>
      </c>
      <c r="BS3169" s="3">
        <v>45861</v>
      </c>
      <c r="BT3169" s="4">
        <v>0.39444444444444443</v>
      </c>
      <c r="BU3169" t="s">
        <v>2579</v>
      </c>
      <c r="BV3169" t="s">
        <v>98</v>
      </c>
      <c r="BY3169">
        <v>1200</v>
      </c>
      <c r="CA3169" t="s">
        <v>300</v>
      </c>
      <c r="CC3169" t="s">
        <v>296</v>
      </c>
      <c r="CD3169">
        <v>1459</v>
      </c>
      <c r="CE3169" t="s">
        <v>121</v>
      </c>
      <c r="CF3169" s="3">
        <v>45861</v>
      </c>
      <c r="CI3169">
        <v>1</v>
      </c>
      <c r="CJ3169">
        <v>1</v>
      </c>
      <c r="CK3169">
        <v>22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"080066719875"</f>
        <v>080066719875</v>
      </c>
      <c r="F3170" s="3">
        <v>45860</v>
      </c>
      <c r="G3170">
        <v>202604</v>
      </c>
      <c r="H3170" t="s">
        <v>75</v>
      </c>
      <c r="I3170" t="s">
        <v>76</v>
      </c>
      <c r="J3170" t="s">
        <v>77</v>
      </c>
      <c r="K3170" t="s">
        <v>78</v>
      </c>
      <c r="L3170" t="s">
        <v>151</v>
      </c>
      <c r="M3170" t="s">
        <v>152</v>
      </c>
      <c r="N3170" t="s">
        <v>1009</v>
      </c>
      <c r="O3170" t="s">
        <v>82</v>
      </c>
      <c r="P3170" t="str">
        <f>"4170050193                    "</f>
        <v xml:space="preserve">4170050193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2</v>
      </c>
      <c r="BJ3170">
        <v>1.1000000000000001</v>
      </c>
      <c r="BK3170">
        <v>2</v>
      </c>
      <c r="BL3170">
        <v>71.2</v>
      </c>
      <c r="BM3170">
        <v>10.68</v>
      </c>
      <c r="BN3170">
        <v>81.88</v>
      </c>
      <c r="BO3170">
        <v>81.88</v>
      </c>
      <c r="BQ3170" t="s">
        <v>1010</v>
      </c>
      <c r="BR3170" t="s">
        <v>84</v>
      </c>
      <c r="BS3170" s="3">
        <v>45861</v>
      </c>
      <c r="BT3170" s="4">
        <v>0.36319444444444443</v>
      </c>
      <c r="BU3170" t="s">
        <v>2198</v>
      </c>
      <c r="BV3170" t="s">
        <v>98</v>
      </c>
      <c r="BY3170">
        <v>5320</v>
      </c>
      <c r="CA3170" t="s">
        <v>2941</v>
      </c>
      <c r="CC3170" t="s">
        <v>152</v>
      </c>
      <c r="CD3170" s="5" t="s">
        <v>1013</v>
      </c>
      <c r="CE3170" t="s">
        <v>145</v>
      </c>
      <c r="CF3170" s="3">
        <v>45861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"080066719900"</f>
        <v>080066719900</v>
      </c>
      <c r="F3171" s="3">
        <v>45860</v>
      </c>
      <c r="G3171">
        <v>202604</v>
      </c>
      <c r="H3171" t="s">
        <v>75</v>
      </c>
      <c r="I3171" t="s">
        <v>76</v>
      </c>
      <c r="J3171" t="s">
        <v>77</v>
      </c>
      <c r="K3171" t="s">
        <v>78</v>
      </c>
      <c r="L3171" t="s">
        <v>704</v>
      </c>
      <c r="M3171" t="s">
        <v>705</v>
      </c>
      <c r="N3171" t="s">
        <v>848</v>
      </c>
      <c r="O3171" t="s">
        <v>82</v>
      </c>
      <c r="P3171" t="str">
        <f>"4170050205                    "</f>
        <v xml:space="preserve">4170050205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43.78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137.94</v>
      </c>
      <c r="BM3171">
        <v>20.69</v>
      </c>
      <c r="BN3171">
        <v>158.63</v>
      </c>
      <c r="BO3171">
        <v>158.63</v>
      </c>
      <c r="BQ3171" t="s">
        <v>849</v>
      </c>
      <c r="BR3171" t="s">
        <v>84</v>
      </c>
      <c r="BS3171" s="3">
        <v>45861</v>
      </c>
      <c r="BT3171" s="4">
        <v>0.43263888888888891</v>
      </c>
      <c r="BU3171" t="s">
        <v>3194</v>
      </c>
      <c r="BV3171" t="s">
        <v>98</v>
      </c>
      <c r="BY3171">
        <v>1200</v>
      </c>
      <c r="CA3171" t="s">
        <v>1665</v>
      </c>
      <c r="CC3171" t="s">
        <v>705</v>
      </c>
      <c r="CD3171">
        <v>6850</v>
      </c>
      <c r="CE3171" t="s">
        <v>121</v>
      </c>
      <c r="CF3171" s="3">
        <v>45862</v>
      </c>
      <c r="CI3171">
        <v>2</v>
      </c>
      <c r="CJ3171">
        <v>1</v>
      </c>
      <c r="CK3171">
        <v>23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"080066719921"</f>
        <v>080066719921</v>
      </c>
      <c r="F3172" s="3">
        <v>45860</v>
      </c>
      <c r="G3172">
        <v>202604</v>
      </c>
      <c r="H3172" t="s">
        <v>75</v>
      </c>
      <c r="I3172" t="s">
        <v>76</v>
      </c>
      <c r="J3172" t="s">
        <v>77</v>
      </c>
      <c r="K3172" t="s">
        <v>78</v>
      </c>
      <c r="L3172" t="s">
        <v>122</v>
      </c>
      <c r="M3172" t="s">
        <v>123</v>
      </c>
      <c r="N3172" t="s">
        <v>267</v>
      </c>
      <c r="O3172" t="s">
        <v>82</v>
      </c>
      <c r="P3172" t="str">
        <f>"4170050282                    "</f>
        <v xml:space="preserve">4170050282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112.92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10</v>
      </c>
      <c r="BJ3172">
        <v>6</v>
      </c>
      <c r="BK3172">
        <v>10</v>
      </c>
      <c r="BL3172">
        <v>355.76</v>
      </c>
      <c r="BM3172">
        <v>53.36</v>
      </c>
      <c r="BN3172">
        <v>409.12</v>
      </c>
      <c r="BO3172">
        <v>409.12</v>
      </c>
      <c r="BQ3172" t="s">
        <v>268</v>
      </c>
      <c r="BR3172" t="s">
        <v>84</v>
      </c>
      <c r="BS3172" s="3">
        <v>45861</v>
      </c>
      <c r="BT3172" s="4">
        <v>0.42708333333333331</v>
      </c>
      <c r="BU3172" t="s">
        <v>722</v>
      </c>
      <c r="BV3172" t="s">
        <v>98</v>
      </c>
      <c r="BY3172">
        <v>29952</v>
      </c>
      <c r="CA3172" t="s">
        <v>2974</v>
      </c>
      <c r="CC3172" t="s">
        <v>123</v>
      </c>
      <c r="CD3172">
        <v>3610</v>
      </c>
      <c r="CE3172" t="s">
        <v>91</v>
      </c>
      <c r="CF3172" s="3">
        <v>45861</v>
      </c>
      <c r="CI3172">
        <v>1</v>
      </c>
      <c r="CJ3172">
        <v>1</v>
      </c>
      <c r="CK3172">
        <v>21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"080066719922"</f>
        <v>080066719922</v>
      </c>
      <c r="F3173" s="3">
        <v>45860</v>
      </c>
      <c r="G3173">
        <v>202604</v>
      </c>
      <c r="H3173" t="s">
        <v>75</v>
      </c>
      <c r="I3173" t="s">
        <v>76</v>
      </c>
      <c r="J3173" t="s">
        <v>77</v>
      </c>
      <c r="K3173" t="s">
        <v>78</v>
      </c>
      <c r="L3173" t="s">
        <v>79</v>
      </c>
      <c r="M3173" t="s">
        <v>80</v>
      </c>
      <c r="N3173" t="s">
        <v>931</v>
      </c>
      <c r="O3173" t="s">
        <v>82</v>
      </c>
      <c r="P3173" t="str">
        <f>"4170050149                    "</f>
        <v xml:space="preserve">4170050149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22.6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71.2</v>
      </c>
      <c r="BM3173">
        <v>10.68</v>
      </c>
      <c r="BN3173">
        <v>81.88</v>
      </c>
      <c r="BO3173">
        <v>81.88</v>
      </c>
      <c r="BQ3173" t="s">
        <v>932</v>
      </c>
      <c r="BR3173" t="s">
        <v>84</v>
      </c>
      <c r="BS3173" s="3">
        <v>45861</v>
      </c>
      <c r="BT3173" s="4">
        <v>0.38611111111111113</v>
      </c>
      <c r="BU3173" t="s">
        <v>3185</v>
      </c>
      <c r="BV3173" t="s">
        <v>98</v>
      </c>
      <c r="BY3173">
        <v>1200</v>
      </c>
      <c r="CA3173" t="s">
        <v>2311</v>
      </c>
      <c r="CC3173" t="s">
        <v>80</v>
      </c>
      <c r="CD3173">
        <v>7535</v>
      </c>
      <c r="CE3173" t="s">
        <v>121</v>
      </c>
      <c r="CF3173" s="3">
        <v>45862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"080066719938"</f>
        <v>080066719938</v>
      </c>
      <c r="F3174" s="3">
        <v>45860</v>
      </c>
      <c r="G3174">
        <v>202604</v>
      </c>
      <c r="H3174" t="s">
        <v>75</v>
      </c>
      <c r="I3174" t="s">
        <v>76</v>
      </c>
      <c r="J3174" t="s">
        <v>77</v>
      </c>
      <c r="K3174" t="s">
        <v>78</v>
      </c>
      <c r="L3174" t="s">
        <v>135</v>
      </c>
      <c r="M3174" t="s">
        <v>136</v>
      </c>
      <c r="N3174" t="s">
        <v>379</v>
      </c>
      <c r="O3174" t="s">
        <v>82</v>
      </c>
      <c r="P3174" t="str">
        <f>"4170050144                    "</f>
        <v xml:space="preserve">4170050144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71.2</v>
      </c>
      <c r="BM3174">
        <v>10.68</v>
      </c>
      <c r="BN3174">
        <v>81.88</v>
      </c>
      <c r="BO3174">
        <v>81.88</v>
      </c>
      <c r="BQ3174" t="s">
        <v>380</v>
      </c>
      <c r="BR3174" t="s">
        <v>84</v>
      </c>
      <c r="BS3174" s="3">
        <v>45861</v>
      </c>
      <c r="BT3174" s="4">
        <v>0.54166666666666663</v>
      </c>
      <c r="BU3174" t="s">
        <v>3174</v>
      </c>
      <c r="BV3174" t="s">
        <v>98</v>
      </c>
      <c r="BY3174">
        <v>1200</v>
      </c>
      <c r="CA3174" t="s">
        <v>382</v>
      </c>
      <c r="CC3174" t="s">
        <v>136</v>
      </c>
      <c r="CD3174">
        <v>3212</v>
      </c>
      <c r="CE3174" t="s">
        <v>121</v>
      </c>
      <c r="CF3174" s="3">
        <v>45862</v>
      </c>
      <c r="CI3174">
        <v>2</v>
      </c>
      <c r="CJ3174">
        <v>1</v>
      </c>
      <c r="CK3174">
        <v>21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"080066720271"</f>
        <v>080066720271</v>
      </c>
      <c r="F3175" s="3">
        <v>45860</v>
      </c>
      <c r="G3175">
        <v>202604</v>
      </c>
      <c r="H3175" t="s">
        <v>75</v>
      </c>
      <c r="I3175" t="s">
        <v>76</v>
      </c>
      <c r="J3175" t="s">
        <v>77</v>
      </c>
      <c r="K3175" t="s">
        <v>78</v>
      </c>
      <c r="L3175" t="s">
        <v>135</v>
      </c>
      <c r="M3175" t="s">
        <v>136</v>
      </c>
      <c r="N3175" t="s">
        <v>379</v>
      </c>
      <c r="O3175" t="s">
        <v>82</v>
      </c>
      <c r="P3175" t="str">
        <f>"4170050143                    "</f>
        <v xml:space="preserve">4170050143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22.6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</v>
      </c>
      <c r="BJ3175">
        <v>1.1000000000000001</v>
      </c>
      <c r="BK3175">
        <v>2</v>
      </c>
      <c r="BL3175">
        <v>71.2</v>
      </c>
      <c r="BM3175">
        <v>10.68</v>
      </c>
      <c r="BN3175">
        <v>81.88</v>
      </c>
      <c r="BO3175">
        <v>81.88</v>
      </c>
      <c r="BQ3175" t="s">
        <v>380</v>
      </c>
      <c r="BR3175" t="s">
        <v>84</v>
      </c>
      <c r="BS3175" s="3">
        <v>45861</v>
      </c>
      <c r="BT3175" s="4">
        <v>0.54166666666666663</v>
      </c>
      <c r="BU3175" t="s">
        <v>3174</v>
      </c>
      <c r="BV3175" t="s">
        <v>98</v>
      </c>
      <c r="BY3175">
        <v>5320</v>
      </c>
      <c r="CA3175" t="s">
        <v>382</v>
      </c>
      <c r="CC3175" t="s">
        <v>136</v>
      </c>
      <c r="CD3175">
        <v>3212</v>
      </c>
      <c r="CE3175" t="s">
        <v>145</v>
      </c>
      <c r="CF3175" s="3">
        <v>45862</v>
      </c>
      <c r="CI3175">
        <v>2</v>
      </c>
      <c r="CJ3175">
        <v>1</v>
      </c>
      <c r="CK3175">
        <v>21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"080066720317"</f>
        <v>080066720317</v>
      </c>
      <c r="F3176" s="3">
        <v>45860</v>
      </c>
      <c r="G3176">
        <v>202604</v>
      </c>
      <c r="H3176" t="s">
        <v>75</v>
      </c>
      <c r="I3176" t="s">
        <v>76</v>
      </c>
      <c r="J3176" t="s">
        <v>77</v>
      </c>
      <c r="K3176" t="s">
        <v>78</v>
      </c>
      <c r="L3176" t="s">
        <v>305</v>
      </c>
      <c r="M3176" t="s">
        <v>306</v>
      </c>
      <c r="N3176" t="s">
        <v>1320</v>
      </c>
      <c r="O3176" t="s">
        <v>82</v>
      </c>
      <c r="P3176" t="str">
        <f>"4170050157                    "</f>
        <v xml:space="preserve">4170050157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22.6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1.1000000000000001</v>
      </c>
      <c r="BK3176">
        <v>1.5</v>
      </c>
      <c r="BL3176">
        <v>71.2</v>
      </c>
      <c r="BM3176">
        <v>10.68</v>
      </c>
      <c r="BN3176">
        <v>81.88</v>
      </c>
      <c r="BO3176">
        <v>81.88</v>
      </c>
      <c r="BQ3176" t="s">
        <v>308</v>
      </c>
      <c r="BR3176" t="s">
        <v>84</v>
      </c>
      <c r="BS3176" s="3">
        <v>45861</v>
      </c>
      <c r="BT3176" s="4">
        <v>0.58333333333333337</v>
      </c>
      <c r="BU3176" t="s">
        <v>958</v>
      </c>
      <c r="BV3176" t="s">
        <v>86</v>
      </c>
      <c r="BY3176">
        <v>5320</v>
      </c>
      <c r="CC3176" t="s">
        <v>306</v>
      </c>
      <c r="CD3176">
        <v>5201</v>
      </c>
      <c r="CE3176" t="s">
        <v>145</v>
      </c>
      <c r="CF3176" s="3">
        <v>45862</v>
      </c>
      <c r="CI3176">
        <v>1</v>
      </c>
      <c r="CJ3176">
        <v>1</v>
      </c>
      <c r="CK3176">
        <v>21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"080066720326"</f>
        <v>080066720326</v>
      </c>
      <c r="F3177" s="3">
        <v>45860</v>
      </c>
      <c r="G3177">
        <v>202604</v>
      </c>
      <c r="H3177" t="s">
        <v>75</v>
      </c>
      <c r="I3177" t="s">
        <v>76</v>
      </c>
      <c r="J3177" t="s">
        <v>77</v>
      </c>
      <c r="K3177" t="s">
        <v>78</v>
      </c>
      <c r="L3177" t="s">
        <v>102</v>
      </c>
      <c r="M3177" t="s">
        <v>103</v>
      </c>
      <c r="N3177" t="s">
        <v>1643</v>
      </c>
      <c r="O3177" t="s">
        <v>82</v>
      </c>
      <c r="P3177" t="str">
        <f>"4170050158                    "</f>
        <v xml:space="preserve">4170050158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31.78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100.13</v>
      </c>
      <c r="BM3177">
        <v>15.02</v>
      </c>
      <c r="BN3177">
        <v>115.15</v>
      </c>
      <c r="BO3177">
        <v>115.15</v>
      </c>
      <c r="BQ3177" t="s">
        <v>1644</v>
      </c>
      <c r="BR3177" t="s">
        <v>84</v>
      </c>
      <c r="BS3177" s="3">
        <v>45861</v>
      </c>
      <c r="BT3177" s="4">
        <v>0.38194444444444442</v>
      </c>
      <c r="BU3177" t="s">
        <v>1709</v>
      </c>
      <c r="BV3177" t="s">
        <v>98</v>
      </c>
      <c r="BY3177">
        <v>1200</v>
      </c>
      <c r="CA3177" t="s">
        <v>109</v>
      </c>
      <c r="CC3177" t="s">
        <v>103</v>
      </c>
      <c r="CD3177">
        <v>1748</v>
      </c>
      <c r="CE3177" t="s">
        <v>121</v>
      </c>
      <c r="CF3177" s="3">
        <v>45861</v>
      </c>
      <c r="CI3177">
        <v>1</v>
      </c>
      <c r="CJ3177">
        <v>1</v>
      </c>
      <c r="CK3177">
        <v>24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"080066720403"</f>
        <v>080066720403</v>
      </c>
      <c r="F3178" s="3">
        <v>45860</v>
      </c>
      <c r="G3178">
        <v>202604</v>
      </c>
      <c r="H3178" t="s">
        <v>75</v>
      </c>
      <c r="I3178" t="s">
        <v>76</v>
      </c>
      <c r="J3178" t="s">
        <v>77</v>
      </c>
      <c r="K3178" t="s">
        <v>78</v>
      </c>
      <c r="L3178" t="s">
        <v>168</v>
      </c>
      <c r="M3178" t="s">
        <v>169</v>
      </c>
      <c r="N3178" t="s">
        <v>1252</v>
      </c>
      <c r="O3178" t="s">
        <v>82</v>
      </c>
      <c r="P3178" t="str">
        <f>"4170050162                    "</f>
        <v xml:space="preserve">4170050162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39.53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2</v>
      </c>
      <c r="BJ3178">
        <v>3.4</v>
      </c>
      <c r="BK3178">
        <v>3.5</v>
      </c>
      <c r="BL3178">
        <v>124.55</v>
      </c>
      <c r="BM3178">
        <v>18.68</v>
      </c>
      <c r="BN3178">
        <v>143.22999999999999</v>
      </c>
      <c r="BO3178">
        <v>143.22999999999999</v>
      </c>
      <c r="BQ3178" t="s">
        <v>1545</v>
      </c>
      <c r="BR3178" t="s">
        <v>84</v>
      </c>
      <c r="BS3178" s="3">
        <v>45861</v>
      </c>
      <c r="BT3178" s="4">
        <v>0.41111111111111109</v>
      </c>
      <c r="BU3178" t="s">
        <v>3195</v>
      </c>
      <c r="BV3178" t="s">
        <v>98</v>
      </c>
      <c r="BY3178">
        <v>16965</v>
      </c>
      <c r="CA3178" t="s">
        <v>2707</v>
      </c>
      <c r="CC3178" t="s">
        <v>169</v>
      </c>
      <c r="CD3178">
        <v>6045</v>
      </c>
      <c r="CE3178" t="s">
        <v>145</v>
      </c>
      <c r="CF3178" s="3">
        <v>45861</v>
      </c>
      <c r="CI3178">
        <v>1</v>
      </c>
      <c r="CJ3178">
        <v>1</v>
      </c>
      <c r="CK3178">
        <v>21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"080066720408"</f>
        <v>080066720408</v>
      </c>
      <c r="F3179" s="3">
        <v>45860</v>
      </c>
      <c r="G3179">
        <v>202604</v>
      </c>
      <c r="H3179" t="s">
        <v>75</v>
      </c>
      <c r="I3179" t="s">
        <v>76</v>
      </c>
      <c r="J3179" t="s">
        <v>77</v>
      </c>
      <c r="K3179" t="s">
        <v>78</v>
      </c>
      <c r="L3179" t="s">
        <v>79</v>
      </c>
      <c r="M3179" t="s">
        <v>80</v>
      </c>
      <c r="N3179" t="s">
        <v>3196</v>
      </c>
      <c r="O3179" t="s">
        <v>82</v>
      </c>
      <c r="P3179" t="str">
        <f>"4170050235                    "</f>
        <v xml:space="preserve">4170050235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22.6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71.2</v>
      </c>
      <c r="BM3179">
        <v>10.68</v>
      </c>
      <c r="BN3179">
        <v>81.88</v>
      </c>
      <c r="BO3179">
        <v>81.88</v>
      </c>
      <c r="BQ3179" t="s">
        <v>3197</v>
      </c>
      <c r="BR3179" t="s">
        <v>84</v>
      </c>
      <c r="BS3179" s="3">
        <v>45861</v>
      </c>
      <c r="BT3179" s="4">
        <v>0.33055555555555555</v>
      </c>
      <c r="BU3179" t="s">
        <v>2896</v>
      </c>
      <c r="BV3179" t="s">
        <v>98</v>
      </c>
      <c r="BY3179">
        <v>1200</v>
      </c>
      <c r="CA3179" t="s">
        <v>289</v>
      </c>
      <c r="CC3179" t="s">
        <v>80</v>
      </c>
      <c r="CD3179">
        <v>7530</v>
      </c>
      <c r="CE3179" t="s">
        <v>121</v>
      </c>
      <c r="CF3179" s="3">
        <v>45862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"080066720437"</f>
        <v>080066720437</v>
      </c>
      <c r="F3180" s="3">
        <v>45860</v>
      </c>
      <c r="G3180">
        <v>202604</v>
      </c>
      <c r="H3180" t="s">
        <v>75</v>
      </c>
      <c r="I3180" t="s">
        <v>76</v>
      </c>
      <c r="J3180" t="s">
        <v>77</v>
      </c>
      <c r="K3180" t="s">
        <v>78</v>
      </c>
      <c r="L3180" t="s">
        <v>174</v>
      </c>
      <c r="M3180" t="s">
        <v>175</v>
      </c>
      <c r="N3180" t="s">
        <v>2534</v>
      </c>
      <c r="O3180" t="s">
        <v>82</v>
      </c>
      <c r="P3180" t="str">
        <f>"4170050133                    "</f>
        <v xml:space="preserve">4170050133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22.6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71.2</v>
      </c>
      <c r="BM3180">
        <v>10.68</v>
      </c>
      <c r="BN3180">
        <v>81.88</v>
      </c>
      <c r="BO3180">
        <v>81.88</v>
      </c>
      <c r="BQ3180" t="s">
        <v>2535</v>
      </c>
      <c r="BR3180" t="s">
        <v>84</v>
      </c>
      <c r="BS3180" s="3">
        <v>45861</v>
      </c>
      <c r="BT3180" s="4">
        <v>0.46111111111111114</v>
      </c>
      <c r="BU3180" t="s">
        <v>2279</v>
      </c>
      <c r="BV3180" t="s">
        <v>86</v>
      </c>
      <c r="BW3180" t="s">
        <v>194</v>
      </c>
      <c r="BX3180" t="s">
        <v>195</v>
      </c>
      <c r="BY3180">
        <v>1200</v>
      </c>
      <c r="CA3180" t="s">
        <v>173</v>
      </c>
      <c r="CC3180" t="s">
        <v>175</v>
      </c>
      <c r="CD3180">
        <v>6220</v>
      </c>
      <c r="CE3180" t="s">
        <v>121</v>
      </c>
      <c r="CF3180" s="3">
        <v>45861</v>
      </c>
      <c r="CI3180">
        <v>1</v>
      </c>
      <c r="CJ3180">
        <v>1</v>
      </c>
      <c r="CK3180">
        <v>21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"080066720456"</f>
        <v>080066720456</v>
      </c>
      <c r="F3181" s="3">
        <v>45860</v>
      </c>
      <c r="G3181">
        <v>202604</v>
      </c>
      <c r="H3181" t="s">
        <v>75</v>
      </c>
      <c r="I3181" t="s">
        <v>76</v>
      </c>
      <c r="J3181" t="s">
        <v>77</v>
      </c>
      <c r="K3181" t="s">
        <v>78</v>
      </c>
      <c r="L3181" t="s">
        <v>854</v>
      </c>
      <c r="M3181" t="s">
        <v>855</v>
      </c>
      <c r="N3181" t="s">
        <v>429</v>
      </c>
      <c r="O3181" t="s">
        <v>82</v>
      </c>
      <c r="P3181" t="str">
        <f>"4170050148                    "</f>
        <v xml:space="preserve">4170050148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43.78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16.739999999999998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154.68</v>
      </c>
      <c r="BM3181">
        <v>23.2</v>
      </c>
      <c r="BN3181">
        <v>177.88</v>
      </c>
      <c r="BO3181">
        <v>177.88</v>
      </c>
      <c r="BQ3181" t="s">
        <v>430</v>
      </c>
      <c r="BR3181" t="s">
        <v>84</v>
      </c>
      <c r="BS3181" s="3">
        <v>45861</v>
      </c>
      <c r="BT3181" s="4">
        <v>0.4826388888888889</v>
      </c>
      <c r="BU3181" t="s">
        <v>3148</v>
      </c>
      <c r="BV3181" t="s">
        <v>98</v>
      </c>
      <c r="BY3181">
        <v>1200</v>
      </c>
      <c r="BZ3181" t="s">
        <v>30</v>
      </c>
      <c r="CA3181" t="s">
        <v>2137</v>
      </c>
      <c r="CC3181" t="s">
        <v>855</v>
      </c>
      <c r="CD3181" s="5" t="s">
        <v>993</v>
      </c>
      <c r="CE3181" t="s">
        <v>121</v>
      </c>
      <c r="CF3181" s="3">
        <v>45861</v>
      </c>
      <c r="CI3181">
        <v>1</v>
      </c>
      <c r="CJ3181">
        <v>1</v>
      </c>
      <c r="CK3181">
        <v>23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"080066720460"</f>
        <v>080066720460</v>
      </c>
      <c r="F3182" s="3">
        <v>45860</v>
      </c>
      <c r="G3182">
        <v>202604</v>
      </c>
      <c r="H3182" t="s">
        <v>75</v>
      </c>
      <c r="I3182" t="s">
        <v>76</v>
      </c>
      <c r="J3182" t="s">
        <v>77</v>
      </c>
      <c r="K3182" t="s">
        <v>78</v>
      </c>
      <c r="L3182" t="s">
        <v>146</v>
      </c>
      <c r="M3182" t="s">
        <v>146</v>
      </c>
      <c r="N3182" t="s">
        <v>986</v>
      </c>
      <c r="O3182" t="s">
        <v>95</v>
      </c>
      <c r="P3182" t="str">
        <f>"4170050266                    "</f>
        <v xml:space="preserve">4170050266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86.82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3</v>
      </c>
      <c r="BI3182">
        <v>13</v>
      </c>
      <c r="BJ3182">
        <v>22.1</v>
      </c>
      <c r="BK3182">
        <v>23</v>
      </c>
      <c r="BL3182">
        <v>279.39999999999998</v>
      </c>
      <c r="BM3182">
        <v>41.91</v>
      </c>
      <c r="BN3182">
        <v>321.31</v>
      </c>
      <c r="BO3182">
        <v>321.31</v>
      </c>
      <c r="BQ3182" t="s">
        <v>987</v>
      </c>
      <c r="BR3182" t="s">
        <v>84</v>
      </c>
      <c r="BS3182" s="3">
        <v>45866</v>
      </c>
      <c r="BT3182" s="4">
        <v>0.45833333333333331</v>
      </c>
      <c r="BU3182" t="s">
        <v>635</v>
      </c>
      <c r="BV3182" t="s">
        <v>86</v>
      </c>
      <c r="BW3182" t="s">
        <v>87</v>
      </c>
      <c r="BX3182" t="s">
        <v>3198</v>
      </c>
      <c r="BY3182">
        <v>57451</v>
      </c>
      <c r="CA3182" t="s">
        <v>150</v>
      </c>
      <c r="CC3182" t="s">
        <v>146</v>
      </c>
      <c r="CD3182">
        <v>7646</v>
      </c>
      <c r="CE3182" t="s">
        <v>259</v>
      </c>
      <c r="CF3182" s="3">
        <v>45867</v>
      </c>
      <c r="CI3182">
        <v>3</v>
      </c>
      <c r="CJ3182">
        <v>4</v>
      </c>
      <c r="CK3182">
        <v>43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"080066720480"</f>
        <v>080066720480</v>
      </c>
      <c r="F3183" s="3">
        <v>45860</v>
      </c>
      <c r="G3183">
        <v>202604</v>
      </c>
      <c r="H3183" t="s">
        <v>75</v>
      </c>
      <c r="I3183" t="s">
        <v>76</v>
      </c>
      <c r="J3183" t="s">
        <v>77</v>
      </c>
      <c r="K3183" t="s">
        <v>78</v>
      </c>
      <c r="L3183" t="s">
        <v>75</v>
      </c>
      <c r="M3183" t="s">
        <v>76</v>
      </c>
      <c r="N3183" t="s">
        <v>3199</v>
      </c>
      <c r="O3183" t="s">
        <v>82</v>
      </c>
      <c r="P3183" t="str">
        <f>"4170050259                    "</f>
        <v xml:space="preserve">4170050259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17.649999999999999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55.61</v>
      </c>
      <c r="BM3183">
        <v>8.34</v>
      </c>
      <c r="BN3183">
        <v>63.95</v>
      </c>
      <c r="BO3183">
        <v>63.95</v>
      </c>
      <c r="BQ3183" t="s">
        <v>3200</v>
      </c>
      <c r="BR3183" t="s">
        <v>84</v>
      </c>
      <c r="BS3183" s="3">
        <v>45861</v>
      </c>
      <c r="BT3183" s="4">
        <v>0.3215277777777778</v>
      </c>
      <c r="BU3183" t="s">
        <v>3201</v>
      </c>
      <c r="BV3183" t="s">
        <v>98</v>
      </c>
      <c r="BY3183">
        <v>1200</v>
      </c>
      <c r="CA3183" t="s">
        <v>213</v>
      </c>
      <c r="CC3183" t="s">
        <v>76</v>
      </c>
      <c r="CD3183">
        <v>1600</v>
      </c>
      <c r="CE3183" t="s">
        <v>121</v>
      </c>
      <c r="CF3183" s="3">
        <v>45861</v>
      </c>
      <c r="CI3183">
        <v>1</v>
      </c>
      <c r="CJ3183">
        <v>1</v>
      </c>
      <c r="CK3183">
        <v>22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"080066419717"</f>
        <v>080066419717</v>
      </c>
      <c r="F3184" s="3">
        <v>45846</v>
      </c>
      <c r="G3184">
        <v>202604</v>
      </c>
      <c r="H3184" t="s">
        <v>75</v>
      </c>
      <c r="I3184" t="s">
        <v>76</v>
      </c>
      <c r="J3184" t="s">
        <v>77</v>
      </c>
      <c r="K3184" t="s">
        <v>78</v>
      </c>
      <c r="L3184" t="s">
        <v>146</v>
      </c>
      <c r="M3184" t="s">
        <v>146</v>
      </c>
      <c r="N3184" t="s">
        <v>1268</v>
      </c>
      <c r="O3184" t="s">
        <v>82</v>
      </c>
      <c r="P3184" t="str">
        <f>"4170046988                    "</f>
        <v xml:space="preserve">4170046988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3573.05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108</v>
      </c>
      <c r="BJ3184">
        <v>180.1</v>
      </c>
      <c r="BK3184">
        <v>180.5</v>
      </c>
      <c r="BL3184">
        <v>11257.03</v>
      </c>
      <c r="BM3184">
        <v>1688.55</v>
      </c>
      <c r="BN3184">
        <v>12945.58</v>
      </c>
      <c r="BO3184">
        <v>12945.58</v>
      </c>
      <c r="BQ3184" t="s">
        <v>1269</v>
      </c>
      <c r="BR3184" t="s">
        <v>84</v>
      </c>
      <c r="BS3184" s="3">
        <v>45847</v>
      </c>
      <c r="BT3184" s="4">
        <v>0.47916666666666669</v>
      </c>
      <c r="BU3184" t="s">
        <v>2762</v>
      </c>
      <c r="BV3184" t="s">
        <v>98</v>
      </c>
      <c r="BY3184">
        <v>900360</v>
      </c>
      <c r="BZ3184" t="s">
        <v>89</v>
      </c>
      <c r="CC3184" t="s">
        <v>146</v>
      </c>
      <c r="CD3184">
        <v>7646</v>
      </c>
      <c r="CE3184" t="s">
        <v>536</v>
      </c>
      <c r="CF3184" s="3">
        <v>45848</v>
      </c>
      <c r="CI3184">
        <v>1</v>
      </c>
      <c r="CJ3184">
        <v>1</v>
      </c>
      <c r="CK3184">
        <v>23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"080011572822"</f>
        <v>080011572822</v>
      </c>
      <c r="F3185" s="3">
        <v>45860</v>
      </c>
      <c r="G3185">
        <v>202604</v>
      </c>
      <c r="H3185" t="s">
        <v>704</v>
      </c>
      <c r="I3185" t="s">
        <v>705</v>
      </c>
      <c r="J3185" t="s">
        <v>3202</v>
      </c>
      <c r="K3185" t="s">
        <v>78</v>
      </c>
      <c r="L3185" t="s">
        <v>75</v>
      </c>
      <c r="M3185" t="s">
        <v>76</v>
      </c>
      <c r="N3185" t="s">
        <v>228</v>
      </c>
      <c r="O3185" t="s">
        <v>82</v>
      </c>
      <c r="P3185" t="str">
        <f>"ZA1001398146                  "</f>
        <v xml:space="preserve">ZA1001398146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211.84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5.6</v>
      </c>
      <c r="BJ3185">
        <v>10.3</v>
      </c>
      <c r="BK3185">
        <v>10.5</v>
      </c>
      <c r="BL3185">
        <v>667.42</v>
      </c>
      <c r="BM3185">
        <v>100.11</v>
      </c>
      <c r="BN3185">
        <v>767.53</v>
      </c>
      <c r="BO3185">
        <v>767.53</v>
      </c>
      <c r="BP3185" t="s">
        <v>587</v>
      </c>
      <c r="BQ3185" t="s">
        <v>230</v>
      </c>
      <c r="BR3185" t="s">
        <v>3203</v>
      </c>
      <c r="BS3185" s="3">
        <v>45861</v>
      </c>
      <c r="BT3185" s="4">
        <v>0.43611111111111112</v>
      </c>
      <c r="BU3185" t="s">
        <v>232</v>
      </c>
      <c r="BV3185" t="s">
        <v>98</v>
      </c>
      <c r="BY3185">
        <v>51633.599999999999</v>
      </c>
      <c r="BZ3185" t="s">
        <v>89</v>
      </c>
      <c r="CA3185" t="s">
        <v>304</v>
      </c>
      <c r="CC3185" t="s">
        <v>76</v>
      </c>
      <c r="CD3185">
        <v>1619</v>
      </c>
      <c r="CE3185" t="s">
        <v>2756</v>
      </c>
      <c r="CF3185" s="3">
        <v>45861</v>
      </c>
      <c r="CI3185">
        <v>1</v>
      </c>
      <c r="CJ3185">
        <v>1</v>
      </c>
      <c r="CK3185">
        <v>23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"080066713354"</f>
        <v>080066713354</v>
      </c>
      <c r="F3186" s="3">
        <v>45860</v>
      </c>
      <c r="G3186">
        <v>202604</v>
      </c>
      <c r="H3186" t="s">
        <v>75</v>
      </c>
      <c r="I3186" t="s">
        <v>76</v>
      </c>
      <c r="J3186" t="s">
        <v>101</v>
      </c>
      <c r="K3186" t="s">
        <v>78</v>
      </c>
      <c r="L3186" t="s">
        <v>554</v>
      </c>
      <c r="M3186" t="s">
        <v>555</v>
      </c>
      <c r="N3186" t="s">
        <v>556</v>
      </c>
      <c r="O3186" t="s">
        <v>82</v>
      </c>
      <c r="P3186" t="str">
        <f>"4170049842                    "</f>
        <v xml:space="preserve">4170049842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0</v>
      </c>
      <c r="BM3186">
        <v>0</v>
      </c>
      <c r="BN3186">
        <v>0</v>
      </c>
      <c r="BO3186">
        <v>0</v>
      </c>
      <c r="BQ3186" t="s">
        <v>557</v>
      </c>
      <c r="BR3186" t="s">
        <v>106</v>
      </c>
      <c r="BS3186" s="3">
        <v>45860</v>
      </c>
      <c r="BT3186" s="4">
        <v>0.52013888888888893</v>
      </c>
      <c r="BU3186" t="s">
        <v>424</v>
      </c>
      <c r="BV3186" t="s">
        <v>98</v>
      </c>
      <c r="BY3186">
        <v>1200</v>
      </c>
      <c r="BZ3186" t="s">
        <v>425</v>
      </c>
      <c r="CA3186" t="s">
        <v>3204</v>
      </c>
      <c r="CC3186" t="s">
        <v>555</v>
      </c>
      <c r="CD3186" s="5" t="s">
        <v>560</v>
      </c>
      <c r="CE3186" t="s">
        <v>239</v>
      </c>
      <c r="CF3186" s="3">
        <v>45861</v>
      </c>
      <c r="CI3186">
        <v>1</v>
      </c>
      <c r="CJ3186">
        <v>0</v>
      </c>
      <c r="CK3186">
        <v>-1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"080066720524"</f>
        <v>080066720524</v>
      </c>
      <c r="F3187" s="3">
        <v>45860</v>
      </c>
      <c r="G3187">
        <v>202604</v>
      </c>
      <c r="H3187" t="s">
        <v>75</v>
      </c>
      <c r="I3187" t="s">
        <v>76</v>
      </c>
      <c r="J3187" t="s">
        <v>77</v>
      </c>
      <c r="K3187" t="s">
        <v>78</v>
      </c>
      <c r="L3187" t="s">
        <v>566</v>
      </c>
      <c r="M3187" t="s">
        <v>567</v>
      </c>
      <c r="N3187" t="s">
        <v>3205</v>
      </c>
      <c r="O3187" t="s">
        <v>82</v>
      </c>
      <c r="P3187" t="str">
        <f>"4170050164                    "</f>
        <v xml:space="preserve">4170050164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31.78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100.13</v>
      </c>
      <c r="BM3187">
        <v>15.02</v>
      </c>
      <c r="BN3187">
        <v>115.15</v>
      </c>
      <c r="BO3187">
        <v>115.15</v>
      </c>
      <c r="BQ3187" t="s">
        <v>3206</v>
      </c>
      <c r="BR3187" t="s">
        <v>84</v>
      </c>
      <c r="BS3187" s="3">
        <v>45861</v>
      </c>
      <c r="BT3187" s="4">
        <v>0.34652777777777777</v>
      </c>
      <c r="BU3187" t="s">
        <v>3207</v>
      </c>
      <c r="BV3187" t="s">
        <v>98</v>
      </c>
      <c r="BY3187">
        <v>1200</v>
      </c>
      <c r="CA3187" t="s">
        <v>3208</v>
      </c>
      <c r="CC3187" t="s">
        <v>567</v>
      </c>
      <c r="CD3187">
        <v>2210</v>
      </c>
      <c r="CE3187" t="s">
        <v>110</v>
      </c>
      <c r="CF3187" s="3">
        <v>45861</v>
      </c>
      <c r="CI3187">
        <v>1</v>
      </c>
      <c r="CJ3187">
        <v>1</v>
      </c>
      <c r="CK3187">
        <v>24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"R080066627506"</f>
        <v>R080066627506</v>
      </c>
      <c r="F3188" s="3">
        <v>45860</v>
      </c>
      <c r="G3188">
        <v>202604</v>
      </c>
      <c r="H3188" t="s">
        <v>240</v>
      </c>
      <c r="I3188" t="s">
        <v>241</v>
      </c>
      <c r="J3188" t="s">
        <v>2803</v>
      </c>
      <c r="K3188" t="s">
        <v>78</v>
      </c>
      <c r="L3188" t="s">
        <v>240</v>
      </c>
      <c r="M3188" t="s">
        <v>241</v>
      </c>
      <c r="N3188" t="s">
        <v>2803</v>
      </c>
      <c r="O3188" t="s">
        <v>82</v>
      </c>
      <c r="P3188" t="str">
        <f>"4170049214                    "</f>
        <v xml:space="preserve">4170049214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17.649999999999999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2</v>
      </c>
      <c r="BJ3188">
        <v>3.7</v>
      </c>
      <c r="BK3188">
        <v>4</v>
      </c>
      <c r="BL3188">
        <v>55.61</v>
      </c>
      <c r="BM3188">
        <v>8.34</v>
      </c>
      <c r="BN3188">
        <v>63.95</v>
      </c>
      <c r="BO3188">
        <v>63.95</v>
      </c>
      <c r="BQ3188" t="s">
        <v>3209</v>
      </c>
      <c r="BR3188" t="s">
        <v>2804</v>
      </c>
      <c r="BS3188" s="3">
        <v>45861</v>
      </c>
      <c r="BT3188" s="4">
        <v>0.3972222222222222</v>
      </c>
      <c r="BU3188" t="s">
        <v>3210</v>
      </c>
      <c r="BV3188" t="s">
        <v>98</v>
      </c>
      <c r="BY3188">
        <v>18620</v>
      </c>
      <c r="CA3188" t="s">
        <v>617</v>
      </c>
      <c r="CC3188" t="s">
        <v>241</v>
      </c>
      <c r="CD3188">
        <v>2065</v>
      </c>
      <c r="CE3188" t="s">
        <v>91</v>
      </c>
      <c r="CF3188" s="3">
        <v>45862</v>
      </c>
      <c r="CI3188">
        <v>1</v>
      </c>
      <c r="CJ3188">
        <v>1</v>
      </c>
      <c r="CK3188">
        <v>22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"080066720541"</f>
        <v>080066720541</v>
      </c>
      <c r="F3189" s="3">
        <v>45860</v>
      </c>
      <c r="G3189">
        <v>202604</v>
      </c>
      <c r="H3189" t="s">
        <v>75</v>
      </c>
      <c r="I3189" t="s">
        <v>76</v>
      </c>
      <c r="J3189" t="s">
        <v>77</v>
      </c>
      <c r="K3189" t="s">
        <v>78</v>
      </c>
      <c r="L3189" t="s">
        <v>168</v>
      </c>
      <c r="M3189" t="s">
        <v>169</v>
      </c>
      <c r="N3189" t="s">
        <v>206</v>
      </c>
      <c r="O3189" t="s">
        <v>82</v>
      </c>
      <c r="P3189" t="str">
        <f>"4170050240                    "</f>
        <v xml:space="preserve">4170050240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22.6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71.2</v>
      </c>
      <c r="BM3189">
        <v>10.68</v>
      </c>
      <c r="BN3189">
        <v>81.88</v>
      </c>
      <c r="BO3189">
        <v>81.88</v>
      </c>
      <c r="BQ3189" t="s">
        <v>207</v>
      </c>
      <c r="BR3189" t="s">
        <v>84</v>
      </c>
      <c r="BS3189" s="3">
        <v>45861</v>
      </c>
      <c r="BT3189" s="4">
        <v>0.40138888888888891</v>
      </c>
      <c r="BU3189" t="s">
        <v>2957</v>
      </c>
      <c r="BV3189" t="s">
        <v>98</v>
      </c>
      <c r="BY3189">
        <v>1200</v>
      </c>
      <c r="CA3189" t="s">
        <v>196</v>
      </c>
      <c r="CC3189" t="s">
        <v>169</v>
      </c>
      <c r="CD3189">
        <v>6001</v>
      </c>
      <c r="CE3189" t="s">
        <v>110</v>
      </c>
      <c r="CF3189" s="3">
        <v>45861</v>
      </c>
      <c r="CI3189">
        <v>1</v>
      </c>
      <c r="CJ3189">
        <v>1</v>
      </c>
      <c r="CK3189">
        <v>21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"080066720577"</f>
        <v>080066720577</v>
      </c>
      <c r="F3190" s="3">
        <v>45860</v>
      </c>
      <c r="G3190">
        <v>202604</v>
      </c>
      <c r="H3190" t="s">
        <v>75</v>
      </c>
      <c r="I3190" t="s">
        <v>76</v>
      </c>
      <c r="J3190" t="s">
        <v>77</v>
      </c>
      <c r="K3190" t="s">
        <v>78</v>
      </c>
      <c r="L3190" t="s">
        <v>197</v>
      </c>
      <c r="M3190" t="s">
        <v>198</v>
      </c>
      <c r="N3190" t="s">
        <v>945</v>
      </c>
      <c r="O3190" t="s">
        <v>82</v>
      </c>
      <c r="P3190" t="str">
        <f>"4170050134                    "</f>
        <v xml:space="preserve">4170050134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17.649999999999999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55.61</v>
      </c>
      <c r="BM3190">
        <v>8.34</v>
      </c>
      <c r="BN3190">
        <v>63.95</v>
      </c>
      <c r="BO3190">
        <v>63.95</v>
      </c>
      <c r="BQ3190" t="s">
        <v>946</v>
      </c>
      <c r="BR3190" t="s">
        <v>84</v>
      </c>
      <c r="BS3190" s="3">
        <v>45861</v>
      </c>
      <c r="BT3190" s="4">
        <v>0.43055555555555558</v>
      </c>
      <c r="BU3190" t="s">
        <v>1388</v>
      </c>
      <c r="BV3190" t="s">
        <v>98</v>
      </c>
      <c r="BY3190">
        <v>1200</v>
      </c>
      <c r="BZ3190" t="s">
        <v>89</v>
      </c>
      <c r="CA3190" t="s">
        <v>948</v>
      </c>
      <c r="CC3190" t="s">
        <v>198</v>
      </c>
      <c r="CD3190">
        <v>1422</v>
      </c>
      <c r="CE3190" t="s">
        <v>121</v>
      </c>
      <c r="CF3190" s="3">
        <v>45862</v>
      </c>
      <c r="CI3190">
        <v>1</v>
      </c>
      <c r="CJ3190">
        <v>1</v>
      </c>
      <c r="CK3190">
        <v>22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"080066720629"</f>
        <v>080066720629</v>
      </c>
      <c r="F3191" s="3">
        <v>45860</v>
      </c>
      <c r="G3191">
        <v>202604</v>
      </c>
      <c r="H3191" t="s">
        <v>75</v>
      </c>
      <c r="I3191" t="s">
        <v>76</v>
      </c>
      <c r="J3191" t="s">
        <v>77</v>
      </c>
      <c r="K3191" t="s">
        <v>78</v>
      </c>
      <c r="L3191" t="s">
        <v>554</v>
      </c>
      <c r="M3191" t="s">
        <v>555</v>
      </c>
      <c r="N3191" t="s">
        <v>765</v>
      </c>
      <c r="O3191" t="s">
        <v>82</v>
      </c>
      <c r="P3191" t="str">
        <f>"4170050252                    "</f>
        <v xml:space="preserve">4170050252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22.6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71.2</v>
      </c>
      <c r="BM3191">
        <v>10.68</v>
      </c>
      <c r="BN3191">
        <v>81.88</v>
      </c>
      <c r="BO3191">
        <v>81.88</v>
      </c>
      <c r="BQ3191" t="s">
        <v>766</v>
      </c>
      <c r="BR3191" t="s">
        <v>84</v>
      </c>
      <c r="BS3191" s="3">
        <v>45861</v>
      </c>
      <c r="BT3191" s="4">
        <v>0.36458333333333331</v>
      </c>
      <c r="BU3191" t="s">
        <v>1836</v>
      </c>
      <c r="BV3191" t="s">
        <v>98</v>
      </c>
      <c r="BY3191">
        <v>1200</v>
      </c>
      <c r="BZ3191" t="s">
        <v>89</v>
      </c>
      <c r="CA3191" t="s">
        <v>559</v>
      </c>
      <c r="CC3191" t="s">
        <v>555</v>
      </c>
      <c r="CD3191" s="5" t="s">
        <v>560</v>
      </c>
      <c r="CE3191" t="s">
        <v>121</v>
      </c>
      <c r="CF3191" s="3">
        <v>45861</v>
      </c>
      <c r="CI3191">
        <v>1</v>
      </c>
      <c r="CJ3191">
        <v>1</v>
      </c>
      <c r="CK3191">
        <v>21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"080066720669"</f>
        <v>080066720669</v>
      </c>
      <c r="F3192" s="3">
        <v>45860</v>
      </c>
      <c r="G3192">
        <v>202604</v>
      </c>
      <c r="H3192" t="s">
        <v>75</v>
      </c>
      <c r="I3192" t="s">
        <v>76</v>
      </c>
      <c r="J3192" t="s">
        <v>77</v>
      </c>
      <c r="K3192" t="s">
        <v>78</v>
      </c>
      <c r="L3192" t="s">
        <v>151</v>
      </c>
      <c r="M3192" t="s">
        <v>152</v>
      </c>
      <c r="N3192" t="s">
        <v>902</v>
      </c>
      <c r="O3192" t="s">
        <v>82</v>
      </c>
      <c r="P3192" t="str">
        <f>"4170050136                    "</f>
        <v xml:space="preserve">4170050136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22.6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71.2</v>
      </c>
      <c r="BM3192">
        <v>10.68</v>
      </c>
      <c r="BN3192">
        <v>81.88</v>
      </c>
      <c r="BO3192">
        <v>81.88</v>
      </c>
      <c r="BQ3192" t="s">
        <v>903</v>
      </c>
      <c r="BR3192" t="s">
        <v>84</v>
      </c>
      <c r="BS3192" s="3">
        <v>45861</v>
      </c>
      <c r="BT3192" s="4">
        <v>0.41388888888888886</v>
      </c>
      <c r="BU3192" t="s">
        <v>3211</v>
      </c>
      <c r="BV3192" t="s">
        <v>98</v>
      </c>
      <c r="BY3192">
        <v>1200</v>
      </c>
      <c r="CA3192" t="s">
        <v>906</v>
      </c>
      <c r="CC3192" t="s">
        <v>152</v>
      </c>
      <c r="CD3192" s="5" t="s">
        <v>907</v>
      </c>
      <c r="CE3192" t="s">
        <v>121</v>
      </c>
      <c r="CF3192" s="3">
        <v>45861</v>
      </c>
      <c r="CI3192">
        <v>1</v>
      </c>
      <c r="CJ3192">
        <v>1</v>
      </c>
      <c r="CK3192">
        <v>21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"080066720719"</f>
        <v>080066720719</v>
      </c>
      <c r="F3193" s="3">
        <v>45860</v>
      </c>
      <c r="G3193">
        <v>202604</v>
      </c>
      <c r="H3193" t="s">
        <v>75</v>
      </c>
      <c r="I3193" t="s">
        <v>76</v>
      </c>
      <c r="J3193" t="s">
        <v>77</v>
      </c>
      <c r="K3193" t="s">
        <v>78</v>
      </c>
      <c r="L3193" t="s">
        <v>260</v>
      </c>
      <c r="M3193" t="s">
        <v>261</v>
      </c>
      <c r="N3193" t="s">
        <v>3096</v>
      </c>
      <c r="O3193" t="s">
        <v>82</v>
      </c>
      <c r="P3193" t="str">
        <f>"4170050291                    "</f>
        <v xml:space="preserve">4170050291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43.78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137.94</v>
      </c>
      <c r="BM3193">
        <v>20.69</v>
      </c>
      <c r="BN3193">
        <v>158.63</v>
      </c>
      <c r="BO3193">
        <v>158.63</v>
      </c>
      <c r="BQ3193" t="s">
        <v>3097</v>
      </c>
      <c r="BR3193" t="s">
        <v>84</v>
      </c>
      <c r="BS3193" s="3">
        <v>45861</v>
      </c>
      <c r="BT3193" s="4">
        <v>0.4375</v>
      </c>
      <c r="BU3193" t="s">
        <v>3212</v>
      </c>
      <c r="BV3193" t="s">
        <v>98</v>
      </c>
      <c r="BY3193">
        <v>1200</v>
      </c>
      <c r="CA3193" t="s">
        <v>721</v>
      </c>
      <c r="CC3193" t="s">
        <v>261</v>
      </c>
      <c r="CD3193">
        <v>1911</v>
      </c>
      <c r="CE3193" t="s">
        <v>121</v>
      </c>
      <c r="CF3193" s="3">
        <v>45862</v>
      </c>
      <c r="CI3193">
        <v>1</v>
      </c>
      <c r="CJ3193">
        <v>1</v>
      </c>
      <c r="CK3193">
        <v>23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"080066720757"</f>
        <v>080066720757</v>
      </c>
      <c r="F3194" s="3">
        <v>45860</v>
      </c>
      <c r="G3194">
        <v>202604</v>
      </c>
      <c r="H3194" t="s">
        <v>75</v>
      </c>
      <c r="I3194" t="s">
        <v>76</v>
      </c>
      <c r="J3194" t="s">
        <v>77</v>
      </c>
      <c r="K3194" t="s">
        <v>78</v>
      </c>
      <c r="L3194" t="s">
        <v>128</v>
      </c>
      <c r="M3194" t="s">
        <v>129</v>
      </c>
      <c r="N3194" t="s">
        <v>130</v>
      </c>
      <c r="O3194" t="s">
        <v>82</v>
      </c>
      <c r="P3194" t="str">
        <f>"4170050269                    "</f>
        <v xml:space="preserve">4170050269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43.78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137.94</v>
      </c>
      <c r="BM3194">
        <v>20.69</v>
      </c>
      <c r="BN3194">
        <v>158.63</v>
      </c>
      <c r="BO3194">
        <v>158.63</v>
      </c>
      <c r="BQ3194" t="s">
        <v>131</v>
      </c>
      <c r="BR3194" t="s">
        <v>84</v>
      </c>
      <c r="BS3194" s="3">
        <v>45861</v>
      </c>
      <c r="BT3194" s="4">
        <v>0.41041666666666665</v>
      </c>
      <c r="BU3194" t="s">
        <v>132</v>
      </c>
      <c r="BV3194" t="s">
        <v>98</v>
      </c>
      <c r="BY3194">
        <v>1200</v>
      </c>
      <c r="CA3194" t="s">
        <v>133</v>
      </c>
      <c r="CC3194" t="s">
        <v>129</v>
      </c>
      <c r="CD3194" s="5" t="s">
        <v>134</v>
      </c>
      <c r="CE3194" t="s">
        <v>121</v>
      </c>
      <c r="CF3194" s="3">
        <v>45862</v>
      </c>
      <c r="CI3194">
        <v>1</v>
      </c>
      <c r="CJ3194">
        <v>1</v>
      </c>
      <c r="CK3194">
        <v>23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"080066720769"</f>
        <v>080066720769</v>
      </c>
      <c r="F3195" s="3">
        <v>45860</v>
      </c>
      <c r="G3195">
        <v>202604</v>
      </c>
      <c r="H3195" t="s">
        <v>75</v>
      </c>
      <c r="I3195" t="s">
        <v>76</v>
      </c>
      <c r="J3195" t="s">
        <v>77</v>
      </c>
      <c r="K3195" t="s">
        <v>78</v>
      </c>
      <c r="L3195" t="s">
        <v>566</v>
      </c>
      <c r="M3195" t="s">
        <v>567</v>
      </c>
      <c r="N3195" t="s">
        <v>568</v>
      </c>
      <c r="O3195" t="s">
        <v>82</v>
      </c>
      <c r="P3195" t="str">
        <f>"4170050189                    "</f>
        <v xml:space="preserve">4170050189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31.78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100.13</v>
      </c>
      <c r="BM3195">
        <v>15.02</v>
      </c>
      <c r="BN3195">
        <v>115.15</v>
      </c>
      <c r="BO3195">
        <v>115.15</v>
      </c>
      <c r="BQ3195" t="s">
        <v>569</v>
      </c>
      <c r="BR3195" t="s">
        <v>84</v>
      </c>
      <c r="BS3195" s="3">
        <v>45861</v>
      </c>
      <c r="BT3195" s="4">
        <v>0.30416666666666664</v>
      </c>
      <c r="BU3195" t="s">
        <v>3213</v>
      </c>
      <c r="BV3195" t="s">
        <v>98</v>
      </c>
      <c r="BY3195">
        <v>1200</v>
      </c>
      <c r="CA3195" t="s">
        <v>571</v>
      </c>
      <c r="CC3195" t="s">
        <v>567</v>
      </c>
      <c r="CD3195">
        <v>2210</v>
      </c>
      <c r="CE3195" t="s">
        <v>121</v>
      </c>
      <c r="CF3195" s="3">
        <v>45861</v>
      </c>
      <c r="CI3195">
        <v>1</v>
      </c>
      <c r="CJ3195">
        <v>1</v>
      </c>
      <c r="CK3195">
        <v>24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"080066720792"</f>
        <v>080066720792</v>
      </c>
      <c r="F3196" s="3">
        <v>45860</v>
      </c>
      <c r="G3196">
        <v>202604</v>
      </c>
      <c r="H3196" t="s">
        <v>75</v>
      </c>
      <c r="I3196" t="s">
        <v>76</v>
      </c>
      <c r="J3196" t="s">
        <v>77</v>
      </c>
      <c r="K3196" t="s">
        <v>78</v>
      </c>
      <c r="L3196" t="s">
        <v>1128</v>
      </c>
      <c r="M3196" t="s">
        <v>1129</v>
      </c>
      <c r="N3196" t="s">
        <v>2083</v>
      </c>
      <c r="O3196" t="s">
        <v>82</v>
      </c>
      <c r="P3196" t="str">
        <f>"4170050237                    "</f>
        <v xml:space="preserve">4170050237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22.6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71.2</v>
      </c>
      <c r="BM3196">
        <v>10.68</v>
      </c>
      <c r="BN3196">
        <v>81.88</v>
      </c>
      <c r="BO3196">
        <v>81.88</v>
      </c>
      <c r="BQ3196" t="s">
        <v>2084</v>
      </c>
      <c r="BR3196" t="s">
        <v>84</v>
      </c>
      <c r="BS3196" s="3">
        <v>45861</v>
      </c>
      <c r="BT3196" s="4">
        <v>0.39027777777777778</v>
      </c>
      <c r="BU3196" t="s">
        <v>2085</v>
      </c>
      <c r="BV3196" t="s">
        <v>98</v>
      </c>
      <c r="BY3196">
        <v>1200</v>
      </c>
      <c r="CA3196" t="s">
        <v>1133</v>
      </c>
      <c r="CC3196" t="s">
        <v>1129</v>
      </c>
      <c r="CD3196">
        <v>7600</v>
      </c>
      <c r="CE3196" t="s">
        <v>121</v>
      </c>
      <c r="CF3196" s="3">
        <v>45862</v>
      </c>
      <c r="CI3196">
        <v>1</v>
      </c>
      <c r="CJ3196">
        <v>1</v>
      </c>
      <c r="CK3196">
        <v>21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"080066720806"</f>
        <v>080066720806</v>
      </c>
      <c r="F3197" s="3">
        <v>45860</v>
      </c>
      <c r="G3197">
        <v>202604</v>
      </c>
      <c r="H3197" t="s">
        <v>75</v>
      </c>
      <c r="I3197" t="s">
        <v>76</v>
      </c>
      <c r="J3197" t="s">
        <v>77</v>
      </c>
      <c r="K3197" t="s">
        <v>78</v>
      </c>
      <c r="L3197" t="s">
        <v>79</v>
      </c>
      <c r="M3197" t="s">
        <v>80</v>
      </c>
      <c r="N3197" t="s">
        <v>286</v>
      </c>
      <c r="O3197" t="s">
        <v>82</v>
      </c>
      <c r="P3197" t="str">
        <f>"4170050170                    "</f>
        <v xml:space="preserve">4170050170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22.6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71.2</v>
      </c>
      <c r="BM3197">
        <v>10.68</v>
      </c>
      <c r="BN3197">
        <v>81.88</v>
      </c>
      <c r="BO3197">
        <v>81.88</v>
      </c>
      <c r="BQ3197" t="s">
        <v>287</v>
      </c>
      <c r="BR3197" t="s">
        <v>84</v>
      </c>
      <c r="BS3197" s="3">
        <v>45861</v>
      </c>
      <c r="BT3197" s="4">
        <v>0.32013888888888886</v>
      </c>
      <c r="BU3197" t="s">
        <v>288</v>
      </c>
      <c r="BV3197" t="s">
        <v>98</v>
      </c>
      <c r="BY3197">
        <v>1200</v>
      </c>
      <c r="CA3197" t="s">
        <v>289</v>
      </c>
      <c r="CC3197" t="s">
        <v>80</v>
      </c>
      <c r="CD3197">
        <v>7530</v>
      </c>
      <c r="CE3197" t="s">
        <v>121</v>
      </c>
      <c r="CF3197" s="3">
        <v>45862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"080066720844"</f>
        <v>080066720844</v>
      </c>
      <c r="F3198" s="3">
        <v>45860</v>
      </c>
      <c r="G3198">
        <v>202604</v>
      </c>
      <c r="H3198" t="s">
        <v>75</v>
      </c>
      <c r="I3198" t="s">
        <v>76</v>
      </c>
      <c r="J3198" t="s">
        <v>77</v>
      </c>
      <c r="K3198" t="s">
        <v>78</v>
      </c>
      <c r="L3198" t="s">
        <v>122</v>
      </c>
      <c r="M3198" t="s">
        <v>123</v>
      </c>
      <c r="N3198" t="s">
        <v>357</v>
      </c>
      <c r="O3198" t="s">
        <v>82</v>
      </c>
      <c r="P3198" t="str">
        <f>"4170050147                    "</f>
        <v xml:space="preserve">4170050147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22.6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71.2</v>
      </c>
      <c r="BM3198">
        <v>10.68</v>
      </c>
      <c r="BN3198">
        <v>81.88</v>
      </c>
      <c r="BO3198">
        <v>81.88</v>
      </c>
      <c r="BQ3198" t="s">
        <v>358</v>
      </c>
      <c r="BR3198" t="s">
        <v>84</v>
      </c>
      <c r="BS3198" s="3">
        <v>45861</v>
      </c>
      <c r="BT3198" s="4">
        <v>0.51736111111111116</v>
      </c>
      <c r="BU3198" t="s">
        <v>359</v>
      </c>
      <c r="BV3198" t="s">
        <v>98</v>
      </c>
      <c r="BY3198">
        <v>1200</v>
      </c>
      <c r="CA3198" t="s">
        <v>2974</v>
      </c>
      <c r="CC3198" t="s">
        <v>123</v>
      </c>
      <c r="CD3198">
        <v>3610</v>
      </c>
      <c r="CE3198" t="s">
        <v>121</v>
      </c>
      <c r="CF3198" s="3">
        <v>45861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"080066720872"</f>
        <v>080066720872</v>
      </c>
      <c r="F3199" s="3">
        <v>45860</v>
      </c>
      <c r="G3199">
        <v>202604</v>
      </c>
      <c r="H3199" t="s">
        <v>75</v>
      </c>
      <c r="I3199" t="s">
        <v>76</v>
      </c>
      <c r="J3199" t="s">
        <v>77</v>
      </c>
      <c r="K3199" t="s">
        <v>78</v>
      </c>
      <c r="L3199" t="s">
        <v>92</v>
      </c>
      <c r="M3199" t="s">
        <v>93</v>
      </c>
      <c r="N3199" t="s">
        <v>749</v>
      </c>
      <c r="O3199" t="s">
        <v>82</v>
      </c>
      <c r="P3199" t="str">
        <f>"4170050159                    "</f>
        <v xml:space="preserve">4170050159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22.6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71.2</v>
      </c>
      <c r="BM3199">
        <v>10.68</v>
      </c>
      <c r="BN3199">
        <v>81.88</v>
      </c>
      <c r="BO3199">
        <v>81.88</v>
      </c>
      <c r="BQ3199" t="s">
        <v>3214</v>
      </c>
      <c r="BR3199" t="s">
        <v>84</v>
      </c>
      <c r="BS3199" s="3">
        <v>45861</v>
      </c>
      <c r="BT3199" s="4">
        <v>0.38541666666666669</v>
      </c>
      <c r="BU3199" t="s">
        <v>3215</v>
      </c>
      <c r="BV3199" t="s">
        <v>98</v>
      </c>
      <c r="BY3199">
        <v>1200</v>
      </c>
      <c r="CA3199" t="s">
        <v>2430</v>
      </c>
      <c r="CC3199" t="s">
        <v>93</v>
      </c>
      <c r="CD3199">
        <v>4001</v>
      </c>
      <c r="CE3199" t="s">
        <v>121</v>
      </c>
      <c r="CF3199" s="3">
        <v>45861</v>
      </c>
      <c r="CI3199">
        <v>1</v>
      </c>
      <c r="CJ3199">
        <v>1</v>
      </c>
      <c r="CK3199">
        <v>21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"080066720908"</f>
        <v>080066720908</v>
      </c>
      <c r="F3200" s="3">
        <v>45860</v>
      </c>
      <c r="G3200">
        <v>202604</v>
      </c>
      <c r="H3200" t="s">
        <v>75</v>
      </c>
      <c r="I3200" t="s">
        <v>76</v>
      </c>
      <c r="J3200" t="s">
        <v>77</v>
      </c>
      <c r="K3200" t="s">
        <v>78</v>
      </c>
      <c r="L3200" t="s">
        <v>240</v>
      </c>
      <c r="M3200" t="s">
        <v>241</v>
      </c>
      <c r="N3200" t="s">
        <v>1828</v>
      </c>
      <c r="O3200" t="s">
        <v>82</v>
      </c>
      <c r="P3200" t="str">
        <f>"4170050168                    "</f>
        <v xml:space="preserve">4170050168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17.649999999999999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55.61</v>
      </c>
      <c r="BM3200">
        <v>8.34</v>
      </c>
      <c r="BN3200">
        <v>63.95</v>
      </c>
      <c r="BO3200">
        <v>63.95</v>
      </c>
      <c r="BQ3200" t="s">
        <v>1829</v>
      </c>
      <c r="BR3200" t="s">
        <v>84</v>
      </c>
      <c r="BS3200" s="3">
        <v>45861</v>
      </c>
      <c r="BT3200" s="4">
        <v>0.38958333333333334</v>
      </c>
      <c r="BU3200" t="s">
        <v>3147</v>
      </c>
      <c r="BV3200" t="s">
        <v>98</v>
      </c>
      <c r="BY3200">
        <v>1200</v>
      </c>
      <c r="CA3200" t="s">
        <v>2624</v>
      </c>
      <c r="CC3200" t="s">
        <v>241</v>
      </c>
      <c r="CD3200">
        <v>2091</v>
      </c>
      <c r="CE3200" t="s">
        <v>121</v>
      </c>
      <c r="CF3200" s="3">
        <v>45862</v>
      </c>
      <c r="CI3200">
        <v>1</v>
      </c>
      <c r="CJ3200">
        <v>1</v>
      </c>
      <c r="CK3200">
        <v>22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"080066720937"</f>
        <v>080066720937</v>
      </c>
      <c r="F3201" s="3">
        <v>45860</v>
      </c>
      <c r="G3201">
        <v>202604</v>
      </c>
      <c r="H3201" t="s">
        <v>75</v>
      </c>
      <c r="I3201" t="s">
        <v>76</v>
      </c>
      <c r="J3201" t="s">
        <v>77</v>
      </c>
      <c r="K3201" t="s">
        <v>78</v>
      </c>
      <c r="L3201" t="s">
        <v>566</v>
      </c>
      <c r="M3201" t="s">
        <v>567</v>
      </c>
      <c r="N3201" t="s">
        <v>568</v>
      </c>
      <c r="O3201" t="s">
        <v>82</v>
      </c>
      <c r="P3201" t="str">
        <f>"4170050268                    "</f>
        <v xml:space="preserve">4170050268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31.78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100.13</v>
      </c>
      <c r="BM3201">
        <v>15.02</v>
      </c>
      <c r="BN3201">
        <v>115.15</v>
      </c>
      <c r="BO3201">
        <v>115.15</v>
      </c>
      <c r="BQ3201" t="s">
        <v>569</v>
      </c>
      <c r="BR3201" t="s">
        <v>84</v>
      </c>
      <c r="BS3201" s="3">
        <v>45861</v>
      </c>
      <c r="BT3201" s="4">
        <v>0.30416666666666664</v>
      </c>
      <c r="BU3201" t="s">
        <v>3213</v>
      </c>
      <c r="BV3201" t="s">
        <v>98</v>
      </c>
      <c r="BY3201">
        <v>1200</v>
      </c>
      <c r="CA3201" t="s">
        <v>571</v>
      </c>
      <c r="CC3201" t="s">
        <v>567</v>
      </c>
      <c r="CD3201">
        <v>2210</v>
      </c>
      <c r="CE3201" t="s">
        <v>121</v>
      </c>
      <c r="CF3201" s="3">
        <v>45861</v>
      </c>
      <c r="CI3201">
        <v>1</v>
      </c>
      <c r="CJ3201">
        <v>1</v>
      </c>
      <c r="CK3201">
        <v>24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"080066720992"</f>
        <v>080066720992</v>
      </c>
      <c r="F3202" s="3">
        <v>45860</v>
      </c>
      <c r="G3202">
        <v>202604</v>
      </c>
      <c r="H3202" t="s">
        <v>75</v>
      </c>
      <c r="I3202" t="s">
        <v>76</v>
      </c>
      <c r="J3202" t="s">
        <v>77</v>
      </c>
      <c r="K3202" t="s">
        <v>78</v>
      </c>
      <c r="L3202" t="s">
        <v>168</v>
      </c>
      <c r="M3202" t="s">
        <v>169</v>
      </c>
      <c r="N3202" t="s">
        <v>342</v>
      </c>
      <c r="O3202" t="s">
        <v>82</v>
      </c>
      <c r="P3202" t="str">
        <f>"4170050255                    "</f>
        <v xml:space="preserve">4170050255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22.6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71.2</v>
      </c>
      <c r="BM3202">
        <v>10.68</v>
      </c>
      <c r="BN3202">
        <v>81.88</v>
      </c>
      <c r="BO3202">
        <v>81.88</v>
      </c>
      <c r="BQ3202" t="s">
        <v>343</v>
      </c>
      <c r="BR3202" t="s">
        <v>84</v>
      </c>
      <c r="BS3202" s="3">
        <v>45861</v>
      </c>
      <c r="BT3202" s="4">
        <v>0.40208333333333335</v>
      </c>
      <c r="BU3202" t="s">
        <v>1497</v>
      </c>
      <c r="BV3202" t="s">
        <v>98</v>
      </c>
      <c r="BY3202">
        <v>1200</v>
      </c>
      <c r="CA3202" t="s">
        <v>423</v>
      </c>
      <c r="CC3202" t="s">
        <v>169</v>
      </c>
      <c r="CD3202">
        <v>6000</v>
      </c>
      <c r="CE3202" t="s">
        <v>121</v>
      </c>
      <c r="CF3202" s="3">
        <v>45861</v>
      </c>
      <c r="CI3202">
        <v>1</v>
      </c>
      <c r="CJ3202">
        <v>1</v>
      </c>
      <c r="CK3202">
        <v>21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"080066721022"</f>
        <v>080066721022</v>
      </c>
      <c r="F3203" s="3">
        <v>45860</v>
      </c>
      <c r="G3203">
        <v>202604</v>
      </c>
      <c r="H3203" t="s">
        <v>75</v>
      </c>
      <c r="I3203" t="s">
        <v>76</v>
      </c>
      <c r="J3203" t="s">
        <v>77</v>
      </c>
      <c r="K3203" t="s">
        <v>78</v>
      </c>
      <c r="L3203" t="s">
        <v>168</v>
      </c>
      <c r="M3203" t="s">
        <v>169</v>
      </c>
      <c r="N3203" t="s">
        <v>202</v>
      </c>
      <c r="O3203" t="s">
        <v>82</v>
      </c>
      <c r="P3203" t="str">
        <f>"4170050245                    "</f>
        <v xml:space="preserve">4170050245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22.6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71.2</v>
      </c>
      <c r="BM3203">
        <v>10.68</v>
      </c>
      <c r="BN3203">
        <v>81.88</v>
      </c>
      <c r="BO3203">
        <v>81.88</v>
      </c>
      <c r="BQ3203" t="s">
        <v>203</v>
      </c>
      <c r="BR3203" t="s">
        <v>84</v>
      </c>
      <c r="BS3203" s="3">
        <v>45861</v>
      </c>
      <c r="BT3203" s="4">
        <v>0.40972222222222221</v>
      </c>
      <c r="BU3203" t="s">
        <v>204</v>
      </c>
      <c r="BV3203" t="s">
        <v>98</v>
      </c>
      <c r="BY3203">
        <v>1200</v>
      </c>
      <c r="CA3203" t="s">
        <v>205</v>
      </c>
      <c r="CC3203" t="s">
        <v>169</v>
      </c>
      <c r="CD3203">
        <v>6001</v>
      </c>
      <c r="CE3203" t="s">
        <v>121</v>
      </c>
      <c r="CF3203" s="3">
        <v>45861</v>
      </c>
      <c r="CI3203">
        <v>1</v>
      </c>
      <c r="CJ3203">
        <v>1</v>
      </c>
      <c r="CK3203">
        <v>21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"080066721046"</f>
        <v>080066721046</v>
      </c>
      <c r="F3204" s="3">
        <v>45860</v>
      </c>
      <c r="G3204">
        <v>202604</v>
      </c>
      <c r="H3204" t="s">
        <v>75</v>
      </c>
      <c r="I3204" t="s">
        <v>76</v>
      </c>
      <c r="J3204" t="s">
        <v>77</v>
      </c>
      <c r="K3204" t="s">
        <v>78</v>
      </c>
      <c r="L3204" t="s">
        <v>704</v>
      </c>
      <c r="M3204" t="s">
        <v>705</v>
      </c>
      <c r="N3204" t="s">
        <v>829</v>
      </c>
      <c r="O3204" t="s">
        <v>82</v>
      </c>
      <c r="P3204" t="str">
        <f>"4170050251                    "</f>
        <v xml:space="preserve">4170050251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43.78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137.94</v>
      </c>
      <c r="BM3204">
        <v>20.69</v>
      </c>
      <c r="BN3204">
        <v>158.63</v>
      </c>
      <c r="BO3204">
        <v>158.63</v>
      </c>
      <c r="BQ3204" t="s">
        <v>830</v>
      </c>
      <c r="BR3204" t="s">
        <v>84</v>
      </c>
      <c r="BS3204" s="3">
        <v>45861</v>
      </c>
      <c r="BT3204" s="4">
        <v>0.42222222222222222</v>
      </c>
      <c r="BU3204" t="s">
        <v>3216</v>
      </c>
      <c r="BV3204" t="s">
        <v>98</v>
      </c>
      <c r="BY3204">
        <v>1200</v>
      </c>
      <c r="CA3204" t="s">
        <v>1665</v>
      </c>
      <c r="CC3204" t="s">
        <v>705</v>
      </c>
      <c r="CD3204">
        <v>6850</v>
      </c>
      <c r="CE3204" t="s">
        <v>121</v>
      </c>
      <c r="CF3204" s="3">
        <v>45862</v>
      </c>
      <c r="CI3204">
        <v>2</v>
      </c>
      <c r="CJ3204">
        <v>1</v>
      </c>
      <c r="CK3204">
        <v>23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"080066721077"</f>
        <v>080066721077</v>
      </c>
      <c r="F3205" s="3">
        <v>45860</v>
      </c>
      <c r="G3205">
        <v>202604</v>
      </c>
      <c r="H3205" t="s">
        <v>75</v>
      </c>
      <c r="I3205" t="s">
        <v>76</v>
      </c>
      <c r="J3205" t="s">
        <v>77</v>
      </c>
      <c r="K3205" t="s">
        <v>78</v>
      </c>
      <c r="L3205" t="s">
        <v>75</v>
      </c>
      <c r="M3205" t="s">
        <v>76</v>
      </c>
      <c r="N3205" t="s">
        <v>622</v>
      </c>
      <c r="O3205" t="s">
        <v>82</v>
      </c>
      <c r="P3205" t="str">
        <f>"4170050224                    "</f>
        <v xml:space="preserve">4170050224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17.649999999999999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55.61</v>
      </c>
      <c r="BM3205">
        <v>8.34</v>
      </c>
      <c r="BN3205">
        <v>63.95</v>
      </c>
      <c r="BO3205">
        <v>63.95</v>
      </c>
      <c r="BQ3205" t="s">
        <v>623</v>
      </c>
      <c r="BR3205" t="s">
        <v>84</v>
      </c>
      <c r="BS3205" s="3">
        <v>45861</v>
      </c>
      <c r="BT3205" s="4">
        <v>0.32777777777777778</v>
      </c>
      <c r="BU3205" t="s">
        <v>624</v>
      </c>
      <c r="BV3205" t="s">
        <v>98</v>
      </c>
      <c r="BY3205">
        <v>1200</v>
      </c>
      <c r="CA3205" t="s">
        <v>304</v>
      </c>
      <c r="CC3205" t="s">
        <v>76</v>
      </c>
      <c r="CD3205">
        <v>1601</v>
      </c>
      <c r="CE3205" t="s">
        <v>121</v>
      </c>
      <c r="CF3205" s="3">
        <v>45861</v>
      </c>
      <c r="CI3205">
        <v>1</v>
      </c>
      <c r="CJ3205">
        <v>1</v>
      </c>
      <c r="CK3205">
        <v>22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"080066721107"</f>
        <v>080066721107</v>
      </c>
      <c r="F3206" s="3">
        <v>45860</v>
      </c>
      <c r="G3206">
        <v>202604</v>
      </c>
      <c r="H3206" t="s">
        <v>75</v>
      </c>
      <c r="I3206" t="s">
        <v>76</v>
      </c>
      <c r="J3206" t="s">
        <v>77</v>
      </c>
      <c r="K3206" t="s">
        <v>78</v>
      </c>
      <c r="L3206" t="s">
        <v>168</v>
      </c>
      <c r="M3206" t="s">
        <v>169</v>
      </c>
      <c r="N3206" t="s">
        <v>202</v>
      </c>
      <c r="O3206" t="s">
        <v>82</v>
      </c>
      <c r="P3206" t="str">
        <f>"4170050247                    "</f>
        <v xml:space="preserve">4170050247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22.6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71.2</v>
      </c>
      <c r="BM3206">
        <v>10.68</v>
      </c>
      <c r="BN3206">
        <v>81.88</v>
      </c>
      <c r="BO3206">
        <v>81.88</v>
      </c>
      <c r="BQ3206" t="s">
        <v>203</v>
      </c>
      <c r="BR3206" t="s">
        <v>84</v>
      </c>
      <c r="BS3206" s="3">
        <v>45861</v>
      </c>
      <c r="BT3206" s="4">
        <v>0.40902777777777777</v>
      </c>
      <c r="BU3206" t="s">
        <v>1127</v>
      </c>
      <c r="BV3206" t="s">
        <v>98</v>
      </c>
      <c r="BY3206">
        <v>1200</v>
      </c>
      <c r="CA3206" t="s">
        <v>205</v>
      </c>
      <c r="CC3206" t="s">
        <v>169</v>
      </c>
      <c r="CD3206">
        <v>6001</v>
      </c>
      <c r="CE3206" t="s">
        <v>121</v>
      </c>
      <c r="CF3206" s="3">
        <v>45861</v>
      </c>
      <c r="CI3206">
        <v>1</v>
      </c>
      <c r="CJ3206">
        <v>1</v>
      </c>
      <c r="CK3206">
        <v>21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"080066721136"</f>
        <v>080066721136</v>
      </c>
      <c r="F3207" s="3">
        <v>45860</v>
      </c>
      <c r="G3207">
        <v>202604</v>
      </c>
      <c r="H3207" t="s">
        <v>75</v>
      </c>
      <c r="I3207" t="s">
        <v>76</v>
      </c>
      <c r="J3207" t="s">
        <v>77</v>
      </c>
      <c r="K3207" t="s">
        <v>78</v>
      </c>
      <c r="L3207" t="s">
        <v>135</v>
      </c>
      <c r="M3207" t="s">
        <v>136</v>
      </c>
      <c r="N3207" t="s">
        <v>379</v>
      </c>
      <c r="O3207" t="s">
        <v>82</v>
      </c>
      <c r="P3207" t="str">
        <f>"4170050262                    "</f>
        <v xml:space="preserve">4170050262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22.6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0.6</v>
      </c>
      <c r="BK3207">
        <v>1</v>
      </c>
      <c r="BL3207">
        <v>71.2</v>
      </c>
      <c r="BM3207">
        <v>10.68</v>
      </c>
      <c r="BN3207">
        <v>81.88</v>
      </c>
      <c r="BO3207">
        <v>81.88</v>
      </c>
      <c r="BQ3207" t="s">
        <v>380</v>
      </c>
      <c r="BR3207" t="s">
        <v>84</v>
      </c>
      <c r="BS3207" s="3">
        <v>45861</v>
      </c>
      <c r="BT3207" s="4">
        <v>0.54166666666666663</v>
      </c>
      <c r="BU3207" t="s">
        <v>3170</v>
      </c>
      <c r="BV3207" t="s">
        <v>98</v>
      </c>
      <c r="BY3207">
        <v>3192</v>
      </c>
      <c r="CA3207" t="s">
        <v>382</v>
      </c>
      <c r="CC3207" t="s">
        <v>136</v>
      </c>
      <c r="CD3207">
        <v>3212</v>
      </c>
      <c r="CE3207" t="s">
        <v>259</v>
      </c>
      <c r="CF3207" s="3">
        <v>45862</v>
      </c>
      <c r="CI3207">
        <v>2</v>
      </c>
      <c r="CJ3207">
        <v>1</v>
      </c>
      <c r="CK3207">
        <v>21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"080066721173"</f>
        <v>080066721173</v>
      </c>
      <c r="F3208" s="3">
        <v>45860</v>
      </c>
      <c r="G3208">
        <v>202604</v>
      </c>
      <c r="H3208" t="s">
        <v>75</v>
      </c>
      <c r="I3208" t="s">
        <v>76</v>
      </c>
      <c r="J3208" t="s">
        <v>77</v>
      </c>
      <c r="K3208" t="s">
        <v>78</v>
      </c>
      <c r="L3208" t="s">
        <v>168</v>
      </c>
      <c r="M3208" t="s">
        <v>169</v>
      </c>
      <c r="N3208" t="s">
        <v>206</v>
      </c>
      <c r="O3208" t="s">
        <v>82</v>
      </c>
      <c r="P3208" t="str">
        <f>"4170050254                    "</f>
        <v xml:space="preserve">4170050254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22.6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71.2</v>
      </c>
      <c r="BM3208">
        <v>10.68</v>
      </c>
      <c r="BN3208">
        <v>81.88</v>
      </c>
      <c r="BO3208">
        <v>81.88</v>
      </c>
      <c r="BQ3208" t="s">
        <v>207</v>
      </c>
      <c r="BR3208" t="s">
        <v>84</v>
      </c>
      <c r="BS3208" s="3">
        <v>45861</v>
      </c>
      <c r="BT3208" s="4">
        <v>0.40138888888888891</v>
      </c>
      <c r="BU3208" t="s">
        <v>2957</v>
      </c>
      <c r="BV3208" t="s">
        <v>98</v>
      </c>
      <c r="BY3208">
        <v>1200</v>
      </c>
      <c r="CA3208" t="s">
        <v>196</v>
      </c>
      <c r="CC3208" t="s">
        <v>169</v>
      </c>
      <c r="CD3208">
        <v>6001</v>
      </c>
      <c r="CE3208" t="s">
        <v>121</v>
      </c>
      <c r="CF3208" s="3">
        <v>45861</v>
      </c>
      <c r="CI3208">
        <v>1</v>
      </c>
      <c r="CJ3208">
        <v>1</v>
      </c>
      <c r="CK3208">
        <v>21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"080066721175"</f>
        <v>080066721175</v>
      </c>
      <c r="F3209" s="3">
        <v>45860</v>
      </c>
      <c r="G3209">
        <v>202604</v>
      </c>
      <c r="H3209" t="s">
        <v>75</v>
      </c>
      <c r="I3209" t="s">
        <v>76</v>
      </c>
      <c r="J3209" t="s">
        <v>77</v>
      </c>
      <c r="K3209" t="s">
        <v>78</v>
      </c>
      <c r="L3209" t="s">
        <v>146</v>
      </c>
      <c r="M3209" t="s">
        <v>146</v>
      </c>
      <c r="N3209" t="s">
        <v>3217</v>
      </c>
      <c r="O3209" t="s">
        <v>82</v>
      </c>
      <c r="P3209" t="str">
        <f>"4170050169                    "</f>
        <v xml:space="preserve">4170050169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43.78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0.6</v>
      </c>
      <c r="BK3209">
        <v>1</v>
      </c>
      <c r="BL3209">
        <v>137.94</v>
      </c>
      <c r="BM3209">
        <v>20.69</v>
      </c>
      <c r="BN3209">
        <v>158.63</v>
      </c>
      <c r="BO3209">
        <v>158.63</v>
      </c>
      <c r="BQ3209" t="s">
        <v>3218</v>
      </c>
      <c r="BR3209" t="s">
        <v>84</v>
      </c>
      <c r="BS3209" s="3">
        <v>45861</v>
      </c>
      <c r="BT3209" s="4">
        <v>0.52569444444444446</v>
      </c>
      <c r="BU3209" t="s">
        <v>3219</v>
      </c>
      <c r="BV3209" t="s">
        <v>98</v>
      </c>
      <c r="BY3209">
        <v>3192</v>
      </c>
      <c r="CA3209" t="s">
        <v>150</v>
      </c>
      <c r="CC3209" t="s">
        <v>146</v>
      </c>
      <c r="CD3209">
        <v>7646</v>
      </c>
      <c r="CE3209" t="s">
        <v>145</v>
      </c>
      <c r="CF3209" s="3">
        <v>45862</v>
      </c>
      <c r="CI3209">
        <v>1</v>
      </c>
      <c r="CJ3209">
        <v>1</v>
      </c>
      <c r="CK3209">
        <v>23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"080066721215"</f>
        <v>080066721215</v>
      </c>
      <c r="F3210" s="3">
        <v>45860</v>
      </c>
      <c r="G3210">
        <v>202604</v>
      </c>
      <c r="H3210" t="s">
        <v>75</v>
      </c>
      <c r="I3210" t="s">
        <v>76</v>
      </c>
      <c r="J3210" t="s">
        <v>77</v>
      </c>
      <c r="K3210" t="s">
        <v>78</v>
      </c>
      <c r="L3210" t="s">
        <v>604</v>
      </c>
      <c r="M3210" t="s">
        <v>605</v>
      </c>
      <c r="N3210" t="s">
        <v>606</v>
      </c>
      <c r="O3210" t="s">
        <v>82</v>
      </c>
      <c r="P3210" t="str">
        <f>"4170050003                    "</f>
        <v xml:space="preserve">4170050003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43.78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2</v>
      </c>
      <c r="BJ3210">
        <v>1.9</v>
      </c>
      <c r="BK3210">
        <v>2</v>
      </c>
      <c r="BL3210">
        <v>137.94</v>
      </c>
      <c r="BM3210">
        <v>20.69</v>
      </c>
      <c r="BN3210">
        <v>158.63</v>
      </c>
      <c r="BO3210">
        <v>158.63</v>
      </c>
      <c r="BQ3210" t="s">
        <v>607</v>
      </c>
      <c r="BR3210" t="s">
        <v>84</v>
      </c>
      <c r="BS3210" s="3">
        <v>45862</v>
      </c>
      <c r="BT3210" s="4">
        <v>0.5625</v>
      </c>
      <c r="BU3210" t="s">
        <v>3220</v>
      </c>
      <c r="BV3210" t="s">
        <v>98</v>
      </c>
      <c r="BY3210">
        <v>9600</v>
      </c>
      <c r="CA3210" t="s">
        <v>609</v>
      </c>
      <c r="CC3210" t="s">
        <v>605</v>
      </c>
      <c r="CD3210">
        <v>4490</v>
      </c>
      <c r="CE3210" t="s">
        <v>145</v>
      </c>
      <c r="CF3210" s="3">
        <v>45862</v>
      </c>
      <c r="CI3210">
        <v>5</v>
      </c>
      <c r="CJ3210">
        <v>2</v>
      </c>
      <c r="CK3210">
        <v>23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"080066721226"</f>
        <v>080066721226</v>
      </c>
      <c r="F3211" s="3">
        <v>45860</v>
      </c>
      <c r="G3211">
        <v>202604</v>
      </c>
      <c r="H3211" t="s">
        <v>75</v>
      </c>
      <c r="I3211" t="s">
        <v>76</v>
      </c>
      <c r="J3211" t="s">
        <v>77</v>
      </c>
      <c r="K3211" t="s">
        <v>78</v>
      </c>
      <c r="L3211" t="s">
        <v>79</v>
      </c>
      <c r="M3211" t="s">
        <v>80</v>
      </c>
      <c r="N3211" t="s">
        <v>286</v>
      </c>
      <c r="O3211" t="s">
        <v>82</v>
      </c>
      <c r="P3211" t="str">
        <f>"4170050163                    "</f>
        <v xml:space="preserve">4170050163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22.6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71.2</v>
      </c>
      <c r="BM3211">
        <v>10.68</v>
      </c>
      <c r="BN3211">
        <v>81.88</v>
      </c>
      <c r="BO3211">
        <v>81.88</v>
      </c>
      <c r="BQ3211" t="s">
        <v>287</v>
      </c>
      <c r="BR3211" t="s">
        <v>84</v>
      </c>
      <c r="BS3211" s="3">
        <v>45861</v>
      </c>
      <c r="BT3211" s="4">
        <v>0.32013888888888886</v>
      </c>
      <c r="BU3211" t="s">
        <v>288</v>
      </c>
      <c r="BV3211" t="s">
        <v>98</v>
      </c>
      <c r="BY3211">
        <v>1200</v>
      </c>
      <c r="CA3211" t="s">
        <v>289</v>
      </c>
      <c r="CC3211" t="s">
        <v>80</v>
      </c>
      <c r="CD3211">
        <v>7530</v>
      </c>
      <c r="CE3211" t="s">
        <v>121</v>
      </c>
      <c r="CF3211" s="3">
        <v>45862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"080066721251"</f>
        <v>080066721251</v>
      </c>
      <c r="F3212" s="3">
        <v>45860</v>
      </c>
      <c r="G3212">
        <v>202604</v>
      </c>
      <c r="H3212" t="s">
        <v>75</v>
      </c>
      <c r="I3212" t="s">
        <v>76</v>
      </c>
      <c r="J3212" t="s">
        <v>77</v>
      </c>
      <c r="K3212" t="s">
        <v>78</v>
      </c>
      <c r="L3212" t="s">
        <v>350</v>
      </c>
      <c r="M3212" t="s">
        <v>351</v>
      </c>
      <c r="N3212" t="s">
        <v>3034</v>
      </c>
      <c r="O3212" t="s">
        <v>82</v>
      </c>
      <c r="P3212" t="str">
        <f>"4170050150                    "</f>
        <v xml:space="preserve">4170050150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22.6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71.2</v>
      </c>
      <c r="BM3212">
        <v>10.68</v>
      </c>
      <c r="BN3212">
        <v>81.88</v>
      </c>
      <c r="BO3212">
        <v>81.88</v>
      </c>
      <c r="BQ3212" t="s">
        <v>3035</v>
      </c>
      <c r="BR3212" t="s">
        <v>84</v>
      </c>
      <c r="BS3212" s="3">
        <v>45861</v>
      </c>
      <c r="BT3212" s="4">
        <v>0.42430555555555555</v>
      </c>
      <c r="BU3212" t="s">
        <v>3036</v>
      </c>
      <c r="BV3212" t="s">
        <v>98</v>
      </c>
      <c r="BY3212">
        <v>1200</v>
      </c>
      <c r="CA3212" t="s">
        <v>337</v>
      </c>
      <c r="CC3212" t="s">
        <v>351</v>
      </c>
      <c r="CD3212">
        <v>4113</v>
      </c>
      <c r="CE3212" t="s">
        <v>121</v>
      </c>
      <c r="CF3212" s="3">
        <v>45862</v>
      </c>
      <c r="CI3212">
        <v>1</v>
      </c>
      <c r="CJ3212">
        <v>1</v>
      </c>
      <c r="CK3212">
        <v>21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"080066721269"</f>
        <v>080066721269</v>
      </c>
      <c r="F3213" s="3">
        <v>45860</v>
      </c>
      <c r="G3213">
        <v>202604</v>
      </c>
      <c r="H3213" t="s">
        <v>75</v>
      </c>
      <c r="I3213" t="s">
        <v>76</v>
      </c>
      <c r="J3213" t="s">
        <v>77</v>
      </c>
      <c r="K3213" t="s">
        <v>78</v>
      </c>
      <c r="L3213" t="s">
        <v>197</v>
      </c>
      <c r="M3213" t="s">
        <v>198</v>
      </c>
      <c r="N3213" t="s">
        <v>1055</v>
      </c>
      <c r="O3213" t="s">
        <v>82</v>
      </c>
      <c r="P3213" t="str">
        <f>"4170050152                    "</f>
        <v xml:space="preserve">4170050152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17.649999999999999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2</v>
      </c>
      <c r="BJ3213">
        <v>0.9</v>
      </c>
      <c r="BK3213">
        <v>2</v>
      </c>
      <c r="BL3213">
        <v>55.61</v>
      </c>
      <c r="BM3213">
        <v>8.34</v>
      </c>
      <c r="BN3213">
        <v>63.95</v>
      </c>
      <c r="BO3213">
        <v>63.95</v>
      </c>
      <c r="BQ3213" t="s">
        <v>1056</v>
      </c>
      <c r="BR3213" t="s">
        <v>84</v>
      </c>
      <c r="BS3213" s="3">
        <v>45861</v>
      </c>
      <c r="BT3213" s="4">
        <v>0.39027777777777778</v>
      </c>
      <c r="BU3213" t="s">
        <v>3221</v>
      </c>
      <c r="BV3213" t="s">
        <v>98</v>
      </c>
      <c r="BY3213">
        <v>4275</v>
      </c>
      <c r="CA3213" t="s">
        <v>3222</v>
      </c>
      <c r="CC3213" t="s">
        <v>198</v>
      </c>
      <c r="CD3213">
        <v>1401</v>
      </c>
      <c r="CE3213" t="s">
        <v>259</v>
      </c>
      <c r="CF3213" s="3">
        <v>45861</v>
      </c>
      <c r="CI3213">
        <v>1</v>
      </c>
      <c r="CJ3213">
        <v>1</v>
      </c>
      <c r="CK3213">
        <v>22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"080066721279"</f>
        <v>080066721279</v>
      </c>
      <c r="F3214" s="3">
        <v>45860</v>
      </c>
      <c r="G3214">
        <v>202604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619</v>
      </c>
      <c r="O3214" t="s">
        <v>82</v>
      </c>
      <c r="P3214" t="str">
        <f>"4170050166                    "</f>
        <v xml:space="preserve">4170050166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17.649999999999999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55.61</v>
      </c>
      <c r="BM3214">
        <v>8.34</v>
      </c>
      <c r="BN3214">
        <v>63.95</v>
      </c>
      <c r="BO3214">
        <v>63.95</v>
      </c>
      <c r="BQ3214" t="s">
        <v>620</v>
      </c>
      <c r="BR3214" t="s">
        <v>84</v>
      </c>
      <c r="BS3214" s="3">
        <v>45861</v>
      </c>
      <c r="BT3214" s="4">
        <v>0.4375</v>
      </c>
      <c r="BU3214" t="s">
        <v>2437</v>
      </c>
      <c r="BV3214" t="s">
        <v>98</v>
      </c>
      <c r="BY3214">
        <v>1200</v>
      </c>
      <c r="CA3214" t="s">
        <v>213</v>
      </c>
      <c r="CC3214" t="s">
        <v>76</v>
      </c>
      <c r="CD3214">
        <v>1618</v>
      </c>
      <c r="CE3214" t="s">
        <v>121</v>
      </c>
      <c r="CF3214" s="3">
        <v>45861</v>
      </c>
      <c r="CI3214">
        <v>1</v>
      </c>
      <c r="CJ3214">
        <v>1</v>
      </c>
      <c r="CK3214">
        <v>22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"080066721301"</f>
        <v>080066721301</v>
      </c>
      <c r="F3215" s="3">
        <v>45860</v>
      </c>
      <c r="G3215">
        <v>202604</v>
      </c>
      <c r="H3215" t="s">
        <v>75</v>
      </c>
      <c r="I3215" t="s">
        <v>76</v>
      </c>
      <c r="J3215" t="s">
        <v>77</v>
      </c>
      <c r="K3215" t="s">
        <v>78</v>
      </c>
      <c r="L3215" t="s">
        <v>240</v>
      </c>
      <c r="M3215" t="s">
        <v>241</v>
      </c>
      <c r="N3215" t="s">
        <v>1366</v>
      </c>
      <c r="O3215" t="s">
        <v>82</v>
      </c>
      <c r="P3215" t="str">
        <f>"4170050204                    "</f>
        <v xml:space="preserve">4170050204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17.649999999999999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55.61</v>
      </c>
      <c r="BM3215">
        <v>8.34</v>
      </c>
      <c r="BN3215">
        <v>63.95</v>
      </c>
      <c r="BO3215">
        <v>63.95</v>
      </c>
      <c r="BQ3215" t="s">
        <v>1367</v>
      </c>
      <c r="BR3215" t="s">
        <v>84</v>
      </c>
      <c r="BS3215" s="3">
        <v>45861</v>
      </c>
      <c r="BT3215" s="4">
        <v>0.3888888888888889</v>
      </c>
      <c r="BU3215" t="s">
        <v>3223</v>
      </c>
      <c r="BV3215" t="s">
        <v>98</v>
      </c>
      <c r="BY3215">
        <v>1200</v>
      </c>
      <c r="CA3215" t="s">
        <v>451</v>
      </c>
      <c r="CC3215" t="s">
        <v>241</v>
      </c>
      <c r="CD3215">
        <v>2022</v>
      </c>
      <c r="CE3215" t="s">
        <v>121</v>
      </c>
      <c r="CF3215" s="3">
        <v>45861</v>
      </c>
      <c r="CI3215">
        <v>1</v>
      </c>
      <c r="CJ3215">
        <v>1</v>
      </c>
      <c r="CK3215">
        <v>22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"080066721327"</f>
        <v>080066721327</v>
      </c>
      <c r="F3216" s="3">
        <v>45860</v>
      </c>
      <c r="G3216">
        <v>202604</v>
      </c>
      <c r="H3216" t="s">
        <v>75</v>
      </c>
      <c r="I3216" t="s">
        <v>76</v>
      </c>
      <c r="J3216" t="s">
        <v>77</v>
      </c>
      <c r="K3216" t="s">
        <v>78</v>
      </c>
      <c r="L3216" t="s">
        <v>554</v>
      </c>
      <c r="M3216" t="s">
        <v>555</v>
      </c>
      <c r="N3216" t="s">
        <v>2163</v>
      </c>
      <c r="O3216" t="s">
        <v>95</v>
      </c>
      <c r="P3216" t="str">
        <f>"4170050123                    "</f>
        <v xml:space="preserve">4170050123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43.7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2</v>
      </c>
      <c r="BI3216">
        <v>5</v>
      </c>
      <c r="BJ3216">
        <v>8.1999999999999993</v>
      </c>
      <c r="BK3216">
        <v>9</v>
      </c>
      <c r="BL3216">
        <v>143.55000000000001</v>
      </c>
      <c r="BM3216">
        <v>21.53</v>
      </c>
      <c r="BN3216">
        <v>165.08</v>
      </c>
      <c r="BO3216">
        <v>165.08</v>
      </c>
      <c r="BQ3216" t="s">
        <v>2164</v>
      </c>
      <c r="BR3216" t="s">
        <v>84</v>
      </c>
      <c r="BS3216" s="3">
        <v>45861</v>
      </c>
      <c r="BT3216" s="4">
        <v>0.34236111111111112</v>
      </c>
      <c r="BU3216" t="s">
        <v>3160</v>
      </c>
      <c r="BV3216" t="s">
        <v>98</v>
      </c>
      <c r="BY3216">
        <v>40980</v>
      </c>
      <c r="CA3216" t="s">
        <v>156</v>
      </c>
      <c r="CC3216" t="s">
        <v>555</v>
      </c>
      <c r="CD3216" s="5" t="s">
        <v>560</v>
      </c>
      <c r="CE3216" t="s">
        <v>121</v>
      </c>
      <c r="CF3216" s="3">
        <v>45861</v>
      </c>
      <c r="CI3216">
        <v>1</v>
      </c>
      <c r="CJ3216">
        <v>1</v>
      </c>
      <c r="CK3216">
        <v>41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"080066721342"</f>
        <v>080066721342</v>
      </c>
      <c r="F3217" s="3">
        <v>45860</v>
      </c>
      <c r="G3217">
        <v>202604</v>
      </c>
      <c r="H3217" t="s">
        <v>75</v>
      </c>
      <c r="I3217" t="s">
        <v>76</v>
      </c>
      <c r="J3217" t="s">
        <v>77</v>
      </c>
      <c r="K3217" t="s">
        <v>78</v>
      </c>
      <c r="L3217" t="s">
        <v>92</v>
      </c>
      <c r="M3217" t="s">
        <v>93</v>
      </c>
      <c r="N3217" t="s">
        <v>749</v>
      </c>
      <c r="O3217" t="s">
        <v>82</v>
      </c>
      <c r="P3217" t="str">
        <f>"4170050293                    "</f>
        <v xml:space="preserve">4170050293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22.6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2</v>
      </c>
      <c r="BK3217">
        <v>2</v>
      </c>
      <c r="BL3217">
        <v>71.2</v>
      </c>
      <c r="BM3217">
        <v>10.68</v>
      </c>
      <c r="BN3217">
        <v>81.88</v>
      </c>
      <c r="BO3217">
        <v>81.88</v>
      </c>
      <c r="BQ3217" t="s">
        <v>750</v>
      </c>
      <c r="BR3217" t="s">
        <v>84</v>
      </c>
      <c r="BS3217" s="3">
        <v>45861</v>
      </c>
      <c r="BT3217" s="4">
        <v>0.38124999999999998</v>
      </c>
      <c r="BU3217" t="s">
        <v>1897</v>
      </c>
      <c r="BV3217" t="s">
        <v>98</v>
      </c>
      <c r="BY3217">
        <v>9900</v>
      </c>
      <c r="CA3217" t="s">
        <v>491</v>
      </c>
      <c r="CC3217" t="s">
        <v>93</v>
      </c>
      <c r="CD3217">
        <v>4001</v>
      </c>
      <c r="CE3217" t="s">
        <v>145</v>
      </c>
      <c r="CF3217" s="3">
        <v>45861</v>
      </c>
      <c r="CI3217">
        <v>1</v>
      </c>
      <c r="CJ3217">
        <v>1</v>
      </c>
      <c r="CK3217">
        <v>21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"080066721382"</f>
        <v>080066721382</v>
      </c>
      <c r="F3218" s="3">
        <v>45860</v>
      </c>
      <c r="G3218">
        <v>202604</v>
      </c>
      <c r="H3218" t="s">
        <v>75</v>
      </c>
      <c r="I3218" t="s">
        <v>76</v>
      </c>
      <c r="J3218" t="s">
        <v>77</v>
      </c>
      <c r="K3218" t="s">
        <v>78</v>
      </c>
      <c r="L3218" t="s">
        <v>221</v>
      </c>
      <c r="M3218" t="s">
        <v>222</v>
      </c>
      <c r="N3218" t="s">
        <v>223</v>
      </c>
      <c r="O3218" t="s">
        <v>82</v>
      </c>
      <c r="P3218" t="str">
        <f>"4170050238                    "</f>
        <v xml:space="preserve">4170050238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103.1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5</v>
      </c>
      <c r="BJ3218">
        <v>1.6</v>
      </c>
      <c r="BK3218">
        <v>5</v>
      </c>
      <c r="BL3218">
        <v>324.82</v>
      </c>
      <c r="BM3218">
        <v>48.72</v>
      </c>
      <c r="BN3218">
        <v>373.54</v>
      </c>
      <c r="BO3218">
        <v>373.54</v>
      </c>
      <c r="BQ3218" t="s">
        <v>224</v>
      </c>
      <c r="BR3218" t="s">
        <v>84</v>
      </c>
      <c r="BS3218" s="3">
        <v>45861</v>
      </c>
      <c r="BT3218" s="4">
        <v>0.41666666666666669</v>
      </c>
      <c r="BU3218" t="s">
        <v>1707</v>
      </c>
      <c r="BV3218" t="s">
        <v>98</v>
      </c>
      <c r="BY3218">
        <v>8100</v>
      </c>
      <c r="CC3218" t="s">
        <v>222</v>
      </c>
      <c r="CD3218">
        <v>2740</v>
      </c>
      <c r="CE3218" t="s">
        <v>91</v>
      </c>
      <c r="CF3218" s="3">
        <v>45862</v>
      </c>
      <c r="CI3218">
        <v>1</v>
      </c>
      <c r="CJ3218">
        <v>1</v>
      </c>
      <c r="CK3218">
        <v>23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"080066721426"</f>
        <v>080066721426</v>
      </c>
      <c r="F3219" s="3">
        <v>45860</v>
      </c>
      <c r="G3219">
        <v>202604</v>
      </c>
      <c r="H3219" t="s">
        <v>75</v>
      </c>
      <c r="I3219" t="s">
        <v>76</v>
      </c>
      <c r="J3219" t="s">
        <v>77</v>
      </c>
      <c r="K3219" t="s">
        <v>78</v>
      </c>
      <c r="L3219" t="s">
        <v>168</v>
      </c>
      <c r="M3219" t="s">
        <v>169</v>
      </c>
      <c r="N3219" t="s">
        <v>206</v>
      </c>
      <c r="O3219" t="s">
        <v>82</v>
      </c>
      <c r="P3219" t="str">
        <f>"4170050280                    "</f>
        <v xml:space="preserve">4170050280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90.34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8</v>
      </c>
      <c r="BJ3219">
        <v>2</v>
      </c>
      <c r="BK3219">
        <v>8</v>
      </c>
      <c r="BL3219">
        <v>284.62</v>
      </c>
      <c r="BM3219">
        <v>42.69</v>
      </c>
      <c r="BN3219">
        <v>327.31</v>
      </c>
      <c r="BO3219">
        <v>327.31</v>
      </c>
      <c r="BQ3219" t="s">
        <v>207</v>
      </c>
      <c r="BR3219" t="s">
        <v>84</v>
      </c>
      <c r="BS3219" s="3">
        <v>45861</v>
      </c>
      <c r="BT3219" s="4">
        <v>0.40138888888888891</v>
      </c>
      <c r="BU3219" t="s">
        <v>2957</v>
      </c>
      <c r="BV3219" t="s">
        <v>98</v>
      </c>
      <c r="BY3219">
        <v>9918</v>
      </c>
      <c r="CA3219" t="s">
        <v>196</v>
      </c>
      <c r="CC3219" t="s">
        <v>169</v>
      </c>
      <c r="CD3219">
        <v>6001</v>
      </c>
      <c r="CE3219" t="s">
        <v>145</v>
      </c>
      <c r="CF3219" s="3">
        <v>45861</v>
      </c>
      <c r="CI3219">
        <v>1</v>
      </c>
      <c r="CJ3219">
        <v>1</v>
      </c>
      <c r="CK3219">
        <v>21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"080066721474"</f>
        <v>080066721474</v>
      </c>
      <c r="F3220" s="3">
        <v>45860</v>
      </c>
      <c r="G3220">
        <v>202604</v>
      </c>
      <c r="H3220" t="s">
        <v>75</v>
      </c>
      <c r="I3220" t="s">
        <v>76</v>
      </c>
      <c r="J3220" t="s">
        <v>77</v>
      </c>
      <c r="K3220" t="s">
        <v>78</v>
      </c>
      <c r="L3220" t="s">
        <v>79</v>
      </c>
      <c r="M3220" t="s">
        <v>80</v>
      </c>
      <c r="N3220" t="s">
        <v>1440</v>
      </c>
      <c r="O3220" t="s">
        <v>82</v>
      </c>
      <c r="P3220" t="str">
        <f>"4170050014                    "</f>
        <v xml:space="preserve">4170050014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50.82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4.0999999999999996</v>
      </c>
      <c r="BK3220">
        <v>4.5</v>
      </c>
      <c r="BL3220">
        <v>160.12</v>
      </c>
      <c r="BM3220">
        <v>24.02</v>
      </c>
      <c r="BN3220">
        <v>184.14</v>
      </c>
      <c r="BO3220">
        <v>184.14</v>
      </c>
      <c r="BQ3220" t="s">
        <v>1441</v>
      </c>
      <c r="BR3220" t="s">
        <v>84</v>
      </c>
      <c r="BS3220" s="3">
        <v>45862</v>
      </c>
      <c r="BT3220" s="4">
        <v>0.55208333333333337</v>
      </c>
      <c r="BU3220" t="s">
        <v>534</v>
      </c>
      <c r="BV3220" t="s">
        <v>86</v>
      </c>
      <c r="BY3220">
        <v>20358</v>
      </c>
      <c r="CA3220" t="s">
        <v>535</v>
      </c>
      <c r="CC3220" t="s">
        <v>80</v>
      </c>
      <c r="CD3220">
        <v>8001</v>
      </c>
      <c r="CE3220" t="s">
        <v>145</v>
      </c>
      <c r="CI3220">
        <v>1</v>
      </c>
      <c r="CJ3220">
        <v>2</v>
      </c>
      <c r="CK3220">
        <v>21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"080066721809"</f>
        <v>080066721809</v>
      </c>
      <c r="F3221" s="3">
        <v>45860</v>
      </c>
      <c r="G3221">
        <v>202604</v>
      </c>
      <c r="H3221" t="s">
        <v>75</v>
      </c>
      <c r="I3221" t="s">
        <v>76</v>
      </c>
      <c r="J3221" t="s">
        <v>77</v>
      </c>
      <c r="K3221" t="s">
        <v>78</v>
      </c>
      <c r="L3221" t="s">
        <v>151</v>
      </c>
      <c r="M3221" t="s">
        <v>152</v>
      </c>
      <c r="N3221" t="s">
        <v>1349</v>
      </c>
      <c r="O3221" t="s">
        <v>82</v>
      </c>
      <c r="P3221" t="str">
        <f>"4170050217                    "</f>
        <v xml:space="preserve">4170050217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22.6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71.2</v>
      </c>
      <c r="BM3221">
        <v>10.68</v>
      </c>
      <c r="BN3221">
        <v>81.88</v>
      </c>
      <c r="BO3221">
        <v>81.88</v>
      </c>
      <c r="BQ3221" t="s">
        <v>1350</v>
      </c>
      <c r="BR3221" t="s">
        <v>84</v>
      </c>
      <c r="BS3221" s="3">
        <v>45861</v>
      </c>
      <c r="BT3221" s="4">
        <v>0.3347222222222222</v>
      </c>
      <c r="BU3221" t="s">
        <v>3224</v>
      </c>
      <c r="BV3221" t="s">
        <v>98</v>
      </c>
      <c r="BY3221">
        <v>1200</v>
      </c>
      <c r="CA3221" t="s">
        <v>1686</v>
      </c>
      <c r="CC3221" t="s">
        <v>152</v>
      </c>
      <c r="CD3221" s="5" t="s">
        <v>157</v>
      </c>
      <c r="CE3221" t="s">
        <v>121</v>
      </c>
      <c r="CF3221" s="3">
        <v>45861</v>
      </c>
      <c r="CI3221">
        <v>1</v>
      </c>
      <c r="CJ3221">
        <v>1</v>
      </c>
      <c r="CK3221">
        <v>21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"080066721821"</f>
        <v>080066721821</v>
      </c>
      <c r="F3222" s="3">
        <v>45860</v>
      </c>
      <c r="G3222">
        <v>202604</v>
      </c>
      <c r="H3222" t="s">
        <v>75</v>
      </c>
      <c r="I3222" t="s">
        <v>76</v>
      </c>
      <c r="J3222" t="s">
        <v>77</v>
      </c>
      <c r="K3222" t="s">
        <v>78</v>
      </c>
      <c r="L3222" t="s">
        <v>168</v>
      </c>
      <c r="M3222" t="s">
        <v>169</v>
      </c>
      <c r="N3222" t="s">
        <v>206</v>
      </c>
      <c r="O3222" t="s">
        <v>82</v>
      </c>
      <c r="P3222" t="str">
        <f>"4170050250                    "</f>
        <v xml:space="preserve">4170050250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22.6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71.2</v>
      </c>
      <c r="BM3222">
        <v>10.68</v>
      </c>
      <c r="BN3222">
        <v>81.88</v>
      </c>
      <c r="BO3222">
        <v>81.88</v>
      </c>
      <c r="BQ3222" t="s">
        <v>207</v>
      </c>
      <c r="BR3222" t="s">
        <v>84</v>
      </c>
      <c r="BS3222" s="3">
        <v>45861</v>
      </c>
      <c r="BT3222" s="4">
        <v>0.40138888888888891</v>
      </c>
      <c r="BU3222" t="s">
        <v>2957</v>
      </c>
      <c r="BV3222" t="s">
        <v>98</v>
      </c>
      <c r="BY3222">
        <v>1200</v>
      </c>
      <c r="CA3222" t="s">
        <v>196</v>
      </c>
      <c r="CC3222" t="s">
        <v>169</v>
      </c>
      <c r="CD3222">
        <v>6001</v>
      </c>
      <c r="CE3222" t="s">
        <v>121</v>
      </c>
      <c r="CF3222" s="3">
        <v>45861</v>
      </c>
      <c r="CI3222">
        <v>1</v>
      </c>
      <c r="CJ3222">
        <v>1</v>
      </c>
      <c r="CK3222">
        <v>21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"080066721834"</f>
        <v>080066721834</v>
      </c>
      <c r="F3223" s="3">
        <v>45860</v>
      </c>
      <c r="G3223">
        <v>202604</v>
      </c>
      <c r="H3223" t="s">
        <v>75</v>
      </c>
      <c r="I3223" t="s">
        <v>76</v>
      </c>
      <c r="J3223" t="s">
        <v>77</v>
      </c>
      <c r="K3223" t="s">
        <v>78</v>
      </c>
      <c r="L3223" t="s">
        <v>122</v>
      </c>
      <c r="M3223" t="s">
        <v>123</v>
      </c>
      <c r="N3223" t="s">
        <v>283</v>
      </c>
      <c r="O3223" t="s">
        <v>82</v>
      </c>
      <c r="P3223" t="str">
        <f>"4170050053                    "</f>
        <v xml:space="preserve">4170050053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90.34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8</v>
      </c>
      <c r="BJ3223">
        <v>3.2</v>
      </c>
      <c r="BK3223">
        <v>8</v>
      </c>
      <c r="BL3223">
        <v>284.62</v>
      </c>
      <c r="BM3223">
        <v>42.69</v>
      </c>
      <c r="BN3223">
        <v>327.31</v>
      </c>
      <c r="BO3223">
        <v>327.31</v>
      </c>
      <c r="BQ3223" t="s">
        <v>284</v>
      </c>
      <c r="BR3223" t="s">
        <v>84</v>
      </c>
      <c r="BS3223" s="3">
        <v>45861</v>
      </c>
      <c r="BT3223" s="4">
        <v>0.37430555555555556</v>
      </c>
      <c r="BU3223" t="s">
        <v>3225</v>
      </c>
      <c r="BV3223" t="s">
        <v>98</v>
      </c>
      <c r="BY3223">
        <v>16128</v>
      </c>
      <c r="CA3223" t="s">
        <v>187</v>
      </c>
      <c r="CC3223" t="s">
        <v>123</v>
      </c>
      <c r="CD3223">
        <v>3608</v>
      </c>
      <c r="CE3223" t="s">
        <v>145</v>
      </c>
      <c r="CF3223" s="3">
        <v>45861</v>
      </c>
      <c r="CI3223">
        <v>1</v>
      </c>
      <c r="CJ3223">
        <v>1</v>
      </c>
      <c r="CK3223">
        <v>21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"080066721914"</f>
        <v>080066721914</v>
      </c>
      <c r="F3224" s="3">
        <v>45860</v>
      </c>
      <c r="G3224">
        <v>202604</v>
      </c>
      <c r="H3224" t="s">
        <v>75</v>
      </c>
      <c r="I3224" t="s">
        <v>76</v>
      </c>
      <c r="J3224" t="s">
        <v>77</v>
      </c>
      <c r="K3224" t="s">
        <v>78</v>
      </c>
      <c r="L3224" t="s">
        <v>542</v>
      </c>
      <c r="M3224" t="s">
        <v>543</v>
      </c>
      <c r="N3224" t="s">
        <v>745</v>
      </c>
      <c r="O3224" t="s">
        <v>82</v>
      </c>
      <c r="P3224" t="str">
        <f>"4170050192                    "</f>
        <v xml:space="preserve">4170050192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17.649999999999999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1.9</v>
      </c>
      <c r="BK3224">
        <v>2</v>
      </c>
      <c r="BL3224">
        <v>55.61</v>
      </c>
      <c r="BM3224">
        <v>8.34</v>
      </c>
      <c r="BN3224">
        <v>63.95</v>
      </c>
      <c r="BO3224">
        <v>63.95</v>
      </c>
      <c r="BQ3224" t="s">
        <v>746</v>
      </c>
      <c r="BR3224" t="s">
        <v>84</v>
      </c>
      <c r="BS3224" s="3">
        <v>45861</v>
      </c>
      <c r="BT3224" s="4">
        <v>0.3972222222222222</v>
      </c>
      <c r="BU3224" t="s">
        <v>2026</v>
      </c>
      <c r="BV3224" t="s">
        <v>98</v>
      </c>
      <c r="BY3224">
        <v>9600</v>
      </c>
      <c r="CA3224" t="s">
        <v>748</v>
      </c>
      <c r="CC3224" t="s">
        <v>543</v>
      </c>
      <c r="CD3224">
        <v>1451</v>
      </c>
      <c r="CE3224" t="s">
        <v>145</v>
      </c>
      <c r="CF3224" s="3">
        <v>45861</v>
      </c>
      <c r="CI3224">
        <v>1</v>
      </c>
      <c r="CJ3224">
        <v>1</v>
      </c>
      <c r="CK3224">
        <v>22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"080066721979"</f>
        <v>080066721979</v>
      </c>
      <c r="F3225" s="3">
        <v>45860</v>
      </c>
      <c r="G3225">
        <v>202604</v>
      </c>
      <c r="H3225" t="s">
        <v>75</v>
      </c>
      <c r="I3225" t="s">
        <v>76</v>
      </c>
      <c r="J3225" t="s">
        <v>77</v>
      </c>
      <c r="K3225" t="s">
        <v>78</v>
      </c>
      <c r="L3225" t="s">
        <v>3226</v>
      </c>
      <c r="M3225" t="s">
        <v>3227</v>
      </c>
      <c r="N3225" t="s">
        <v>3228</v>
      </c>
      <c r="O3225" t="s">
        <v>82</v>
      </c>
      <c r="P3225" t="str">
        <f>"4170049926                    "</f>
        <v xml:space="preserve">4170049926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43.78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1.1000000000000001</v>
      </c>
      <c r="BK3225">
        <v>1.5</v>
      </c>
      <c r="BL3225">
        <v>137.94</v>
      </c>
      <c r="BM3225">
        <v>20.69</v>
      </c>
      <c r="BN3225">
        <v>158.63</v>
      </c>
      <c r="BO3225">
        <v>158.63</v>
      </c>
      <c r="BQ3225" t="s">
        <v>3229</v>
      </c>
      <c r="BR3225" t="s">
        <v>84</v>
      </c>
      <c r="BS3225" s="3">
        <v>45861</v>
      </c>
      <c r="BT3225" s="4">
        <v>0.66041666666666665</v>
      </c>
      <c r="BU3225" t="s">
        <v>3230</v>
      </c>
      <c r="BV3225" t="s">
        <v>86</v>
      </c>
      <c r="BW3225" t="s">
        <v>1395</v>
      </c>
      <c r="BX3225" t="s">
        <v>1396</v>
      </c>
      <c r="BY3225">
        <v>5320</v>
      </c>
      <c r="BZ3225" t="s">
        <v>89</v>
      </c>
      <c r="CA3225" t="s">
        <v>3231</v>
      </c>
      <c r="CC3225" t="s">
        <v>3227</v>
      </c>
      <c r="CD3225" s="5" t="s">
        <v>3232</v>
      </c>
      <c r="CE3225" t="s">
        <v>117</v>
      </c>
      <c r="CF3225" s="3">
        <v>45861</v>
      </c>
      <c r="CI3225">
        <v>1</v>
      </c>
      <c r="CJ3225">
        <v>1</v>
      </c>
      <c r="CK3225">
        <v>23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"080066722016"</f>
        <v>080066722016</v>
      </c>
      <c r="F3226" s="3">
        <v>45860</v>
      </c>
      <c r="G3226">
        <v>202604</v>
      </c>
      <c r="H3226" t="s">
        <v>75</v>
      </c>
      <c r="I3226" t="s">
        <v>76</v>
      </c>
      <c r="J3226" t="s">
        <v>77</v>
      </c>
      <c r="K3226" t="s">
        <v>78</v>
      </c>
      <c r="L3226" t="s">
        <v>79</v>
      </c>
      <c r="M3226" t="s">
        <v>80</v>
      </c>
      <c r="N3226" t="s">
        <v>141</v>
      </c>
      <c r="O3226" t="s">
        <v>82</v>
      </c>
      <c r="P3226" t="str">
        <f>"4170050274                    "</f>
        <v xml:space="preserve">4170050274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22.6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0.6</v>
      </c>
      <c r="BK3226">
        <v>2</v>
      </c>
      <c r="BL3226">
        <v>71.2</v>
      </c>
      <c r="BM3226">
        <v>10.68</v>
      </c>
      <c r="BN3226">
        <v>81.88</v>
      </c>
      <c r="BO3226">
        <v>81.88</v>
      </c>
      <c r="BQ3226" t="s">
        <v>142</v>
      </c>
      <c r="BR3226" t="s">
        <v>84</v>
      </c>
      <c r="BS3226" s="3">
        <v>45861</v>
      </c>
      <c r="BT3226" s="4">
        <v>0.43333333333333335</v>
      </c>
      <c r="BU3226" t="s">
        <v>2437</v>
      </c>
      <c r="BV3226" t="s">
        <v>98</v>
      </c>
      <c r="BY3226">
        <v>3192</v>
      </c>
      <c r="BZ3226" t="s">
        <v>89</v>
      </c>
      <c r="CA3226" t="s">
        <v>144</v>
      </c>
      <c r="CC3226" t="s">
        <v>80</v>
      </c>
      <c r="CD3226">
        <v>7441</v>
      </c>
      <c r="CE3226" t="s">
        <v>117</v>
      </c>
      <c r="CF3226" s="3">
        <v>45862</v>
      </c>
      <c r="CI3226">
        <v>1</v>
      </c>
      <c r="CJ3226">
        <v>1</v>
      </c>
      <c r="CK3226">
        <v>21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"080066722055"</f>
        <v>080066722055</v>
      </c>
      <c r="F3227" s="3">
        <v>45860</v>
      </c>
      <c r="G3227">
        <v>202604</v>
      </c>
      <c r="H3227" t="s">
        <v>75</v>
      </c>
      <c r="I3227" t="s">
        <v>76</v>
      </c>
      <c r="J3227" t="s">
        <v>77</v>
      </c>
      <c r="K3227" t="s">
        <v>78</v>
      </c>
      <c r="L3227" t="s">
        <v>79</v>
      </c>
      <c r="M3227" t="s">
        <v>80</v>
      </c>
      <c r="N3227" t="s">
        <v>141</v>
      </c>
      <c r="O3227" t="s">
        <v>82</v>
      </c>
      <c r="P3227" t="str">
        <f>"4170050273                    "</f>
        <v xml:space="preserve">4170050273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22.6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1.7</v>
      </c>
      <c r="BK3227">
        <v>2</v>
      </c>
      <c r="BL3227">
        <v>71.2</v>
      </c>
      <c r="BM3227">
        <v>10.68</v>
      </c>
      <c r="BN3227">
        <v>81.88</v>
      </c>
      <c r="BO3227">
        <v>81.88</v>
      </c>
      <c r="BQ3227" t="s">
        <v>142</v>
      </c>
      <c r="BR3227" t="s">
        <v>84</v>
      </c>
      <c r="BS3227" s="3">
        <v>45861</v>
      </c>
      <c r="BT3227" s="4">
        <v>0.43333333333333335</v>
      </c>
      <c r="BU3227" t="s">
        <v>2437</v>
      </c>
      <c r="BV3227" t="s">
        <v>98</v>
      </c>
      <c r="BY3227">
        <v>8512</v>
      </c>
      <c r="BZ3227" t="s">
        <v>89</v>
      </c>
      <c r="CA3227" t="s">
        <v>144</v>
      </c>
      <c r="CC3227" t="s">
        <v>80</v>
      </c>
      <c r="CD3227">
        <v>7441</v>
      </c>
      <c r="CE3227" t="s">
        <v>117</v>
      </c>
      <c r="CF3227" s="3">
        <v>45862</v>
      </c>
      <c r="CI3227">
        <v>1</v>
      </c>
      <c r="CJ3227">
        <v>1</v>
      </c>
      <c r="CK3227">
        <v>21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"080066722096"</f>
        <v>080066722096</v>
      </c>
      <c r="F3228" s="3">
        <v>45860</v>
      </c>
      <c r="G3228">
        <v>202604</v>
      </c>
      <c r="H3228" t="s">
        <v>75</v>
      </c>
      <c r="I3228" t="s">
        <v>76</v>
      </c>
      <c r="J3228" t="s">
        <v>77</v>
      </c>
      <c r="K3228" t="s">
        <v>78</v>
      </c>
      <c r="L3228" t="s">
        <v>151</v>
      </c>
      <c r="M3228" t="s">
        <v>152</v>
      </c>
      <c r="N3228" t="s">
        <v>713</v>
      </c>
      <c r="O3228" t="s">
        <v>95</v>
      </c>
      <c r="P3228" t="str">
        <f>"4170050141                    "</f>
        <v xml:space="preserve">4170050141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43.7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6</v>
      </c>
      <c r="BJ3228">
        <v>3.4</v>
      </c>
      <c r="BK3228">
        <v>6</v>
      </c>
      <c r="BL3228">
        <v>143.55000000000001</v>
      </c>
      <c r="BM3228">
        <v>21.53</v>
      </c>
      <c r="BN3228">
        <v>165.08</v>
      </c>
      <c r="BO3228">
        <v>165.08</v>
      </c>
      <c r="BQ3228" t="s">
        <v>714</v>
      </c>
      <c r="BR3228" t="s">
        <v>84</v>
      </c>
      <c r="BS3228" s="3">
        <v>45861</v>
      </c>
      <c r="BT3228" s="4">
        <v>0.4777777777777778</v>
      </c>
      <c r="BU3228" t="s">
        <v>715</v>
      </c>
      <c r="BV3228" t="s">
        <v>98</v>
      </c>
      <c r="BY3228">
        <v>16965</v>
      </c>
      <c r="CA3228" t="s">
        <v>716</v>
      </c>
      <c r="CC3228" t="s">
        <v>152</v>
      </c>
      <c r="CD3228" s="5" t="s">
        <v>717</v>
      </c>
      <c r="CE3228" t="s">
        <v>145</v>
      </c>
      <c r="CF3228" s="3">
        <v>45861</v>
      </c>
      <c r="CI3228">
        <v>1</v>
      </c>
      <c r="CJ3228">
        <v>1</v>
      </c>
      <c r="CK3228">
        <v>41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"080066722147"</f>
        <v>080066722147</v>
      </c>
      <c r="F3229" s="3">
        <v>45860</v>
      </c>
      <c r="G3229">
        <v>202604</v>
      </c>
      <c r="H3229" t="s">
        <v>75</v>
      </c>
      <c r="I3229" t="s">
        <v>76</v>
      </c>
      <c r="J3229" t="s">
        <v>77</v>
      </c>
      <c r="K3229" t="s">
        <v>78</v>
      </c>
      <c r="L3229" t="s">
        <v>79</v>
      </c>
      <c r="M3229" t="s">
        <v>80</v>
      </c>
      <c r="N3229" t="s">
        <v>1083</v>
      </c>
      <c r="O3229" t="s">
        <v>82</v>
      </c>
      <c r="P3229" t="str">
        <f>"4170050153                    "</f>
        <v xml:space="preserve">4170050153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67.760000000000005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2</v>
      </c>
      <c r="BI3229">
        <v>6</v>
      </c>
      <c r="BJ3229">
        <v>3.9</v>
      </c>
      <c r="BK3229">
        <v>6</v>
      </c>
      <c r="BL3229">
        <v>213.48</v>
      </c>
      <c r="BM3229">
        <v>32.020000000000003</v>
      </c>
      <c r="BN3229">
        <v>245.5</v>
      </c>
      <c r="BO3229">
        <v>245.5</v>
      </c>
      <c r="BQ3229" t="s">
        <v>1084</v>
      </c>
      <c r="BR3229" t="s">
        <v>84</v>
      </c>
      <c r="BS3229" s="3">
        <v>45861</v>
      </c>
      <c r="BT3229" s="4">
        <v>0.42430555555555555</v>
      </c>
      <c r="BU3229" t="s">
        <v>3149</v>
      </c>
      <c r="BV3229" t="s">
        <v>98</v>
      </c>
      <c r="BY3229">
        <v>19526</v>
      </c>
      <c r="CA3229" t="s">
        <v>522</v>
      </c>
      <c r="CC3229" t="s">
        <v>80</v>
      </c>
      <c r="CD3229">
        <v>8001</v>
      </c>
      <c r="CE3229" t="s">
        <v>145</v>
      </c>
      <c r="CF3229" s="3">
        <v>45862</v>
      </c>
      <c r="CI3229">
        <v>1</v>
      </c>
      <c r="CJ3229">
        <v>1</v>
      </c>
      <c r="CK3229">
        <v>21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"080066723435"</f>
        <v>080066723435</v>
      </c>
      <c r="F3230" s="3">
        <v>45860</v>
      </c>
      <c r="G3230">
        <v>202604</v>
      </c>
      <c r="H3230" t="s">
        <v>75</v>
      </c>
      <c r="I3230" t="s">
        <v>76</v>
      </c>
      <c r="J3230" t="s">
        <v>77</v>
      </c>
      <c r="K3230" t="s">
        <v>78</v>
      </c>
      <c r="L3230" t="s">
        <v>580</v>
      </c>
      <c r="M3230" t="s">
        <v>581</v>
      </c>
      <c r="N3230" t="s">
        <v>582</v>
      </c>
      <c r="O3230" t="s">
        <v>82</v>
      </c>
      <c r="P3230" t="str">
        <f>"4170050244                    "</f>
        <v xml:space="preserve">4170050244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22.6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71.2</v>
      </c>
      <c r="BM3230">
        <v>10.68</v>
      </c>
      <c r="BN3230">
        <v>81.88</v>
      </c>
      <c r="BO3230">
        <v>81.88</v>
      </c>
      <c r="BQ3230" t="s">
        <v>583</v>
      </c>
      <c r="BR3230" t="s">
        <v>84</v>
      </c>
      <c r="BS3230" s="3">
        <v>45861</v>
      </c>
      <c r="BT3230" s="4">
        <v>0.39930555555555558</v>
      </c>
      <c r="BU3230" t="s">
        <v>584</v>
      </c>
      <c r="BV3230" t="s">
        <v>98</v>
      </c>
      <c r="BY3230">
        <v>1200</v>
      </c>
      <c r="CA3230" t="s">
        <v>585</v>
      </c>
      <c r="CC3230" t="s">
        <v>581</v>
      </c>
      <c r="CD3230">
        <v>4302</v>
      </c>
      <c r="CE3230" t="s">
        <v>121</v>
      </c>
      <c r="CF3230" s="3">
        <v>45862</v>
      </c>
      <c r="CI3230">
        <v>1</v>
      </c>
      <c r="CJ3230">
        <v>1</v>
      </c>
      <c r="CK3230">
        <v>21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"080066723478"</f>
        <v>080066723478</v>
      </c>
      <c r="F3231" s="3">
        <v>45860</v>
      </c>
      <c r="G3231">
        <v>202604</v>
      </c>
      <c r="H3231" t="s">
        <v>75</v>
      </c>
      <c r="I3231" t="s">
        <v>76</v>
      </c>
      <c r="J3231" t="s">
        <v>77</v>
      </c>
      <c r="K3231" t="s">
        <v>78</v>
      </c>
      <c r="L3231" t="s">
        <v>122</v>
      </c>
      <c r="M3231" t="s">
        <v>123</v>
      </c>
      <c r="N3231" t="s">
        <v>2340</v>
      </c>
      <c r="O3231" t="s">
        <v>82</v>
      </c>
      <c r="P3231" t="str">
        <f>"4170050223                    "</f>
        <v xml:space="preserve">4170050223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22.6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71.2</v>
      </c>
      <c r="BM3231">
        <v>10.68</v>
      </c>
      <c r="BN3231">
        <v>81.88</v>
      </c>
      <c r="BO3231">
        <v>81.88</v>
      </c>
      <c r="BQ3231" t="s">
        <v>2341</v>
      </c>
      <c r="BR3231" t="s">
        <v>84</v>
      </c>
      <c r="BS3231" s="3">
        <v>45861</v>
      </c>
      <c r="BT3231" s="4">
        <v>0.37083333333333335</v>
      </c>
      <c r="BU3231" t="s">
        <v>2230</v>
      </c>
      <c r="BV3231" t="s">
        <v>98</v>
      </c>
      <c r="BY3231">
        <v>1200</v>
      </c>
      <c r="CA3231" t="s">
        <v>187</v>
      </c>
      <c r="CC3231" t="s">
        <v>123</v>
      </c>
      <c r="CD3231">
        <v>3610</v>
      </c>
      <c r="CE3231" t="s">
        <v>121</v>
      </c>
      <c r="CF3231" s="3">
        <v>45861</v>
      </c>
      <c r="CI3231">
        <v>1</v>
      </c>
      <c r="CJ3231">
        <v>1</v>
      </c>
      <c r="CK3231">
        <v>21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"080066723482"</f>
        <v>080066723482</v>
      </c>
      <c r="F3232" s="3">
        <v>45860</v>
      </c>
      <c r="G3232">
        <v>202604</v>
      </c>
      <c r="H3232" t="s">
        <v>75</v>
      </c>
      <c r="I3232" t="s">
        <v>76</v>
      </c>
      <c r="J3232" t="s">
        <v>77</v>
      </c>
      <c r="K3232" t="s">
        <v>78</v>
      </c>
      <c r="L3232" t="s">
        <v>75</v>
      </c>
      <c r="M3232" t="s">
        <v>76</v>
      </c>
      <c r="N3232" t="s">
        <v>1855</v>
      </c>
      <c r="O3232" t="s">
        <v>82</v>
      </c>
      <c r="P3232" t="str">
        <f>"4170050201                    "</f>
        <v xml:space="preserve">4170050201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17.649999999999999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3.4</v>
      </c>
      <c r="BK3232">
        <v>4</v>
      </c>
      <c r="BL3232">
        <v>55.61</v>
      </c>
      <c r="BM3232">
        <v>8.34</v>
      </c>
      <c r="BN3232">
        <v>63.95</v>
      </c>
      <c r="BO3232">
        <v>63.95</v>
      </c>
      <c r="BQ3232" t="s">
        <v>1856</v>
      </c>
      <c r="BR3232" t="s">
        <v>84</v>
      </c>
      <c r="BS3232" s="3">
        <v>45861</v>
      </c>
      <c r="BT3232" s="4">
        <v>0.34583333333333333</v>
      </c>
      <c r="BU3232" t="s">
        <v>212</v>
      </c>
      <c r="BV3232" t="s">
        <v>98</v>
      </c>
      <c r="BY3232">
        <v>16965</v>
      </c>
      <c r="CA3232" t="s">
        <v>304</v>
      </c>
      <c r="CC3232" t="s">
        <v>76</v>
      </c>
      <c r="CD3232">
        <v>1600</v>
      </c>
      <c r="CE3232" t="s">
        <v>145</v>
      </c>
      <c r="CF3232" s="3">
        <v>45861</v>
      </c>
      <c r="CI3232">
        <v>1</v>
      </c>
      <c r="CJ3232">
        <v>1</v>
      </c>
      <c r="CK3232">
        <v>22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"080066723492"</f>
        <v>080066723492</v>
      </c>
      <c r="F3233" s="3">
        <v>45860</v>
      </c>
      <c r="G3233">
        <v>202604</v>
      </c>
      <c r="H3233" t="s">
        <v>75</v>
      </c>
      <c r="I3233" t="s">
        <v>76</v>
      </c>
      <c r="J3233" t="s">
        <v>77</v>
      </c>
      <c r="K3233" t="s">
        <v>78</v>
      </c>
      <c r="L3233" t="s">
        <v>168</v>
      </c>
      <c r="M3233" t="s">
        <v>169</v>
      </c>
      <c r="N3233" t="s">
        <v>438</v>
      </c>
      <c r="O3233" t="s">
        <v>82</v>
      </c>
      <c r="P3233" t="str">
        <f>"4170050267                    "</f>
        <v xml:space="preserve">4170050267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22.6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71.2</v>
      </c>
      <c r="BM3233">
        <v>10.68</v>
      </c>
      <c r="BN3233">
        <v>81.88</v>
      </c>
      <c r="BO3233">
        <v>81.88</v>
      </c>
      <c r="BQ3233" t="s">
        <v>439</v>
      </c>
      <c r="BR3233" t="s">
        <v>84</v>
      </c>
      <c r="BS3233" s="3">
        <v>45861</v>
      </c>
      <c r="BT3233" s="4">
        <v>0.43055555555555558</v>
      </c>
      <c r="BU3233" t="s">
        <v>1734</v>
      </c>
      <c r="BV3233" t="s">
        <v>98</v>
      </c>
      <c r="BY3233">
        <v>1200</v>
      </c>
      <c r="CA3233" t="s">
        <v>423</v>
      </c>
      <c r="CC3233" t="s">
        <v>169</v>
      </c>
      <c r="CD3233">
        <v>6001</v>
      </c>
      <c r="CE3233" t="s">
        <v>121</v>
      </c>
      <c r="CF3233" s="3">
        <v>45861</v>
      </c>
      <c r="CI3233">
        <v>1</v>
      </c>
      <c r="CJ3233">
        <v>1</v>
      </c>
      <c r="CK3233">
        <v>21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"080066723508"</f>
        <v>080066723508</v>
      </c>
      <c r="F3234" s="3">
        <v>45860</v>
      </c>
      <c r="G3234">
        <v>202604</v>
      </c>
      <c r="H3234" t="s">
        <v>75</v>
      </c>
      <c r="I3234" t="s">
        <v>76</v>
      </c>
      <c r="J3234" t="s">
        <v>77</v>
      </c>
      <c r="K3234" t="s">
        <v>78</v>
      </c>
      <c r="L3234" t="s">
        <v>168</v>
      </c>
      <c r="M3234" t="s">
        <v>169</v>
      </c>
      <c r="N3234" t="s">
        <v>206</v>
      </c>
      <c r="O3234" t="s">
        <v>82</v>
      </c>
      <c r="P3234" t="str">
        <f>"4170050211                    "</f>
        <v xml:space="preserve">4170050211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22.6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1.9</v>
      </c>
      <c r="BK3234">
        <v>2</v>
      </c>
      <c r="BL3234">
        <v>71.2</v>
      </c>
      <c r="BM3234">
        <v>10.68</v>
      </c>
      <c r="BN3234">
        <v>81.88</v>
      </c>
      <c r="BO3234">
        <v>81.88</v>
      </c>
      <c r="BQ3234" t="s">
        <v>207</v>
      </c>
      <c r="BR3234" t="s">
        <v>84</v>
      </c>
      <c r="BS3234" s="3">
        <v>45861</v>
      </c>
      <c r="BT3234" s="4">
        <v>0.40138888888888891</v>
      </c>
      <c r="BU3234" t="s">
        <v>2957</v>
      </c>
      <c r="BV3234" t="s">
        <v>98</v>
      </c>
      <c r="BY3234">
        <v>9600</v>
      </c>
      <c r="CA3234" t="s">
        <v>196</v>
      </c>
      <c r="CC3234" t="s">
        <v>169</v>
      </c>
      <c r="CD3234">
        <v>6001</v>
      </c>
      <c r="CE3234" t="s">
        <v>145</v>
      </c>
      <c r="CF3234" s="3">
        <v>45861</v>
      </c>
      <c r="CI3234">
        <v>1</v>
      </c>
      <c r="CJ3234">
        <v>1</v>
      </c>
      <c r="CK3234">
        <v>21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"080066723524"</f>
        <v>080066723524</v>
      </c>
      <c r="F3235" s="3">
        <v>45860</v>
      </c>
      <c r="G3235">
        <v>202604</v>
      </c>
      <c r="H3235" t="s">
        <v>75</v>
      </c>
      <c r="I3235" t="s">
        <v>76</v>
      </c>
      <c r="J3235" t="s">
        <v>77</v>
      </c>
      <c r="K3235" t="s">
        <v>78</v>
      </c>
      <c r="L3235" t="s">
        <v>79</v>
      </c>
      <c r="M3235" t="s">
        <v>80</v>
      </c>
      <c r="N3235" t="s">
        <v>3233</v>
      </c>
      <c r="O3235" t="s">
        <v>82</v>
      </c>
      <c r="P3235" t="str">
        <f>"4170050276                    "</f>
        <v xml:space="preserve">4170050276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22.6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71.2</v>
      </c>
      <c r="BM3235">
        <v>10.68</v>
      </c>
      <c r="BN3235">
        <v>81.88</v>
      </c>
      <c r="BO3235">
        <v>81.88</v>
      </c>
      <c r="BQ3235" t="s">
        <v>3234</v>
      </c>
      <c r="BR3235" t="s">
        <v>84</v>
      </c>
      <c r="BS3235" s="3">
        <v>45861</v>
      </c>
      <c r="BT3235" s="4">
        <v>0.40972222222222221</v>
      </c>
      <c r="BU3235" t="s">
        <v>3235</v>
      </c>
      <c r="BV3235" t="s">
        <v>98</v>
      </c>
      <c r="BY3235">
        <v>1200</v>
      </c>
      <c r="CA3235" t="s">
        <v>1596</v>
      </c>
      <c r="CC3235" t="s">
        <v>80</v>
      </c>
      <c r="CD3235">
        <v>7490</v>
      </c>
      <c r="CE3235" t="s">
        <v>121</v>
      </c>
      <c r="CF3235" s="3">
        <v>45862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"080066723540"</f>
        <v>080066723540</v>
      </c>
      <c r="F3236" s="3">
        <v>45860</v>
      </c>
      <c r="G3236">
        <v>202604</v>
      </c>
      <c r="H3236" t="s">
        <v>75</v>
      </c>
      <c r="I3236" t="s">
        <v>76</v>
      </c>
      <c r="J3236" t="s">
        <v>77</v>
      </c>
      <c r="K3236" t="s">
        <v>78</v>
      </c>
      <c r="L3236" t="s">
        <v>305</v>
      </c>
      <c r="M3236" t="s">
        <v>306</v>
      </c>
      <c r="N3236" t="s">
        <v>1154</v>
      </c>
      <c r="O3236" t="s">
        <v>82</v>
      </c>
      <c r="P3236" t="str">
        <f>"4170050105                    "</f>
        <v xml:space="preserve">4170050105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22.6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0.6</v>
      </c>
      <c r="BK3236">
        <v>2</v>
      </c>
      <c r="BL3236">
        <v>71.2</v>
      </c>
      <c r="BM3236">
        <v>10.68</v>
      </c>
      <c r="BN3236">
        <v>81.88</v>
      </c>
      <c r="BO3236">
        <v>81.88</v>
      </c>
      <c r="BQ3236" t="s">
        <v>1155</v>
      </c>
      <c r="BR3236" t="s">
        <v>84</v>
      </c>
      <c r="BS3236" s="3">
        <v>45861</v>
      </c>
      <c r="BT3236" s="4">
        <v>0.90972222222222221</v>
      </c>
      <c r="BU3236" t="s">
        <v>2986</v>
      </c>
      <c r="BV3236" t="s">
        <v>86</v>
      </c>
      <c r="BY3236">
        <v>3192</v>
      </c>
      <c r="CC3236" t="s">
        <v>306</v>
      </c>
      <c r="CD3236">
        <v>5201</v>
      </c>
      <c r="CE3236" t="s">
        <v>259</v>
      </c>
      <c r="CF3236" s="3">
        <v>45861</v>
      </c>
      <c r="CI3236">
        <v>1</v>
      </c>
      <c r="CJ3236">
        <v>1</v>
      </c>
      <c r="CK3236">
        <v>21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"080066723548"</f>
        <v>080066723548</v>
      </c>
      <c r="F3237" s="3">
        <v>45860</v>
      </c>
      <c r="G3237">
        <v>202604</v>
      </c>
      <c r="H3237" t="s">
        <v>75</v>
      </c>
      <c r="I3237" t="s">
        <v>76</v>
      </c>
      <c r="J3237" t="s">
        <v>77</v>
      </c>
      <c r="K3237" t="s">
        <v>78</v>
      </c>
      <c r="L3237" t="s">
        <v>670</v>
      </c>
      <c r="M3237" t="s">
        <v>671</v>
      </c>
      <c r="N3237" t="s">
        <v>1609</v>
      </c>
      <c r="O3237" t="s">
        <v>82</v>
      </c>
      <c r="P3237" t="str">
        <f>"4170050167                    "</f>
        <v xml:space="preserve">4170050167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17.649999999999999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55.61</v>
      </c>
      <c r="BM3237">
        <v>8.34</v>
      </c>
      <c r="BN3237">
        <v>63.95</v>
      </c>
      <c r="BO3237">
        <v>63.95</v>
      </c>
      <c r="BQ3237" t="s">
        <v>1610</v>
      </c>
      <c r="BR3237" t="s">
        <v>84</v>
      </c>
      <c r="BS3237" s="3">
        <v>45861</v>
      </c>
      <c r="BT3237" s="4">
        <v>0.44861111111111113</v>
      </c>
      <c r="BU3237" t="s">
        <v>3236</v>
      </c>
      <c r="BV3237" t="s">
        <v>86</v>
      </c>
      <c r="BY3237">
        <v>1200</v>
      </c>
      <c r="CC3237" t="s">
        <v>671</v>
      </c>
      <c r="CD3237">
        <v>2163</v>
      </c>
      <c r="CE3237" t="s">
        <v>121</v>
      </c>
      <c r="CF3237" s="3">
        <v>45862</v>
      </c>
      <c r="CI3237">
        <v>1</v>
      </c>
      <c r="CJ3237">
        <v>1</v>
      </c>
      <c r="CK3237">
        <v>22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"080066723569"</f>
        <v>080066723569</v>
      </c>
      <c r="F3238" s="3">
        <v>45860</v>
      </c>
      <c r="G3238">
        <v>202604</v>
      </c>
      <c r="H3238" t="s">
        <v>75</v>
      </c>
      <c r="I3238" t="s">
        <v>76</v>
      </c>
      <c r="J3238" t="s">
        <v>77</v>
      </c>
      <c r="K3238" t="s">
        <v>78</v>
      </c>
      <c r="L3238" t="s">
        <v>135</v>
      </c>
      <c r="M3238" t="s">
        <v>136</v>
      </c>
      <c r="N3238" t="s">
        <v>2091</v>
      </c>
      <c r="O3238" t="s">
        <v>82</v>
      </c>
      <c r="P3238" t="str">
        <f>"4170050180                    "</f>
        <v xml:space="preserve">4170050180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22.6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1.1000000000000001</v>
      </c>
      <c r="BK3238">
        <v>1.5</v>
      </c>
      <c r="BL3238">
        <v>71.2</v>
      </c>
      <c r="BM3238">
        <v>10.68</v>
      </c>
      <c r="BN3238">
        <v>81.88</v>
      </c>
      <c r="BO3238">
        <v>81.88</v>
      </c>
      <c r="BQ3238" t="s">
        <v>2092</v>
      </c>
      <c r="BR3238" t="s">
        <v>84</v>
      </c>
      <c r="BS3238" s="3">
        <v>45862</v>
      </c>
      <c r="BT3238" s="4">
        <v>0.41666666666666669</v>
      </c>
      <c r="BU3238" t="s">
        <v>3237</v>
      </c>
      <c r="BV3238" t="s">
        <v>86</v>
      </c>
      <c r="BY3238">
        <v>5320</v>
      </c>
      <c r="CA3238" t="s">
        <v>349</v>
      </c>
      <c r="CC3238" t="s">
        <v>136</v>
      </c>
      <c r="CD3238">
        <v>3201</v>
      </c>
      <c r="CE3238" t="s">
        <v>145</v>
      </c>
      <c r="CF3238" s="3">
        <v>45863</v>
      </c>
      <c r="CI3238">
        <v>1</v>
      </c>
      <c r="CJ3238">
        <v>2</v>
      </c>
      <c r="CK3238">
        <v>21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"080066723610"</f>
        <v>080066723610</v>
      </c>
      <c r="F3239" s="3">
        <v>45860</v>
      </c>
      <c r="G3239">
        <v>202604</v>
      </c>
      <c r="H3239" t="s">
        <v>75</v>
      </c>
      <c r="I3239" t="s">
        <v>76</v>
      </c>
      <c r="J3239" t="s">
        <v>77</v>
      </c>
      <c r="K3239" t="s">
        <v>78</v>
      </c>
      <c r="L3239" t="s">
        <v>240</v>
      </c>
      <c r="M3239" t="s">
        <v>241</v>
      </c>
      <c r="N3239" t="s">
        <v>447</v>
      </c>
      <c r="O3239" t="s">
        <v>82</v>
      </c>
      <c r="P3239" t="str">
        <f>"4170050271                    "</f>
        <v xml:space="preserve">4170050271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17.649999999999999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</v>
      </c>
      <c r="BJ3239">
        <v>1.5</v>
      </c>
      <c r="BK3239">
        <v>3</v>
      </c>
      <c r="BL3239">
        <v>55.61</v>
      </c>
      <c r="BM3239">
        <v>8.34</v>
      </c>
      <c r="BN3239">
        <v>63.95</v>
      </c>
      <c r="BO3239">
        <v>63.95</v>
      </c>
      <c r="BQ3239" t="s">
        <v>448</v>
      </c>
      <c r="BR3239" t="s">
        <v>84</v>
      </c>
      <c r="BS3239" s="3">
        <v>45861</v>
      </c>
      <c r="BT3239" s="4">
        <v>0.36805555555555558</v>
      </c>
      <c r="BU3239" t="s">
        <v>1496</v>
      </c>
      <c r="BV3239" t="s">
        <v>98</v>
      </c>
      <c r="BY3239">
        <v>7560</v>
      </c>
      <c r="CA3239" t="s">
        <v>451</v>
      </c>
      <c r="CC3239" t="s">
        <v>241</v>
      </c>
      <c r="CD3239">
        <v>2094</v>
      </c>
      <c r="CE3239" t="s">
        <v>91</v>
      </c>
      <c r="CF3239" s="3">
        <v>45861</v>
      </c>
      <c r="CI3239">
        <v>1</v>
      </c>
      <c r="CJ3239">
        <v>1</v>
      </c>
      <c r="CK3239">
        <v>22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"080066723665"</f>
        <v>080066723665</v>
      </c>
      <c r="F3240" s="3">
        <v>45860</v>
      </c>
      <c r="G3240">
        <v>202604</v>
      </c>
      <c r="H3240" t="s">
        <v>75</v>
      </c>
      <c r="I3240" t="s">
        <v>76</v>
      </c>
      <c r="J3240" t="s">
        <v>77</v>
      </c>
      <c r="K3240" t="s">
        <v>78</v>
      </c>
      <c r="L3240" t="s">
        <v>122</v>
      </c>
      <c r="M3240" t="s">
        <v>123</v>
      </c>
      <c r="N3240" t="s">
        <v>1825</v>
      </c>
      <c r="O3240" t="s">
        <v>82</v>
      </c>
      <c r="P3240" t="str">
        <f>"4170050179                    "</f>
        <v xml:space="preserve">4170050179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22.6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1.1000000000000001</v>
      </c>
      <c r="BK3240">
        <v>1.5</v>
      </c>
      <c r="BL3240">
        <v>71.2</v>
      </c>
      <c r="BM3240">
        <v>10.68</v>
      </c>
      <c r="BN3240">
        <v>81.88</v>
      </c>
      <c r="BO3240">
        <v>81.88</v>
      </c>
      <c r="BQ3240" t="s">
        <v>1826</v>
      </c>
      <c r="BR3240" t="s">
        <v>84</v>
      </c>
      <c r="BS3240" s="3">
        <v>45861</v>
      </c>
      <c r="BT3240" s="4">
        <v>0.43888888888888888</v>
      </c>
      <c r="BU3240" t="s">
        <v>3143</v>
      </c>
      <c r="BV3240" t="s">
        <v>98</v>
      </c>
      <c r="BY3240">
        <v>5320</v>
      </c>
      <c r="CA3240" t="s">
        <v>2974</v>
      </c>
      <c r="CC3240" t="s">
        <v>123</v>
      </c>
      <c r="CD3240">
        <v>3610</v>
      </c>
      <c r="CE3240" t="s">
        <v>145</v>
      </c>
      <c r="CF3240" s="3">
        <v>45861</v>
      </c>
      <c r="CI3240">
        <v>1</v>
      </c>
      <c r="CJ3240">
        <v>1</v>
      </c>
      <c r="CK3240">
        <v>21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"080066723704"</f>
        <v>080066723704</v>
      </c>
      <c r="F3241" s="3">
        <v>45860</v>
      </c>
      <c r="G3241">
        <v>202604</v>
      </c>
      <c r="H3241" t="s">
        <v>75</v>
      </c>
      <c r="I3241" t="s">
        <v>76</v>
      </c>
      <c r="J3241" t="s">
        <v>77</v>
      </c>
      <c r="K3241" t="s">
        <v>78</v>
      </c>
      <c r="L3241" t="s">
        <v>122</v>
      </c>
      <c r="M3241" t="s">
        <v>123</v>
      </c>
      <c r="N3241" t="s">
        <v>267</v>
      </c>
      <c r="O3241" t="s">
        <v>82</v>
      </c>
      <c r="P3241" t="str">
        <f>"4170050227                    "</f>
        <v xml:space="preserve">4170050227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22.6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1.1000000000000001</v>
      </c>
      <c r="BK3241">
        <v>1.5</v>
      </c>
      <c r="BL3241">
        <v>71.2</v>
      </c>
      <c r="BM3241">
        <v>10.68</v>
      </c>
      <c r="BN3241">
        <v>81.88</v>
      </c>
      <c r="BO3241">
        <v>81.88</v>
      </c>
      <c r="BQ3241" t="s">
        <v>268</v>
      </c>
      <c r="BR3241" t="s">
        <v>84</v>
      </c>
      <c r="BS3241" s="3">
        <v>45861</v>
      </c>
      <c r="BT3241" s="4">
        <v>0.42708333333333331</v>
      </c>
      <c r="BU3241" t="s">
        <v>722</v>
      </c>
      <c r="BV3241" t="s">
        <v>98</v>
      </c>
      <c r="BY3241">
        <v>5320</v>
      </c>
      <c r="CA3241" t="s">
        <v>2974</v>
      </c>
      <c r="CC3241" t="s">
        <v>123</v>
      </c>
      <c r="CD3241">
        <v>3610</v>
      </c>
      <c r="CE3241" t="s">
        <v>145</v>
      </c>
      <c r="CF3241" s="3">
        <v>45861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"080066723738"</f>
        <v>080066723738</v>
      </c>
      <c r="F3242" s="3">
        <v>45860</v>
      </c>
      <c r="G3242">
        <v>202604</v>
      </c>
      <c r="H3242" t="s">
        <v>75</v>
      </c>
      <c r="I3242" t="s">
        <v>76</v>
      </c>
      <c r="J3242" t="s">
        <v>77</v>
      </c>
      <c r="K3242" t="s">
        <v>78</v>
      </c>
      <c r="L3242" t="s">
        <v>1128</v>
      </c>
      <c r="M3242" t="s">
        <v>1129</v>
      </c>
      <c r="N3242" t="s">
        <v>2083</v>
      </c>
      <c r="O3242" t="s">
        <v>82</v>
      </c>
      <c r="P3242" t="str">
        <f>"4170050202                    "</f>
        <v xml:space="preserve">4170050202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45.18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4</v>
      </c>
      <c r="BJ3242">
        <v>1.5</v>
      </c>
      <c r="BK3242">
        <v>4</v>
      </c>
      <c r="BL3242">
        <v>142.34</v>
      </c>
      <c r="BM3242">
        <v>21.35</v>
      </c>
      <c r="BN3242">
        <v>163.69</v>
      </c>
      <c r="BO3242">
        <v>163.69</v>
      </c>
      <c r="BQ3242" t="s">
        <v>2084</v>
      </c>
      <c r="BR3242" t="s">
        <v>84</v>
      </c>
      <c r="BS3242" s="3">
        <v>45861</v>
      </c>
      <c r="BT3242" s="4">
        <v>0.39027777777777778</v>
      </c>
      <c r="BU3242" t="s">
        <v>2085</v>
      </c>
      <c r="BV3242" t="s">
        <v>98</v>
      </c>
      <c r="BY3242">
        <v>7448</v>
      </c>
      <c r="CA3242" t="s">
        <v>1133</v>
      </c>
      <c r="CC3242" t="s">
        <v>1129</v>
      </c>
      <c r="CD3242">
        <v>7600</v>
      </c>
      <c r="CE3242" t="s">
        <v>91</v>
      </c>
      <c r="CF3242" s="3">
        <v>45862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"080066723790"</f>
        <v>080066723790</v>
      </c>
      <c r="F3243" s="3">
        <v>45860</v>
      </c>
      <c r="G3243">
        <v>202604</v>
      </c>
      <c r="H3243" t="s">
        <v>75</v>
      </c>
      <c r="I3243" t="s">
        <v>76</v>
      </c>
      <c r="J3243" t="s">
        <v>77</v>
      </c>
      <c r="K3243" t="s">
        <v>78</v>
      </c>
      <c r="L3243" t="s">
        <v>168</v>
      </c>
      <c r="M3243" t="s">
        <v>169</v>
      </c>
      <c r="N3243" t="s">
        <v>202</v>
      </c>
      <c r="O3243" t="s">
        <v>82</v>
      </c>
      <c r="P3243" t="str">
        <f>"4170050196                    "</f>
        <v xml:space="preserve">4170050196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71.2</v>
      </c>
      <c r="BM3243">
        <v>10.68</v>
      </c>
      <c r="BN3243">
        <v>81.88</v>
      </c>
      <c r="BO3243">
        <v>81.88</v>
      </c>
      <c r="BQ3243" t="s">
        <v>203</v>
      </c>
      <c r="BR3243" t="s">
        <v>84</v>
      </c>
      <c r="BS3243" s="3">
        <v>45861</v>
      </c>
      <c r="BT3243" s="4">
        <v>0.40972222222222221</v>
      </c>
      <c r="BU3243" t="s">
        <v>1127</v>
      </c>
      <c r="BV3243" t="s">
        <v>98</v>
      </c>
      <c r="BY3243">
        <v>1200</v>
      </c>
      <c r="CA3243" t="s">
        <v>205</v>
      </c>
      <c r="CC3243" t="s">
        <v>169</v>
      </c>
      <c r="CD3243">
        <v>6001</v>
      </c>
      <c r="CE3243" t="s">
        <v>121</v>
      </c>
      <c r="CF3243" s="3">
        <v>45861</v>
      </c>
      <c r="CI3243">
        <v>1</v>
      </c>
      <c r="CJ3243">
        <v>1</v>
      </c>
      <c r="CK3243">
        <v>21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"080066723814"</f>
        <v>080066723814</v>
      </c>
      <c r="F3244" s="3">
        <v>45860</v>
      </c>
      <c r="G3244">
        <v>202604</v>
      </c>
      <c r="H3244" t="s">
        <v>75</v>
      </c>
      <c r="I3244" t="s">
        <v>76</v>
      </c>
      <c r="J3244" t="s">
        <v>77</v>
      </c>
      <c r="K3244" t="s">
        <v>78</v>
      </c>
      <c r="L3244" t="s">
        <v>79</v>
      </c>
      <c r="M3244" t="s">
        <v>80</v>
      </c>
      <c r="N3244" t="s">
        <v>1101</v>
      </c>
      <c r="O3244" t="s">
        <v>82</v>
      </c>
      <c r="P3244" t="str">
        <f>"4170050292                    "</f>
        <v xml:space="preserve">4170050292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79.05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7</v>
      </c>
      <c r="BJ3244">
        <v>4.0999999999999996</v>
      </c>
      <c r="BK3244">
        <v>7</v>
      </c>
      <c r="BL3244">
        <v>249.05</v>
      </c>
      <c r="BM3244">
        <v>37.36</v>
      </c>
      <c r="BN3244">
        <v>286.41000000000003</v>
      </c>
      <c r="BO3244">
        <v>286.41000000000003</v>
      </c>
      <c r="BQ3244" t="s">
        <v>1102</v>
      </c>
      <c r="BR3244" t="s">
        <v>84</v>
      </c>
      <c r="BS3244" s="3">
        <v>45861</v>
      </c>
      <c r="BT3244" s="4">
        <v>0.3263888888888889</v>
      </c>
      <c r="BU3244" t="s">
        <v>3238</v>
      </c>
      <c r="BV3244" t="s">
        <v>98</v>
      </c>
      <c r="BY3244">
        <v>20358</v>
      </c>
      <c r="CA3244" t="s">
        <v>289</v>
      </c>
      <c r="CC3244" t="s">
        <v>80</v>
      </c>
      <c r="CD3244">
        <v>7530</v>
      </c>
      <c r="CE3244" t="s">
        <v>145</v>
      </c>
      <c r="CF3244" s="3">
        <v>45862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"080066723965"</f>
        <v>080066723965</v>
      </c>
      <c r="F3245" s="3">
        <v>45860</v>
      </c>
      <c r="G3245">
        <v>202604</v>
      </c>
      <c r="H3245" t="s">
        <v>75</v>
      </c>
      <c r="I3245" t="s">
        <v>76</v>
      </c>
      <c r="J3245" t="s">
        <v>77</v>
      </c>
      <c r="K3245" t="s">
        <v>78</v>
      </c>
      <c r="L3245" t="s">
        <v>135</v>
      </c>
      <c r="M3245" t="s">
        <v>136</v>
      </c>
      <c r="N3245" t="s">
        <v>1093</v>
      </c>
      <c r="O3245" t="s">
        <v>82</v>
      </c>
      <c r="P3245" t="str">
        <f>"4170050173                    "</f>
        <v xml:space="preserve">4170050173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90.34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8</v>
      </c>
      <c r="BJ3245">
        <v>3.4</v>
      </c>
      <c r="BK3245">
        <v>8</v>
      </c>
      <c r="BL3245">
        <v>284.62</v>
      </c>
      <c r="BM3245">
        <v>42.69</v>
      </c>
      <c r="BN3245">
        <v>327.31</v>
      </c>
      <c r="BO3245">
        <v>327.31</v>
      </c>
      <c r="BQ3245" t="s">
        <v>1094</v>
      </c>
      <c r="BR3245" t="s">
        <v>84</v>
      </c>
      <c r="BS3245" s="3">
        <v>45862</v>
      </c>
      <c r="BT3245" s="4">
        <v>0.41666666666666669</v>
      </c>
      <c r="BU3245" t="s">
        <v>2630</v>
      </c>
      <c r="BV3245" t="s">
        <v>86</v>
      </c>
      <c r="BY3245">
        <v>16965</v>
      </c>
      <c r="CA3245" t="s">
        <v>1602</v>
      </c>
      <c r="CC3245" t="s">
        <v>136</v>
      </c>
      <c r="CD3245">
        <v>3201</v>
      </c>
      <c r="CE3245" t="s">
        <v>145</v>
      </c>
      <c r="CF3245" s="3">
        <v>45863</v>
      </c>
      <c r="CI3245">
        <v>1</v>
      </c>
      <c r="CJ3245">
        <v>2</v>
      </c>
      <c r="CK3245">
        <v>21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"080066723854"</f>
        <v>080066723854</v>
      </c>
      <c r="F3246" s="3">
        <v>45860</v>
      </c>
      <c r="G3246">
        <v>202604</v>
      </c>
      <c r="H3246" t="s">
        <v>75</v>
      </c>
      <c r="I3246" t="s">
        <v>76</v>
      </c>
      <c r="J3246" t="s">
        <v>77</v>
      </c>
      <c r="K3246" t="s">
        <v>78</v>
      </c>
      <c r="L3246" t="s">
        <v>168</v>
      </c>
      <c r="M3246" t="s">
        <v>169</v>
      </c>
      <c r="N3246" t="s">
        <v>202</v>
      </c>
      <c r="O3246" t="s">
        <v>82</v>
      </c>
      <c r="P3246" t="str">
        <f>"4170050191                    "</f>
        <v xml:space="preserve">4170050191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22.6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0.9</v>
      </c>
      <c r="BK3246">
        <v>1</v>
      </c>
      <c r="BL3246">
        <v>71.2</v>
      </c>
      <c r="BM3246">
        <v>10.68</v>
      </c>
      <c r="BN3246">
        <v>81.88</v>
      </c>
      <c r="BO3246">
        <v>81.88</v>
      </c>
      <c r="BQ3246" t="s">
        <v>203</v>
      </c>
      <c r="BR3246" t="s">
        <v>84</v>
      </c>
      <c r="BS3246" s="3">
        <v>45861</v>
      </c>
      <c r="BT3246" s="4">
        <v>0.40833333333333333</v>
      </c>
      <c r="BU3246" t="s">
        <v>1127</v>
      </c>
      <c r="BV3246" t="s">
        <v>98</v>
      </c>
      <c r="BY3246">
        <v>4275</v>
      </c>
      <c r="CA3246" t="s">
        <v>205</v>
      </c>
      <c r="CC3246" t="s">
        <v>169</v>
      </c>
      <c r="CD3246">
        <v>6001</v>
      </c>
      <c r="CE3246" t="s">
        <v>145</v>
      </c>
      <c r="CF3246" s="3">
        <v>45861</v>
      </c>
      <c r="CI3246">
        <v>1</v>
      </c>
      <c r="CJ3246">
        <v>1</v>
      </c>
      <c r="CK3246">
        <v>21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"080066723882"</f>
        <v>080066723882</v>
      </c>
      <c r="F3247" s="3">
        <v>45860</v>
      </c>
      <c r="G3247">
        <v>202604</v>
      </c>
      <c r="H3247" t="s">
        <v>75</v>
      </c>
      <c r="I3247" t="s">
        <v>76</v>
      </c>
      <c r="J3247" t="s">
        <v>77</v>
      </c>
      <c r="K3247" t="s">
        <v>78</v>
      </c>
      <c r="L3247" t="s">
        <v>240</v>
      </c>
      <c r="M3247" t="s">
        <v>241</v>
      </c>
      <c r="N3247" t="s">
        <v>457</v>
      </c>
      <c r="O3247" t="s">
        <v>82</v>
      </c>
      <c r="P3247" t="str">
        <f>"4170050110                    "</f>
        <v xml:space="preserve">4170050110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17.649999999999999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16.739999999999998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5</v>
      </c>
      <c r="BJ3247">
        <v>4.0999999999999996</v>
      </c>
      <c r="BK3247">
        <v>5</v>
      </c>
      <c r="BL3247">
        <v>72.349999999999994</v>
      </c>
      <c r="BM3247">
        <v>10.85</v>
      </c>
      <c r="BN3247">
        <v>83.2</v>
      </c>
      <c r="BO3247">
        <v>83.2</v>
      </c>
      <c r="BQ3247" t="s">
        <v>458</v>
      </c>
      <c r="BR3247" t="s">
        <v>84</v>
      </c>
      <c r="BS3247" s="3">
        <v>45861</v>
      </c>
      <c r="BT3247" s="4">
        <v>0.43402777777777779</v>
      </c>
      <c r="BU3247" t="s">
        <v>2631</v>
      </c>
      <c r="BV3247" t="s">
        <v>98</v>
      </c>
      <c r="BY3247">
        <v>20358</v>
      </c>
      <c r="BZ3247" t="s">
        <v>30</v>
      </c>
      <c r="CA3247" t="s">
        <v>461</v>
      </c>
      <c r="CC3247" t="s">
        <v>241</v>
      </c>
      <c r="CD3247">
        <v>2188</v>
      </c>
      <c r="CE3247" t="s">
        <v>145</v>
      </c>
      <c r="CF3247" s="3">
        <v>45861</v>
      </c>
      <c r="CI3247">
        <v>1</v>
      </c>
      <c r="CJ3247">
        <v>1</v>
      </c>
      <c r="CK3247">
        <v>22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"080066724015"</f>
        <v>080066724015</v>
      </c>
      <c r="F3248" s="3">
        <v>45860</v>
      </c>
      <c r="G3248">
        <v>202604</v>
      </c>
      <c r="H3248" t="s">
        <v>75</v>
      </c>
      <c r="I3248" t="s">
        <v>76</v>
      </c>
      <c r="J3248" t="s">
        <v>77</v>
      </c>
      <c r="K3248" t="s">
        <v>78</v>
      </c>
      <c r="L3248" t="s">
        <v>168</v>
      </c>
      <c r="M3248" t="s">
        <v>169</v>
      </c>
      <c r="N3248" t="s">
        <v>412</v>
      </c>
      <c r="O3248" t="s">
        <v>82</v>
      </c>
      <c r="P3248" t="str">
        <f>"4170050261                    "</f>
        <v xml:space="preserve">4170050261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28.24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2</v>
      </c>
      <c r="BJ3248">
        <v>2.1</v>
      </c>
      <c r="BK3248">
        <v>2.5</v>
      </c>
      <c r="BL3248">
        <v>88.98</v>
      </c>
      <c r="BM3248">
        <v>13.35</v>
      </c>
      <c r="BN3248">
        <v>102.33</v>
      </c>
      <c r="BO3248">
        <v>102.33</v>
      </c>
      <c r="BQ3248" t="s">
        <v>413</v>
      </c>
      <c r="BR3248" t="s">
        <v>84</v>
      </c>
      <c r="BS3248" s="3">
        <v>45861</v>
      </c>
      <c r="BT3248" s="4">
        <v>0.39930555555555558</v>
      </c>
      <c r="BU3248" t="s">
        <v>470</v>
      </c>
      <c r="BV3248" t="s">
        <v>98</v>
      </c>
      <c r="BY3248">
        <v>10640</v>
      </c>
      <c r="CA3248" t="s">
        <v>415</v>
      </c>
      <c r="CC3248" t="s">
        <v>169</v>
      </c>
      <c r="CD3248">
        <v>6001</v>
      </c>
      <c r="CE3248" t="s">
        <v>145</v>
      </c>
      <c r="CF3248" s="3">
        <v>45861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"080066724039"</f>
        <v>080066724039</v>
      </c>
      <c r="F3249" s="3">
        <v>45860</v>
      </c>
      <c r="G3249">
        <v>202604</v>
      </c>
      <c r="H3249" t="s">
        <v>75</v>
      </c>
      <c r="I3249" t="s">
        <v>76</v>
      </c>
      <c r="J3249" t="s">
        <v>77</v>
      </c>
      <c r="K3249" t="s">
        <v>78</v>
      </c>
      <c r="L3249" t="s">
        <v>197</v>
      </c>
      <c r="M3249" t="s">
        <v>198</v>
      </c>
      <c r="N3249" t="s">
        <v>1055</v>
      </c>
      <c r="O3249" t="s">
        <v>82</v>
      </c>
      <c r="P3249" t="str">
        <f>"4170050228                    "</f>
        <v xml:space="preserve">4170050228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17.649999999999999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55.61</v>
      </c>
      <c r="BM3249">
        <v>8.34</v>
      </c>
      <c r="BN3249">
        <v>63.95</v>
      </c>
      <c r="BO3249">
        <v>63.95</v>
      </c>
      <c r="BQ3249" t="s">
        <v>1056</v>
      </c>
      <c r="BR3249" t="s">
        <v>84</v>
      </c>
      <c r="BS3249" s="3">
        <v>45861</v>
      </c>
      <c r="BT3249" s="4">
        <v>0.38958333333333334</v>
      </c>
      <c r="BU3249" t="s">
        <v>3221</v>
      </c>
      <c r="BV3249" t="s">
        <v>98</v>
      </c>
      <c r="BY3249">
        <v>1200</v>
      </c>
      <c r="CA3249" t="s">
        <v>3222</v>
      </c>
      <c r="CC3249" t="s">
        <v>198</v>
      </c>
      <c r="CD3249">
        <v>1401</v>
      </c>
      <c r="CE3249" t="s">
        <v>121</v>
      </c>
      <c r="CF3249" s="3">
        <v>45861</v>
      </c>
      <c r="CI3249">
        <v>1</v>
      </c>
      <c r="CJ3249">
        <v>1</v>
      </c>
      <c r="CK3249">
        <v>22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"080066724045"</f>
        <v>080066724045</v>
      </c>
      <c r="F3250" s="3">
        <v>45860</v>
      </c>
      <c r="G3250">
        <v>202604</v>
      </c>
      <c r="H3250" t="s">
        <v>75</v>
      </c>
      <c r="I3250" t="s">
        <v>76</v>
      </c>
      <c r="J3250" t="s">
        <v>77</v>
      </c>
      <c r="K3250" t="s">
        <v>78</v>
      </c>
      <c r="L3250" t="s">
        <v>92</v>
      </c>
      <c r="M3250" t="s">
        <v>93</v>
      </c>
      <c r="N3250" t="s">
        <v>291</v>
      </c>
      <c r="O3250" t="s">
        <v>82</v>
      </c>
      <c r="P3250" t="str">
        <f>"4170050233                    "</f>
        <v xml:space="preserve">4170050233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22.6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</v>
      </c>
      <c r="BJ3250">
        <v>1.7</v>
      </c>
      <c r="BK3250">
        <v>2</v>
      </c>
      <c r="BL3250">
        <v>71.2</v>
      </c>
      <c r="BM3250">
        <v>10.68</v>
      </c>
      <c r="BN3250">
        <v>81.88</v>
      </c>
      <c r="BO3250">
        <v>81.88</v>
      </c>
      <c r="BQ3250" t="s">
        <v>292</v>
      </c>
      <c r="BR3250" t="s">
        <v>84</v>
      </c>
      <c r="BS3250" s="3">
        <v>45861</v>
      </c>
      <c r="BT3250" s="4">
        <v>0.34097222222222223</v>
      </c>
      <c r="BU3250" t="s">
        <v>847</v>
      </c>
      <c r="BV3250" t="s">
        <v>98</v>
      </c>
      <c r="BY3250">
        <v>8512</v>
      </c>
      <c r="CA3250" t="s">
        <v>294</v>
      </c>
      <c r="CC3250" t="s">
        <v>93</v>
      </c>
      <c r="CD3250">
        <v>4051</v>
      </c>
      <c r="CE3250" t="s">
        <v>145</v>
      </c>
      <c r="CF3250" s="3">
        <v>45861</v>
      </c>
      <c r="CI3250">
        <v>1</v>
      </c>
      <c r="CJ3250">
        <v>1</v>
      </c>
      <c r="CK3250">
        <v>21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"080066724066"</f>
        <v>080066724066</v>
      </c>
      <c r="F3251" s="3">
        <v>45860</v>
      </c>
      <c r="G3251">
        <v>202604</v>
      </c>
      <c r="H3251" t="s">
        <v>75</v>
      </c>
      <c r="I3251" t="s">
        <v>76</v>
      </c>
      <c r="J3251" t="s">
        <v>77</v>
      </c>
      <c r="K3251" t="s">
        <v>78</v>
      </c>
      <c r="L3251" t="s">
        <v>295</v>
      </c>
      <c r="M3251" t="s">
        <v>296</v>
      </c>
      <c r="N3251" t="s">
        <v>3239</v>
      </c>
      <c r="O3251" t="s">
        <v>82</v>
      </c>
      <c r="P3251" t="str">
        <f>"4170050302                    "</f>
        <v xml:space="preserve">4170050302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17.649999999999999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55.61</v>
      </c>
      <c r="BM3251">
        <v>8.34</v>
      </c>
      <c r="BN3251">
        <v>63.95</v>
      </c>
      <c r="BO3251">
        <v>63.95</v>
      </c>
      <c r="BQ3251" t="s">
        <v>3240</v>
      </c>
      <c r="BR3251" t="s">
        <v>84</v>
      </c>
      <c r="BS3251" s="3">
        <v>45861</v>
      </c>
      <c r="BT3251" s="4">
        <v>0.36944444444444446</v>
      </c>
      <c r="BU3251" t="s">
        <v>3241</v>
      </c>
      <c r="BV3251" t="s">
        <v>98</v>
      </c>
      <c r="BY3251">
        <v>1200</v>
      </c>
      <c r="CA3251" t="s">
        <v>2782</v>
      </c>
      <c r="CC3251" t="s">
        <v>296</v>
      </c>
      <c r="CD3251">
        <v>1459</v>
      </c>
      <c r="CE3251" t="s">
        <v>121</v>
      </c>
      <c r="CF3251" s="3">
        <v>45862</v>
      </c>
      <c r="CI3251">
        <v>1</v>
      </c>
      <c r="CJ3251">
        <v>1</v>
      </c>
      <c r="CK3251">
        <v>22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"080066724091"</f>
        <v>080066724091</v>
      </c>
      <c r="F3252" s="3">
        <v>45860</v>
      </c>
      <c r="G3252">
        <v>202604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931</v>
      </c>
      <c r="O3252" t="s">
        <v>82</v>
      </c>
      <c r="P3252" t="str">
        <f>"4170050243                    "</f>
        <v xml:space="preserve">4170050243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22.6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71.2</v>
      </c>
      <c r="BM3252">
        <v>10.68</v>
      </c>
      <c r="BN3252">
        <v>81.88</v>
      </c>
      <c r="BO3252">
        <v>81.88</v>
      </c>
      <c r="BQ3252" t="s">
        <v>932</v>
      </c>
      <c r="BR3252" t="s">
        <v>84</v>
      </c>
      <c r="BS3252" s="3">
        <v>45861</v>
      </c>
      <c r="BT3252" s="4">
        <v>0.38611111111111113</v>
      </c>
      <c r="BU3252" t="s">
        <v>3185</v>
      </c>
      <c r="BV3252" t="s">
        <v>98</v>
      </c>
      <c r="BY3252">
        <v>1200</v>
      </c>
      <c r="CA3252" t="s">
        <v>2311</v>
      </c>
      <c r="CC3252" t="s">
        <v>80</v>
      </c>
      <c r="CD3252">
        <v>7535</v>
      </c>
      <c r="CE3252" t="s">
        <v>121</v>
      </c>
      <c r="CF3252" s="3">
        <v>45862</v>
      </c>
      <c r="CI3252">
        <v>1</v>
      </c>
      <c r="CJ3252">
        <v>1</v>
      </c>
      <c r="CK3252">
        <v>21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"080066724232"</f>
        <v>080066724232</v>
      </c>
      <c r="F3253" s="3">
        <v>45860</v>
      </c>
      <c r="G3253">
        <v>202604</v>
      </c>
      <c r="H3253" t="s">
        <v>75</v>
      </c>
      <c r="I3253" t="s">
        <v>76</v>
      </c>
      <c r="J3253" t="s">
        <v>77</v>
      </c>
      <c r="K3253" t="s">
        <v>78</v>
      </c>
      <c r="L3253" t="s">
        <v>79</v>
      </c>
      <c r="M3253" t="s">
        <v>80</v>
      </c>
      <c r="N3253" t="s">
        <v>3242</v>
      </c>
      <c r="O3253" t="s">
        <v>82</v>
      </c>
      <c r="P3253" t="str">
        <f>"4170050356                    "</f>
        <v xml:space="preserve">4170050356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22.6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0.9</v>
      </c>
      <c r="BK3253">
        <v>1</v>
      </c>
      <c r="BL3253">
        <v>71.2</v>
      </c>
      <c r="BM3253">
        <v>10.68</v>
      </c>
      <c r="BN3253">
        <v>81.88</v>
      </c>
      <c r="BO3253">
        <v>81.88</v>
      </c>
      <c r="BQ3253" t="s">
        <v>3243</v>
      </c>
      <c r="BR3253" t="s">
        <v>84</v>
      </c>
      <c r="BS3253" s="3">
        <v>45861</v>
      </c>
      <c r="BT3253" s="4">
        <v>0.37013888888888891</v>
      </c>
      <c r="BU3253" t="s">
        <v>3244</v>
      </c>
      <c r="BV3253" t="s">
        <v>98</v>
      </c>
      <c r="BY3253">
        <v>4420</v>
      </c>
      <c r="CA3253" t="s">
        <v>930</v>
      </c>
      <c r="CC3253" t="s">
        <v>80</v>
      </c>
      <c r="CD3253">
        <v>7700</v>
      </c>
      <c r="CE3253" t="s">
        <v>91</v>
      </c>
      <c r="CF3253" s="3">
        <v>45862</v>
      </c>
      <c r="CI3253">
        <v>1</v>
      </c>
      <c r="CJ3253">
        <v>1</v>
      </c>
      <c r="CK3253">
        <v>21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"080066724322"</f>
        <v>080066724322</v>
      </c>
      <c r="F3254" s="3">
        <v>45860</v>
      </c>
      <c r="G3254">
        <v>202604</v>
      </c>
      <c r="H3254" t="s">
        <v>75</v>
      </c>
      <c r="I3254" t="s">
        <v>76</v>
      </c>
      <c r="J3254" t="s">
        <v>77</v>
      </c>
      <c r="K3254" t="s">
        <v>78</v>
      </c>
      <c r="L3254" t="s">
        <v>135</v>
      </c>
      <c r="M3254" t="s">
        <v>136</v>
      </c>
      <c r="N3254" t="s">
        <v>416</v>
      </c>
      <c r="O3254" t="s">
        <v>82</v>
      </c>
      <c r="P3254" t="str">
        <f>"4170050115                    "</f>
        <v xml:space="preserve">4170050115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22.6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</v>
      </c>
      <c r="BJ3254">
        <v>1.1000000000000001</v>
      </c>
      <c r="BK3254">
        <v>2</v>
      </c>
      <c r="BL3254">
        <v>71.2</v>
      </c>
      <c r="BM3254">
        <v>10.68</v>
      </c>
      <c r="BN3254">
        <v>81.88</v>
      </c>
      <c r="BO3254">
        <v>81.88</v>
      </c>
      <c r="BQ3254" t="s">
        <v>417</v>
      </c>
      <c r="BR3254" t="s">
        <v>84</v>
      </c>
      <c r="BS3254" s="3">
        <v>45861</v>
      </c>
      <c r="BT3254" s="4">
        <v>0.58333333333333337</v>
      </c>
      <c r="BU3254" t="s">
        <v>3142</v>
      </c>
      <c r="BV3254" t="s">
        <v>86</v>
      </c>
      <c r="BY3254">
        <v>5320</v>
      </c>
      <c r="CC3254" t="s">
        <v>136</v>
      </c>
      <c r="CD3254">
        <v>3201</v>
      </c>
      <c r="CE3254" t="s">
        <v>145</v>
      </c>
      <c r="CF3254" s="3">
        <v>45862</v>
      </c>
      <c r="CI3254">
        <v>1</v>
      </c>
      <c r="CJ3254">
        <v>1</v>
      </c>
      <c r="CK3254">
        <v>21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"080066724331"</f>
        <v>080066724331</v>
      </c>
      <c r="F3255" s="3">
        <v>45860</v>
      </c>
      <c r="G3255">
        <v>202604</v>
      </c>
      <c r="H3255" t="s">
        <v>75</v>
      </c>
      <c r="I3255" t="s">
        <v>76</v>
      </c>
      <c r="J3255" t="s">
        <v>77</v>
      </c>
      <c r="K3255" t="s">
        <v>78</v>
      </c>
      <c r="L3255" t="s">
        <v>168</v>
      </c>
      <c r="M3255" t="s">
        <v>169</v>
      </c>
      <c r="N3255" t="s">
        <v>202</v>
      </c>
      <c r="O3255" t="s">
        <v>82</v>
      </c>
      <c r="P3255" t="str">
        <f>"4170050286                    "</f>
        <v xml:space="preserve">4170050286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45.18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4</v>
      </c>
      <c r="BJ3255">
        <v>1.7</v>
      </c>
      <c r="BK3255">
        <v>4</v>
      </c>
      <c r="BL3255">
        <v>142.34</v>
      </c>
      <c r="BM3255">
        <v>21.35</v>
      </c>
      <c r="BN3255">
        <v>163.69</v>
      </c>
      <c r="BO3255">
        <v>163.69</v>
      </c>
      <c r="BQ3255" t="s">
        <v>203</v>
      </c>
      <c r="BR3255" t="s">
        <v>84</v>
      </c>
      <c r="BS3255" s="3">
        <v>45861</v>
      </c>
      <c r="BT3255" s="4">
        <v>0.41041666666666665</v>
      </c>
      <c r="BU3255" t="s">
        <v>1127</v>
      </c>
      <c r="BV3255" t="s">
        <v>98</v>
      </c>
      <c r="BY3255">
        <v>8512</v>
      </c>
      <c r="CA3255" t="s">
        <v>205</v>
      </c>
      <c r="CC3255" t="s">
        <v>169</v>
      </c>
      <c r="CD3255">
        <v>6001</v>
      </c>
      <c r="CE3255" t="s">
        <v>145</v>
      </c>
      <c r="CF3255" s="3">
        <v>45861</v>
      </c>
      <c r="CI3255">
        <v>1</v>
      </c>
      <c r="CJ3255">
        <v>1</v>
      </c>
      <c r="CK3255">
        <v>21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"080066724366"</f>
        <v>080066724366</v>
      </c>
      <c r="F3256" s="3">
        <v>45860</v>
      </c>
      <c r="G3256">
        <v>202604</v>
      </c>
      <c r="H3256" t="s">
        <v>75</v>
      </c>
      <c r="I3256" t="s">
        <v>76</v>
      </c>
      <c r="J3256" t="s">
        <v>77</v>
      </c>
      <c r="K3256" t="s">
        <v>78</v>
      </c>
      <c r="L3256" t="s">
        <v>406</v>
      </c>
      <c r="M3256" t="s">
        <v>407</v>
      </c>
      <c r="N3256" t="s">
        <v>3245</v>
      </c>
      <c r="O3256" t="s">
        <v>82</v>
      </c>
      <c r="P3256" t="str">
        <f>"4170050214                    "</f>
        <v xml:space="preserve">4170050214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43.78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137.94</v>
      </c>
      <c r="BM3256">
        <v>20.69</v>
      </c>
      <c r="BN3256">
        <v>158.63</v>
      </c>
      <c r="BO3256">
        <v>158.63</v>
      </c>
      <c r="BQ3256" t="s">
        <v>3246</v>
      </c>
      <c r="BR3256" t="s">
        <v>84</v>
      </c>
      <c r="BS3256" s="3">
        <v>45861</v>
      </c>
      <c r="BT3256" s="4">
        <v>0.38611111111111113</v>
      </c>
      <c r="BU3256" t="s">
        <v>618</v>
      </c>
      <c r="BV3256" t="s">
        <v>98</v>
      </c>
      <c r="BY3256">
        <v>1200</v>
      </c>
      <c r="CA3256" t="s">
        <v>1286</v>
      </c>
      <c r="CC3256" t="s">
        <v>407</v>
      </c>
      <c r="CD3256">
        <v>4399</v>
      </c>
      <c r="CE3256" t="s">
        <v>121</v>
      </c>
      <c r="CF3256" s="3">
        <v>45862</v>
      </c>
      <c r="CI3256">
        <v>1</v>
      </c>
      <c r="CJ3256">
        <v>1</v>
      </c>
      <c r="CK3256">
        <v>23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"080066724364"</f>
        <v>080066724364</v>
      </c>
      <c r="F3257" s="3">
        <v>45860</v>
      </c>
      <c r="G3257">
        <v>202604</v>
      </c>
      <c r="H3257" t="s">
        <v>75</v>
      </c>
      <c r="I3257" t="s">
        <v>76</v>
      </c>
      <c r="J3257" t="s">
        <v>77</v>
      </c>
      <c r="K3257" t="s">
        <v>78</v>
      </c>
      <c r="L3257" t="s">
        <v>554</v>
      </c>
      <c r="M3257" t="s">
        <v>555</v>
      </c>
      <c r="N3257" t="s">
        <v>556</v>
      </c>
      <c r="O3257" t="s">
        <v>82</v>
      </c>
      <c r="P3257" t="str">
        <f>"4170050239                    "</f>
        <v xml:space="preserve">4170050239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22.6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1.1000000000000001</v>
      </c>
      <c r="BK3257">
        <v>1.5</v>
      </c>
      <c r="BL3257">
        <v>71.2</v>
      </c>
      <c r="BM3257">
        <v>10.68</v>
      </c>
      <c r="BN3257">
        <v>81.88</v>
      </c>
      <c r="BO3257">
        <v>81.88</v>
      </c>
      <c r="BQ3257" t="s">
        <v>557</v>
      </c>
      <c r="BR3257" t="s">
        <v>84</v>
      </c>
      <c r="BS3257" s="3">
        <v>45861</v>
      </c>
      <c r="BT3257" s="4">
        <v>0.37291666666666667</v>
      </c>
      <c r="BU3257" t="s">
        <v>1810</v>
      </c>
      <c r="BV3257" t="s">
        <v>98</v>
      </c>
      <c r="BY3257">
        <v>5320</v>
      </c>
      <c r="CA3257" t="s">
        <v>559</v>
      </c>
      <c r="CC3257" t="s">
        <v>555</v>
      </c>
      <c r="CD3257" s="5" t="s">
        <v>560</v>
      </c>
      <c r="CE3257" t="s">
        <v>145</v>
      </c>
      <c r="CF3257" s="3">
        <v>45861</v>
      </c>
      <c r="CI3257">
        <v>1</v>
      </c>
      <c r="CJ3257">
        <v>1</v>
      </c>
      <c r="CK3257">
        <v>21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"080066724382"</f>
        <v>080066724382</v>
      </c>
      <c r="F3258" s="3">
        <v>45860</v>
      </c>
      <c r="G3258">
        <v>202604</v>
      </c>
      <c r="H3258" t="s">
        <v>75</v>
      </c>
      <c r="I3258" t="s">
        <v>76</v>
      </c>
      <c r="J3258" t="s">
        <v>77</v>
      </c>
      <c r="K3258" t="s">
        <v>78</v>
      </c>
      <c r="L3258" t="s">
        <v>135</v>
      </c>
      <c r="M3258" t="s">
        <v>136</v>
      </c>
      <c r="N3258" t="s">
        <v>416</v>
      </c>
      <c r="O3258" t="s">
        <v>82</v>
      </c>
      <c r="P3258" t="str">
        <f>"4170050137                    "</f>
        <v xml:space="preserve">4170050137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22.6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71.2</v>
      </c>
      <c r="BM3258">
        <v>10.68</v>
      </c>
      <c r="BN3258">
        <v>81.88</v>
      </c>
      <c r="BO3258">
        <v>81.88</v>
      </c>
      <c r="BQ3258" t="s">
        <v>417</v>
      </c>
      <c r="BR3258" t="s">
        <v>84</v>
      </c>
      <c r="BS3258" s="3">
        <v>45861</v>
      </c>
      <c r="BT3258" s="4">
        <v>0.58333333333333337</v>
      </c>
      <c r="BU3258" t="s">
        <v>3142</v>
      </c>
      <c r="BV3258" t="s">
        <v>86</v>
      </c>
      <c r="BY3258">
        <v>1200</v>
      </c>
      <c r="CC3258" t="s">
        <v>136</v>
      </c>
      <c r="CD3258">
        <v>3201</v>
      </c>
      <c r="CE3258" t="s">
        <v>121</v>
      </c>
      <c r="CF3258" s="3">
        <v>45862</v>
      </c>
      <c r="CI3258">
        <v>1</v>
      </c>
      <c r="CJ3258">
        <v>1</v>
      </c>
      <c r="CK3258">
        <v>21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"080066724391"</f>
        <v>080066724391</v>
      </c>
      <c r="F3259" s="3">
        <v>45860</v>
      </c>
      <c r="G3259">
        <v>202604</v>
      </c>
      <c r="H3259" t="s">
        <v>75</v>
      </c>
      <c r="I3259" t="s">
        <v>76</v>
      </c>
      <c r="J3259" t="s">
        <v>77</v>
      </c>
      <c r="K3259" t="s">
        <v>78</v>
      </c>
      <c r="L3259" t="s">
        <v>75</v>
      </c>
      <c r="M3259" t="s">
        <v>76</v>
      </c>
      <c r="N3259" t="s">
        <v>1855</v>
      </c>
      <c r="O3259" t="s">
        <v>82</v>
      </c>
      <c r="P3259" t="str">
        <f>"4170050185                    "</f>
        <v xml:space="preserve">4170050185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17.649999999999999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4.0999999999999996</v>
      </c>
      <c r="BK3259">
        <v>5</v>
      </c>
      <c r="BL3259">
        <v>55.61</v>
      </c>
      <c r="BM3259">
        <v>8.34</v>
      </c>
      <c r="BN3259">
        <v>63.95</v>
      </c>
      <c r="BO3259">
        <v>63.95</v>
      </c>
      <c r="BQ3259" t="s">
        <v>1856</v>
      </c>
      <c r="BR3259" t="s">
        <v>84</v>
      </c>
      <c r="BS3259" s="3">
        <v>45861</v>
      </c>
      <c r="BT3259" s="4">
        <v>0.34583333333333333</v>
      </c>
      <c r="BU3259" t="s">
        <v>212</v>
      </c>
      <c r="BV3259" t="s">
        <v>98</v>
      </c>
      <c r="BY3259">
        <v>20358</v>
      </c>
      <c r="CA3259" t="s">
        <v>304</v>
      </c>
      <c r="CC3259" t="s">
        <v>76</v>
      </c>
      <c r="CD3259">
        <v>1600</v>
      </c>
      <c r="CE3259" t="s">
        <v>145</v>
      </c>
      <c r="CF3259" s="3">
        <v>45861</v>
      </c>
      <c r="CI3259">
        <v>1</v>
      </c>
      <c r="CJ3259">
        <v>1</v>
      </c>
      <c r="CK3259">
        <v>22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"080066724407"</f>
        <v>080066724407</v>
      </c>
      <c r="F3260" s="3">
        <v>45860</v>
      </c>
      <c r="G3260">
        <v>202604</v>
      </c>
      <c r="H3260" t="s">
        <v>75</v>
      </c>
      <c r="I3260" t="s">
        <v>76</v>
      </c>
      <c r="J3260" t="s">
        <v>77</v>
      </c>
      <c r="K3260" t="s">
        <v>78</v>
      </c>
      <c r="L3260" t="s">
        <v>221</v>
      </c>
      <c r="M3260" t="s">
        <v>222</v>
      </c>
      <c r="N3260" t="s">
        <v>223</v>
      </c>
      <c r="O3260" t="s">
        <v>82</v>
      </c>
      <c r="P3260" t="str">
        <f>"4170050188                    "</f>
        <v xml:space="preserve">4170050188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43.78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137.94</v>
      </c>
      <c r="BM3260">
        <v>20.69</v>
      </c>
      <c r="BN3260">
        <v>158.63</v>
      </c>
      <c r="BO3260">
        <v>158.63</v>
      </c>
      <c r="BQ3260" t="s">
        <v>224</v>
      </c>
      <c r="BR3260" t="s">
        <v>84</v>
      </c>
      <c r="BS3260" s="3">
        <v>45861</v>
      </c>
      <c r="BT3260" s="4">
        <v>0.44444444444444442</v>
      </c>
      <c r="BU3260" t="s">
        <v>1707</v>
      </c>
      <c r="BV3260" t="s">
        <v>98</v>
      </c>
      <c r="BY3260">
        <v>1200</v>
      </c>
      <c r="CC3260" t="s">
        <v>222</v>
      </c>
      <c r="CD3260">
        <v>2740</v>
      </c>
      <c r="CE3260" t="s">
        <v>1939</v>
      </c>
      <c r="CF3260" s="3">
        <v>45862</v>
      </c>
      <c r="CI3260">
        <v>1</v>
      </c>
      <c r="CJ3260">
        <v>1</v>
      </c>
      <c r="CK3260">
        <v>23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"080066724414"</f>
        <v>080066724414</v>
      </c>
      <c r="F3261" s="3">
        <v>45860</v>
      </c>
      <c r="G3261">
        <v>202604</v>
      </c>
      <c r="H3261" t="s">
        <v>75</v>
      </c>
      <c r="I3261" t="s">
        <v>76</v>
      </c>
      <c r="J3261" t="s">
        <v>77</v>
      </c>
      <c r="K3261" t="s">
        <v>78</v>
      </c>
      <c r="L3261" t="s">
        <v>1768</v>
      </c>
      <c r="M3261" t="s">
        <v>1769</v>
      </c>
      <c r="N3261" t="s">
        <v>3247</v>
      </c>
      <c r="O3261" t="s">
        <v>82</v>
      </c>
      <c r="P3261" t="str">
        <f>"4170050336                    "</f>
        <v xml:space="preserve">4170050336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43.78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137.94</v>
      </c>
      <c r="BM3261">
        <v>20.69</v>
      </c>
      <c r="BN3261">
        <v>158.63</v>
      </c>
      <c r="BO3261">
        <v>158.63</v>
      </c>
      <c r="BQ3261" t="s">
        <v>3248</v>
      </c>
      <c r="BR3261" t="s">
        <v>84</v>
      </c>
      <c r="BS3261" s="3">
        <v>45861</v>
      </c>
      <c r="BT3261" s="4">
        <v>0.43402777777777779</v>
      </c>
      <c r="BU3261" t="s">
        <v>1127</v>
      </c>
      <c r="BV3261" t="s">
        <v>98</v>
      </c>
      <c r="BY3261">
        <v>1200</v>
      </c>
      <c r="CA3261" t="s">
        <v>3249</v>
      </c>
      <c r="CC3261" t="s">
        <v>1769</v>
      </c>
      <c r="CD3261">
        <v>2302</v>
      </c>
      <c r="CE3261" t="s">
        <v>121</v>
      </c>
      <c r="CF3261" s="3">
        <v>45861</v>
      </c>
      <c r="CI3261">
        <v>1</v>
      </c>
      <c r="CJ3261">
        <v>1</v>
      </c>
      <c r="CK3261">
        <v>23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"080066724422"</f>
        <v>080066724422</v>
      </c>
      <c r="F3262" s="3">
        <v>45860</v>
      </c>
      <c r="G3262">
        <v>202604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562</v>
      </c>
      <c r="O3262" t="s">
        <v>82</v>
      </c>
      <c r="P3262" t="str">
        <f>"4170050288                    "</f>
        <v xml:space="preserve">4170050288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17.649999999999999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3</v>
      </c>
      <c r="BJ3262">
        <v>5.5</v>
      </c>
      <c r="BK3262">
        <v>6</v>
      </c>
      <c r="BL3262">
        <v>55.61</v>
      </c>
      <c r="BM3262">
        <v>8.34</v>
      </c>
      <c r="BN3262">
        <v>63.95</v>
      </c>
      <c r="BO3262">
        <v>63.95</v>
      </c>
      <c r="BQ3262" t="s">
        <v>563</v>
      </c>
      <c r="BR3262" t="s">
        <v>84</v>
      </c>
      <c r="BS3262" s="3">
        <v>45861</v>
      </c>
      <c r="BT3262" s="4">
        <v>0.41319444444444442</v>
      </c>
      <c r="BU3262" t="s">
        <v>2155</v>
      </c>
      <c r="BV3262" t="s">
        <v>98</v>
      </c>
      <c r="BY3262">
        <v>27648</v>
      </c>
      <c r="CA3262" t="s">
        <v>565</v>
      </c>
      <c r="CC3262" t="s">
        <v>76</v>
      </c>
      <c r="CD3262">
        <v>1619</v>
      </c>
      <c r="CE3262" t="s">
        <v>91</v>
      </c>
      <c r="CF3262" s="3">
        <v>45861</v>
      </c>
      <c r="CI3262">
        <v>1</v>
      </c>
      <c r="CJ3262">
        <v>1</v>
      </c>
      <c r="CK3262">
        <v>22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"080066724442"</f>
        <v>080066724442</v>
      </c>
      <c r="F3263" s="3">
        <v>45860</v>
      </c>
      <c r="G3263">
        <v>202604</v>
      </c>
      <c r="H3263" t="s">
        <v>75</v>
      </c>
      <c r="I3263" t="s">
        <v>76</v>
      </c>
      <c r="J3263" t="s">
        <v>77</v>
      </c>
      <c r="K3263" t="s">
        <v>78</v>
      </c>
      <c r="L3263" t="s">
        <v>168</v>
      </c>
      <c r="M3263" t="s">
        <v>169</v>
      </c>
      <c r="N3263" t="s">
        <v>1252</v>
      </c>
      <c r="O3263" t="s">
        <v>82</v>
      </c>
      <c r="P3263" t="str">
        <f>"4170050175                    "</f>
        <v xml:space="preserve">4170050175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22.6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0.9</v>
      </c>
      <c r="BK3263">
        <v>1</v>
      </c>
      <c r="BL3263">
        <v>71.2</v>
      </c>
      <c r="BM3263">
        <v>10.68</v>
      </c>
      <c r="BN3263">
        <v>81.88</v>
      </c>
      <c r="BO3263">
        <v>81.88</v>
      </c>
      <c r="BQ3263" t="s">
        <v>1545</v>
      </c>
      <c r="BR3263" t="s">
        <v>84</v>
      </c>
      <c r="BS3263" s="3">
        <v>45861</v>
      </c>
      <c r="BT3263" s="4">
        <v>0.35416666666666669</v>
      </c>
      <c r="BU3263" t="s">
        <v>2538</v>
      </c>
      <c r="BV3263" t="s">
        <v>98</v>
      </c>
      <c r="BY3263">
        <v>4560</v>
      </c>
      <c r="CA3263" t="s">
        <v>423</v>
      </c>
      <c r="CC3263" t="s">
        <v>169</v>
      </c>
      <c r="CD3263">
        <v>6045</v>
      </c>
      <c r="CE3263" t="s">
        <v>145</v>
      </c>
      <c r="CF3263" s="3">
        <v>45861</v>
      </c>
      <c r="CI3263">
        <v>1</v>
      </c>
      <c r="CJ3263">
        <v>1</v>
      </c>
      <c r="CK3263">
        <v>21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"080066724458"</f>
        <v>080066724458</v>
      </c>
      <c r="F3264" s="3">
        <v>45860</v>
      </c>
      <c r="G3264">
        <v>202604</v>
      </c>
      <c r="H3264" t="s">
        <v>75</v>
      </c>
      <c r="I3264" t="s">
        <v>76</v>
      </c>
      <c r="J3264" t="s">
        <v>77</v>
      </c>
      <c r="K3264" t="s">
        <v>78</v>
      </c>
      <c r="L3264" t="s">
        <v>135</v>
      </c>
      <c r="M3264" t="s">
        <v>136</v>
      </c>
      <c r="N3264" t="s">
        <v>1228</v>
      </c>
      <c r="O3264" t="s">
        <v>82</v>
      </c>
      <c r="P3264" t="str">
        <f>"4170050270                    "</f>
        <v xml:space="preserve">4170050270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79.05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7</v>
      </c>
      <c r="BJ3264">
        <v>4.0999999999999996</v>
      </c>
      <c r="BK3264">
        <v>7</v>
      </c>
      <c r="BL3264">
        <v>249.05</v>
      </c>
      <c r="BM3264">
        <v>37.36</v>
      </c>
      <c r="BN3264">
        <v>286.41000000000003</v>
      </c>
      <c r="BO3264">
        <v>286.41000000000003</v>
      </c>
      <c r="BQ3264" t="s">
        <v>1229</v>
      </c>
      <c r="BR3264" t="s">
        <v>84</v>
      </c>
      <c r="BS3264" s="3">
        <v>45861</v>
      </c>
      <c r="BT3264" s="4">
        <v>0.54166666666666663</v>
      </c>
      <c r="BU3264" t="s">
        <v>3250</v>
      </c>
      <c r="BV3264" t="s">
        <v>98</v>
      </c>
      <c r="BY3264">
        <v>20358</v>
      </c>
      <c r="CA3264" t="s">
        <v>382</v>
      </c>
      <c r="CC3264" t="s">
        <v>136</v>
      </c>
      <c r="CD3264">
        <v>3212</v>
      </c>
      <c r="CE3264" t="s">
        <v>145</v>
      </c>
      <c r="CF3264" s="3">
        <v>45862</v>
      </c>
      <c r="CI3264">
        <v>2</v>
      </c>
      <c r="CJ3264">
        <v>1</v>
      </c>
      <c r="CK3264">
        <v>21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"080066724831"</f>
        <v>080066724831</v>
      </c>
      <c r="F3265" s="3">
        <v>45860</v>
      </c>
      <c r="G3265">
        <v>202604</v>
      </c>
      <c r="H3265" t="s">
        <v>75</v>
      </c>
      <c r="I3265" t="s">
        <v>76</v>
      </c>
      <c r="J3265" t="s">
        <v>77</v>
      </c>
      <c r="K3265" t="s">
        <v>78</v>
      </c>
      <c r="L3265" t="s">
        <v>168</v>
      </c>
      <c r="M3265" t="s">
        <v>169</v>
      </c>
      <c r="N3265" t="s">
        <v>206</v>
      </c>
      <c r="O3265" t="s">
        <v>82</v>
      </c>
      <c r="P3265" t="str">
        <f>"4170050231                    "</f>
        <v xml:space="preserve">4170050231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50.82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4</v>
      </c>
      <c r="BJ3265">
        <v>4.0999999999999996</v>
      </c>
      <c r="BK3265">
        <v>4.5</v>
      </c>
      <c r="BL3265">
        <v>160.12</v>
      </c>
      <c r="BM3265">
        <v>24.02</v>
      </c>
      <c r="BN3265">
        <v>184.14</v>
      </c>
      <c r="BO3265">
        <v>184.14</v>
      </c>
      <c r="BQ3265" t="s">
        <v>207</v>
      </c>
      <c r="BR3265" t="s">
        <v>84</v>
      </c>
      <c r="BS3265" s="3">
        <v>45861</v>
      </c>
      <c r="BT3265" s="4">
        <v>0.40138888888888891</v>
      </c>
      <c r="BU3265" t="s">
        <v>2957</v>
      </c>
      <c r="BV3265" t="s">
        <v>98</v>
      </c>
      <c r="BY3265">
        <v>20358</v>
      </c>
      <c r="CA3265" t="s">
        <v>196</v>
      </c>
      <c r="CC3265" t="s">
        <v>169</v>
      </c>
      <c r="CD3265">
        <v>6001</v>
      </c>
      <c r="CE3265" t="s">
        <v>145</v>
      </c>
      <c r="CF3265" s="3">
        <v>45861</v>
      </c>
      <c r="CI3265">
        <v>1</v>
      </c>
      <c r="CJ3265">
        <v>1</v>
      </c>
      <c r="CK3265">
        <v>21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"080066724878"</f>
        <v>080066724878</v>
      </c>
      <c r="F3266" s="3">
        <v>45860</v>
      </c>
      <c r="G3266">
        <v>202604</v>
      </c>
      <c r="H3266" t="s">
        <v>75</v>
      </c>
      <c r="I3266" t="s">
        <v>76</v>
      </c>
      <c r="J3266" t="s">
        <v>77</v>
      </c>
      <c r="K3266" t="s">
        <v>78</v>
      </c>
      <c r="L3266" t="s">
        <v>1651</v>
      </c>
      <c r="M3266" t="s">
        <v>1652</v>
      </c>
      <c r="N3266" t="s">
        <v>1653</v>
      </c>
      <c r="O3266" t="s">
        <v>82</v>
      </c>
      <c r="P3266" t="str">
        <f>"4170050190                    "</f>
        <v xml:space="preserve">4170050190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43.78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2</v>
      </c>
      <c r="BK3266">
        <v>2</v>
      </c>
      <c r="BL3266">
        <v>137.94</v>
      </c>
      <c r="BM3266">
        <v>20.69</v>
      </c>
      <c r="BN3266">
        <v>158.63</v>
      </c>
      <c r="BO3266">
        <v>158.63</v>
      </c>
      <c r="BQ3266" t="s">
        <v>1654</v>
      </c>
      <c r="BR3266" t="s">
        <v>84</v>
      </c>
      <c r="BS3266" s="3">
        <v>45861</v>
      </c>
      <c r="BT3266" s="4">
        <v>0.54166666666666663</v>
      </c>
      <c r="BU3266" t="s">
        <v>3251</v>
      </c>
      <c r="BV3266" t="s">
        <v>98</v>
      </c>
      <c r="BY3266">
        <v>9900</v>
      </c>
      <c r="CA3266" t="s">
        <v>1665</v>
      </c>
      <c r="CC3266" t="s">
        <v>1652</v>
      </c>
      <c r="CD3266">
        <v>6715</v>
      </c>
      <c r="CE3266" t="s">
        <v>145</v>
      </c>
      <c r="CF3266" s="3">
        <v>45862</v>
      </c>
      <c r="CI3266">
        <v>2</v>
      </c>
      <c r="CJ3266">
        <v>1</v>
      </c>
      <c r="CK3266">
        <v>23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"080066724882"</f>
        <v>080066724882</v>
      </c>
      <c r="F3267" s="3">
        <v>45860</v>
      </c>
      <c r="G3267">
        <v>202604</v>
      </c>
      <c r="H3267" t="s">
        <v>75</v>
      </c>
      <c r="I3267" t="s">
        <v>76</v>
      </c>
      <c r="J3267" t="s">
        <v>77</v>
      </c>
      <c r="K3267" t="s">
        <v>78</v>
      </c>
      <c r="L3267" t="s">
        <v>670</v>
      </c>
      <c r="M3267" t="s">
        <v>671</v>
      </c>
      <c r="N3267" t="s">
        <v>672</v>
      </c>
      <c r="O3267" t="s">
        <v>82</v>
      </c>
      <c r="P3267" t="str">
        <f>"4170050117                    "</f>
        <v xml:space="preserve">4170050117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17.649999999999999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3</v>
      </c>
      <c r="BJ3267">
        <v>5.5</v>
      </c>
      <c r="BK3267">
        <v>6</v>
      </c>
      <c r="BL3267">
        <v>55.61</v>
      </c>
      <c r="BM3267">
        <v>8.34</v>
      </c>
      <c r="BN3267">
        <v>63.95</v>
      </c>
      <c r="BO3267">
        <v>63.95</v>
      </c>
      <c r="BQ3267" t="s">
        <v>673</v>
      </c>
      <c r="BR3267" t="s">
        <v>84</v>
      </c>
      <c r="BS3267" s="3">
        <v>45861</v>
      </c>
      <c r="BT3267" s="4">
        <v>0.40138888888888891</v>
      </c>
      <c r="BU3267" t="s">
        <v>3252</v>
      </c>
      <c r="BV3267" t="s">
        <v>98</v>
      </c>
      <c r="BY3267">
        <v>27744</v>
      </c>
      <c r="CA3267" t="s">
        <v>676</v>
      </c>
      <c r="CC3267" t="s">
        <v>671</v>
      </c>
      <c r="CD3267">
        <v>2163</v>
      </c>
      <c r="CE3267" t="s">
        <v>91</v>
      </c>
      <c r="CF3267" s="3">
        <v>45862</v>
      </c>
      <c r="CI3267">
        <v>1</v>
      </c>
      <c r="CJ3267">
        <v>1</v>
      </c>
      <c r="CK3267">
        <v>22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"080066724925"</f>
        <v>080066724925</v>
      </c>
      <c r="F3268" s="3">
        <v>45860</v>
      </c>
      <c r="G3268">
        <v>202604</v>
      </c>
      <c r="H3268" t="s">
        <v>75</v>
      </c>
      <c r="I3268" t="s">
        <v>76</v>
      </c>
      <c r="J3268" t="s">
        <v>77</v>
      </c>
      <c r="K3268" t="s">
        <v>78</v>
      </c>
      <c r="L3268" t="s">
        <v>1370</v>
      </c>
      <c r="M3268" t="s">
        <v>1371</v>
      </c>
      <c r="N3268" t="s">
        <v>1372</v>
      </c>
      <c r="O3268" t="s">
        <v>82</v>
      </c>
      <c r="P3268" t="str">
        <f>"4170050199                    "</f>
        <v xml:space="preserve">4170050199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43.78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2</v>
      </c>
      <c r="BK3268">
        <v>2</v>
      </c>
      <c r="BL3268">
        <v>137.94</v>
      </c>
      <c r="BM3268">
        <v>20.69</v>
      </c>
      <c r="BN3268">
        <v>158.63</v>
      </c>
      <c r="BO3268">
        <v>158.63</v>
      </c>
      <c r="BQ3268" t="s">
        <v>1373</v>
      </c>
      <c r="BR3268" t="s">
        <v>84</v>
      </c>
      <c r="BS3268" s="3">
        <v>45861</v>
      </c>
      <c r="BT3268" s="4">
        <v>0.44791666666666669</v>
      </c>
      <c r="BU3268" t="s">
        <v>1585</v>
      </c>
      <c r="BV3268" t="s">
        <v>98</v>
      </c>
      <c r="BY3268">
        <v>9900</v>
      </c>
      <c r="CA3268" t="s">
        <v>1375</v>
      </c>
      <c r="CC3268" t="s">
        <v>1371</v>
      </c>
      <c r="CD3268" s="5" t="s">
        <v>1376</v>
      </c>
      <c r="CE3268" t="s">
        <v>145</v>
      </c>
      <c r="CF3268" s="3">
        <v>45862</v>
      </c>
      <c r="CI3268">
        <v>1</v>
      </c>
      <c r="CJ3268">
        <v>1</v>
      </c>
      <c r="CK3268">
        <v>23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"080066724929"</f>
        <v>080066724929</v>
      </c>
      <c r="F3269" s="3">
        <v>45860</v>
      </c>
      <c r="G3269">
        <v>202604</v>
      </c>
      <c r="H3269" t="s">
        <v>75</v>
      </c>
      <c r="I3269" t="s">
        <v>76</v>
      </c>
      <c r="J3269" t="s">
        <v>77</v>
      </c>
      <c r="K3269" t="s">
        <v>78</v>
      </c>
      <c r="L3269" t="s">
        <v>305</v>
      </c>
      <c r="M3269" t="s">
        <v>306</v>
      </c>
      <c r="N3269" t="s">
        <v>1820</v>
      </c>
      <c r="O3269" t="s">
        <v>82</v>
      </c>
      <c r="P3269" t="str">
        <f>"4170050213                    "</f>
        <v xml:space="preserve">4170050213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45.18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4</v>
      </c>
      <c r="BJ3269">
        <v>2.2000000000000002</v>
      </c>
      <c r="BK3269">
        <v>4</v>
      </c>
      <c r="BL3269">
        <v>142.34</v>
      </c>
      <c r="BM3269">
        <v>21.35</v>
      </c>
      <c r="BN3269">
        <v>163.69</v>
      </c>
      <c r="BO3269">
        <v>163.69</v>
      </c>
      <c r="BQ3269" t="s">
        <v>1821</v>
      </c>
      <c r="BR3269" t="s">
        <v>84</v>
      </c>
      <c r="BS3269" s="3">
        <v>45861</v>
      </c>
      <c r="BT3269" s="4">
        <v>0.73611111111111116</v>
      </c>
      <c r="BU3269" t="s">
        <v>3253</v>
      </c>
      <c r="BV3269" t="s">
        <v>86</v>
      </c>
      <c r="BY3269">
        <v>10976</v>
      </c>
      <c r="CA3269" t="s">
        <v>3254</v>
      </c>
      <c r="CC3269" t="s">
        <v>306</v>
      </c>
      <c r="CD3269">
        <v>5200</v>
      </c>
      <c r="CE3269" t="s">
        <v>91</v>
      </c>
      <c r="CF3269" s="3">
        <v>45861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"080066724969"</f>
        <v>080066724969</v>
      </c>
      <c r="F3270" s="3">
        <v>45860</v>
      </c>
      <c r="G3270">
        <v>202604</v>
      </c>
      <c r="H3270" t="s">
        <v>75</v>
      </c>
      <c r="I3270" t="s">
        <v>76</v>
      </c>
      <c r="J3270" t="s">
        <v>77</v>
      </c>
      <c r="K3270" t="s">
        <v>78</v>
      </c>
      <c r="L3270" t="s">
        <v>135</v>
      </c>
      <c r="M3270" t="s">
        <v>136</v>
      </c>
      <c r="N3270" t="s">
        <v>379</v>
      </c>
      <c r="O3270" t="s">
        <v>82</v>
      </c>
      <c r="P3270" t="str">
        <f>"4170050242                    "</f>
        <v xml:space="preserve">4170050242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22.6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71.2</v>
      </c>
      <c r="BM3270">
        <v>10.68</v>
      </c>
      <c r="BN3270">
        <v>81.88</v>
      </c>
      <c r="BO3270">
        <v>81.88</v>
      </c>
      <c r="BQ3270" t="s">
        <v>380</v>
      </c>
      <c r="BR3270" t="s">
        <v>84</v>
      </c>
      <c r="BS3270" s="3">
        <v>45861</v>
      </c>
      <c r="BT3270" s="4">
        <v>0.54166666666666663</v>
      </c>
      <c r="BU3270" t="s">
        <v>3174</v>
      </c>
      <c r="BV3270" t="s">
        <v>98</v>
      </c>
      <c r="BY3270">
        <v>1200</v>
      </c>
      <c r="CA3270" t="s">
        <v>382</v>
      </c>
      <c r="CC3270" t="s">
        <v>136</v>
      </c>
      <c r="CD3270">
        <v>3212</v>
      </c>
      <c r="CE3270" t="s">
        <v>121</v>
      </c>
      <c r="CF3270" s="3">
        <v>45862</v>
      </c>
      <c r="CI3270">
        <v>2</v>
      </c>
      <c r="CJ3270">
        <v>1</v>
      </c>
      <c r="CK3270">
        <v>21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"080066724979"</f>
        <v>080066724979</v>
      </c>
      <c r="F3271" s="3">
        <v>45860</v>
      </c>
      <c r="G3271">
        <v>202604</v>
      </c>
      <c r="H3271" t="s">
        <v>75</v>
      </c>
      <c r="I3271" t="s">
        <v>76</v>
      </c>
      <c r="J3271" t="s">
        <v>77</v>
      </c>
      <c r="K3271" t="s">
        <v>78</v>
      </c>
      <c r="L3271" t="s">
        <v>168</v>
      </c>
      <c r="M3271" t="s">
        <v>169</v>
      </c>
      <c r="N3271" t="s">
        <v>202</v>
      </c>
      <c r="O3271" t="s">
        <v>82</v>
      </c>
      <c r="P3271" t="str">
        <f>"4170050229                    "</f>
        <v xml:space="preserve">4170050229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90.34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8</v>
      </c>
      <c r="BJ3271">
        <v>3.4</v>
      </c>
      <c r="BK3271">
        <v>8</v>
      </c>
      <c r="BL3271">
        <v>284.62</v>
      </c>
      <c r="BM3271">
        <v>42.69</v>
      </c>
      <c r="BN3271">
        <v>327.31</v>
      </c>
      <c r="BO3271">
        <v>327.31</v>
      </c>
      <c r="BQ3271" t="s">
        <v>203</v>
      </c>
      <c r="BR3271" t="s">
        <v>84</v>
      </c>
      <c r="BS3271" s="3">
        <v>45861</v>
      </c>
      <c r="BT3271" s="4">
        <v>0.40833333333333333</v>
      </c>
      <c r="BU3271" t="s">
        <v>204</v>
      </c>
      <c r="BV3271" t="s">
        <v>98</v>
      </c>
      <c r="BY3271">
        <v>16965</v>
      </c>
      <c r="CA3271" t="s">
        <v>205</v>
      </c>
      <c r="CC3271" t="s">
        <v>169</v>
      </c>
      <c r="CD3271">
        <v>6001</v>
      </c>
      <c r="CE3271" t="s">
        <v>145</v>
      </c>
      <c r="CF3271" s="3">
        <v>45861</v>
      </c>
      <c r="CI3271">
        <v>1</v>
      </c>
      <c r="CJ3271">
        <v>1</v>
      </c>
      <c r="CK3271">
        <v>21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"080066725011"</f>
        <v>080066725011</v>
      </c>
      <c r="F3272" s="3">
        <v>45860</v>
      </c>
      <c r="G3272">
        <v>202604</v>
      </c>
      <c r="H3272" t="s">
        <v>75</v>
      </c>
      <c r="I3272" t="s">
        <v>76</v>
      </c>
      <c r="J3272" t="s">
        <v>77</v>
      </c>
      <c r="K3272" t="s">
        <v>78</v>
      </c>
      <c r="L3272" t="s">
        <v>240</v>
      </c>
      <c r="M3272" t="s">
        <v>241</v>
      </c>
      <c r="N3272" t="s">
        <v>1605</v>
      </c>
      <c r="O3272" t="s">
        <v>82</v>
      </c>
      <c r="P3272" t="str">
        <f>"4170050345                    "</f>
        <v xml:space="preserve">4170050345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17.649999999999999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55.61</v>
      </c>
      <c r="BM3272">
        <v>8.34</v>
      </c>
      <c r="BN3272">
        <v>63.95</v>
      </c>
      <c r="BO3272">
        <v>63.95</v>
      </c>
      <c r="BQ3272" t="s">
        <v>1606</v>
      </c>
      <c r="BR3272" t="s">
        <v>84</v>
      </c>
      <c r="BS3272" s="3">
        <v>45861</v>
      </c>
      <c r="BT3272" s="4">
        <v>0.41736111111111113</v>
      </c>
      <c r="BU3272" t="s">
        <v>1607</v>
      </c>
      <c r="BV3272" t="s">
        <v>98</v>
      </c>
      <c r="BY3272">
        <v>1200</v>
      </c>
      <c r="CA3272" t="s">
        <v>245</v>
      </c>
      <c r="CC3272" t="s">
        <v>241</v>
      </c>
      <c r="CD3272">
        <v>2190</v>
      </c>
      <c r="CE3272" t="s">
        <v>121</v>
      </c>
      <c r="CF3272" s="3">
        <v>45861</v>
      </c>
      <c r="CI3272">
        <v>1</v>
      </c>
      <c r="CJ3272">
        <v>1</v>
      </c>
      <c r="CK3272">
        <v>22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"080066725033"</f>
        <v>080066725033</v>
      </c>
      <c r="F3273" s="3">
        <v>45860</v>
      </c>
      <c r="G3273">
        <v>202604</v>
      </c>
      <c r="H3273" t="s">
        <v>75</v>
      </c>
      <c r="I3273" t="s">
        <v>76</v>
      </c>
      <c r="J3273" t="s">
        <v>77</v>
      </c>
      <c r="K3273" t="s">
        <v>78</v>
      </c>
      <c r="L3273" t="s">
        <v>79</v>
      </c>
      <c r="M3273" t="s">
        <v>80</v>
      </c>
      <c r="N3273" t="s">
        <v>1218</v>
      </c>
      <c r="O3273" t="s">
        <v>82</v>
      </c>
      <c r="P3273" t="str">
        <f>"4170050208                    "</f>
        <v xml:space="preserve">4170050208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45.18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4</v>
      </c>
      <c r="BK3273">
        <v>4</v>
      </c>
      <c r="BL3273">
        <v>142.34</v>
      </c>
      <c r="BM3273">
        <v>21.35</v>
      </c>
      <c r="BN3273">
        <v>163.69</v>
      </c>
      <c r="BO3273">
        <v>163.69</v>
      </c>
      <c r="BQ3273" t="s">
        <v>1219</v>
      </c>
      <c r="BR3273" t="s">
        <v>84</v>
      </c>
      <c r="BS3273" s="3">
        <v>45861</v>
      </c>
      <c r="BT3273" s="4">
        <v>0.34583333333333333</v>
      </c>
      <c r="BU3273" t="s">
        <v>1220</v>
      </c>
      <c r="BV3273" t="s">
        <v>98</v>
      </c>
      <c r="BY3273">
        <v>20216</v>
      </c>
      <c r="CA3273" t="s">
        <v>1221</v>
      </c>
      <c r="CC3273" t="s">
        <v>80</v>
      </c>
      <c r="CD3273">
        <v>7764</v>
      </c>
      <c r="CE3273" t="s">
        <v>91</v>
      </c>
      <c r="CF3273" s="3">
        <v>45862</v>
      </c>
      <c r="CI3273">
        <v>1</v>
      </c>
      <c r="CJ3273">
        <v>1</v>
      </c>
      <c r="CK3273">
        <v>21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"080066725078"</f>
        <v>080066725078</v>
      </c>
      <c r="F3274" s="3">
        <v>45860</v>
      </c>
      <c r="G3274">
        <v>202604</v>
      </c>
      <c r="H3274" t="s">
        <v>75</v>
      </c>
      <c r="I3274" t="s">
        <v>76</v>
      </c>
      <c r="J3274" t="s">
        <v>77</v>
      </c>
      <c r="K3274" t="s">
        <v>78</v>
      </c>
      <c r="L3274" t="s">
        <v>122</v>
      </c>
      <c r="M3274" t="s">
        <v>123</v>
      </c>
      <c r="N3274" t="s">
        <v>357</v>
      </c>
      <c r="O3274" t="s">
        <v>82</v>
      </c>
      <c r="P3274" t="str">
        <f>"4170050283                    "</f>
        <v xml:space="preserve">4170050283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22.6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71.2</v>
      </c>
      <c r="BM3274">
        <v>10.68</v>
      </c>
      <c r="BN3274">
        <v>81.88</v>
      </c>
      <c r="BO3274">
        <v>81.88</v>
      </c>
      <c r="BQ3274" t="s">
        <v>358</v>
      </c>
      <c r="BR3274" t="s">
        <v>84</v>
      </c>
      <c r="BS3274" s="3">
        <v>45861</v>
      </c>
      <c r="BT3274" s="4">
        <v>0.51388888888888884</v>
      </c>
      <c r="BU3274" t="s">
        <v>359</v>
      </c>
      <c r="BV3274" t="s">
        <v>98</v>
      </c>
      <c r="BY3274">
        <v>1200</v>
      </c>
      <c r="CA3274" t="s">
        <v>2974</v>
      </c>
      <c r="CC3274" t="s">
        <v>123</v>
      </c>
      <c r="CD3274">
        <v>3610</v>
      </c>
      <c r="CE3274" t="s">
        <v>121</v>
      </c>
      <c r="CF3274" s="3">
        <v>45861</v>
      </c>
      <c r="CI3274">
        <v>1</v>
      </c>
      <c r="CJ3274">
        <v>1</v>
      </c>
      <c r="CK3274">
        <v>21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"080066725098"</f>
        <v>080066725098</v>
      </c>
      <c r="F3275" s="3">
        <v>45860</v>
      </c>
      <c r="G3275">
        <v>202604</v>
      </c>
      <c r="H3275" t="s">
        <v>75</v>
      </c>
      <c r="I3275" t="s">
        <v>76</v>
      </c>
      <c r="J3275" t="s">
        <v>77</v>
      </c>
      <c r="K3275" t="s">
        <v>78</v>
      </c>
      <c r="L3275" t="s">
        <v>305</v>
      </c>
      <c r="M3275" t="s">
        <v>306</v>
      </c>
      <c r="N3275" t="s">
        <v>1320</v>
      </c>
      <c r="O3275" t="s">
        <v>95</v>
      </c>
      <c r="P3275" t="str">
        <f>"4170050160                    "</f>
        <v xml:space="preserve">4170050160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123.09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2</v>
      </c>
      <c r="BI3275">
        <v>31</v>
      </c>
      <c r="BJ3275">
        <v>58.5</v>
      </c>
      <c r="BK3275">
        <v>59</v>
      </c>
      <c r="BL3275">
        <v>393.66</v>
      </c>
      <c r="BM3275">
        <v>59.05</v>
      </c>
      <c r="BN3275">
        <v>452.71</v>
      </c>
      <c r="BO3275">
        <v>452.71</v>
      </c>
      <c r="BQ3275" t="s">
        <v>308</v>
      </c>
      <c r="BR3275" t="s">
        <v>84</v>
      </c>
      <c r="BS3275" s="3">
        <v>45862</v>
      </c>
      <c r="BT3275" s="4">
        <v>0.49583333333333335</v>
      </c>
      <c r="BU3275" t="s">
        <v>1676</v>
      </c>
      <c r="BV3275" t="s">
        <v>98</v>
      </c>
      <c r="BY3275">
        <v>292560</v>
      </c>
      <c r="CA3275" t="s">
        <v>310</v>
      </c>
      <c r="CC3275" t="s">
        <v>306</v>
      </c>
      <c r="CD3275">
        <v>5201</v>
      </c>
      <c r="CE3275" t="s">
        <v>145</v>
      </c>
      <c r="CF3275" s="3">
        <v>45862</v>
      </c>
      <c r="CI3275">
        <v>3</v>
      </c>
      <c r="CJ3275">
        <v>2</v>
      </c>
      <c r="CK3275">
        <v>41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"080066725123"</f>
        <v>080066725123</v>
      </c>
      <c r="F3276" s="3">
        <v>45860</v>
      </c>
      <c r="G3276">
        <v>202604</v>
      </c>
      <c r="H3276" t="s">
        <v>75</v>
      </c>
      <c r="I3276" t="s">
        <v>76</v>
      </c>
      <c r="J3276" t="s">
        <v>77</v>
      </c>
      <c r="K3276" t="s">
        <v>78</v>
      </c>
      <c r="L3276" t="s">
        <v>295</v>
      </c>
      <c r="M3276" t="s">
        <v>296</v>
      </c>
      <c r="N3276" t="s">
        <v>2094</v>
      </c>
      <c r="O3276" t="s">
        <v>82</v>
      </c>
      <c r="P3276" t="str">
        <f>"4170050186                    "</f>
        <v xml:space="preserve">4170050186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17.649999999999999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55.61</v>
      </c>
      <c r="BM3276">
        <v>8.34</v>
      </c>
      <c r="BN3276">
        <v>63.95</v>
      </c>
      <c r="BO3276">
        <v>63.95</v>
      </c>
      <c r="BQ3276" t="s">
        <v>2095</v>
      </c>
      <c r="BR3276" t="s">
        <v>84</v>
      </c>
      <c r="BS3276" s="3">
        <v>45861</v>
      </c>
      <c r="BT3276" s="4">
        <v>0.37361111111111112</v>
      </c>
      <c r="BU3276" t="s">
        <v>3255</v>
      </c>
      <c r="BV3276" t="s">
        <v>98</v>
      </c>
      <c r="BY3276">
        <v>1200</v>
      </c>
      <c r="CA3276" t="s">
        <v>300</v>
      </c>
      <c r="CC3276" t="s">
        <v>296</v>
      </c>
      <c r="CD3276">
        <v>1459</v>
      </c>
      <c r="CE3276" t="s">
        <v>121</v>
      </c>
      <c r="CF3276" s="3">
        <v>45861</v>
      </c>
      <c r="CI3276">
        <v>1</v>
      </c>
      <c r="CJ3276">
        <v>1</v>
      </c>
      <c r="CK3276">
        <v>22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"080066725150"</f>
        <v>080066725150</v>
      </c>
      <c r="F3277" s="3">
        <v>45860</v>
      </c>
      <c r="G3277">
        <v>202604</v>
      </c>
      <c r="H3277" t="s">
        <v>75</v>
      </c>
      <c r="I3277" t="s">
        <v>76</v>
      </c>
      <c r="J3277" t="s">
        <v>77</v>
      </c>
      <c r="K3277" t="s">
        <v>78</v>
      </c>
      <c r="L3277" t="s">
        <v>135</v>
      </c>
      <c r="M3277" t="s">
        <v>136</v>
      </c>
      <c r="N3277" t="s">
        <v>416</v>
      </c>
      <c r="O3277" t="s">
        <v>82</v>
      </c>
      <c r="P3277" t="str">
        <f>"4170050138                    "</f>
        <v xml:space="preserve">4170050138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22.6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1.1000000000000001</v>
      </c>
      <c r="BK3277">
        <v>1.5</v>
      </c>
      <c r="BL3277">
        <v>71.2</v>
      </c>
      <c r="BM3277">
        <v>10.68</v>
      </c>
      <c r="BN3277">
        <v>81.88</v>
      </c>
      <c r="BO3277">
        <v>81.88</v>
      </c>
      <c r="BQ3277" t="s">
        <v>417</v>
      </c>
      <c r="BR3277" t="s">
        <v>84</v>
      </c>
      <c r="BS3277" s="3">
        <v>45861</v>
      </c>
      <c r="BT3277" s="4">
        <v>0.58333333333333337</v>
      </c>
      <c r="BU3277" t="s">
        <v>3142</v>
      </c>
      <c r="BV3277" t="s">
        <v>86</v>
      </c>
      <c r="BY3277">
        <v>5320</v>
      </c>
      <c r="CC3277" t="s">
        <v>136</v>
      </c>
      <c r="CD3277">
        <v>3201</v>
      </c>
      <c r="CE3277" t="s">
        <v>145</v>
      </c>
      <c r="CF3277" s="3">
        <v>45862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"080066725175"</f>
        <v>080066725175</v>
      </c>
      <c r="F3278" s="3">
        <v>45860</v>
      </c>
      <c r="G3278">
        <v>202604</v>
      </c>
      <c r="H3278" t="s">
        <v>75</v>
      </c>
      <c r="I3278" t="s">
        <v>76</v>
      </c>
      <c r="J3278" t="s">
        <v>77</v>
      </c>
      <c r="K3278" t="s">
        <v>78</v>
      </c>
      <c r="L3278" t="s">
        <v>240</v>
      </c>
      <c r="M3278" t="s">
        <v>241</v>
      </c>
      <c r="N3278" t="s">
        <v>686</v>
      </c>
      <c r="O3278" t="s">
        <v>82</v>
      </c>
      <c r="P3278" t="str">
        <f>"4170050174                    "</f>
        <v xml:space="preserve">4170050174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17.649999999999999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55.61</v>
      </c>
      <c r="BM3278">
        <v>8.34</v>
      </c>
      <c r="BN3278">
        <v>63.95</v>
      </c>
      <c r="BO3278">
        <v>63.95</v>
      </c>
      <c r="BQ3278" t="s">
        <v>687</v>
      </c>
      <c r="BR3278" t="s">
        <v>84</v>
      </c>
      <c r="BS3278" s="3">
        <v>45861</v>
      </c>
      <c r="BT3278" s="4">
        <v>0.40277777777777779</v>
      </c>
      <c r="BU3278" t="s">
        <v>938</v>
      </c>
      <c r="BV3278" t="s">
        <v>98</v>
      </c>
      <c r="BY3278">
        <v>1200</v>
      </c>
      <c r="CA3278" t="s">
        <v>451</v>
      </c>
      <c r="CC3278" t="s">
        <v>241</v>
      </c>
      <c r="CD3278">
        <v>2094</v>
      </c>
      <c r="CE3278" t="s">
        <v>121</v>
      </c>
      <c r="CF3278" s="3">
        <v>45861</v>
      </c>
      <c r="CI3278">
        <v>1</v>
      </c>
      <c r="CJ3278">
        <v>1</v>
      </c>
      <c r="CK3278">
        <v>22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"080066725191"</f>
        <v>080066725191</v>
      </c>
      <c r="F3279" s="3">
        <v>45860</v>
      </c>
      <c r="G3279">
        <v>202604</v>
      </c>
      <c r="H3279" t="s">
        <v>75</v>
      </c>
      <c r="I3279" t="s">
        <v>76</v>
      </c>
      <c r="J3279" t="s">
        <v>77</v>
      </c>
      <c r="K3279" t="s">
        <v>78</v>
      </c>
      <c r="L3279" t="s">
        <v>1462</v>
      </c>
      <c r="M3279" t="s">
        <v>1463</v>
      </c>
      <c r="N3279" t="s">
        <v>1464</v>
      </c>
      <c r="O3279" t="s">
        <v>82</v>
      </c>
      <c r="P3279" t="str">
        <f>"4170050145                    "</f>
        <v xml:space="preserve">4170050145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43.78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</v>
      </c>
      <c r="BJ3279">
        <v>1.7</v>
      </c>
      <c r="BK3279">
        <v>2</v>
      </c>
      <c r="BL3279">
        <v>137.94</v>
      </c>
      <c r="BM3279">
        <v>20.69</v>
      </c>
      <c r="BN3279">
        <v>158.63</v>
      </c>
      <c r="BO3279">
        <v>158.63</v>
      </c>
      <c r="BQ3279" t="s">
        <v>1465</v>
      </c>
      <c r="BR3279" t="s">
        <v>84</v>
      </c>
      <c r="BS3279" s="3">
        <v>45862</v>
      </c>
      <c r="BT3279" s="4">
        <v>0.41666666666666669</v>
      </c>
      <c r="BU3279" t="s">
        <v>2014</v>
      </c>
      <c r="BV3279" t="s">
        <v>86</v>
      </c>
      <c r="BY3279">
        <v>8512</v>
      </c>
      <c r="CC3279" t="s">
        <v>1463</v>
      </c>
      <c r="CD3279">
        <v>3290</v>
      </c>
      <c r="CE3279" t="s">
        <v>145</v>
      </c>
      <c r="CF3279" s="3">
        <v>45863</v>
      </c>
      <c r="CI3279">
        <v>1</v>
      </c>
      <c r="CJ3279">
        <v>2</v>
      </c>
      <c r="CK3279">
        <v>23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"080066725204"</f>
        <v>080066725204</v>
      </c>
      <c r="F3280" s="3">
        <v>45860</v>
      </c>
      <c r="G3280">
        <v>202604</v>
      </c>
      <c r="H3280" t="s">
        <v>75</v>
      </c>
      <c r="I3280" t="s">
        <v>76</v>
      </c>
      <c r="J3280" t="s">
        <v>77</v>
      </c>
      <c r="K3280" t="s">
        <v>78</v>
      </c>
      <c r="L3280" t="s">
        <v>554</v>
      </c>
      <c r="M3280" t="s">
        <v>555</v>
      </c>
      <c r="N3280" t="s">
        <v>2163</v>
      </c>
      <c r="O3280" t="s">
        <v>82</v>
      </c>
      <c r="P3280" t="str">
        <f>"4170050301                    "</f>
        <v xml:space="preserve">4170050301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22.6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71.2</v>
      </c>
      <c r="BM3280">
        <v>10.68</v>
      </c>
      <c r="BN3280">
        <v>81.88</v>
      </c>
      <c r="BO3280">
        <v>81.88</v>
      </c>
      <c r="BQ3280" t="s">
        <v>2164</v>
      </c>
      <c r="BR3280" t="s">
        <v>84</v>
      </c>
      <c r="BS3280" s="3">
        <v>45861</v>
      </c>
      <c r="BT3280" s="4">
        <v>0.34305555555555556</v>
      </c>
      <c r="BU3280" t="s">
        <v>3160</v>
      </c>
      <c r="BV3280" t="s">
        <v>98</v>
      </c>
      <c r="BY3280">
        <v>1200</v>
      </c>
      <c r="CA3280" t="s">
        <v>156</v>
      </c>
      <c r="CC3280" t="s">
        <v>555</v>
      </c>
      <c r="CD3280" s="5" t="s">
        <v>560</v>
      </c>
      <c r="CE3280" t="s">
        <v>121</v>
      </c>
      <c r="CF3280" s="3">
        <v>45861</v>
      </c>
      <c r="CI3280">
        <v>1</v>
      </c>
      <c r="CJ3280">
        <v>1</v>
      </c>
      <c r="CK3280">
        <v>21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"080066725213"</f>
        <v>080066725213</v>
      </c>
      <c r="F3281" s="3">
        <v>45860</v>
      </c>
      <c r="G3281">
        <v>202604</v>
      </c>
      <c r="H3281" t="s">
        <v>75</v>
      </c>
      <c r="I3281" t="s">
        <v>76</v>
      </c>
      <c r="J3281" t="s">
        <v>77</v>
      </c>
      <c r="K3281" t="s">
        <v>78</v>
      </c>
      <c r="L3281" t="s">
        <v>79</v>
      </c>
      <c r="M3281" t="s">
        <v>80</v>
      </c>
      <c r="N3281" t="s">
        <v>576</v>
      </c>
      <c r="O3281" t="s">
        <v>82</v>
      </c>
      <c r="P3281" t="str">
        <f>"4170050241                    "</f>
        <v xml:space="preserve">4170050241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67.760000000000005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6</v>
      </c>
      <c r="BJ3281">
        <v>1.7</v>
      </c>
      <c r="BK3281">
        <v>6</v>
      </c>
      <c r="BL3281">
        <v>213.48</v>
      </c>
      <c r="BM3281">
        <v>32.020000000000003</v>
      </c>
      <c r="BN3281">
        <v>245.5</v>
      </c>
      <c r="BO3281">
        <v>245.5</v>
      </c>
      <c r="BQ3281" t="s">
        <v>577</v>
      </c>
      <c r="BR3281" t="s">
        <v>84</v>
      </c>
      <c r="BS3281" s="3">
        <v>45861</v>
      </c>
      <c r="BT3281" s="4">
        <v>0.39652777777777776</v>
      </c>
      <c r="BU3281" t="s">
        <v>2998</v>
      </c>
      <c r="BV3281" t="s">
        <v>98</v>
      </c>
      <c r="BY3281">
        <v>8512</v>
      </c>
      <c r="CA3281" t="s">
        <v>579</v>
      </c>
      <c r="CC3281" t="s">
        <v>80</v>
      </c>
      <c r="CD3281">
        <v>7480</v>
      </c>
      <c r="CE3281" t="s">
        <v>145</v>
      </c>
      <c r="CF3281" s="3">
        <v>45862</v>
      </c>
      <c r="CI3281">
        <v>1</v>
      </c>
      <c r="CJ3281">
        <v>1</v>
      </c>
      <c r="CK3281">
        <v>21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"080066725222"</f>
        <v>080066725222</v>
      </c>
      <c r="F3282" s="3">
        <v>45860</v>
      </c>
      <c r="G3282">
        <v>202604</v>
      </c>
      <c r="H3282" t="s">
        <v>75</v>
      </c>
      <c r="I3282" t="s">
        <v>76</v>
      </c>
      <c r="J3282" t="s">
        <v>77</v>
      </c>
      <c r="K3282" t="s">
        <v>78</v>
      </c>
      <c r="L3282" t="s">
        <v>79</v>
      </c>
      <c r="M3282" t="s">
        <v>80</v>
      </c>
      <c r="N3282" t="s">
        <v>141</v>
      </c>
      <c r="O3282" t="s">
        <v>82</v>
      </c>
      <c r="P3282" t="str">
        <f>"4170050298                    "</f>
        <v xml:space="preserve">4170050298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22.6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71.2</v>
      </c>
      <c r="BM3282">
        <v>10.68</v>
      </c>
      <c r="BN3282">
        <v>81.88</v>
      </c>
      <c r="BO3282">
        <v>81.88</v>
      </c>
      <c r="BQ3282" t="s">
        <v>142</v>
      </c>
      <c r="BR3282" t="s">
        <v>84</v>
      </c>
      <c r="BS3282" s="3">
        <v>45861</v>
      </c>
      <c r="BT3282" s="4">
        <v>0.43333333333333335</v>
      </c>
      <c r="BU3282" t="s">
        <v>2437</v>
      </c>
      <c r="BV3282" t="s">
        <v>98</v>
      </c>
      <c r="BY3282">
        <v>1200</v>
      </c>
      <c r="CA3282" t="s">
        <v>144</v>
      </c>
      <c r="CC3282" t="s">
        <v>80</v>
      </c>
      <c r="CD3282">
        <v>7441</v>
      </c>
      <c r="CE3282" t="s">
        <v>121</v>
      </c>
      <c r="CF3282" s="3">
        <v>45862</v>
      </c>
      <c r="CI3282">
        <v>1</v>
      </c>
      <c r="CJ3282">
        <v>1</v>
      </c>
      <c r="CK3282">
        <v>21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"080066725234"</f>
        <v>080066725234</v>
      </c>
      <c r="F3283" s="3">
        <v>45860</v>
      </c>
      <c r="G3283">
        <v>202604</v>
      </c>
      <c r="H3283" t="s">
        <v>75</v>
      </c>
      <c r="I3283" t="s">
        <v>76</v>
      </c>
      <c r="J3283" t="s">
        <v>77</v>
      </c>
      <c r="K3283" t="s">
        <v>78</v>
      </c>
      <c r="L3283" t="s">
        <v>122</v>
      </c>
      <c r="M3283" t="s">
        <v>123</v>
      </c>
      <c r="N3283" t="s">
        <v>184</v>
      </c>
      <c r="O3283" t="s">
        <v>82</v>
      </c>
      <c r="P3283" t="str">
        <f>"4170050181                    "</f>
        <v xml:space="preserve">4170050181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39.53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3</v>
      </c>
      <c r="BJ3283">
        <v>3.4</v>
      </c>
      <c r="BK3283">
        <v>3.5</v>
      </c>
      <c r="BL3283">
        <v>124.55</v>
      </c>
      <c r="BM3283">
        <v>18.68</v>
      </c>
      <c r="BN3283">
        <v>143.22999999999999</v>
      </c>
      <c r="BO3283">
        <v>143.22999999999999</v>
      </c>
      <c r="BQ3283" t="s">
        <v>185</v>
      </c>
      <c r="BR3283" t="s">
        <v>84</v>
      </c>
      <c r="BS3283" s="3">
        <v>45861</v>
      </c>
      <c r="BT3283" s="4">
        <v>0.39583333333333331</v>
      </c>
      <c r="BU3283" t="s">
        <v>186</v>
      </c>
      <c r="BV3283" t="s">
        <v>98</v>
      </c>
      <c r="BY3283">
        <v>16965</v>
      </c>
      <c r="CA3283" t="s">
        <v>187</v>
      </c>
      <c r="CC3283" t="s">
        <v>123</v>
      </c>
      <c r="CD3283">
        <v>3610</v>
      </c>
      <c r="CE3283" t="s">
        <v>145</v>
      </c>
      <c r="CF3283" s="3">
        <v>45861</v>
      </c>
      <c r="CI3283">
        <v>1</v>
      </c>
      <c r="CJ3283">
        <v>1</v>
      </c>
      <c r="CK3283">
        <v>21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"080066725236"</f>
        <v>080066725236</v>
      </c>
      <c r="F3284" s="3">
        <v>45860</v>
      </c>
      <c r="G3284">
        <v>202604</v>
      </c>
      <c r="H3284" t="s">
        <v>75</v>
      </c>
      <c r="I3284" t="s">
        <v>76</v>
      </c>
      <c r="J3284" t="s">
        <v>77</v>
      </c>
      <c r="K3284" t="s">
        <v>78</v>
      </c>
      <c r="L3284" t="s">
        <v>221</v>
      </c>
      <c r="M3284" t="s">
        <v>222</v>
      </c>
      <c r="N3284" t="s">
        <v>223</v>
      </c>
      <c r="O3284" t="s">
        <v>82</v>
      </c>
      <c r="P3284" t="str">
        <f>"4170050344                    "</f>
        <v xml:space="preserve">4170050344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43.78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137.94</v>
      </c>
      <c r="BM3284">
        <v>20.69</v>
      </c>
      <c r="BN3284">
        <v>158.63</v>
      </c>
      <c r="BO3284">
        <v>158.63</v>
      </c>
      <c r="BQ3284" t="s">
        <v>224</v>
      </c>
      <c r="BR3284" t="s">
        <v>84</v>
      </c>
      <c r="BS3284" s="3">
        <v>45861</v>
      </c>
      <c r="BT3284" s="4">
        <v>0.44444444444444442</v>
      </c>
      <c r="BU3284" t="s">
        <v>1707</v>
      </c>
      <c r="BV3284" t="s">
        <v>98</v>
      </c>
      <c r="BY3284">
        <v>1200</v>
      </c>
      <c r="CC3284" t="s">
        <v>222</v>
      </c>
      <c r="CD3284">
        <v>2740</v>
      </c>
      <c r="CE3284" t="s">
        <v>121</v>
      </c>
      <c r="CF3284" s="3">
        <v>45862</v>
      </c>
      <c r="CI3284">
        <v>1</v>
      </c>
      <c r="CJ3284">
        <v>1</v>
      </c>
      <c r="CK3284">
        <v>23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"080066725276"</f>
        <v>080066725276</v>
      </c>
      <c r="F3285" s="3">
        <v>45860</v>
      </c>
      <c r="G3285">
        <v>202604</v>
      </c>
      <c r="H3285" t="s">
        <v>75</v>
      </c>
      <c r="I3285" t="s">
        <v>76</v>
      </c>
      <c r="J3285" t="s">
        <v>77</v>
      </c>
      <c r="K3285" t="s">
        <v>78</v>
      </c>
      <c r="L3285" t="s">
        <v>135</v>
      </c>
      <c r="M3285" t="s">
        <v>136</v>
      </c>
      <c r="N3285" t="s">
        <v>3256</v>
      </c>
      <c r="O3285" t="s">
        <v>82</v>
      </c>
      <c r="P3285" t="str">
        <f>"4170050112                    "</f>
        <v xml:space="preserve">4170050112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22.6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71.2</v>
      </c>
      <c r="BM3285">
        <v>10.68</v>
      </c>
      <c r="BN3285">
        <v>81.88</v>
      </c>
      <c r="BO3285">
        <v>81.88</v>
      </c>
      <c r="BQ3285" t="s">
        <v>3257</v>
      </c>
      <c r="BR3285" t="s">
        <v>84</v>
      </c>
      <c r="BS3285" s="3">
        <v>45863</v>
      </c>
      <c r="BT3285" s="4">
        <v>0.41666666666666669</v>
      </c>
      <c r="BU3285" t="s">
        <v>2155</v>
      </c>
      <c r="BV3285" t="s">
        <v>98</v>
      </c>
      <c r="BY3285">
        <v>1200</v>
      </c>
      <c r="CA3285" t="s">
        <v>349</v>
      </c>
      <c r="CC3285" t="s">
        <v>136</v>
      </c>
      <c r="CD3285">
        <v>3201</v>
      </c>
      <c r="CE3285" t="s">
        <v>121</v>
      </c>
      <c r="CF3285" s="3">
        <v>45864</v>
      </c>
      <c r="CI3285">
        <v>5</v>
      </c>
      <c r="CJ3285">
        <v>3</v>
      </c>
      <c r="CK3285">
        <v>21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"080066725283"</f>
        <v>080066725283</v>
      </c>
      <c r="F3286" s="3">
        <v>45860</v>
      </c>
      <c r="G3286">
        <v>202604</v>
      </c>
      <c r="H3286" t="s">
        <v>75</v>
      </c>
      <c r="I3286" t="s">
        <v>76</v>
      </c>
      <c r="J3286" t="s">
        <v>77</v>
      </c>
      <c r="K3286" t="s">
        <v>78</v>
      </c>
      <c r="L3286" t="s">
        <v>704</v>
      </c>
      <c r="M3286" t="s">
        <v>705</v>
      </c>
      <c r="N3286" t="s">
        <v>848</v>
      </c>
      <c r="O3286" t="s">
        <v>82</v>
      </c>
      <c r="P3286" t="str">
        <f>"4170050335                    "</f>
        <v xml:space="preserve">4170050335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43.78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0.6</v>
      </c>
      <c r="BK3286">
        <v>2</v>
      </c>
      <c r="BL3286">
        <v>137.94</v>
      </c>
      <c r="BM3286">
        <v>20.69</v>
      </c>
      <c r="BN3286">
        <v>158.63</v>
      </c>
      <c r="BO3286">
        <v>158.63</v>
      </c>
      <c r="BQ3286" t="s">
        <v>849</v>
      </c>
      <c r="BR3286" t="s">
        <v>84</v>
      </c>
      <c r="BS3286" s="3">
        <v>45861</v>
      </c>
      <c r="BT3286" s="4">
        <v>0.43263888888888891</v>
      </c>
      <c r="BU3286" t="s">
        <v>3194</v>
      </c>
      <c r="BV3286" t="s">
        <v>98</v>
      </c>
      <c r="BY3286">
        <v>3192</v>
      </c>
      <c r="CA3286" t="s">
        <v>1665</v>
      </c>
      <c r="CC3286" t="s">
        <v>705</v>
      </c>
      <c r="CD3286">
        <v>6850</v>
      </c>
      <c r="CE3286" t="s">
        <v>145</v>
      </c>
      <c r="CF3286" s="3">
        <v>45862</v>
      </c>
      <c r="CI3286">
        <v>2</v>
      </c>
      <c r="CJ3286">
        <v>1</v>
      </c>
      <c r="CK3286">
        <v>23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"080066725370"</f>
        <v>080066725370</v>
      </c>
      <c r="F3287" s="3">
        <v>45860</v>
      </c>
      <c r="G3287">
        <v>202604</v>
      </c>
      <c r="H3287" t="s">
        <v>75</v>
      </c>
      <c r="I3287" t="s">
        <v>76</v>
      </c>
      <c r="J3287" t="s">
        <v>77</v>
      </c>
      <c r="K3287" t="s">
        <v>78</v>
      </c>
      <c r="L3287" t="s">
        <v>122</v>
      </c>
      <c r="M3287" t="s">
        <v>123</v>
      </c>
      <c r="N3287" t="s">
        <v>1825</v>
      </c>
      <c r="O3287" t="s">
        <v>82</v>
      </c>
      <c r="P3287" t="str">
        <f>"4170050234                    "</f>
        <v xml:space="preserve">4170050234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22.6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71.2</v>
      </c>
      <c r="BM3287">
        <v>10.68</v>
      </c>
      <c r="BN3287">
        <v>81.88</v>
      </c>
      <c r="BO3287">
        <v>81.88</v>
      </c>
      <c r="BQ3287" t="s">
        <v>1826</v>
      </c>
      <c r="BR3287" t="s">
        <v>84</v>
      </c>
      <c r="BS3287" s="3">
        <v>45862</v>
      </c>
      <c r="BT3287" s="4">
        <v>0.3888888888888889</v>
      </c>
      <c r="BU3287" t="s">
        <v>1847</v>
      </c>
      <c r="BV3287" t="s">
        <v>86</v>
      </c>
      <c r="BY3287">
        <v>1200</v>
      </c>
      <c r="CA3287" t="s">
        <v>2974</v>
      </c>
      <c r="CC3287" t="s">
        <v>123</v>
      </c>
      <c r="CD3287">
        <v>3610</v>
      </c>
      <c r="CE3287" t="s">
        <v>121</v>
      </c>
      <c r="CF3287" s="3">
        <v>45863</v>
      </c>
      <c r="CI3287">
        <v>1</v>
      </c>
      <c r="CJ3287">
        <v>2</v>
      </c>
      <c r="CK3287">
        <v>21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"080066725377"</f>
        <v>080066725377</v>
      </c>
      <c r="F3288" s="3">
        <v>45860</v>
      </c>
      <c r="G3288">
        <v>202604</v>
      </c>
      <c r="H3288" t="s">
        <v>75</v>
      </c>
      <c r="I3288" t="s">
        <v>76</v>
      </c>
      <c r="J3288" t="s">
        <v>77</v>
      </c>
      <c r="K3288" t="s">
        <v>78</v>
      </c>
      <c r="L3288" t="s">
        <v>135</v>
      </c>
      <c r="M3288" t="s">
        <v>136</v>
      </c>
      <c r="N3288" t="s">
        <v>416</v>
      </c>
      <c r="O3288" t="s">
        <v>82</v>
      </c>
      <c r="P3288" t="str">
        <f>"4170050132                    "</f>
        <v xml:space="preserve">4170050132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56.47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5</v>
      </c>
      <c r="BJ3288">
        <v>3.4</v>
      </c>
      <c r="BK3288">
        <v>5</v>
      </c>
      <c r="BL3288">
        <v>177.91</v>
      </c>
      <c r="BM3288">
        <v>26.69</v>
      </c>
      <c r="BN3288">
        <v>204.6</v>
      </c>
      <c r="BO3288">
        <v>204.6</v>
      </c>
      <c r="BQ3288" t="s">
        <v>417</v>
      </c>
      <c r="BR3288" t="s">
        <v>84</v>
      </c>
      <c r="BS3288" s="3">
        <v>45861</v>
      </c>
      <c r="BT3288" s="4">
        <v>0.58333333333333337</v>
      </c>
      <c r="BU3288" t="s">
        <v>3258</v>
      </c>
      <c r="BV3288" t="s">
        <v>86</v>
      </c>
      <c r="BY3288">
        <v>16965</v>
      </c>
      <c r="CC3288" t="s">
        <v>136</v>
      </c>
      <c r="CD3288">
        <v>3201</v>
      </c>
      <c r="CE3288" t="s">
        <v>145</v>
      </c>
      <c r="CF3288" s="3">
        <v>45862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"080066725415"</f>
        <v>080066725415</v>
      </c>
      <c r="F3289" s="3">
        <v>45860</v>
      </c>
      <c r="G3289">
        <v>202604</v>
      </c>
      <c r="H3289" t="s">
        <v>75</v>
      </c>
      <c r="I3289" t="s">
        <v>76</v>
      </c>
      <c r="J3289" t="s">
        <v>77</v>
      </c>
      <c r="K3289" t="s">
        <v>78</v>
      </c>
      <c r="L3289" t="s">
        <v>75</v>
      </c>
      <c r="M3289" t="s">
        <v>76</v>
      </c>
      <c r="N3289" t="s">
        <v>701</v>
      </c>
      <c r="O3289" t="s">
        <v>82</v>
      </c>
      <c r="P3289" t="str">
        <f>"4170050125                    "</f>
        <v xml:space="preserve">4170050125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17.649999999999999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55.61</v>
      </c>
      <c r="BM3289">
        <v>8.34</v>
      </c>
      <c r="BN3289">
        <v>63.95</v>
      </c>
      <c r="BO3289">
        <v>63.95</v>
      </c>
      <c r="BQ3289" t="s">
        <v>702</v>
      </c>
      <c r="BR3289" t="s">
        <v>84</v>
      </c>
      <c r="BS3289" s="3">
        <v>45862</v>
      </c>
      <c r="BT3289" s="4">
        <v>0.4375</v>
      </c>
      <c r="BU3289" t="s">
        <v>703</v>
      </c>
      <c r="BV3289" t="s">
        <v>86</v>
      </c>
      <c r="BW3289" t="s">
        <v>2110</v>
      </c>
      <c r="BX3289" t="s">
        <v>1420</v>
      </c>
      <c r="BY3289">
        <v>1200</v>
      </c>
      <c r="CC3289" t="s">
        <v>76</v>
      </c>
      <c r="CD3289">
        <v>1645</v>
      </c>
      <c r="CE3289" t="s">
        <v>121</v>
      </c>
      <c r="CF3289" s="3">
        <v>45863</v>
      </c>
      <c r="CI3289">
        <v>1</v>
      </c>
      <c r="CJ3289">
        <v>2</v>
      </c>
      <c r="CK3289">
        <v>22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"080066725448"</f>
        <v>080066725448</v>
      </c>
      <c r="F3290" s="3">
        <v>45860</v>
      </c>
      <c r="G3290">
        <v>202604</v>
      </c>
      <c r="H3290" t="s">
        <v>75</v>
      </c>
      <c r="I3290" t="s">
        <v>76</v>
      </c>
      <c r="J3290" t="s">
        <v>77</v>
      </c>
      <c r="K3290" t="s">
        <v>78</v>
      </c>
      <c r="L3290" t="s">
        <v>240</v>
      </c>
      <c r="M3290" t="s">
        <v>241</v>
      </c>
      <c r="N3290" t="s">
        <v>851</v>
      </c>
      <c r="O3290" t="s">
        <v>82</v>
      </c>
      <c r="P3290" t="str">
        <f>"4170049518                    "</f>
        <v xml:space="preserve">4170049518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17.649999999999999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3</v>
      </c>
      <c r="BJ3290">
        <v>0.6</v>
      </c>
      <c r="BK3290">
        <v>3</v>
      </c>
      <c r="BL3290">
        <v>55.61</v>
      </c>
      <c r="BM3290">
        <v>8.34</v>
      </c>
      <c r="BN3290">
        <v>63.95</v>
      </c>
      <c r="BO3290">
        <v>63.95</v>
      </c>
      <c r="BQ3290" t="s">
        <v>852</v>
      </c>
      <c r="BR3290" t="s">
        <v>84</v>
      </c>
      <c r="BS3290" s="3">
        <v>45861</v>
      </c>
      <c r="BT3290" s="4">
        <v>0.41666666666666669</v>
      </c>
      <c r="BU3290" t="s">
        <v>1444</v>
      </c>
      <c r="BV3290" t="s">
        <v>98</v>
      </c>
      <c r="BY3290">
        <v>3192</v>
      </c>
      <c r="CA3290" t="s">
        <v>451</v>
      </c>
      <c r="CC3290" t="s">
        <v>241</v>
      </c>
      <c r="CD3290">
        <v>2094</v>
      </c>
      <c r="CE3290" t="s">
        <v>145</v>
      </c>
      <c r="CF3290" s="3">
        <v>45861</v>
      </c>
      <c r="CI3290">
        <v>1</v>
      </c>
      <c r="CJ3290">
        <v>1</v>
      </c>
      <c r="CK3290">
        <v>22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"080066725459"</f>
        <v>080066725459</v>
      </c>
      <c r="F3291" s="3">
        <v>45860</v>
      </c>
      <c r="G3291">
        <v>202604</v>
      </c>
      <c r="H3291" t="s">
        <v>75</v>
      </c>
      <c r="I3291" t="s">
        <v>76</v>
      </c>
      <c r="J3291" t="s">
        <v>77</v>
      </c>
      <c r="K3291" t="s">
        <v>78</v>
      </c>
      <c r="L3291" t="s">
        <v>135</v>
      </c>
      <c r="M3291" t="s">
        <v>136</v>
      </c>
      <c r="N3291" t="s">
        <v>416</v>
      </c>
      <c r="O3291" t="s">
        <v>82</v>
      </c>
      <c r="P3291" t="str">
        <f>"4170050114                    "</f>
        <v xml:space="preserve">4170050114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22.6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71.2</v>
      </c>
      <c r="BM3291">
        <v>10.68</v>
      </c>
      <c r="BN3291">
        <v>81.88</v>
      </c>
      <c r="BO3291">
        <v>81.88</v>
      </c>
      <c r="BQ3291" t="s">
        <v>417</v>
      </c>
      <c r="BR3291" t="s">
        <v>84</v>
      </c>
      <c r="BS3291" s="3">
        <v>45861</v>
      </c>
      <c r="BT3291" s="4">
        <v>0.58333333333333337</v>
      </c>
      <c r="BU3291" t="s">
        <v>3142</v>
      </c>
      <c r="BV3291" t="s">
        <v>86</v>
      </c>
      <c r="BY3291">
        <v>1200</v>
      </c>
      <c r="CC3291" t="s">
        <v>136</v>
      </c>
      <c r="CD3291">
        <v>3201</v>
      </c>
      <c r="CE3291" t="s">
        <v>121</v>
      </c>
      <c r="CF3291" s="3">
        <v>45862</v>
      </c>
      <c r="CI3291">
        <v>1</v>
      </c>
      <c r="CJ3291">
        <v>1</v>
      </c>
      <c r="CK3291">
        <v>21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"080066725510"</f>
        <v>080066725510</v>
      </c>
      <c r="F3292" s="3">
        <v>45860</v>
      </c>
      <c r="G3292">
        <v>202604</v>
      </c>
      <c r="H3292" t="s">
        <v>75</v>
      </c>
      <c r="I3292" t="s">
        <v>76</v>
      </c>
      <c r="J3292" t="s">
        <v>77</v>
      </c>
      <c r="K3292" t="s">
        <v>78</v>
      </c>
      <c r="L3292" t="s">
        <v>151</v>
      </c>
      <c r="M3292" t="s">
        <v>152</v>
      </c>
      <c r="N3292" t="s">
        <v>3259</v>
      </c>
      <c r="O3292" t="s">
        <v>82</v>
      </c>
      <c r="P3292" t="str">
        <f>"4170050260                    "</f>
        <v xml:space="preserve">4170050260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22.6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1.1000000000000001</v>
      </c>
      <c r="BK3292">
        <v>1.5</v>
      </c>
      <c r="BL3292">
        <v>71.2</v>
      </c>
      <c r="BM3292">
        <v>10.68</v>
      </c>
      <c r="BN3292">
        <v>81.88</v>
      </c>
      <c r="BO3292">
        <v>81.88</v>
      </c>
      <c r="BQ3292" t="s">
        <v>3260</v>
      </c>
      <c r="BR3292" t="s">
        <v>84</v>
      </c>
      <c r="BS3292" s="3">
        <v>45861</v>
      </c>
      <c r="BT3292" s="4">
        <v>0.41944444444444445</v>
      </c>
      <c r="BU3292" t="s">
        <v>3261</v>
      </c>
      <c r="BV3292" t="s">
        <v>98</v>
      </c>
      <c r="BY3292">
        <v>5320</v>
      </c>
      <c r="CA3292" t="s">
        <v>906</v>
      </c>
      <c r="CC3292" t="s">
        <v>152</v>
      </c>
      <c r="CD3292" s="5" t="s">
        <v>1013</v>
      </c>
      <c r="CE3292" t="s">
        <v>145</v>
      </c>
      <c r="CF3292" s="3">
        <v>45861</v>
      </c>
      <c r="CI3292">
        <v>1</v>
      </c>
      <c r="CJ3292">
        <v>1</v>
      </c>
      <c r="CK3292">
        <v>21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"080066725586"</f>
        <v>080066725586</v>
      </c>
      <c r="F3293" s="3">
        <v>45860</v>
      </c>
      <c r="G3293">
        <v>202604</v>
      </c>
      <c r="H3293" t="s">
        <v>75</v>
      </c>
      <c r="I3293" t="s">
        <v>76</v>
      </c>
      <c r="J3293" t="s">
        <v>77</v>
      </c>
      <c r="K3293" t="s">
        <v>78</v>
      </c>
      <c r="L3293" t="s">
        <v>252</v>
      </c>
      <c r="M3293" t="s">
        <v>253</v>
      </c>
      <c r="N3293" t="s">
        <v>254</v>
      </c>
      <c r="O3293" t="s">
        <v>95</v>
      </c>
      <c r="P3293" t="str">
        <f>"4170050154                    "</f>
        <v xml:space="preserve">4170050154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86.82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2</v>
      </c>
      <c r="BI3293">
        <v>19</v>
      </c>
      <c r="BJ3293">
        <v>22.8</v>
      </c>
      <c r="BK3293">
        <v>23</v>
      </c>
      <c r="BL3293">
        <v>279.39999999999998</v>
      </c>
      <c r="BM3293">
        <v>41.91</v>
      </c>
      <c r="BN3293">
        <v>321.31</v>
      </c>
      <c r="BO3293">
        <v>321.31</v>
      </c>
      <c r="BQ3293" t="s">
        <v>255</v>
      </c>
      <c r="BR3293" t="s">
        <v>84</v>
      </c>
      <c r="BS3293" s="3">
        <v>45861</v>
      </c>
      <c r="BT3293" s="4">
        <v>0.36041666666666666</v>
      </c>
      <c r="BU3293" t="s">
        <v>2874</v>
      </c>
      <c r="BV3293" t="s">
        <v>98</v>
      </c>
      <c r="BY3293">
        <v>114165</v>
      </c>
      <c r="CA3293" t="s">
        <v>2513</v>
      </c>
      <c r="CC3293" t="s">
        <v>253</v>
      </c>
      <c r="CD3293">
        <v>1947</v>
      </c>
      <c r="CE3293" t="s">
        <v>145</v>
      </c>
      <c r="CF3293" s="3">
        <v>45861</v>
      </c>
      <c r="CI3293">
        <v>1</v>
      </c>
      <c r="CJ3293">
        <v>1</v>
      </c>
      <c r="CK3293">
        <v>43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"080066725634"</f>
        <v>080066725634</v>
      </c>
      <c r="F3294" s="3">
        <v>45860</v>
      </c>
      <c r="G3294">
        <v>202604</v>
      </c>
      <c r="H3294" t="s">
        <v>75</v>
      </c>
      <c r="I3294" t="s">
        <v>76</v>
      </c>
      <c r="J3294" t="s">
        <v>77</v>
      </c>
      <c r="K3294" t="s">
        <v>78</v>
      </c>
      <c r="L3294" t="s">
        <v>670</v>
      </c>
      <c r="M3294" t="s">
        <v>671</v>
      </c>
      <c r="N3294" t="s">
        <v>3150</v>
      </c>
      <c r="O3294" t="s">
        <v>82</v>
      </c>
      <c r="P3294" t="str">
        <f>"4170050184                    "</f>
        <v xml:space="preserve">4170050184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17.649999999999999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55.61</v>
      </c>
      <c r="BM3294">
        <v>8.34</v>
      </c>
      <c r="BN3294">
        <v>63.95</v>
      </c>
      <c r="BO3294">
        <v>63.95</v>
      </c>
      <c r="BQ3294" t="s">
        <v>3151</v>
      </c>
      <c r="BR3294" t="s">
        <v>84</v>
      </c>
      <c r="BS3294" s="3">
        <v>45861</v>
      </c>
      <c r="BT3294" s="4">
        <v>0.43055555555555558</v>
      </c>
      <c r="BU3294" t="s">
        <v>3152</v>
      </c>
      <c r="BV3294" t="s">
        <v>98</v>
      </c>
      <c r="BY3294">
        <v>1200</v>
      </c>
      <c r="CA3294" t="s">
        <v>461</v>
      </c>
      <c r="CC3294" t="s">
        <v>671</v>
      </c>
      <c r="CD3294">
        <v>2163</v>
      </c>
      <c r="CE3294" t="s">
        <v>121</v>
      </c>
      <c r="CF3294" s="3">
        <v>45861</v>
      </c>
      <c r="CI3294">
        <v>1</v>
      </c>
      <c r="CJ3294">
        <v>1</v>
      </c>
      <c r="CK3294">
        <v>22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"080066725687"</f>
        <v>080066725687</v>
      </c>
      <c r="F3295" s="3">
        <v>45860</v>
      </c>
      <c r="G3295">
        <v>202604</v>
      </c>
      <c r="H3295" t="s">
        <v>75</v>
      </c>
      <c r="I3295" t="s">
        <v>76</v>
      </c>
      <c r="J3295" t="s">
        <v>77</v>
      </c>
      <c r="K3295" t="s">
        <v>78</v>
      </c>
      <c r="L3295" t="s">
        <v>135</v>
      </c>
      <c r="M3295" t="s">
        <v>136</v>
      </c>
      <c r="N3295" t="s">
        <v>416</v>
      </c>
      <c r="O3295" t="s">
        <v>82</v>
      </c>
      <c r="P3295" t="str">
        <f>"4170050131                    "</f>
        <v xml:space="preserve">4170050131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22.6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71.2</v>
      </c>
      <c r="BM3295">
        <v>10.68</v>
      </c>
      <c r="BN3295">
        <v>81.88</v>
      </c>
      <c r="BO3295">
        <v>81.88</v>
      </c>
      <c r="BQ3295" t="s">
        <v>417</v>
      </c>
      <c r="BR3295" t="s">
        <v>84</v>
      </c>
      <c r="BS3295" s="3">
        <v>45862</v>
      </c>
      <c r="BT3295" s="4">
        <v>0.41666666666666669</v>
      </c>
      <c r="BU3295" t="s">
        <v>3262</v>
      </c>
      <c r="BV3295" t="s">
        <v>86</v>
      </c>
      <c r="BY3295">
        <v>1200</v>
      </c>
      <c r="CC3295" t="s">
        <v>136</v>
      </c>
      <c r="CD3295">
        <v>3201</v>
      </c>
      <c r="CE3295" t="s">
        <v>121</v>
      </c>
      <c r="CF3295" s="3">
        <v>45863</v>
      </c>
      <c r="CI3295">
        <v>1</v>
      </c>
      <c r="CJ3295">
        <v>2</v>
      </c>
      <c r="CK3295">
        <v>21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"080066725750"</f>
        <v>080066725750</v>
      </c>
      <c r="F3296" s="3">
        <v>45860</v>
      </c>
      <c r="G3296">
        <v>202604</v>
      </c>
      <c r="H3296" t="s">
        <v>75</v>
      </c>
      <c r="I3296" t="s">
        <v>76</v>
      </c>
      <c r="J3296" t="s">
        <v>77</v>
      </c>
      <c r="K3296" t="s">
        <v>78</v>
      </c>
      <c r="L3296" t="s">
        <v>295</v>
      </c>
      <c r="M3296" t="s">
        <v>296</v>
      </c>
      <c r="N3296" t="s">
        <v>3263</v>
      </c>
      <c r="O3296" t="s">
        <v>82</v>
      </c>
      <c r="P3296" t="str">
        <f>"4170050183                    "</f>
        <v xml:space="preserve">4170050183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17.649999999999999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55.61</v>
      </c>
      <c r="BM3296">
        <v>8.34</v>
      </c>
      <c r="BN3296">
        <v>63.95</v>
      </c>
      <c r="BO3296">
        <v>63.95</v>
      </c>
      <c r="BQ3296" t="s">
        <v>3264</v>
      </c>
      <c r="BR3296" t="s">
        <v>84</v>
      </c>
      <c r="BS3296" s="3">
        <v>45861</v>
      </c>
      <c r="BT3296" s="4">
        <v>0.41597222222222224</v>
      </c>
      <c r="BU3296" t="s">
        <v>3265</v>
      </c>
      <c r="BV3296" t="s">
        <v>98</v>
      </c>
      <c r="BY3296">
        <v>1200</v>
      </c>
      <c r="CA3296" t="s">
        <v>1613</v>
      </c>
      <c r="CC3296" t="s">
        <v>296</v>
      </c>
      <c r="CD3296">
        <v>1459</v>
      </c>
      <c r="CE3296" t="s">
        <v>121</v>
      </c>
      <c r="CF3296" s="3">
        <v>45862</v>
      </c>
      <c r="CI3296">
        <v>1</v>
      </c>
      <c r="CJ3296">
        <v>1</v>
      </c>
      <c r="CK3296">
        <v>22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"080066725794"</f>
        <v>080066725794</v>
      </c>
      <c r="F3297" s="3">
        <v>45860</v>
      </c>
      <c r="G3297">
        <v>202604</v>
      </c>
      <c r="H3297" t="s">
        <v>75</v>
      </c>
      <c r="I3297" t="s">
        <v>76</v>
      </c>
      <c r="J3297" t="s">
        <v>77</v>
      </c>
      <c r="K3297" t="s">
        <v>78</v>
      </c>
      <c r="L3297" t="s">
        <v>240</v>
      </c>
      <c r="M3297" t="s">
        <v>241</v>
      </c>
      <c r="N3297" t="s">
        <v>1605</v>
      </c>
      <c r="O3297" t="s">
        <v>82</v>
      </c>
      <c r="P3297" t="str">
        <f>"4170050230                    "</f>
        <v xml:space="preserve">4170050230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17.649999999999999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55.61</v>
      </c>
      <c r="BM3297">
        <v>8.34</v>
      </c>
      <c r="BN3297">
        <v>63.95</v>
      </c>
      <c r="BO3297">
        <v>63.95</v>
      </c>
      <c r="BQ3297" t="s">
        <v>1606</v>
      </c>
      <c r="BR3297" t="s">
        <v>84</v>
      </c>
      <c r="BS3297" s="3">
        <v>45861</v>
      </c>
      <c r="BT3297" s="4">
        <v>0.375</v>
      </c>
      <c r="BU3297" t="s">
        <v>1607</v>
      </c>
      <c r="BV3297" t="s">
        <v>98</v>
      </c>
      <c r="BY3297">
        <v>1200</v>
      </c>
      <c r="CA3297" t="s">
        <v>245</v>
      </c>
      <c r="CC3297" t="s">
        <v>241</v>
      </c>
      <c r="CD3297">
        <v>2190</v>
      </c>
      <c r="CE3297" t="s">
        <v>121</v>
      </c>
      <c r="CF3297" s="3">
        <v>45861</v>
      </c>
      <c r="CI3297">
        <v>1</v>
      </c>
      <c r="CJ3297">
        <v>1</v>
      </c>
      <c r="CK3297">
        <v>22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"080066725839"</f>
        <v>080066725839</v>
      </c>
      <c r="F3298" s="3">
        <v>45860</v>
      </c>
      <c r="G3298">
        <v>202604</v>
      </c>
      <c r="H3298" t="s">
        <v>75</v>
      </c>
      <c r="I3298" t="s">
        <v>76</v>
      </c>
      <c r="J3298" t="s">
        <v>77</v>
      </c>
      <c r="K3298" t="s">
        <v>78</v>
      </c>
      <c r="L3298" t="s">
        <v>168</v>
      </c>
      <c r="M3298" t="s">
        <v>169</v>
      </c>
      <c r="N3298" t="s">
        <v>206</v>
      </c>
      <c r="O3298" t="s">
        <v>82</v>
      </c>
      <c r="P3298" t="str">
        <f>"4170049744                    "</f>
        <v xml:space="preserve">4170049744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22.6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71.2</v>
      </c>
      <c r="BM3298">
        <v>10.68</v>
      </c>
      <c r="BN3298">
        <v>81.88</v>
      </c>
      <c r="BO3298">
        <v>81.88</v>
      </c>
      <c r="BQ3298" t="s">
        <v>207</v>
      </c>
      <c r="BR3298" t="s">
        <v>84</v>
      </c>
      <c r="BS3298" s="3">
        <v>45861</v>
      </c>
      <c r="BT3298" s="4">
        <v>0.40138888888888891</v>
      </c>
      <c r="BU3298" t="s">
        <v>2957</v>
      </c>
      <c r="BV3298" t="s">
        <v>98</v>
      </c>
      <c r="BY3298">
        <v>1200</v>
      </c>
      <c r="CA3298" t="s">
        <v>196</v>
      </c>
      <c r="CC3298" t="s">
        <v>169</v>
      </c>
      <c r="CD3298">
        <v>6001</v>
      </c>
      <c r="CE3298" t="s">
        <v>121</v>
      </c>
      <c r="CF3298" s="3">
        <v>45861</v>
      </c>
      <c r="CI3298">
        <v>1</v>
      </c>
      <c r="CJ3298">
        <v>1</v>
      </c>
      <c r="CK3298">
        <v>21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"080066725885"</f>
        <v>080066725885</v>
      </c>
      <c r="F3299" s="3">
        <v>45860</v>
      </c>
      <c r="G3299">
        <v>202604</v>
      </c>
      <c r="H3299" t="s">
        <v>75</v>
      </c>
      <c r="I3299" t="s">
        <v>76</v>
      </c>
      <c r="J3299" t="s">
        <v>77</v>
      </c>
      <c r="K3299" t="s">
        <v>78</v>
      </c>
      <c r="L3299" t="s">
        <v>146</v>
      </c>
      <c r="M3299" t="s">
        <v>146</v>
      </c>
      <c r="N3299" t="s">
        <v>633</v>
      </c>
      <c r="O3299" t="s">
        <v>82</v>
      </c>
      <c r="P3299" t="str">
        <f>"4170050198                    "</f>
        <v xml:space="preserve">4170050198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43.78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137.94</v>
      </c>
      <c r="BM3299">
        <v>20.69</v>
      </c>
      <c r="BN3299">
        <v>158.63</v>
      </c>
      <c r="BO3299">
        <v>158.63</v>
      </c>
      <c r="BQ3299" t="s">
        <v>634</v>
      </c>
      <c r="BR3299" t="s">
        <v>84</v>
      </c>
      <c r="BS3299" s="3">
        <v>45861</v>
      </c>
      <c r="BT3299" s="4">
        <v>0.51875000000000004</v>
      </c>
      <c r="BU3299" t="s">
        <v>1115</v>
      </c>
      <c r="BV3299" t="s">
        <v>98</v>
      </c>
      <c r="BY3299">
        <v>1200</v>
      </c>
      <c r="CA3299" t="s">
        <v>150</v>
      </c>
      <c r="CC3299" t="s">
        <v>146</v>
      </c>
      <c r="CD3299">
        <v>7646</v>
      </c>
      <c r="CE3299" t="s">
        <v>121</v>
      </c>
      <c r="CF3299" s="3">
        <v>45862</v>
      </c>
      <c r="CI3299">
        <v>1</v>
      </c>
      <c r="CJ3299">
        <v>1</v>
      </c>
      <c r="CK3299">
        <v>23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"080066725929"</f>
        <v>080066725929</v>
      </c>
      <c r="F3300" s="3">
        <v>45860</v>
      </c>
      <c r="G3300">
        <v>202604</v>
      </c>
      <c r="H3300" t="s">
        <v>75</v>
      </c>
      <c r="I3300" t="s">
        <v>76</v>
      </c>
      <c r="J3300" t="s">
        <v>77</v>
      </c>
      <c r="K3300" t="s">
        <v>78</v>
      </c>
      <c r="L3300" t="s">
        <v>240</v>
      </c>
      <c r="M3300" t="s">
        <v>241</v>
      </c>
      <c r="N3300" t="s">
        <v>851</v>
      </c>
      <c r="O3300" t="s">
        <v>82</v>
      </c>
      <c r="P3300" t="str">
        <f>"4170050225                    "</f>
        <v xml:space="preserve">4170050225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17.649999999999999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55.61</v>
      </c>
      <c r="BM3300">
        <v>8.34</v>
      </c>
      <c r="BN3300">
        <v>63.95</v>
      </c>
      <c r="BO3300">
        <v>63.95</v>
      </c>
      <c r="BQ3300" t="s">
        <v>852</v>
      </c>
      <c r="BR3300" t="s">
        <v>84</v>
      </c>
      <c r="BS3300" s="3">
        <v>45861</v>
      </c>
      <c r="BT3300" s="4">
        <v>0.40972222222222221</v>
      </c>
      <c r="BU3300" t="s">
        <v>1444</v>
      </c>
      <c r="BV3300" t="s">
        <v>98</v>
      </c>
      <c r="BY3300">
        <v>1200</v>
      </c>
      <c r="CA3300" t="s">
        <v>451</v>
      </c>
      <c r="CC3300" t="s">
        <v>241</v>
      </c>
      <c r="CD3300">
        <v>2094</v>
      </c>
      <c r="CE3300" t="s">
        <v>121</v>
      </c>
      <c r="CF3300" s="3">
        <v>45861</v>
      </c>
      <c r="CI3300">
        <v>1</v>
      </c>
      <c r="CJ3300">
        <v>1</v>
      </c>
      <c r="CK3300">
        <v>22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"080066725979"</f>
        <v>080066725979</v>
      </c>
      <c r="F3301" s="3">
        <v>45860</v>
      </c>
      <c r="G3301">
        <v>202604</v>
      </c>
      <c r="H3301" t="s">
        <v>75</v>
      </c>
      <c r="I3301" t="s">
        <v>76</v>
      </c>
      <c r="J3301" t="s">
        <v>77</v>
      </c>
      <c r="K3301" t="s">
        <v>78</v>
      </c>
      <c r="L3301" t="s">
        <v>305</v>
      </c>
      <c r="M3301" t="s">
        <v>306</v>
      </c>
      <c r="N3301" t="s">
        <v>640</v>
      </c>
      <c r="O3301" t="s">
        <v>82</v>
      </c>
      <c r="P3301" t="str">
        <f>"4170050304                    "</f>
        <v xml:space="preserve">4170050304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22.6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1.1000000000000001</v>
      </c>
      <c r="BK3301">
        <v>1.5</v>
      </c>
      <c r="BL3301">
        <v>71.2</v>
      </c>
      <c r="BM3301">
        <v>10.68</v>
      </c>
      <c r="BN3301">
        <v>81.88</v>
      </c>
      <c r="BO3301">
        <v>81.88</v>
      </c>
      <c r="BQ3301" t="s">
        <v>641</v>
      </c>
      <c r="BR3301" t="s">
        <v>84</v>
      </c>
      <c r="BS3301" s="3">
        <v>45861</v>
      </c>
      <c r="BT3301" s="4">
        <v>0.58333333333333337</v>
      </c>
      <c r="BU3301" t="s">
        <v>1565</v>
      </c>
      <c r="BV3301" t="s">
        <v>86</v>
      </c>
      <c r="BY3301">
        <v>5320</v>
      </c>
      <c r="CC3301" t="s">
        <v>306</v>
      </c>
      <c r="CD3301">
        <v>5201</v>
      </c>
      <c r="CE3301" t="s">
        <v>145</v>
      </c>
      <c r="CF3301" s="3">
        <v>45862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"080066726040"</f>
        <v>080066726040</v>
      </c>
      <c r="F3302" s="3">
        <v>45860</v>
      </c>
      <c r="G3302">
        <v>202604</v>
      </c>
      <c r="H3302" t="s">
        <v>75</v>
      </c>
      <c r="I3302" t="s">
        <v>76</v>
      </c>
      <c r="J3302" t="s">
        <v>77</v>
      </c>
      <c r="K3302" t="s">
        <v>78</v>
      </c>
      <c r="L3302" t="s">
        <v>252</v>
      </c>
      <c r="M3302" t="s">
        <v>253</v>
      </c>
      <c r="N3302" t="s">
        <v>254</v>
      </c>
      <c r="O3302" t="s">
        <v>82</v>
      </c>
      <c r="P3302" t="str">
        <f>"4170050178                    "</f>
        <v xml:space="preserve">4170050178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43.78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0.9</v>
      </c>
      <c r="BK3302">
        <v>1</v>
      </c>
      <c r="BL3302">
        <v>137.94</v>
      </c>
      <c r="BM3302">
        <v>20.69</v>
      </c>
      <c r="BN3302">
        <v>158.63</v>
      </c>
      <c r="BO3302">
        <v>158.63</v>
      </c>
      <c r="BQ3302" t="s">
        <v>255</v>
      </c>
      <c r="BR3302" t="s">
        <v>84</v>
      </c>
      <c r="BS3302" s="3">
        <v>45861</v>
      </c>
      <c r="BT3302" s="4">
        <v>0.3611111111111111</v>
      </c>
      <c r="BU3302" t="s">
        <v>2874</v>
      </c>
      <c r="BV3302" t="s">
        <v>98</v>
      </c>
      <c r="BY3302">
        <v>4256</v>
      </c>
      <c r="CA3302" t="s">
        <v>2513</v>
      </c>
      <c r="CC3302" t="s">
        <v>253</v>
      </c>
      <c r="CD3302">
        <v>1947</v>
      </c>
      <c r="CE3302" t="s">
        <v>145</v>
      </c>
      <c r="CF3302" s="3">
        <v>45861</v>
      </c>
      <c r="CI3302">
        <v>1</v>
      </c>
      <c r="CJ3302">
        <v>1</v>
      </c>
      <c r="CK3302">
        <v>23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"080066726063"</f>
        <v>080066726063</v>
      </c>
      <c r="F3303" s="3">
        <v>45860</v>
      </c>
      <c r="G3303">
        <v>202604</v>
      </c>
      <c r="H3303" t="s">
        <v>75</v>
      </c>
      <c r="I3303" t="s">
        <v>76</v>
      </c>
      <c r="J3303" t="s">
        <v>77</v>
      </c>
      <c r="K3303" t="s">
        <v>78</v>
      </c>
      <c r="L3303" t="s">
        <v>75</v>
      </c>
      <c r="M3303" t="s">
        <v>76</v>
      </c>
      <c r="N3303" t="s">
        <v>701</v>
      </c>
      <c r="O3303" t="s">
        <v>82</v>
      </c>
      <c r="P3303" t="str">
        <f>"4170050257                    "</f>
        <v xml:space="preserve">4170050257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17.649999999999999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2</v>
      </c>
      <c r="BJ3303">
        <v>1.1000000000000001</v>
      </c>
      <c r="BK3303">
        <v>2</v>
      </c>
      <c r="BL3303">
        <v>55.61</v>
      </c>
      <c r="BM3303">
        <v>8.34</v>
      </c>
      <c r="BN3303">
        <v>63.95</v>
      </c>
      <c r="BO3303">
        <v>63.95</v>
      </c>
      <c r="BQ3303" t="s">
        <v>702</v>
      </c>
      <c r="BR3303" t="s">
        <v>84</v>
      </c>
      <c r="BS3303" s="3">
        <v>45862</v>
      </c>
      <c r="BT3303" s="4">
        <v>0.4375</v>
      </c>
      <c r="BU3303" t="s">
        <v>703</v>
      </c>
      <c r="BV3303" t="s">
        <v>86</v>
      </c>
      <c r="BW3303" t="s">
        <v>2110</v>
      </c>
      <c r="BX3303" t="s">
        <v>1420</v>
      </c>
      <c r="BY3303">
        <v>5320</v>
      </c>
      <c r="CC3303" t="s">
        <v>76</v>
      </c>
      <c r="CD3303">
        <v>1645</v>
      </c>
      <c r="CE3303" t="s">
        <v>145</v>
      </c>
      <c r="CF3303" s="3">
        <v>45863</v>
      </c>
      <c r="CI3303">
        <v>1</v>
      </c>
      <c r="CJ3303">
        <v>2</v>
      </c>
      <c r="CK3303">
        <v>22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"009944473736"</f>
        <v>009944473736</v>
      </c>
      <c r="F3304" s="3">
        <v>45860</v>
      </c>
      <c r="G3304">
        <v>202604</v>
      </c>
      <c r="H3304" t="s">
        <v>79</v>
      </c>
      <c r="I3304" t="s">
        <v>80</v>
      </c>
      <c r="J3304" t="s">
        <v>2746</v>
      </c>
      <c r="K3304" t="s">
        <v>78</v>
      </c>
      <c r="L3304" t="s">
        <v>75</v>
      </c>
      <c r="M3304" t="s">
        <v>76</v>
      </c>
      <c r="N3304" t="s">
        <v>228</v>
      </c>
      <c r="O3304" t="s">
        <v>311</v>
      </c>
      <c r="P3304" t="str">
        <f>"                              "</f>
        <v xml:space="preserve">          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84.75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1.9</v>
      </c>
      <c r="BJ3304">
        <v>3.6</v>
      </c>
      <c r="BK3304">
        <v>4</v>
      </c>
      <c r="BL3304">
        <v>267</v>
      </c>
      <c r="BM3304">
        <v>40.049999999999997</v>
      </c>
      <c r="BN3304">
        <v>307.05</v>
      </c>
      <c r="BO3304">
        <v>307.05</v>
      </c>
      <c r="BP3304" t="s">
        <v>3266</v>
      </c>
      <c r="BQ3304" t="s">
        <v>3267</v>
      </c>
      <c r="BS3304" s="3">
        <v>45861</v>
      </c>
      <c r="BT3304" s="4">
        <v>0.45347222222222222</v>
      </c>
      <c r="BU3304" t="s">
        <v>232</v>
      </c>
      <c r="BV3304" t="s">
        <v>98</v>
      </c>
      <c r="BY3304">
        <v>17878.48</v>
      </c>
      <c r="BZ3304" t="s">
        <v>99</v>
      </c>
      <c r="CC3304" t="s">
        <v>76</v>
      </c>
      <c r="CD3304">
        <v>1600</v>
      </c>
      <c r="CE3304" t="s">
        <v>3268</v>
      </c>
      <c r="CF3304" s="3">
        <v>45861</v>
      </c>
      <c r="CI3304">
        <v>1</v>
      </c>
      <c r="CJ3304">
        <v>1</v>
      </c>
      <c r="CK3304">
        <v>31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"009944473735"</f>
        <v>009944473735</v>
      </c>
      <c r="F3305" s="3">
        <v>45860</v>
      </c>
      <c r="G3305">
        <v>202604</v>
      </c>
      <c r="H3305" t="s">
        <v>79</v>
      </c>
      <c r="I3305" t="s">
        <v>80</v>
      </c>
      <c r="J3305" t="s">
        <v>2746</v>
      </c>
      <c r="K3305" t="s">
        <v>78</v>
      </c>
      <c r="L3305" t="s">
        <v>75</v>
      </c>
      <c r="M3305" t="s">
        <v>76</v>
      </c>
      <c r="N3305" t="s">
        <v>228</v>
      </c>
      <c r="O3305" t="s">
        <v>311</v>
      </c>
      <c r="P3305" t="str">
        <f>"                              "</f>
        <v xml:space="preserve">          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42.38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0.2</v>
      </c>
      <c r="BJ3305">
        <v>0.7</v>
      </c>
      <c r="BK3305">
        <v>1</v>
      </c>
      <c r="BL3305">
        <v>133.51</v>
      </c>
      <c r="BM3305">
        <v>20.03</v>
      </c>
      <c r="BN3305">
        <v>153.54</v>
      </c>
      <c r="BO3305">
        <v>153.54</v>
      </c>
      <c r="BP3305" t="s">
        <v>3269</v>
      </c>
      <c r="BQ3305" t="s">
        <v>3270</v>
      </c>
      <c r="BS3305" s="3">
        <v>45861</v>
      </c>
      <c r="BT3305" s="4">
        <v>0.45347222222222222</v>
      </c>
      <c r="BU3305" t="s">
        <v>232</v>
      </c>
      <c r="BV3305" t="s">
        <v>98</v>
      </c>
      <c r="BY3305">
        <v>3479.56</v>
      </c>
      <c r="BZ3305" t="s">
        <v>99</v>
      </c>
      <c r="CA3305" t="s">
        <v>304</v>
      </c>
      <c r="CC3305" t="s">
        <v>76</v>
      </c>
      <c r="CD3305">
        <v>1600</v>
      </c>
      <c r="CE3305" t="s">
        <v>587</v>
      </c>
      <c r="CF3305" s="3">
        <v>45861</v>
      </c>
      <c r="CI3305">
        <v>1</v>
      </c>
      <c r="CJ3305">
        <v>1</v>
      </c>
      <c r="CK3305">
        <v>31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"080066682201"</f>
        <v>080066682201</v>
      </c>
      <c r="F3306" s="3">
        <v>45859</v>
      </c>
      <c r="G3306">
        <v>202604</v>
      </c>
      <c r="H3306" t="s">
        <v>75</v>
      </c>
      <c r="I3306" t="s">
        <v>76</v>
      </c>
      <c r="J3306" t="s">
        <v>77</v>
      </c>
      <c r="K3306" t="s">
        <v>78</v>
      </c>
      <c r="L3306" t="s">
        <v>240</v>
      </c>
      <c r="M3306" t="s">
        <v>241</v>
      </c>
      <c r="N3306" t="s">
        <v>2958</v>
      </c>
      <c r="O3306" t="s">
        <v>95</v>
      </c>
      <c r="P3306" t="str">
        <f>"4170050011                    "</f>
        <v xml:space="preserve">4170050011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42.59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2</v>
      </c>
      <c r="BI3306">
        <v>24</v>
      </c>
      <c r="BJ3306">
        <v>14.9</v>
      </c>
      <c r="BK3306">
        <v>24</v>
      </c>
      <c r="BL3306">
        <v>140.06</v>
      </c>
      <c r="BM3306">
        <v>21.01</v>
      </c>
      <c r="BN3306">
        <v>161.07</v>
      </c>
      <c r="BO3306">
        <v>161.07</v>
      </c>
      <c r="BQ3306" t="s">
        <v>2959</v>
      </c>
      <c r="BR3306" t="s">
        <v>84</v>
      </c>
      <c r="BS3306" s="3">
        <v>45860</v>
      </c>
      <c r="BT3306" s="4">
        <v>0.5</v>
      </c>
      <c r="BU3306" t="s">
        <v>757</v>
      </c>
      <c r="BV3306" t="s">
        <v>98</v>
      </c>
      <c r="BY3306">
        <v>37191</v>
      </c>
      <c r="BZ3306" t="s">
        <v>99</v>
      </c>
      <c r="CA3306" t="s">
        <v>1344</v>
      </c>
      <c r="CC3306" t="s">
        <v>241</v>
      </c>
      <c r="CD3306">
        <v>2169</v>
      </c>
      <c r="CE3306" t="s">
        <v>2802</v>
      </c>
      <c r="CF3306" s="3">
        <v>45861</v>
      </c>
      <c r="CI3306">
        <v>1</v>
      </c>
      <c r="CJ3306">
        <v>1</v>
      </c>
      <c r="CK3306">
        <v>42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"080066594847"</f>
        <v>080066594847</v>
      </c>
      <c r="F3307" s="3">
        <v>45854</v>
      </c>
      <c r="G3307">
        <v>202604</v>
      </c>
      <c r="H3307" t="s">
        <v>75</v>
      </c>
      <c r="I3307" t="s">
        <v>76</v>
      </c>
      <c r="J3307" t="s">
        <v>77</v>
      </c>
      <c r="K3307" t="s">
        <v>78</v>
      </c>
      <c r="L3307" t="s">
        <v>151</v>
      </c>
      <c r="M3307" t="s">
        <v>152</v>
      </c>
      <c r="N3307" t="s">
        <v>515</v>
      </c>
      <c r="O3307" t="s">
        <v>95</v>
      </c>
      <c r="P3307" t="str">
        <f>"4170049075                    "</f>
        <v xml:space="preserve">4170049075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9</v>
      </c>
      <c r="BJ3307">
        <v>22.1</v>
      </c>
      <c r="BK3307">
        <v>23</v>
      </c>
      <c r="BL3307">
        <v>0</v>
      </c>
      <c r="BM3307">
        <v>0</v>
      </c>
      <c r="BN3307">
        <v>0</v>
      </c>
      <c r="BO3307">
        <v>0</v>
      </c>
      <c r="BQ3307" t="s">
        <v>516</v>
      </c>
      <c r="BR3307" t="s">
        <v>84</v>
      </c>
      <c r="BS3307" s="3">
        <v>45854</v>
      </c>
      <c r="BT3307" s="4">
        <v>0.43958333333333333</v>
      </c>
      <c r="BU3307" t="s">
        <v>424</v>
      </c>
      <c r="BV3307" t="s">
        <v>98</v>
      </c>
      <c r="BY3307">
        <v>110400</v>
      </c>
      <c r="BZ3307" t="s">
        <v>425</v>
      </c>
      <c r="CA3307" t="s">
        <v>3271</v>
      </c>
      <c r="CC3307" t="s">
        <v>152</v>
      </c>
      <c r="CD3307" s="5" t="s">
        <v>157</v>
      </c>
      <c r="CE3307" t="s">
        <v>117</v>
      </c>
      <c r="CF3307" s="3">
        <v>45855</v>
      </c>
      <c r="CI3307">
        <v>1</v>
      </c>
      <c r="CJ3307">
        <v>0</v>
      </c>
      <c r="CK3307">
        <v>-1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"080066625047"</f>
        <v>080066625047</v>
      </c>
      <c r="F3308" s="3">
        <v>45855</v>
      </c>
      <c r="G3308">
        <v>202604</v>
      </c>
      <c r="H3308" t="s">
        <v>75</v>
      </c>
      <c r="I3308" t="s">
        <v>76</v>
      </c>
      <c r="J3308" t="s">
        <v>77</v>
      </c>
      <c r="K3308" t="s">
        <v>78</v>
      </c>
      <c r="L3308" t="s">
        <v>79</v>
      </c>
      <c r="M3308" t="s">
        <v>80</v>
      </c>
      <c r="N3308" t="s">
        <v>1557</v>
      </c>
      <c r="O3308" t="s">
        <v>82</v>
      </c>
      <c r="P3308" t="str">
        <f>"4170049127                    "</f>
        <v xml:space="preserve">4170049127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1.1000000000000001</v>
      </c>
      <c r="BK3308">
        <v>1.5</v>
      </c>
      <c r="BL3308">
        <v>0</v>
      </c>
      <c r="BM3308">
        <v>0</v>
      </c>
      <c r="BN3308">
        <v>0</v>
      </c>
      <c r="BO3308">
        <v>0</v>
      </c>
      <c r="BQ3308" t="s">
        <v>1558</v>
      </c>
      <c r="BR3308" t="s">
        <v>84</v>
      </c>
      <c r="BS3308" s="3">
        <v>45855</v>
      </c>
      <c r="BT3308" s="4">
        <v>0.66736111111111107</v>
      </c>
      <c r="BU3308" t="s">
        <v>424</v>
      </c>
      <c r="BV3308" t="s">
        <v>98</v>
      </c>
      <c r="BY3308">
        <v>5320</v>
      </c>
      <c r="BZ3308" t="s">
        <v>3272</v>
      </c>
      <c r="CA3308" t="s">
        <v>3273</v>
      </c>
      <c r="CC3308" t="s">
        <v>80</v>
      </c>
      <c r="CD3308">
        <v>7535</v>
      </c>
      <c r="CE3308" t="s">
        <v>117</v>
      </c>
      <c r="CF3308" s="3">
        <v>45856</v>
      </c>
      <c r="CI3308">
        <v>1</v>
      </c>
      <c r="CJ3308">
        <v>0</v>
      </c>
      <c r="CK3308">
        <v>-1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"080066749978"</f>
        <v>080066749978</v>
      </c>
      <c r="F3309" s="3">
        <v>45861</v>
      </c>
      <c r="G3309">
        <v>202604</v>
      </c>
      <c r="H3309" t="s">
        <v>75</v>
      </c>
      <c r="I3309" t="s">
        <v>76</v>
      </c>
      <c r="J3309" t="s">
        <v>77</v>
      </c>
      <c r="K3309" t="s">
        <v>78</v>
      </c>
      <c r="L3309" t="s">
        <v>135</v>
      </c>
      <c r="M3309" t="s">
        <v>136</v>
      </c>
      <c r="N3309" t="s">
        <v>416</v>
      </c>
      <c r="O3309" t="s">
        <v>82</v>
      </c>
      <c r="P3309" t="str">
        <f>"4170050371                    "</f>
        <v xml:space="preserve">4170050371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22.6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71.2</v>
      </c>
      <c r="BM3309">
        <v>10.68</v>
      </c>
      <c r="BN3309">
        <v>81.88</v>
      </c>
      <c r="BO3309">
        <v>81.88</v>
      </c>
      <c r="BQ3309" t="s">
        <v>417</v>
      </c>
      <c r="BR3309" t="s">
        <v>84</v>
      </c>
      <c r="BS3309" s="3">
        <v>45862</v>
      </c>
      <c r="BT3309" s="4">
        <v>0.41666666666666669</v>
      </c>
      <c r="BU3309" t="s">
        <v>3262</v>
      </c>
      <c r="BV3309" t="s">
        <v>98</v>
      </c>
      <c r="BY3309">
        <v>1200</v>
      </c>
      <c r="CC3309" t="s">
        <v>136</v>
      </c>
      <c r="CD3309">
        <v>3201</v>
      </c>
      <c r="CE3309" t="s">
        <v>121</v>
      </c>
      <c r="CF3309" s="3">
        <v>45863</v>
      </c>
      <c r="CI3309">
        <v>1</v>
      </c>
      <c r="CJ3309">
        <v>1</v>
      </c>
      <c r="CK3309">
        <v>21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"080066742862"</f>
        <v>080066742862</v>
      </c>
      <c r="F3310" s="3">
        <v>45861</v>
      </c>
      <c r="G3310">
        <v>202604</v>
      </c>
      <c r="H3310" t="s">
        <v>75</v>
      </c>
      <c r="I3310" t="s">
        <v>76</v>
      </c>
      <c r="J3310" t="s">
        <v>77</v>
      </c>
      <c r="K3310" t="s">
        <v>78</v>
      </c>
      <c r="L3310" t="s">
        <v>168</v>
      </c>
      <c r="M3310" t="s">
        <v>169</v>
      </c>
      <c r="N3310" t="s">
        <v>202</v>
      </c>
      <c r="O3310" t="s">
        <v>82</v>
      </c>
      <c r="P3310" t="str">
        <f>"4170050197                    "</f>
        <v xml:space="preserve">4170050197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33.89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3</v>
      </c>
      <c r="BJ3310">
        <v>0.9</v>
      </c>
      <c r="BK3310">
        <v>3</v>
      </c>
      <c r="BL3310">
        <v>106.77</v>
      </c>
      <c r="BM3310">
        <v>16.02</v>
      </c>
      <c r="BN3310">
        <v>122.79</v>
      </c>
      <c r="BO3310">
        <v>122.79</v>
      </c>
      <c r="BQ3310" t="s">
        <v>203</v>
      </c>
      <c r="BR3310" t="s">
        <v>84</v>
      </c>
      <c r="BS3310" s="3">
        <v>45862</v>
      </c>
      <c r="BT3310" s="4">
        <v>0.40625</v>
      </c>
      <c r="BU3310" t="s">
        <v>204</v>
      </c>
      <c r="BV3310" t="s">
        <v>98</v>
      </c>
      <c r="BY3310">
        <v>4275</v>
      </c>
      <c r="CA3310" t="s">
        <v>205</v>
      </c>
      <c r="CC3310" t="s">
        <v>169</v>
      </c>
      <c r="CD3310">
        <v>6001</v>
      </c>
      <c r="CE3310" t="s">
        <v>259</v>
      </c>
      <c r="CF3310" s="3">
        <v>45862</v>
      </c>
      <c r="CI3310">
        <v>1</v>
      </c>
      <c r="CJ3310">
        <v>1</v>
      </c>
      <c r="CK3310">
        <v>21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"080066742929"</f>
        <v>080066742929</v>
      </c>
      <c r="F3311" s="3">
        <v>45861</v>
      </c>
      <c r="G3311">
        <v>202604</v>
      </c>
      <c r="H3311" t="s">
        <v>75</v>
      </c>
      <c r="I3311" t="s">
        <v>76</v>
      </c>
      <c r="J3311" t="s">
        <v>77</v>
      </c>
      <c r="K3311" t="s">
        <v>78</v>
      </c>
      <c r="L3311" t="s">
        <v>295</v>
      </c>
      <c r="M3311" t="s">
        <v>296</v>
      </c>
      <c r="N3311" t="s">
        <v>539</v>
      </c>
      <c r="O3311" t="s">
        <v>95</v>
      </c>
      <c r="P3311" t="str">
        <f>"4170050187                    "</f>
        <v xml:space="preserve">4170050187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33.72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15</v>
      </c>
      <c r="BJ3311">
        <v>14.1</v>
      </c>
      <c r="BK3311">
        <v>15</v>
      </c>
      <c r="BL3311">
        <v>112.11</v>
      </c>
      <c r="BM3311">
        <v>16.82</v>
      </c>
      <c r="BN3311">
        <v>128.93</v>
      </c>
      <c r="BO3311">
        <v>128.93</v>
      </c>
      <c r="BQ3311" t="s">
        <v>540</v>
      </c>
      <c r="BR3311" t="s">
        <v>84</v>
      </c>
      <c r="BS3311" s="3">
        <v>45862</v>
      </c>
      <c r="BT3311" s="4">
        <v>0.42986111111111114</v>
      </c>
      <c r="BU3311" t="s">
        <v>541</v>
      </c>
      <c r="BV3311" t="s">
        <v>98</v>
      </c>
      <c r="BY3311">
        <v>70560</v>
      </c>
      <c r="CA3311" t="s">
        <v>300</v>
      </c>
      <c r="CC3311" t="s">
        <v>296</v>
      </c>
      <c r="CD3311">
        <v>1459</v>
      </c>
      <c r="CE3311" t="s">
        <v>145</v>
      </c>
      <c r="CF3311" s="3">
        <v>45863</v>
      </c>
      <c r="CI3311">
        <v>1</v>
      </c>
      <c r="CJ3311">
        <v>1</v>
      </c>
      <c r="CK3311">
        <v>42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"080066746393"</f>
        <v>080066746393</v>
      </c>
      <c r="F3312" s="3">
        <v>45861</v>
      </c>
      <c r="G3312">
        <v>202604</v>
      </c>
      <c r="H3312" t="s">
        <v>75</v>
      </c>
      <c r="I3312" t="s">
        <v>76</v>
      </c>
      <c r="J3312" t="s">
        <v>77</v>
      </c>
      <c r="K3312" t="s">
        <v>78</v>
      </c>
      <c r="L3312" t="s">
        <v>151</v>
      </c>
      <c r="M3312" t="s">
        <v>152</v>
      </c>
      <c r="N3312" t="s">
        <v>1568</v>
      </c>
      <c r="O3312" t="s">
        <v>82</v>
      </c>
      <c r="P3312" t="str">
        <f>"4170050444                    "</f>
        <v xml:space="preserve">4170050444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22.6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71.2</v>
      </c>
      <c r="BM3312">
        <v>10.68</v>
      </c>
      <c r="BN3312">
        <v>81.88</v>
      </c>
      <c r="BO3312">
        <v>81.88</v>
      </c>
      <c r="BQ3312" t="s">
        <v>1569</v>
      </c>
      <c r="BR3312" t="s">
        <v>84</v>
      </c>
      <c r="BS3312" s="3">
        <v>45862</v>
      </c>
      <c r="BT3312" s="4">
        <v>0.36319444444444443</v>
      </c>
      <c r="BU3312" t="s">
        <v>1570</v>
      </c>
      <c r="BV3312" t="s">
        <v>98</v>
      </c>
      <c r="BY3312">
        <v>1200</v>
      </c>
      <c r="CA3312" t="s">
        <v>906</v>
      </c>
      <c r="CC3312" t="s">
        <v>152</v>
      </c>
      <c r="CD3312" s="5" t="s">
        <v>907</v>
      </c>
      <c r="CE3312" t="s">
        <v>121</v>
      </c>
      <c r="CF3312" s="3">
        <v>45862</v>
      </c>
      <c r="CI3312">
        <v>1</v>
      </c>
      <c r="CJ3312">
        <v>1</v>
      </c>
      <c r="CK3312">
        <v>21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"080066746403"</f>
        <v>080066746403</v>
      </c>
      <c r="F3313" s="3">
        <v>45861</v>
      </c>
      <c r="G3313">
        <v>202604</v>
      </c>
      <c r="H3313" t="s">
        <v>75</v>
      </c>
      <c r="I3313" t="s">
        <v>76</v>
      </c>
      <c r="J3313" t="s">
        <v>77</v>
      </c>
      <c r="K3313" t="s">
        <v>78</v>
      </c>
      <c r="L3313" t="s">
        <v>92</v>
      </c>
      <c r="M3313" t="s">
        <v>93</v>
      </c>
      <c r="N3313" t="s">
        <v>723</v>
      </c>
      <c r="O3313" t="s">
        <v>95</v>
      </c>
      <c r="P3313" t="str">
        <f>"4170050306                    "</f>
        <v xml:space="preserve">4170050306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43.7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12</v>
      </c>
      <c r="BJ3313">
        <v>5.4</v>
      </c>
      <c r="BK3313">
        <v>12</v>
      </c>
      <c r="BL3313">
        <v>143.55000000000001</v>
      </c>
      <c r="BM3313">
        <v>21.53</v>
      </c>
      <c r="BN3313">
        <v>165.08</v>
      </c>
      <c r="BO3313">
        <v>165.08</v>
      </c>
      <c r="BQ3313" t="s">
        <v>724</v>
      </c>
      <c r="BR3313" t="s">
        <v>84</v>
      </c>
      <c r="BS3313" s="3">
        <v>45862</v>
      </c>
      <c r="BT3313" s="4">
        <v>0.50277777777777777</v>
      </c>
      <c r="BU3313" t="s">
        <v>3274</v>
      </c>
      <c r="BV3313" t="s">
        <v>98</v>
      </c>
      <c r="BY3313">
        <v>27144</v>
      </c>
      <c r="CA3313" t="s">
        <v>922</v>
      </c>
      <c r="CC3313" t="s">
        <v>93</v>
      </c>
      <c r="CD3313">
        <v>4000</v>
      </c>
      <c r="CE3313" t="s">
        <v>1203</v>
      </c>
      <c r="CF3313" s="3">
        <v>45862</v>
      </c>
      <c r="CI3313">
        <v>1</v>
      </c>
      <c r="CJ3313">
        <v>1</v>
      </c>
      <c r="CK3313">
        <v>41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"080066746415"</f>
        <v>080066746415</v>
      </c>
      <c r="F3314" s="3">
        <v>45861</v>
      </c>
      <c r="G3314">
        <v>202604</v>
      </c>
      <c r="H3314" t="s">
        <v>75</v>
      </c>
      <c r="I3314" t="s">
        <v>76</v>
      </c>
      <c r="J3314" t="s">
        <v>77</v>
      </c>
      <c r="K3314" t="s">
        <v>78</v>
      </c>
      <c r="L3314" t="s">
        <v>168</v>
      </c>
      <c r="M3314" t="s">
        <v>169</v>
      </c>
      <c r="N3314" t="s">
        <v>487</v>
      </c>
      <c r="O3314" t="s">
        <v>82</v>
      </c>
      <c r="P3314" t="str">
        <f>"4170050481                    "</f>
        <v xml:space="preserve">4170050481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22.6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71.2</v>
      </c>
      <c r="BM3314">
        <v>10.68</v>
      </c>
      <c r="BN3314">
        <v>81.88</v>
      </c>
      <c r="BO3314">
        <v>81.88</v>
      </c>
      <c r="BQ3314" t="s">
        <v>488</v>
      </c>
      <c r="BR3314" t="s">
        <v>84</v>
      </c>
      <c r="BS3314" s="3">
        <v>45862</v>
      </c>
      <c r="BT3314" s="4">
        <v>0.42430555555555555</v>
      </c>
      <c r="BU3314" t="s">
        <v>1554</v>
      </c>
      <c r="BV3314" t="s">
        <v>98</v>
      </c>
      <c r="BY3314">
        <v>1200</v>
      </c>
      <c r="CA3314" t="s">
        <v>415</v>
      </c>
      <c r="CC3314" t="s">
        <v>169</v>
      </c>
      <c r="CD3314">
        <v>6012</v>
      </c>
      <c r="CE3314" t="s">
        <v>121</v>
      </c>
      <c r="CF3314" s="3">
        <v>45862</v>
      </c>
      <c r="CI3314">
        <v>1</v>
      </c>
      <c r="CJ3314">
        <v>1</v>
      </c>
      <c r="CK3314">
        <v>21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"080066746447"</f>
        <v>080066746447</v>
      </c>
      <c r="F3315" s="3">
        <v>45861</v>
      </c>
      <c r="G3315">
        <v>202604</v>
      </c>
      <c r="H3315" t="s">
        <v>75</v>
      </c>
      <c r="I3315" t="s">
        <v>76</v>
      </c>
      <c r="J3315" t="s">
        <v>77</v>
      </c>
      <c r="K3315" t="s">
        <v>78</v>
      </c>
      <c r="L3315" t="s">
        <v>240</v>
      </c>
      <c r="M3315" t="s">
        <v>241</v>
      </c>
      <c r="N3315" t="s">
        <v>3275</v>
      </c>
      <c r="O3315" t="s">
        <v>82</v>
      </c>
      <c r="P3315" t="str">
        <f>"4170050341                    "</f>
        <v xml:space="preserve">4170050341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17.649999999999999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55.61</v>
      </c>
      <c r="BM3315">
        <v>8.34</v>
      </c>
      <c r="BN3315">
        <v>63.95</v>
      </c>
      <c r="BO3315">
        <v>63.95</v>
      </c>
      <c r="BQ3315" t="s">
        <v>3276</v>
      </c>
      <c r="BR3315" t="s">
        <v>84</v>
      </c>
      <c r="BS3315" s="3">
        <v>45862</v>
      </c>
      <c r="BT3315" s="4">
        <v>0.3576388888888889</v>
      </c>
      <c r="BU3315" t="s">
        <v>2017</v>
      </c>
      <c r="BV3315" t="s">
        <v>98</v>
      </c>
      <c r="BY3315">
        <v>1200</v>
      </c>
      <c r="CA3315" t="s">
        <v>1738</v>
      </c>
      <c r="CC3315" t="s">
        <v>241</v>
      </c>
      <c r="CD3315">
        <v>2001</v>
      </c>
      <c r="CE3315" t="s">
        <v>121</v>
      </c>
      <c r="CF3315" s="3">
        <v>45862</v>
      </c>
      <c r="CI3315">
        <v>1</v>
      </c>
      <c r="CJ3315">
        <v>1</v>
      </c>
      <c r="CK3315">
        <v>22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"080066746489"</f>
        <v>080066746489</v>
      </c>
      <c r="F3316" s="3">
        <v>45861</v>
      </c>
      <c r="G3316">
        <v>202604</v>
      </c>
      <c r="H3316" t="s">
        <v>75</v>
      </c>
      <c r="I3316" t="s">
        <v>76</v>
      </c>
      <c r="J3316" t="s">
        <v>77</v>
      </c>
      <c r="K3316" t="s">
        <v>78</v>
      </c>
      <c r="L3316" t="s">
        <v>3277</v>
      </c>
      <c r="M3316" t="s">
        <v>3278</v>
      </c>
      <c r="N3316" t="s">
        <v>3279</v>
      </c>
      <c r="O3316" t="s">
        <v>82</v>
      </c>
      <c r="P3316" t="str">
        <f>"4170050349                    "</f>
        <v xml:space="preserve">4170050349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231.62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6</v>
      </c>
      <c r="BJ3316">
        <v>11.4</v>
      </c>
      <c r="BK3316">
        <v>11.5</v>
      </c>
      <c r="BL3316">
        <v>729.72</v>
      </c>
      <c r="BM3316">
        <v>109.46</v>
      </c>
      <c r="BN3316">
        <v>839.18</v>
      </c>
      <c r="BO3316">
        <v>839.18</v>
      </c>
      <c r="BQ3316" t="s">
        <v>3280</v>
      </c>
      <c r="BR3316" t="s">
        <v>84</v>
      </c>
      <c r="BS3316" s="3">
        <v>45863</v>
      </c>
      <c r="BT3316" s="4">
        <v>0.36458333333333331</v>
      </c>
      <c r="BU3316" t="s">
        <v>3281</v>
      </c>
      <c r="BV3316" t="s">
        <v>86</v>
      </c>
      <c r="BW3316" t="s">
        <v>818</v>
      </c>
      <c r="BX3316" t="s">
        <v>3282</v>
      </c>
      <c r="BY3316">
        <v>57246</v>
      </c>
      <c r="CA3316" t="s">
        <v>3283</v>
      </c>
      <c r="CC3316" t="s">
        <v>3278</v>
      </c>
      <c r="CD3316">
        <v>3900</v>
      </c>
      <c r="CE3316" t="s">
        <v>145</v>
      </c>
      <c r="CF3316" s="3">
        <v>45863</v>
      </c>
      <c r="CI3316">
        <v>1</v>
      </c>
      <c r="CJ3316">
        <v>2</v>
      </c>
      <c r="CK3316">
        <v>23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"080066746491"</f>
        <v>080066746491</v>
      </c>
      <c r="F3317" s="3">
        <v>45861</v>
      </c>
      <c r="G3317">
        <v>202604</v>
      </c>
      <c r="H3317" t="s">
        <v>75</v>
      </c>
      <c r="I3317" t="s">
        <v>76</v>
      </c>
      <c r="J3317" t="s">
        <v>77</v>
      </c>
      <c r="K3317" t="s">
        <v>78</v>
      </c>
      <c r="L3317" t="s">
        <v>79</v>
      </c>
      <c r="M3317" t="s">
        <v>80</v>
      </c>
      <c r="N3317" t="s">
        <v>188</v>
      </c>
      <c r="O3317" t="s">
        <v>82</v>
      </c>
      <c r="P3317" t="str">
        <f>"4170050387                    "</f>
        <v xml:space="preserve">4170050387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22.6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71.2</v>
      </c>
      <c r="BM3317">
        <v>10.68</v>
      </c>
      <c r="BN3317">
        <v>81.88</v>
      </c>
      <c r="BO3317">
        <v>81.88</v>
      </c>
      <c r="BQ3317" t="s">
        <v>189</v>
      </c>
      <c r="BR3317" t="s">
        <v>84</v>
      </c>
      <c r="BS3317" s="3">
        <v>45862</v>
      </c>
      <c r="BT3317" s="4">
        <v>0.37430555555555556</v>
      </c>
      <c r="BU3317" t="s">
        <v>190</v>
      </c>
      <c r="BV3317" t="s">
        <v>98</v>
      </c>
      <c r="BY3317">
        <v>1200</v>
      </c>
      <c r="CC3317" t="s">
        <v>80</v>
      </c>
      <c r="CD3317">
        <v>7441</v>
      </c>
      <c r="CE3317" t="s">
        <v>121</v>
      </c>
      <c r="CF3317" s="3">
        <v>45863</v>
      </c>
      <c r="CI3317">
        <v>1</v>
      </c>
      <c r="CJ3317">
        <v>1</v>
      </c>
      <c r="CK3317">
        <v>21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"080066746533"</f>
        <v>080066746533</v>
      </c>
      <c r="F3318" s="3">
        <v>45861</v>
      </c>
      <c r="G3318">
        <v>202604</v>
      </c>
      <c r="H3318" t="s">
        <v>75</v>
      </c>
      <c r="I3318" t="s">
        <v>76</v>
      </c>
      <c r="J3318" t="s">
        <v>77</v>
      </c>
      <c r="K3318" t="s">
        <v>78</v>
      </c>
      <c r="L3318" t="s">
        <v>398</v>
      </c>
      <c r="M3318" t="s">
        <v>399</v>
      </c>
      <c r="N3318" t="s">
        <v>1957</v>
      </c>
      <c r="O3318" t="s">
        <v>82</v>
      </c>
      <c r="P3318" t="str">
        <f>"4170050327                    "</f>
        <v xml:space="preserve">4170050327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17.649999999999999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2</v>
      </c>
      <c r="BJ3318">
        <v>1.9</v>
      </c>
      <c r="BK3318">
        <v>2</v>
      </c>
      <c r="BL3318">
        <v>55.61</v>
      </c>
      <c r="BM3318">
        <v>8.34</v>
      </c>
      <c r="BN3318">
        <v>63.95</v>
      </c>
      <c r="BO3318">
        <v>63.95</v>
      </c>
      <c r="BQ3318" t="s">
        <v>1958</v>
      </c>
      <c r="BR3318" t="s">
        <v>84</v>
      </c>
      <c r="BS3318" s="3">
        <v>45862</v>
      </c>
      <c r="BT3318" s="4">
        <v>0.43263888888888891</v>
      </c>
      <c r="BU3318" t="s">
        <v>564</v>
      </c>
      <c r="BV3318" t="s">
        <v>98</v>
      </c>
      <c r="BY3318">
        <v>9600</v>
      </c>
      <c r="CA3318" t="s">
        <v>1624</v>
      </c>
      <c r="CC3318" t="s">
        <v>399</v>
      </c>
      <c r="CD3318">
        <v>1502</v>
      </c>
      <c r="CE3318" t="s">
        <v>3284</v>
      </c>
      <c r="CF3318" s="3">
        <v>45862</v>
      </c>
      <c r="CI3318">
        <v>1</v>
      </c>
      <c r="CJ3318">
        <v>1</v>
      </c>
      <c r="CK3318">
        <v>22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"080066746563"</f>
        <v>080066746563</v>
      </c>
      <c r="F3319" s="3">
        <v>45861</v>
      </c>
      <c r="G3319">
        <v>202604</v>
      </c>
      <c r="H3319" t="s">
        <v>75</v>
      </c>
      <c r="I3319" t="s">
        <v>76</v>
      </c>
      <c r="J3319" t="s">
        <v>77</v>
      </c>
      <c r="K3319" t="s">
        <v>78</v>
      </c>
      <c r="L3319" t="s">
        <v>135</v>
      </c>
      <c r="M3319" t="s">
        <v>136</v>
      </c>
      <c r="N3319" t="s">
        <v>416</v>
      </c>
      <c r="O3319" t="s">
        <v>82</v>
      </c>
      <c r="P3319" t="str">
        <f>"4170050108                    "</f>
        <v xml:space="preserve">4170050108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45.18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1.7</v>
      </c>
      <c r="BK3319">
        <v>4</v>
      </c>
      <c r="BL3319">
        <v>142.34</v>
      </c>
      <c r="BM3319">
        <v>21.35</v>
      </c>
      <c r="BN3319">
        <v>163.69</v>
      </c>
      <c r="BO3319">
        <v>163.69</v>
      </c>
      <c r="BQ3319" t="s">
        <v>417</v>
      </c>
      <c r="BR3319" t="s">
        <v>84</v>
      </c>
      <c r="BS3319" s="3">
        <v>45862</v>
      </c>
      <c r="BT3319" s="4">
        <v>0.41666666666666669</v>
      </c>
      <c r="BU3319" t="s">
        <v>3142</v>
      </c>
      <c r="BV3319" t="s">
        <v>98</v>
      </c>
      <c r="BY3319">
        <v>8512</v>
      </c>
      <c r="BZ3319" t="s">
        <v>89</v>
      </c>
      <c r="CC3319" t="s">
        <v>136</v>
      </c>
      <c r="CD3319">
        <v>3201</v>
      </c>
      <c r="CE3319" t="s">
        <v>117</v>
      </c>
      <c r="CF3319" s="3">
        <v>45863</v>
      </c>
      <c r="CI3319">
        <v>1</v>
      </c>
      <c r="CJ3319">
        <v>1</v>
      </c>
      <c r="CK3319">
        <v>21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"080066746807"</f>
        <v>080066746807</v>
      </c>
      <c r="F3320" s="3">
        <v>45861</v>
      </c>
      <c r="G3320">
        <v>202604</v>
      </c>
      <c r="H3320" t="s">
        <v>75</v>
      </c>
      <c r="I3320" t="s">
        <v>76</v>
      </c>
      <c r="J3320" t="s">
        <v>77</v>
      </c>
      <c r="K3320" t="s">
        <v>78</v>
      </c>
      <c r="L3320" t="s">
        <v>398</v>
      </c>
      <c r="M3320" t="s">
        <v>399</v>
      </c>
      <c r="N3320" t="s">
        <v>3050</v>
      </c>
      <c r="O3320" t="s">
        <v>82</v>
      </c>
      <c r="P3320" t="str">
        <f>"4170050307                    "</f>
        <v xml:space="preserve">4170050307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17.649999999999999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55.61</v>
      </c>
      <c r="BM3320">
        <v>8.34</v>
      </c>
      <c r="BN3320">
        <v>63.95</v>
      </c>
      <c r="BO3320">
        <v>63.95</v>
      </c>
      <c r="BQ3320" t="s">
        <v>3051</v>
      </c>
      <c r="BR3320" t="s">
        <v>84</v>
      </c>
      <c r="BS3320" s="3">
        <v>45862</v>
      </c>
      <c r="BT3320" s="4">
        <v>0.37291666666666667</v>
      </c>
      <c r="BU3320" t="s">
        <v>3052</v>
      </c>
      <c r="BV3320" t="s">
        <v>98</v>
      </c>
      <c r="BY3320">
        <v>1200</v>
      </c>
      <c r="CA3320" t="s">
        <v>2782</v>
      </c>
      <c r="CC3320" t="s">
        <v>399</v>
      </c>
      <c r="CD3320">
        <v>1501</v>
      </c>
      <c r="CE3320" t="s">
        <v>110</v>
      </c>
      <c r="CF3320" s="3">
        <v>45863</v>
      </c>
      <c r="CI3320">
        <v>1</v>
      </c>
      <c r="CJ3320">
        <v>1</v>
      </c>
      <c r="CK3320">
        <v>22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"080066746829"</f>
        <v>080066746829</v>
      </c>
      <c r="F3321" s="3">
        <v>45861</v>
      </c>
      <c r="G3321">
        <v>202604</v>
      </c>
      <c r="H3321" t="s">
        <v>75</v>
      </c>
      <c r="I3321" t="s">
        <v>76</v>
      </c>
      <c r="J3321" t="s">
        <v>77</v>
      </c>
      <c r="K3321" t="s">
        <v>78</v>
      </c>
      <c r="L3321" t="s">
        <v>79</v>
      </c>
      <c r="M3321" t="s">
        <v>80</v>
      </c>
      <c r="N3321" t="s">
        <v>1980</v>
      </c>
      <c r="O3321" t="s">
        <v>82</v>
      </c>
      <c r="P3321" t="str">
        <f>"4170050374                    "</f>
        <v xml:space="preserve">4170050374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22.6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16.739999999999998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87.94</v>
      </c>
      <c r="BM3321">
        <v>13.19</v>
      </c>
      <c r="BN3321">
        <v>101.13</v>
      </c>
      <c r="BO3321">
        <v>101.13</v>
      </c>
      <c r="BQ3321" t="s">
        <v>1981</v>
      </c>
      <c r="BR3321" t="s">
        <v>84</v>
      </c>
      <c r="BS3321" s="3">
        <v>45862</v>
      </c>
      <c r="BT3321" s="4">
        <v>0.36875000000000002</v>
      </c>
      <c r="BU3321" t="s">
        <v>3285</v>
      </c>
      <c r="BV3321" t="s">
        <v>98</v>
      </c>
      <c r="BY3321">
        <v>1200</v>
      </c>
      <c r="BZ3321" t="s">
        <v>30</v>
      </c>
      <c r="CA3321" t="s">
        <v>2223</v>
      </c>
      <c r="CC3321" t="s">
        <v>80</v>
      </c>
      <c r="CD3321">
        <v>7781</v>
      </c>
      <c r="CE3321" t="s">
        <v>121</v>
      </c>
      <c r="CF3321" s="3">
        <v>45863</v>
      </c>
      <c r="CI3321">
        <v>1</v>
      </c>
      <c r="CJ3321">
        <v>1</v>
      </c>
      <c r="CK3321">
        <v>21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"080066746908"</f>
        <v>080066746908</v>
      </c>
      <c r="F3322" s="3">
        <v>45861</v>
      </c>
      <c r="G3322">
        <v>202604</v>
      </c>
      <c r="H3322" t="s">
        <v>75</v>
      </c>
      <c r="I3322" t="s">
        <v>76</v>
      </c>
      <c r="J3322" t="s">
        <v>77</v>
      </c>
      <c r="K3322" t="s">
        <v>78</v>
      </c>
      <c r="L3322" t="s">
        <v>305</v>
      </c>
      <c r="M3322" t="s">
        <v>306</v>
      </c>
      <c r="N3322" t="s">
        <v>1154</v>
      </c>
      <c r="O3322" t="s">
        <v>82</v>
      </c>
      <c r="P3322" t="str">
        <f>"4170050337                    "</f>
        <v xml:space="preserve">4170050337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1.1000000000000001</v>
      </c>
      <c r="BK3322">
        <v>1.5</v>
      </c>
      <c r="BL3322">
        <v>71.2</v>
      </c>
      <c r="BM3322">
        <v>10.68</v>
      </c>
      <c r="BN3322">
        <v>81.88</v>
      </c>
      <c r="BO3322">
        <v>81.88</v>
      </c>
      <c r="BQ3322" t="s">
        <v>1155</v>
      </c>
      <c r="BR3322" t="s">
        <v>84</v>
      </c>
      <c r="BS3322" s="3">
        <v>45862</v>
      </c>
      <c r="BT3322" s="4">
        <v>0.63541666666666663</v>
      </c>
      <c r="BU3322" t="s">
        <v>1156</v>
      </c>
      <c r="BV3322" t="s">
        <v>86</v>
      </c>
      <c r="BY3322">
        <v>5320</v>
      </c>
      <c r="CA3322" t="s">
        <v>1157</v>
      </c>
      <c r="CC3322" t="s">
        <v>306</v>
      </c>
      <c r="CD3322">
        <v>5201</v>
      </c>
      <c r="CE3322" t="s">
        <v>145</v>
      </c>
      <c r="CF3322" s="3">
        <v>45862</v>
      </c>
      <c r="CI3322">
        <v>1</v>
      </c>
      <c r="CJ3322">
        <v>1</v>
      </c>
      <c r="CK3322">
        <v>21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"080066746868"</f>
        <v>080066746868</v>
      </c>
      <c r="F3323" s="3">
        <v>45861</v>
      </c>
      <c r="G3323">
        <v>202604</v>
      </c>
      <c r="H3323" t="s">
        <v>75</v>
      </c>
      <c r="I3323" t="s">
        <v>76</v>
      </c>
      <c r="J3323" t="s">
        <v>77</v>
      </c>
      <c r="K3323" t="s">
        <v>78</v>
      </c>
      <c r="L3323" t="s">
        <v>305</v>
      </c>
      <c r="M3323" t="s">
        <v>306</v>
      </c>
      <c r="N3323" t="s">
        <v>3286</v>
      </c>
      <c r="O3323" t="s">
        <v>82</v>
      </c>
      <c r="P3323" t="str">
        <f>"4170050385                    "</f>
        <v xml:space="preserve">4170050385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71.2</v>
      </c>
      <c r="BM3323">
        <v>10.68</v>
      </c>
      <c r="BN3323">
        <v>81.88</v>
      </c>
      <c r="BO3323">
        <v>81.88</v>
      </c>
      <c r="BQ3323" t="s">
        <v>3287</v>
      </c>
      <c r="BR3323" t="s">
        <v>84</v>
      </c>
      <c r="BS3323" s="3">
        <v>45862</v>
      </c>
      <c r="BT3323" s="4">
        <v>0.68125000000000002</v>
      </c>
      <c r="BU3323" t="s">
        <v>3288</v>
      </c>
      <c r="BV3323" t="s">
        <v>98</v>
      </c>
      <c r="BY3323">
        <v>1200</v>
      </c>
      <c r="CA3323" t="s">
        <v>575</v>
      </c>
      <c r="CC3323" t="s">
        <v>306</v>
      </c>
      <c r="CD3323">
        <v>5201</v>
      </c>
      <c r="CE3323" t="s">
        <v>121</v>
      </c>
      <c r="CF3323" s="3">
        <v>45862</v>
      </c>
      <c r="CI3323">
        <v>5</v>
      </c>
      <c r="CJ3323">
        <v>1</v>
      </c>
      <c r="CK3323">
        <v>21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"080066746890"</f>
        <v>080066746890</v>
      </c>
      <c r="F3324" s="3">
        <v>45861</v>
      </c>
      <c r="G3324">
        <v>202604</v>
      </c>
      <c r="H3324" t="s">
        <v>75</v>
      </c>
      <c r="I3324" t="s">
        <v>76</v>
      </c>
      <c r="J3324" t="s">
        <v>77</v>
      </c>
      <c r="K3324" t="s">
        <v>78</v>
      </c>
      <c r="L3324" t="s">
        <v>1128</v>
      </c>
      <c r="M3324" t="s">
        <v>1129</v>
      </c>
      <c r="N3324" t="s">
        <v>2083</v>
      </c>
      <c r="O3324" t="s">
        <v>82</v>
      </c>
      <c r="P3324" t="str">
        <f>"4170050416                    "</f>
        <v xml:space="preserve">4170050416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22.6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71.2</v>
      </c>
      <c r="BM3324">
        <v>10.68</v>
      </c>
      <c r="BN3324">
        <v>81.88</v>
      </c>
      <c r="BO3324">
        <v>81.88</v>
      </c>
      <c r="BQ3324" t="s">
        <v>2084</v>
      </c>
      <c r="BR3324" t="s">
        <v>84</v>
      </c>
      <c r="BS3324" s="3">
        <v>45862</v>
      </c>
      <c r="BT3324" s="4">
        <v>0.34513888888888888</v>
      </c>
      <c r="BU3324" t="s">
        <v>2085</v>
      </c>
      <c r="BV3324" t="s">
        <v>98</v>
      </c>
      <c r="BY3324">
        <v>1200</v>
      </c>
      <c r="CA3324" t="s">
        <v>1133</v>
      </c>
      <c r="CC3324" t="s">
        <v>1129</v>
      </c>
      <c r="CD3324">
        <v>7600</v>
      </c>
      <c r="CE3324" t="s">
        <v>121</v>
      </c>
      <c r="CF3324" s="3">
        <v>45863</v>
      </c>
      <c r="CI3324">
        <v>1</v>
      </c>
      <c r="CJ3324">
        <v>1</v>
      </c>
      <c r="CK3324">
        <v>21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"080066746935"</f>
        <v>080066746935</v>
      </c>
      <c r="F3325" s="3">
        <v>45861</v>
      </c>
      <c r="G3325">
        <v>202604</v>
      </c>
      <c r="H3325" t="s">
        <v>75</v>
      </c>
      <c r="I3325" t="s">
        <v>76</v>
      </c>
      <c r="J3325" t="s">
        <v>77</v>
      </c>
      <c r="K3325" t="s">
        <v>78</v>
      </c>
      <c r="L3325" t="s">
        <v>79</v>
      </c>
      <c r="M3325" t="s">
        <v>80</v>
      </c>
      <c r="N3325" t="s">
        <v>141</v>
      </c>
      <c r="O3325" t="s">
        <v>82</v>
      </c>
      <c r="P3325" t="str">
        <f>"4170050340                    "</f>
        <v xml:space="preserve">4170050340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22.6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1.1000000000000001</v>
      </c>
      <c r="BK3325">
        <v>1.5</v>
      </c>
      <c r="BL3325">
        <v>71.2</v>
      </c>
      <c r="BM3325">
        <v>10.68</v>
      </c>
      <c r="BN3325">
        <v>81.88</v>
      </c>
      <c r="BO3325">
        <v>81.88</v>
      </c>
      <c r="BQ3325" t="s">
        <v>142</v>
      </c>
      <c r="BR3325" t="s">
        <v>84</v>
      </c>
      <c r="BS3325" s="3">
        <v>45862</v>
      </c>
      <c r="BT3325" s="4">
        <v>0.42152777777777778</v>
      </c>
      <c r="BU3325" t="s">
        <v>2437</v>
      </c>
      <c r="BV3325" t="s">
        <v>98</v>
      </c>
      <c r="BY3325">
        <v>5320</v>
      </c>
      <c r="CA3325" t="s">
        <v>144</v>
      </c>
      <c r="CC3325" t="s">
        <v>80</v>
      </c>
      <c r="CD3325">
        <v>7441</v>
      </c>
      <c r="CE3325" t="s">
        <v>145</v>
      </c>
      <c r="CF3325" s="3">
        <v>45863</v>
      </c>
      <c r="CI3325">
        <v>1</v>
      </c>
      <c r="CJ3325">
        <v>1</v>
      </c>
      <c r="CK3325">
        <v>21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"080066747136"</f>
        <v>080066747136</v>
      </c>
      <c r="F3326" s="3">
        <v>45861</v>
      </c>
      <c r="G3326">
        <v>202604</v>
      </c>
      <c r="H3326" t="s">
        <v>75</v>
      </c>
      <c r="I3326" t="s">
        <v>76</v>
      </c>
      <c r="J3326" t="s">
        <v>77</v>
      </c>
      <c r="K3326" t="s">
        <v>78</v>
      </c>
      <c r="L3326" t="s">
        <v>452</v>
      </c>
      <c r="M3326" t="s">
        <v>453</v>
      </c>
      <c r="N3326" t="s">
        <v>1180</v>
      </c>
      <c r="O3326" t="s">
        <v>82</v>
      </c>
      <c r="P3326" t="str">
        <f>"4170050221                    "</f>
        <v xml:space="preserve">4170050221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17.649999999999999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1.9</v>
      </c>
      <c r="BK3326">
        <v>2</v>
      </c>
      <c r="BL3326">
        <v>55.61</v>
      </c>
      <c r="BM3326">
        <v>8.34</v>
      </c>
      <c r="BN3326">
        <v>63.95</v>
      </c>
      <c r="BO3326">
        <v>63.95</v>
      </c>
      <c r="BQ3326" t="s">
        <v>1181</v>
      </c>
      <c r="BR3326" t="s">
        <v>84</v>
      </c>
      <c r="BS3326" s="3">
        <v>45862</v>
      </c>
      <c r="BT3326" s="4">
        <v>0.31597222222222221</v>
      </c>
      <c r="BU3326" t="s">
        <v>2658</v>
      </c>
      <c r="BV3326" t="s">
        <v>98</v>
      </c>
      <c r="BY3326">
        <v>9600</v>
      </c>
      <c r="CA3326" t="s">
        <v>1541</v>
      </c>
      <c r="CC3326" t="s">
        <v>453</v>
      </c>
      <c r="CD3326">
        <v>1559</v>
      </c>
      <c r="CE3326" t="s">
        <v>145</v>
      </c>
      <c r="CF3326" s="3">
        <v>45862</v>
      </c>
      <c r="CI3326">
        <v>1</v>
      </c>
      <c r="CJ3326">
        <v>1</v>
      </c>
      <c r="CK3326">
        <v>22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"080066747109"</f>
        <v>080066747109</v>
      </c>
      <c r="F3327" s="3">
        <v>45861</v>
      </c>
      <c r="G3327">
        <v>202604</v>
      </c>
      <c r="H3327" t="s">
        <v>75</v>
      </c>
      <c r="I3327" t="s">
        <v>76</v>
      </c>
      <c r="J3327" t="s">
        <v>77</v>
      </c>
      <c r="K3327" t="s">
        <v>78</v>
      </c>
      <c r="L3327" t="s">
        <v>135</v>
      </c>
      <c r="M3327" t="s">
        <v>136</v>
      </c>
      <c r="N3327" t="s">
        <v>2769</v>
      </c>
      <c r="O3327" t="s">
        <v>82</v>
      </c>
      <c r="P3327" t="str">
        <f>"4170050498                    "</f>
        <v xml:space="preserve">4170050498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22.6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16.739999999999998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1.1000000000000001</v>
      </c>
      <c r="BK3327">
        <v>1.5</v>
      </c>
      <c r="BL3327">
        <v>87.94</v>
      </c>
      <c r="BM3327">
        <v>13.19</v>
      </c>
      <c r="BN3327">
        <v>101.13</v>
      </c>
      <c r="BO3327">
        <v>101.13</v>
      </c>
      <c r="BQ3327" t="s">
        <v>2770</v>
      </c>
      <c r="BR3327" t="s">
        <v>84</v>
      </c>
      <c r="BS3327" s="3">
        <v>45862</v>
      </c>
      <c r="BT3327" s="4">
        <v>0.41666666666666669</v>
      </c>
      <c r="BU3327" t="s">
        <v>3289</v>
      </c>
      <c r="BV3327" t="s">
        <v>98</v>
      </c>
      <c r="BY3327">
        <v>5320</v>
      </c>
      <c r="BZ3327" t="s">
        <v>30</v>
      </c>
      <c r="CC3327" t="s">
        <v>136</v>
      </c>
      <c r="CD3327">
        <v>3699</v>
      </c>
      <c r="CE3327" t="s">
        <v>145</v>
      </c>
      <c r="CF3327" s="3">
        <v>45863</v>
      </c>
      <c r="CI3327">
        <v>1</v>
      </c>
      <c r="CJ3327">
        <v>1</v>
      </c>
      <c r="CK3327">
        <v>21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"080066747170"</f>
        <v>080066747170</v>
      </c>
      <c r="F3328" s="3">
        <v>45861</v>
      </c>
      <c r="G3328">
        <v>202604</v>
      </c>
      <c r="H3328" t="s">
        <v>75</v>
      </c>
      <c r="I3328" t="s">
        <v>76</v>
      </c>
      <c r="J3328" t="s">
        <v>77</v>
      </c>
      <c r="K3328" t="s">
        <v>78</v>
      </c>
      <c r="L3328" t="s">
        <v>79</v>
      </c>
      <c r="M3328" t="s">
        <v>80</v>
      </c>
      <c r="N3328" t="s">
        <v>141</v>
      </c>
      <c r="O3328" t="s">
        <v>82</v>
      </c>
      <c r="P3328" t="str">
        <f>"4170050295                    "</f>
        <v xml:space="preserve">4170050295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56.47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5</v>
      </c>
      <c r="BJ3328">
        <v>3.4</v>
      </c>
      <c r="BK3328">
        <v>5</v>
      </c>
      <c r="BL3328">
        <v>177.91</v>
      </c>
      <c r="BM3328">
        <v>26.69</v>
      </c>
      <c r="BN3328">
        <v>204.6</v>
      </c>
      <c r="BO3328">
        <v>204.6</v>
      </c>
      <c r="BQ3328" t="s">
        <v>142</v>
      </c>
      <c r="BR3328" t="s">
        <v>84</v>
      </c>
      <c r="BS3328" s="3">
        <v>45862</v>
      </c>
      <c r="BT3328" s="4">
        <v>0.42152777777777778</v>
      </c>
      <c r="BU3328" t="s">
        <v>2437</v>
      </c>
      <c r="BV3328" t="s">
        <v>98</v>
      </c>
      <c r="BY3328">
        <v>16965</v>
      </c>
      <c r="CA3328" t="s">
        <v>144</v>
      </c>
      <c r="CC3328" t="s">
        <v>80</v>
      </c>
      <c r="CD3328">
        <v>7441</v>
      </c>
      <c r="CE3328" t="s">
        <v>145</v>
      </c>
      <c r="CF3328" s="3">
        <v>45863</v>
      </c>
      <c r="CI3328">
        <v>1</v>
      </c>
      <c r="CJ3328">
        <v>1</v>
      </c>
      <c r="CK3328">
        <v>21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"080066747049"</f>
        <v>080066747049</v>
      </c>
      <c r="F3329" s="3">
        <v>45861</v>
      </c>
      <c r="G3329">
        <v>202604</v>
      </c>
      <c r="H3329" t="s">
        <v>75</v>
      </c>
      <c r="I3329" t="s">
        <v>76</v>
      </c>
      <c r="J3329" t="s">
        <v>77</v>
      </c>
      <c r="K3329" t="s">
        <v>78</v>
      </c>
      <c r="L3329" t="s">
        <v>240</v>
      </c>
      <c r="M3329" t="s">
        <v>241</v>
      </c>
      <c r="N3329" t="s">
        <v>1516</v>
      </c>
      <c r="O3329" t="s">
        <v>82</v>
      </c>
      <c r="P3329" t="str">
        <f>"4170050318                    "</f>
        <v xml:space="preserve">4170050318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17.649999999999999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55.61</v>
      </c>
      <c r="BM3329">
        <v>8.34</v>
      </c>
      <c r="BN3329">
        <v>63.95</v>
      </c>
      <c r="BO3329">
        <v>63.95</v>
      </c>
      <c r="BQ3329" t="s">
        <v>1517</v>
      </c>
      <c r="BR3329" t="s">
        <v>84</v>
      </c>
      <c r="BS3329" s="3">
        <v>45862</v>
      </c>
      <c r="BT3329" s="4">
        <v>0.34652777777777777</v>
      </c>
      <c r="BU3329" t="s">
        <v>1140</v>
      </c>
      <c r="BV3329" t="s">
        <v>98</v>
      </c>
      <c r="BY3329">
        <v>1200</v>
      </c>
      <c r="CA3329" t="s">
        <v>397</v>
      </c>
      <c r="CC3329" t="s">
        <v>241</v>
      </c>
      <c r="CD3329">
        <v>2093</v>
      </c>
      <c r="CE3329" t="s">
        <v>121</v>
      </c>
      <c r="CF3329" s="3">
        <v>45862</v>
      </c>
      <c r="CI3329">
        <v>1</v>
      </c>
      <c r="CJ3329">
        <v>1</v>
      </c>
      <c r="CK3329">
        <v>22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"080066747374"</f>
        <v>080066747374</v>
      </c>
      <c r="F3330" s="3">
        <v>45861</v>
      </c>
      <c r="G3330">
        <v>202604</v>
      </c>
      <c r="H3330" t="s">
        <v>75</v>
      </c>
      <c r="I3330" t="s">
        <v>76</v>
      </c>
      <c r="J3330" t="s">
        <v>77</v>
      </c>
      <c r="K3330" t="s">
        <v>78</v>
      </c>
      <c r="L3330" t="s">
        <v>135</v>
      </c>
      <c r="M3330" t="s">
        <v>136</v>
      </c>
      <c r="N3330" t="s">
        <v>416</v>
      </c>
      <c r="O3330" t="s">
        <v>82</v>
      </c>
      <c r="P3330" t="str">
        <f>"4170050129                    "</f>
        <v xml:space="preserve">4170050129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22.6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71.2</v>
      </c>
      <c r="BM3330">
        <v>10.68</v>
      </c>
      <c r="BN3330">
        <v>81.88</v>
      </c>
      <c r="BO3330">
        <v>81.88</v>
      </c>
      <c r="BQ3330" t="s">
        <v>417</v>
      </c>
      <c r="BR3330" t="s">
        <v>84</v>
      </c>
      <c r="BS3330" s="3">
        <v>45862</v>
      </c>
      <c r="BT3330" s="4">
        <v>0.41666666666666669</v>
      </c>
      <c r="BU3330" t="s">
        <v>650</v>
      </c>
      <c r="BV3330" t="s">
        <v>98</v>
      </c>
      <c r="BY3330">
        <v>1200</v>
      </c>
      <c r="CC3330" t="s">
        <v>136</v>
      </c>
      <c r="CD3330">
        <v>3201</v>
      </c>
      <c r="CE3330" t="s">
        <v>121</v>
      </c>
      <c r="CF3330" s="3">
        <v>45863</v>
      </c>
      <c r="CI3330">
        <v>1</v>
      </c>
      <c r="CJ3330">
        <v>1</v>
      </c>
      <c r="CK3330">
        <v>21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"080066747077"</f>
        <v>080066747077</v>
      </c>
      <c r="F3331" s="3">
        <v>45861</v>
      </c>
      <c r="G3331">
        <v>202604</v>
      </c>
      <c r="H3331" t="s">
        <v>75</v>
      </c>
      <c r="I3331" t="s">
        <v>76</v>
      </c>
      <c r="J3331" t="s">
        <v>77</v>
      </c>
      <c r="K3331" t="s">
        <v>78</v>
      </c>
      <c r="L3331" t="s">
        <v>92</v>
      </c>
      <c r="M3331" t="s">
        <v>93</v>
      </c>
      <c r="N3331" t="s">
        <v>291</v>
      </c>
      <c r="O3331" t="s">
        <v>82</v>
      </c>
      <c r="P3331" t="str">
        <f>"4170050324                    "</f>
        <v xml:space="preserve">4170050324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22.6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0.9</v>
      </c>
      <c r="BK3331">
        <v>1</v>
      </c>
      <c r="BL3331">
        <v>71.2</v>
      </c>
      <c r="BM3331">
        <v>10.68</v>
      </c>
      <c r="BN3331">
        <v>81.88</v>
      </c>
      <c r="BO3331">
        <v>81.88</v>
      </c>
      <c r="BQ3331" t="s">
        <v>292</v>
      </c>
      <c r="BR3331" t="s">
        <v>84</v>
      </c>
      <c r="BS3331" s="3">
        <v>45862</v>
      </c>
      <c r="BT3331" s="4">
        <v>0.33819444444444446</v>
      </c>
      <c r="BU3331" t="s">
        <v>971</v>
      </c>
      <c r="BV3331" t="s">
        <v>98</v>
      </c>
      <c r="BY3331">
        <v>4275</v>
      </c>
      <c r="CA3331" t="s">
        <v>294</v>
      </c>
      <c r="CC3331" t="s">
        <v>93</v>
      </c>
      <c r="CD3331">
        <v>4051</v>
      </c>
      <c r="CE3331" t="s">
        <v>259</v>
      </c>
      <c r="CF3331" s="3">
        <v>45862</v>
      </c>
      <c r="CI3331">
        <v>1</v>
      </c>
      <c r="CJ3331">
        <v>1</v>
      </c>
      <c r="CK3331">
        <v>21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"080066747405"</f>
        <v>080066747405</v>
      </c>
      <c r="F3332" s="3">
        <v>45861</v>
      </c>
      <c r="G3332">
        <v>202604</v>
      </c>
      <c r="H3332" t="s">
        <v>75</v>
      </c>
      <c r="I3332" t="s">
        <v>76</v>
      </c>
      <c r="J3332" t="s">
        <v>77</v>
      </c>
      <c r="K3332" t="s">
        <v>78</v>
      </c>
      <c r="L3332" t="s">
        <v>174</v>
      </c>
      <c r="M3332" t="s">
        <v>175</v>
      </c>
      <c r="N3332" t="s">
        <v>176</v>
      </c>
      <c r="O3332" t="s">
        <v>82</v>
      </c>
      <c r="P3332" t="str">
        <f>"4170050331                    "</f>
        <v xml:space="preserve">4170050331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33.89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2.7</v>
      </c>
      <c r="BK3332">
        <v>3</v>
      </c>
      <c r="BL3332">
        <v>106.77</v>
      </c>
      <c r="BM3332">
        <v>16.02</v>
      </c>
      <c r="BN3332">
        <v>122.79</v>
      </c>
      <c r="BO3332">
        <v>122.79</v>
      </c>
      <c r="BQ3332" t="s">
        <v>177</v>
      </c>
      <c r="BR3332" t="s">
        <v>84</v>
      </c>
      <c r="BS3332" s="3">
        <v>45862</v>
      </c>
      <c r="BT3332" s="4">
        <v>0.43125000000000002</v>
      </c>
      <c r="BU3332" t="s">
        <v>3290</v>
      </c>
      <c r="BV3332" t="s">
        <v>98</v>
      </c>
      <c r="BY3332">
        <v>13328</v>
      </c>
      <c r="CA3332" t="s">
        <v>173</v>
      </c>
      <c r="CC3332" t="s">
        <v>175</v>
      </c>
      <c r="CD3332">
        <v>6220</v>
      </c>
      <c r="CE3332" t="s">
        <v>91</v>
      </c>
      <c r="CF3332" s="3">
        <v>45862</v>
      </c>
      <c r="CI3332">
        <v>1</v>
      </c>
      <c r="CJ3332">
        <v>1</v>
      </c>
      <c r="CK3332">
        <v>21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"080066747433"</f>
        <v>080066747433</v>
      </c>
      <c r="F3333" s="3">
        <v>45861</v>
      </c>
      <c r="G3333">
        <v>202604</v>
      </c>
      <c r="H3333" t="s">
        <v>75</v>
      </c>
      <c r="I3333" t="s">
        <v>76</v>
      </c>
      <c r="J3333" t="s">
        <v>77</v>
      </c>
      <c r="K3333" t="s">
        <v>78</v>
      </c>
      <c r="L3333" t="s">
        <v>79</v>
      </c>
      <c r="M3333" t="s">
        <v>80</v>
      </c>
      <c r="N3333" t="s">
        <v>141</v>
      </c>
      <c r="O3333" t="s">
        <v>82</v>
      </c>
      <c r="P3333" t="str">
        <f>"4170050433                    "</f>
        <v xml:space="preserve">4170050433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22.6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2</v>
      </c>
      <c r="BJ3333">
        <v>1.1000000000000001</v>
      </c>
      <c r="BK3333">
        <v>2</v>
      </c>
      <c r="BL3333">
        <v>71.2</v>
      </c>
      <c r="BM3333">
        <v>10.68</v>
      </c>
      <c r="BN3333">
        <v>81.88</v>
      </c>
      <c r="BO3333">
        <v>81.88</v>
      </c>
      <c r="BQ3333" t="s">
        <v>142</v>
      </c>
      <c r="BR3333" t="s">
        <v>84</v>
      </c>
      <c r="BS3333" s="3">
        <v>45862</v>
      </c>
      <c r="BT3333" s="4">
        <v>0.42152777777777778</v>
      </c>
      <c r="BU3333" t="s">
        <v>2437</v>
      </c>
      <c r="BV3333" t="s">
        <v>98</v>
      </c>
      <c r="BY3333">
        <v>5320</v>
      </c>
      <c r="CA3333" t="s">
        <v>144</v>
      </c>
      <c r="CC3333" t="s">
        <v>80</v>
      </c>
      <c r="CD3333">
        <v>7441</v>
      </c>
      <c r="CE3333" t="s">
        <v>145</v>
      </c>
      <c r="CF3333" s="3">
        <v>45863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"080066747457"</f>
        <v>080066747457</v>
      </c>
      <c r="F3334" s="3">
        <v>45861</v>
      </c>
      <c r="G3334">
        <v>202604</v>
      </c>
      <c r="H3334" t="s">
        <v>75</v>
      </c>
      <c r="I3334" t="s">
        <v>76</v>
      </c>
      <c r="J3334" t="s">
        <v>77</v>
      </c>
      <c r="K3334" t="s">
        <v>78</v>
      </c>
      <c r="L3334" t="s">
        <v>240</v>
      </c>
      <c r="M3334" t="s">
        <v>241</v>
      </c>
      <c r="N3334" t="s">
        <v>628</v>
      </c>
      <c r="O3334" t="s">
        <v>82</v>
      </c>
      <c r="P3334" t="str">
        <f>"4170050314                    "</f>
        <v xml:space="preserve">4170050314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17.649999999999999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1.1000000000000001</v>
      </c>
      <c r="BK3334">
        <v>2</v>
      </c>
      <c r="BL3334">
        <v>55.61</v>
      </c>
      <c r="BM3334">
        <v>8.34</v>
      </c>
      <c r="BN3334">
        <v>63.95</v>
      </c>
      <c r="BO3334">
        <v>63.95</v>
      </c>
      <c r="BQ3334" t="s">
        <v>629</v>
      </c>
      <c r="BR3334" t="s">
        <v>84</v>
      </c>
      <c r="BS3334" s="3">
        <v>45862</v>
      </c>
      <c r="BT3334" s="4">
        <v>0.41666666666666669</v>
      </c>
      <c r="BU3334" t="s">
        <v>2577</v>
      </c>
      <c r="BV3334" t="s">
        <v>98</v>
      </c>
      <c r="BY3334">
        <v>5320</v>
      </c>
      <c r="CA3334" t="s">
        <v>245</v>
      </c>
      <c r="CC3334" t="s">
        <v>241</v>
      </c>
      <c r="CD3334">
        <v>2013</v>
      </c>
      <c r="CE3334" t="s">
        <v>145</v>
      </c>
      <c r="CF3334" s="3">
        <v>45863</v>
      </c>
      <c r="CI3334">
        <v>1</v>
      </c>
      <c r="CJ3334">
        <v>1</v>
      </c>
      <c r="CK3334">
        <v>22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"080066747498"</f>
        <v>080066747498</v>
      </c>
      <c r="F3335" s="3">
        <v>45861</v>
      </c>
      <c r="G3335">
        <v>202604</v>
      </c>
      <c r="H3335" t="s">
        <v>75</v>
      </c>
      <c r="I3335" t="s">
        <v>76</v>
      </c>
      <c r="J3335" t="s">
        <v>77</v>
      </c>
      <c r="K3335" t="s">
        <v>78</v>
      </c>
      <c r="L3335" t="s">
        <v>135</v>
      </c>
      <c r="M3335" t="s">
        <v>136</v>
      </c>
      <c r="N3335" t="s">
        <v>416</v>
      </c>
      <c r="O3335" t="s">
        <v>82</v>
      </c>
      <c r="P3335" t="str">
        <f>"4170050113                    "</f>
        <v xml:space="preserve">4170050113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112.92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10</v>
      </c>
      <c r="BJ3335">
        <v>4.0999999999999996</v>
      </c>
      <c r="BK3335">
        <v>10</v>
      </c>
      <c r="BL3335">
        <v>355.76</v>
      </c>
      <c r="BM3335">
        <v>53.36</v>
      </c>
      <c r="BN3335">
        <v>409.12</v>
      </c>
      <c r="BO3335">
        <v>409.12</v>
      </c>
      <c r="BQ3335" t="s">
        <v>417</v>
      </c>
      <c r="BR3335" t="s">
        <v>84</v>
      </c>
      <c r="BS3335" s="3">
        <v>45862</v>
      </c>
      <c r="BT3335" s="4">
        <v>0.41666666666666669</v>
      </c>
      <c r="BU3335" t="s">
        <v>3142</v>
      </c>
      <c r="BV3335" t="s">
        <v>98</v>
      </c>
      <c r="BY3335">
        <v>20358</v>
      </c>
      <c r="BZ3335" t="s">
        <v>89</v>
      </c>
      <c r="CC3335" t="s">
        <v>136</v>
      </c>
      <c r="CD3335">
        <v>3201</v>
      </c>
      <c r="CE3335" t="s">
        <v>117</v>
      </c>
      <c r="CF3335" s="3">
        <v>45863</v>
      </c>
      <c r="CI3335">
        <v>1</v>
      </c>
      <c r="CJ3335">
        <v>1</v>
      </c>
      <c r="CK3335">
        <v>21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"080066747547"</f>
        <v>080066747547</v>
      </c>
      <c r="F3336" s="3">
        <v>45861</v>
      </c>
      <c r="G3336">
        <v>202604</v>
      </c>
      <c r="H3336" t="s">
        <v>75</v>
      </c>
      <c r="I3336" t="s">
        <v>76</v>
      </c>
      <c r="J3336" t="s">
        <v>77</v>
      </c>
      <c r="K3336" t="s">
        <v>78</v>
      </c>
      <c r="L3336" t="s">
        <v>168</v>
      </c>
      <c r="M3336" t="s">
        <v>169</v>
      </c>
      <c r="N3336" t="s">
        <v>1840</v>
      </c>
      <c r="O3336" t="s">
        <v>82</v>
      </c>
      <c r="P3336" t="str">
        <f>"4170050316                    "</f>
        <v xml:space="preserve">4170050316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39.53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</v>
      </c>
      <c r="BJ3336">
        <v>3.2</v>
      </c>
      <c r="BK3336">
        <v>3.5</v>
      </c>
      <c r="BL3336">
        <v>124.55</v>
      </c>
      <c r="BM3336">
        <v>18.68</v>
      </c>
      <c r="BN3336">
        <v>143.22999999999999</v>
      </c>
      <c r="BO3336">
        <v>143.22999999999999</v>
      </c>
      <c r="BQ3336" t="s">
        <v>1841</v>
      </c>
      <c r="BR3336" t="s">
        <v>84</v>
      </c>
      <c r="BS3336" s="3">
        <v>45862</v>
      </c>
      <c r="BT3336" s="4">
        <v>0.41319444444444442</v>
      </c>
      <c r="BU3336" t="s">
        <v>635</v>
      </c>
      <c r="BV3336" t="s">
        <v>98</v>
      </c>
      <c r="BY3336">
        <v>16184</v>
      </c>
      <c r="CA3336" t="s">
        <v>2707</v>
      </c>
      <c r="CC3336" t="s">
        <v>169</v>
      </c>
      <c r="CD3336">
        <v>6070</v>
      </c>
      <c r="CE3336" t="s">
        <v>91</v>
      </c>
      <c r="CF3336" s="3">
        <v>45862</v>
      </c>
      <c r="CI3336">
        <v>1</v>
      </c>
      <c r="CJ3336">
        <v>1</v>
      </c>
      <c r="CK3336">
        <v>21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"080066747590"</f>
        <v>080066747590</v>
      </c>
      <c r="F3337" s="3">
        <v>45861</v>
      </c>
      <c r="G3337">
        <v>202604</v>
      </c>
      <c r="H3337" t="s">
        <v>75</v>
      </c>
      <c r="I3337" t="s">
        <v>76</v>
      </c>
      <c r="J3337" t="s">
        <v>77</v>
      </c>
      <c r="K3337" t="s">
        <v>78</v>
      </c>
      <c r="L3337" t="s">
        <v>168</v>
      </c>
      <c r="M3337" t="s">
        <v>169</v>
      </c>
      <c r="N3337" t="s">
        <v>360</v>
      </c>
      <c r="O3337" t="s">
        <v>82</v>
      </c>
      <c r="P3337" t="str">
        <f>"4170050317                    "</f>
        <v xml:space="preserve">4170050317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22.6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1.5</v>
      </c>
      <c r="BK3337">
        <v>1.5</v>
      </c>
      <c r="BL3337">
        <v>71.2</v>
      </c>
      <c r="BM3337">
        <v>10.68</v>
      </c>
      <c r="BN3337">
        <v>81.88</v>
      </c>
      <c r="BO3337">
        <v>81.88</v>
      </c>
      <c r="BQ3337" t="s">
        <v>361</v>
      </c>
      <c r="BR3337" t="s">
        <v>84</v>
      </c>
      <c r="BS3337" s="3">
        <v>45862</v>
      </c>
      <c r="BT3337" s="4">
        <v>0.36805555555555558</v>
      </c>
      <c r="BU3337" t="s">
        <v>3291</v>
      </c>
      <c r="BV3337" t="s">
        <v>98</v>
      </c>
      <c r="BY3337">
        <v>7300</v>
      </c>
      <c r="CA3337" t="s">
        <v>423</v>
      </c>
      <c r="CC3337" t="s">
        <v>169</v>
      </c>
      <c r="CD3337">
        <v>6001</v>
      </c>
      <c r="CE3337" t="s">
        <v>91</v>
      </c>
      <c r="CF3337" s="3">
        <v>45862</v>
      </c>
      <c r="CI3337">
        <v>1</v>
      </c>
      <c r="CJ3337">
        <v>1</v>
      </c>
      <c r="CK3337">
        <v>21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"080066747660"</f>
        <v>080066747660</v>
      </c>
      <c r="F3338" s="3">
        <v>45861</v>
      </c>
      <c r="G3338">
        <v>202604</v>
      </c>
      <c r="H3338" t="s">
        <v>75</v>
      </c>
      <c r="I3338" t="s">
        <v>76</v>
      </c>
      <c r="J3338" t="s">
        <v>77</v>
      </c>
      <c r="K3338" t="s">
        <v>78</v>
      </c>
      <c r="L3338" t="s">
        <v>92</v>
      </c>
      <c r="M3338" t="s">
        <v>93</v>
      </c>
      <c r="N3338" t="s">
        <v>291</v>
      </c>
      <c r="O3338" t="s">
        <v>82</v>
      </c>
      <c r="P3338" t="str">
        <f>"4170050325                    "</f>
        <v xml:space="preserve">4170050325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22.6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0.6</v>
      </c>
      <c r="BK3338">
        <v>1</v>
      </c>
      <c r="BL3338">
        <v>71.2</v>
      </c>
      <c r="BM3338">
        <v>10.68</v>
      </c>
      <c r="BN3338">
        <v>81.88</v>
      </c>
      <c r="BO3338">
        <v>81.88</v>
      </c>
      <c r="BQ3338" t="s">
        <v>292</v>
      </c>
      <c r="BR3338" t="s">
        <v>84</v>
      </c>
      <c r="BS3338" s="3">
        <v>45862</v>
      </c>
      <c r="BT3338" s="4">
        <v>0.33819444444444446</v>
      </c>
      <c r="BU3338" t="s">
        <v>971</v>
      </c>
      <c r="BV3338" t="s">
        <v>98</v>
      </c>
      <c r="BY3338">
        <v>3192</v>
      </c>
      <c r="CA3338" t="s">
        <v>294</v>
      </c>
      <c r="CC3338" t="s">
        <v>93</v>
      </c>
      <c r="CD3338">
        <v>4051</v>
      </c>
      <c r="CE3338" t="s">
        <v>259</v>
      </c>
      <c r="CF3338" s="3">
        <v>45862</v>
      </c>
      <c r="CI3338">
        <v>1</v>
      </c>
      <c r="CJ3338">
        <v>1</v>
      </c>
      <c r="CK3338">
        <v>21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"080066748097"</f>
        <v>080066748097</v>
      </c>
      <c r="F3339" s="3">
        <v>45861</v>
      </c>
      <c r="G3339">
        <v>202604</v>
      </c>
      <c r="H3339" t="s">
        <v>75</v>
      </c>
      <c r="I3339" t="s">
        <v>76</v>
      </c>
      <c r="J3339" t="s">
        <v>77</v>
      </c>
      <c r="K3339" t="s">
        <v>78</v>
      </c>
      <c r="L3339" t="s">
        <v>1861</v>
      </c>
      <c r="M3339" t="s">
        <v>1862</v>
      </c>
      <c r="N3339" t="s">
        <v>1863</v>
      </c>
      <c r="O3339" t="s">
        <v>82</v>
      </c>
      <c r="P3339" t="str">
        <f>"4170050300                    "</f>
        <v xml:space="preserve">4170050300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83.33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4</v>
      </c>
      <c r="BJ3339">
        <v>1.8</v>
      </c>
      <c r="BK3339">
        <v>4</v>
      </c>
      <c r="BL3339">
        <v>262.52999999999997</v>
      </c>
      <c r="BM3339">
        <v>39.380000000000003</v>
      </c>
      <c r="BN3339">
        <v>301.91000000000003</v>
      </c>
      <c r="BO3339">
        <v>301.91000000000003</v>
      </c>
      <c r="BQ3339" t="s">
        <v>1864</v>
      </c>
      <c r="BR3339" t="s">
        <v>84</v>
      </c>
      <c r="BS3339" s="3">
        <v>45862</v>
      </c>
      <c r="BT3339" s="4">
        <v>0.55138888888888893</v>
      </c>
      <c r="BU3339" t="s">
        <v>2506</v>
      </c>
      <c r="BV3339" t="s">
        <v>98</v>
      </c>
      <c r="BY3339">
        <v>9044</v>
      </c>
      <c r="CA3339" t="s">
        <v>1866</v>
      </c>
      <c r="CC3339" t="s">
        <v>1862</v>
      </c>
      <c r="CD3339">
        <v>6500</v>
      </c>
      <c r="CE3339" t="s">
        <v>145</v>
      </c>
      <c r="CF3339" s="3">
        <v>45862</v>
      </c>
      <c r="CI3339">
        <v>1</v>
      </c>
      <c r="CJ3339">
        <v>1</v>
      </c>
      <c r="CK3339">
        <v>23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"080066748118"</f>
        <v>080066748118</v>
      </c>
      <c r="F3340" s="3">
        <v>45861</v>
      </c>
      <c r="G3340">
        <v>202604</v>
      </c>
      <c r="H3340" t="s">
        <v>75</v>
      </c>
      <c r="I3340" t="s">
        <v>76</v>
      </c>
      <c r="J3340" t="s">
        <v>77</v>
      </c>
      <c r="K3340" t="s">
        <v>78</v>
      </c>
      <c r="L3340" t="s">
        <v>135</v>
      </c>
      <c r="M3340" t="s">
        <v>136</v>
      </c>
      <c r="N3340" t="s">
        <v>416</v>
      </c>
      <c r="O3340" t="s">
        <v>82</v>
      </c>
      <c r="P3340" t="str">
        <f>"4170050109                    "</f>
        <v xml:space="preserve">4170050109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45.18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4</v>
      </c>
      <c r="BJ3340">
        <v>1.7</v>
      </c>
      <c r="BK3340">
        <v>4</v>
      </c>
      <c r="BL3340">
        <v>142.34</v>
      </c>
      <c r="BM3340">
        <v>21.35</v>
      </c>
      <c r="BN3340">
        <v>163.69</v>
      </c>
      <c r="BO3340">
        <v>163.69</v>
      </c>
      <c r="BQ3340" t="s">
        <v>417</v>
      </c>
      <c r="BR3340" t="s">
        <v>84</v>
      </c>
      <c r="BS3340" s="3">
        <v>45862</v>
      </c>
      <c r="BT3340" s="4">
        <v>0.41666666666666669</v>
      </c>
      <c r="BU3340" t="s">
        <v>650</v>
      </c>
      <c r="BV3340" t="s">
        <v>98</v>
      </c>
      <c r="BY3340">
        <v>8512</v>
      </c>
      <c r="CC3340" t="s">
        <v>136</v>
      </c>
      <c r="CD3340">
        <v>3201</v>
      </c>
      <c r="CE3340" t="s">
        <v>145</v>
      </c>
      <c r="CF3340" s="3">
        <v>45863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"080066748147"</f>
        <v>080066748147</v>
      </c>
      <c r="F3341" s="3">
        <v>45861</v>
      </c>
      <c r="G3341">
        <v>202604</v>
      </c>
      <c r="H3341" t="s">
        <v>75</v>
      </c>
      <c r="I3341" t="s">
        <v>76</v>
      </c>
      <c r="J3341" t="s">
        <v>77</v>
      </c>
      <c r="K3341" t="s">
        <v>78</v>
      </c>
      <c r="L3341" t="s">
        <v>168</v>
      </c>
      <c r="M3341" t="s">
        <v>169</v>
      </c>
      <c r="N3341" t="s">
        <v>202</v>
      </c>
      <c r="O3341" t="s">
        <v>82</v>
      </c>
      <c r="P3341" t="str">
        <f>"4170050246                    "</f>
        <v xml:space="preserve">4170050246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33.89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3</v>
      </c>
      <c r="BJ3341">
        <v>1.1000000000000001</v>
      </c>
      <c r="BK3341">
        <v>3</v>
      </c>
      <c r="BL3341">
        <v>106.77</v>
      </c>
      <c r="BM3341">
        <v>16.02</v>
      </c>
      <c r="BN3341">
        <v>122.79</v>
      </c>
      <c r="BO3341">
        <v>122.79</v>
      </c>
      <c r="BQ3341" t="s">
        <v>203</v>
      </c>
      <c r="BR3341" t="s">
        <v>84</v>
      </c>
      <c r="BS3341" s="3">
        <v>45862</v>
      </c>
      <c r="BT3341" s="4">
        <v>0.40625</v>
      </c>
      <c r="BU3341" t="s">
        <v>204</v>
      </c>
      <c r="BV3341" t="s">
        <v>98</v>
      </c>
      <c r="BY3341">
        <v>5320</v>
      </c>
      <c r="CA3341" t="s">
        <v>205</v>
      </c>
      <c r="CC3341" t="s">
        <v>169</v>
      </c>
      <c r="CD3341">
        <v>6001</v>
      </c>
      <c r="CE3341" t="s">
        <v>145</v>
      </c>
      <c r="CF3341" s="3">
        <v>45862</v>
      </c>
      <c r="CI3341">
        <v>1</v>
      </c>
      <c r="CJ3341">
        <v>1</v>
      </c>
      <c r="CK3341">
        <v>21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"080066748334"</f>
        <v>080066748334</v>
      </c>
      <c r="F3342" s="3">
        <v>45861</v>
      </c>
      <c r="G3342">
        <v>202604</v>
      </c>
      <c r="H3342" t="s">
        <v>75</v>
      </c>
      <c r="I3342" t="s">
        <v>76</v>
      </c>
      <c r="J3342" t="s">
        <v>77</v>
      </c>
      <c r="K3342" t="s">
        <v>78</v>
      </c>
      <c r="L3342" t="s">
        <v>548</v>
      </c>
      <c r="M3342" t="s">
        <v>549</v>
      </c>
      <c r="N3342" t="s">
        <v>550</v>
      </c>
      <c r="O3342" t="s">
        <v>82</v>
      </c>
      <c r="P3342" t="str">
        <f>"4170050391                    "</f>
        <v xml:space="preserve">4170050391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103.1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5</v>
      </c>
      <c r="BJ3342">
        <v>4.4000000000000004</v>
      </c>
      <c r="BK3342">
        <v>5</v>
      </c>
      <c r="BL3342">
        <v>324.82</v>
      </c>
      <c r="BM3342">
        <v>48.72</v>
      </c>
      <c r="BN3342">
        <v>373.54</v>
      </c>
      <c r="BO3342">
        <v>373.54</v>
      </c>
      <c r="BQ3342" t="s">
        <v>551</v>
      </c>
      <c r="BR3342" t="s">
        <v>84</v>
      </c>
      <c r="BS3342" s="3">
        <v>45862</v>
      </c>
      <c r="BT3342" s="4">
        <v>0.45</v>
      </c>
      <c r="BU3342" t="s">
        <v>2467</v>
      </c>
      <c r="BV3342" t="s">
        <v>98</v>
      </c>
      <c r="BY3342">
        <v>22000</v>
      </c>
      <c r="CA3342" t="s">
        <v>553</v>
      </c>
      <c r="CC3342" t="s">
        <v>549</v>
      </c>
      <c r="CD3342">
        <v>5257</v>
      </c>
      <c r="CE3342" t="s">
        <v>91</v>
      </c>
      <c r="CF3342" s="3">
        <v>45862</v>
      </c>
      <c r="CI3342">
        <v>1</v>
      </c>
      <c r="CJ3342">
        <v>1</v>
      </c>
      <c r="CK3342">
        <v>23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"080066748969"</f>
        <v>080066748969</v>
      </c>
      <c r="F3343" s="3">
        <v>45861</v>
      </c>
      <c r="G3343">
        <v>202604</v>
      </c>
      <c r="H3343" t="s">
        <v>75</v>
      </c>
      <c r="I3343" t="s">
        <v>76</v>
      </c>
      <c r="J3343" t="s">
        <v>77</v>
      </c>
      <c r="K3343" t="s">
        <v>78</v>
      </c>
      <c r="L3343" t="s">
        <v>92</v>
      </c>
      <c r="M3343" t="s">
        <v>93</v>
      </c>
      <c r="N3343" t="s">
        <v>2613</v>
      </c>
      <c r="O3343" t="s">
        <v>82</v>
      </c>
      <c r="P3343" t="str">
        <f>"4170050432                    "</f>
        <v xml:space="preserve">4170050432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22.6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71.2</v>
      </c>
      <c r="BM3343">
        <v>10.68</v>
      </c>
      <c r="BN3343">
        <v>81.88</v>
      </c>
      <c r="BO3343">
        <v>81.88</v>
      </c>
      <c r="BQ3343" t="s">
        <v>2614</v>
      </c>
      <c r="BR3343" t="s">
        <v>84</v>
      </c>
      <c r="BS3343" s="3">
        <v>45862</v>
      </c>
      <c r="BT3343" s="4">
        <v>0.39305555555555555</v>
      </c>
      <c r="BU3343" t="s">
        <v>3292</v>
      </c>
      <c r="BV3343" t="s">
        <v>98</v>
      </c>
      <c r="BY3343">
        <v>1200</v>
      </c>
      <c r="CA3343" t="s">
        <v>491</v>
      </c>
      <c r="CC3343" t="s">
        <v>93</v>
      </c>
      <c r="CD3343">
        <v>4000</v>
      </c>
      <c r="CE3343" t="s">
        <v>121</v>
      </c>
      <c r="CF3343" s="3">
        <v>45862</v>
      </c>
      <c r="CI3343">
        <v>1</v>
      </c>
      <c r="CJ3343">
        <v>1</v>
      </c>
      <c r="CK3343">
        <v>21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"080066749004"</f>
        <v>080066749004</v>
      </c>
      <c r="F3344" s="3">
        <v>45861</v>
      </c>
      <c r="G3344">
        <v>202604</v>
      </c>
      <c r="H3344" t="s">
        <v>75</v>
      </c>
      <c r="I3344" t="s">
        <v>76</v>
      </c>
      <c r="J3344" t="s">
        <v>77</v>
      </c>
      <c r="K3344" t="s">
        <v>78</v>
      </c>
      <c r="L3344" t="s">
        <v>168</v>
      </c>
      <c r="M3344" t="s">
        <v>169</v>
      </c>
      <c r="N3344" t="s">
        <v>206</v>
      </c>
      <c r="O3344" t="s">
        <v>82</v>
      </c>
      <c r="P3344" t="str">
        <f>"4170050279                    "</f>
        <v xml:space="preserve">4170050279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112.92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2</v>
      </c>
      <c r="BI3344">
        <v>10</v>
      </c>
      <c r="BJ3344">
        <v>6</v>
      </c>
      <c r="BK3344">
        <v>10</v>
      </c>
      <c r="BL3344">
        <v>355.76</v>
      </c>
      <c r="BM3344">
        <v>53.36</v>
      </c>
      <c r="BN3344">
        <v>409.12</v>
      </c>
      <c r="BO3344">
        <v>409.12</v>
      </c>
      <c r="BQ3344" t="s">
        <v>207</v>
      </c>
      <c r="BR3344" t="s">
        <v>84</v>
      </c>
      <c r="BS3344" s="3">
        <v>45862</v>
      </c>
      <c r="BT3344" s="4">
        <v>0.41875000000000001</v>
      </c>
      <c r="BU3344" t="s">
        <v>2861</v>
      </c>
      <c r="BV3344" t="s">
        <v>98</v>
      </c>
      <c r="BY3344">
        <v>30125</v>
      </c>
      <c r="CA3344" t="s">
        <v>196</v>
      </c>
      <c r="CC3344" t="s">
        <v>169</v>
      </c>
      <c r="CD3344">
        <v>6001</v>
      </c>
      <c r="CE3344" t="s">
        <v>145</v>
      </c>
      <c r="CF3344" s="3">
        <v>45862</v>
      </c>
      <c r="CI3344">
        <v>1</v>
      </c>
      <c r="CJ3344">
        <v>1</v>
      </c>
      <c r="CK3344">
        <v>21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"080066749012"</f>
        <v>080066749012</v>
      </c>
      <c r="F3345" s="3">
        <v>45861</v>
      </c>
      <c r="G3345">
        <v>202604</v>
      </c>
      <c r="H3345" t="s">
        <v>75</v>
      </c>
      <c r="I3345" t="s">
        <v>76</v>
      </c>
      <c r="J3345" t="s">
        <v>77</v>
      </c>
      <c r="K3345" t="s">
        <v>78</v>
      </c>
      <c r="L3345" t="s">
        <v>240</v>
      </c>
      <c r="M3345" t="s">
        <v>241</v>
      </c>
      <c r="N3345" t="s">
        <v>447</v>
      </c>
      <c r="O3345" t="s">
        <v>82</v>
      </c>
      <c r="P3345" t="str">
        <f>"4170050556                    "</f>
        <v xml:space="preserve">4170050556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17.649999999999999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55.61</v>
      </c>
      <c r="BM3345">
        <v>8.34</v>
      </c>
      <c r="BN3345">
        <v>63.95</v>
      </c>
      <c r="BO3345">
        <v>63.95</v>
      </c>
      <c r="BQ3345" t="s">
        <v>448</v>
      </c>
      <c r="BR3345" t="s">
        <v>84</v>
      </c>
      <c r="BS3345" s="3">
        <v>45862</v>
      </c>
      <c r="BT3345" s="4">
        <v>0.43055555555555558</v>
      </c>
      <c r="BU3345" t="s">
        <v>3293</v>
      </c>
      <c r="BV3345" t="s">
        <v>98</v>
      </c>
      <c r="BY3345">
        <v>1200</v>
      </c>
      <c r="CA3345" t="s">
        <v>451</v>
      </c>
      <c r="CC3345" t="s">
        <v>241</v>
      </c>
      <c r="CD3345">
        <v>2094</v>
      </c>
      <c r="CE3345" t="s">
        <v>121</v>
      </c>
      <c r="CF3345" s="3">
        <v>45862</v>
      </c>
      <c r="CI3345">
        <v>1</v>
      </c>
      <c r="CJ3345">
        <v>1</v>
      </c>
      <c r="CK3345">
        <v>22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"080066749047"</f>
        <v>080066749047</v>
      </c>
      <c r="F3346" s="3">
        <v>45861</v>
      </c>
      <c r="G3346">
        <v>202604</v>
      </c>
      <c r="H3346" t="s">
        <v>75</v>
      </c>
      <c r="I3346" t="s">
        <v>76</v>
      </c>
      <c r="J3346" t="s">
        <v>77</v>
      </c>
      <c r="K3346" t="s">
        <v>78</v>
      </c>
      <c r="L3346" t="s">
        <v>151</v>
      </c>
      <c r="M3346" t="s">
        <v>152</v>
      </c>
      <c r="N3346" t="s">
        <v>153</v>
      </c>
      <c r="O3346" t="s">
        <v>82</v>
      </c>
      <c r="P3346" t="str">
        <f>"4170050581                    "</f>
        <v xml:space="preserve">4170050581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22.6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71.2</v>
      </c>
      <c r="BM3346">
        <v>10.68</v>
      </c>
      <c r="BN3346">
        <v>81.88</v>
      </c>
      <c r="BO3346">
        <v>81.88</v>
      </c>
      <c r="BQ3346" t="s">
        <v>154</v>
      </c>
      <c r="BR3346" t="s">
        <v>84</v>
      </c>
      <c r="BS3346" s="3">
        <v>45862</v>
      </c>
      <c r="BT3346" s="4">
        <v>0.34027777777777779</v>
      </c>
      <c r="BU3346" t="s">
        <v>1297</v>
      </c>
      <c r="BV3346" t="s">
        <v>98</v>
      </c>
      <c r="BY3346">
        <v>1200</v>
      </c>
      <c r="CA3346" t="s">
        <v>156</v>
      </c>
      <c r="CC3346" t="s">
        <v>152</v>
      </c>
      <c r="CD3346" s="5" t="s">
        <v>157</v>
      </c>
      <c r="CE3346" t="s">
        <v>121</v>
      </c>
      <c r="CF3346" s="3">
        <v>45862</v>
      </c>
      <c r="CI3346">
        <v>1</v>
      </c>
      <c r="CJ3346">
        <v>1</v>
      </c>
      <c r="CK3346">
        <v>21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"080066749059"</f>
        <v>080066749059</v>
      </c>
      <c r="F3347" s="3">
        <v>45861</v>
      </c>
      <c r="G3347">
        <v>202604</v>
      </c>
      <c r="H3347" t="s">
        <v>75</v>
      </c>
      <c r="I3347" t="s">
        <v>76</v>
      </c>
      <c r="J3347" t="s">
        <v>77</v>
      </c>
      <c r="K3347" t="s">
        <v>78</v>
      </c>
      <c r="L3347" t="s">
        <v>240</v>
      </c>
      <c r="M3347" t="s">
        <v>241</v>
      </c>
      <c r="N3347" t="s">
        <v>457</v>
      </c>
      <c r="O3347" t="s">
        <v>82</v>
      </c>
      <c r="P3347" t="str">
        <f>"4170050346                    "</f>
        <v xml:space="preserve">4170050346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17.649999999999999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16.739999999999998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3</v>
      </c>
      <c r="BJ3347">
        <v>3.4</v>
      </c>
      <c r="BK3347">
        <v>4</v>
      </c>
      <c r="BL3347">
        <v>72.349999999999994</v>
      </c>
      <c r="BM3347">
        <v>10.85</v>
      </c>
      <c r="BN3347">
        <v>83.2</v>
      </c>
      <c r="BO3347">
        <v>83.2</v>
      </c>
      <c r="BQ3347" t="s">
        <v>458</v>
      </c>
      <c r="BR3347" t="s">
        <v>84</v>
      </c>
      <c r="BS3347" s="3">
        <v>45862</v>
      </c>
      <c r="BT3347" s="4">
        <v>0.38541666666666669</v>
      </c>
      <c r="BU3347" t="s">
        <v>3294</v>
      </c>
      <c r="BV3347" t="s">
        <v>98</v>
      </c>
      <c r="BY3347">
        <v>16965</v>
      </c>
      <c r="BZ3347" t="s">
        <v>30</v>
      </c>
      <c r="CA3347" t="s">
        <v>461</v>
      </c>
      <c r="CC3347" t="s">
        <v>241</v>
      </c>
      <c r="CD3347">
        <v>2188</v>
      </c>
      <c r="CE3347" t="s">
        <v>145</v>
      </c>
      <c r="CF3347" s="3">
        <v>45862</v>
      </c>
      <c r="CI3347">
        <v>1</v>
      </c>
      <c r="CJ3347">
        <v>1</v>
      </c>
      <c r="CK3347">
        <v>22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"080066749118"</f>
        <v>080066749118</v>
      </c>
      <c r="F3348" s="3">
        <v>45861</v>
      </c>
      <c r="G3348">
        <v>202604</v>
      </c>
      <c r="H3348" t="s">
        <v>75</v>
      </c>
      <c r="I3348" t="s">
        <v>76</v>
      </c>
      <c r="J3348" t="s">
        <v>77</v>
      </c>
      <c r="K3348" t="s">
        <v>78</v>
      </c>
      <c r="L3348" t="s">
        <v>398</v>
      </c>
      <c r="M3348" t="s">
        <v>399</v>
      </c>
      <c r="N3348" t="s">
        <v>3295</v>
      </c>
      <c r="O3348" t="s">
        <v>82</v>
      </c>
      <c r="P3348" t="str">
        <f>"4170050294                    "</f>
        <v xml:space="preserve">4170050294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17.649999999999999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55.61</v>
      </c>
      <c r="BM3348">
        <v>8.34</v>
      </c>
      <c r="BN3348">
        <v>63.95</v>
      </c>
      <c r="BO3348">
        <v>63.95</v>
      </c>
      <c r="BQ3348" t="s">
        <v>3296</v>
      </c>
      <c r="BR3348" t="s">
        <v>84</v>
      </c>
      <c r="BS3348" s="3">
        <v>45862</v>
      </c>
      <c r="BT3348" s="4">
        <v>0.41249999999999998</v>
      </c>
      <c r="BU3348" t="s">
        <v>3297</v>
      </c>
      <c r="BV3348" t="s">
        <v>98</v>
      </c>
      <c r="BY3348">
        <v>1200</v>
      </c>
      <c r="CA3348" t="s">
        <v>2249</v>
      </c>
      <c r="CC3348" t="s">
        <v>399</v>
      </c>
      <c r="CD3348">
        <v>1501</v>
      </c>
      <c r="CE3348" t="s">
        <v>121</v>
      </c>
      <c r="CF3348" s="3">
        <v>45862</v>
      </c>
      <c r="CI3348">
        <v>1</v>
      </c>
      <c r="CJ3348">
        <v>1</v>
      </c>
      <c r="CK3348">
        <v>22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"080066749129"</f>
        <v>080066749129</v>
      </c>
      <c r="F3349" s="3">
        <v>45861</v>
      </c>
      <c r="G3349">
        <v>202604</v>
      </c>
      <c r="H3349" t="s">
        <v>75</v>
      </c>
      <c r="I3349" t="s">
        <v>76</v>
      </c>
      <c r="J3349" t="s">
        <v>77</v>
      </c>
      <c r="K3349" t="s">
        <v>78</v>
      </c>
      <c r="L3349" t="s">
        <v>350</v>
      </c>
      <c r="M3349" t="s">
        <v>351</v>
      </c>
      <c r="N3349" t="s">
        <v>3298</v>
      </c>
      <c r="O3349" t="s">
        <v>82</v>
      </c>
      <c r="P3349" t="str">
        <f>"4170050407                    "</f>
        <v xml:space="preserve">4170050407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22.6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0.9</v>
      </c>
      <c r="BK3349">
        <v>1</v>
      </c>
      <c r="BL3349">
        <v>71.2</v>
      </c>
      <c r="BM3349">
        <v>10.68</v>
      </c>
      <c r="BN3349">
        <v>81.88</v>
      </c>
      <c r="BO3349">
        <v>81.88</v>
      </c>
      <c r="BQ3349" t="s">
        <v>3299</v>
      </c>
      <c r="BR3349" t="s">
        <v>84</v>
      </c>
      <c r="BS3349" s="3">
        <v>45862</v>
      </c>
      <c r="BT3349" s="4">
        <v>0.41666666666666669</v>
      </c>
      <c r="BU3349" t="s">
        <v>3300</v>
      </c>
      <c r="BV3349" t="s">
        <v>98</v>
      </c>
      <c r="BY3349">
        <v>4560</v>
      </c>
      <c r="CA3349" t="s">
        <v>337</v>
      </c>
      <c r="CC3349" t="s">
        <v>351</v>
      </c>
      <c r="CD3349">
        <v>4113</v>
      </c>
      <c r="CE3349" t="s">
        <v>145</v>
      </c>
      <c r="CF3349" s="3">
        <v>45862</v>
      </c>
      <c r="CI3349">
        <v>1</v>
      </c>
      <c r="CJ3349">
        <v>1</v>
      </c>
      <c r="CK3349">
        <v>21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"080066749144"</f>
        <v>080066749144</v>
      </c>
      <c r="F3350" s="3">
        <v>45861</v>
      </c>
      <c r="G3350">
        <v>202604</v>
      </c>
      <c r="H3350" t="s">
        <v>75</v>
      </c>
      <c r="I3350" t="s">
        <v>76</v>
      </c>
      <c r="J3350" t="s">
        <v>77</v>
      </c>
      <c r="K3350" t="s">
        <v>78</v>
      </c>
      <c r="L3350" t="s">
        <v>151</v>
      </c>
      <c r="M3350" t="s">
        <v>152</v>
      </c>
      <c r="N3350" t="s">
        <v>153</v>
      </c>
      <c r="O3350" t="s">
        <v>82</v>
      </c>
      <c r="P3350" t="str">
        <f>"4170050450                    "</f>
        <v xml:space="preserve">4170050450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22.6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71.2</v>
      </c>
      <c r="BM3350">
        <v>10.68</v>
      </c>
      <c r="BN3350">
        <v>81.88</v>
      </c>
      <c r="BO3350">
        <v>81.88</v>
      </c>
      <c r="BQ3350" t="s">
        <v>154</v>
      </c>
      <c r="BR3350" t="s">
        <v>84</v>
      </c>
      <c r="BS3350" s="3">
        <v>45862</v>
      </c>
      <c r="BT3350" s="4">
        <v>0.34027777777777779</v>
      </c>
      <c r="BU3350" t="s">
        <v>1297</v>
      </c>
      <c r="BV3350" t="s">
        <v>98</v>
      </c>
      <c r="BY3350">
        <v>1200</v>
      </c>
      <c r="CA3350" t="s">
        <v>156</v>
      </c>
      <c r="CC3350" t="s">
        <v>152</v>
      </c>
      <c r="CD3350" s="5" t="s">
        <v>157</v>
      </c>
      <c r="CE3350" t="s">
        <v>121</v>
      </c>
      <c r="CF3350" s="3">
        <v>45862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"080066749207"</f>
        <v>080066749207</v>
      </c>
      <c r="F3351" s="3">
        <v>45861</v>
      </c>
      <c r="G3351">
        <v>202604</v>
      </c>
      <c r="H3351" t="s">
        <v>75</v>
      </c>
      <c r="I3351" t="s">
        <v>76</v>
      </c>
      <c r="J3351" t="s">
        <v>77</v>
      </c>
      <c r="K3351" t="s">
        <v>78</v>
      </c>
      <c r="L3351" t="s">
        <v>92</v>
      </c>
      <c r="M3351" t="s">
        <v>93</v>
      </c>
      <c r="N3351" t="s">
        <v>749</v>
      </c>
      <c r="O3351" t="s">
        <v>82</v>
      </c>
      <c r="P3351" t="str">
        <f>"4170050613                    "</f>
        <v xml:space="preserve">4170050613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22.6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1.1000000000000001</v>
      </c>
      <c r="BK3351">
        <v>1.5</v>
      </c>
      <c r="BL3351">
        <v>71.2</v>
      </c>
      <c r="BM3351">
        <v>10.68</v>
      </c>
      <c r="BN3351">
        <v>81.88</v>
      </c>
      <c r="BO3351">
        <v>81.88</v>
      </c>
      <c r="BQ3351" t="s">
        <v>750</v>
      </c>
      <c r="BR3351" t="s">
        <v>84</v>
      </c>
      <c r="BS3351" s="3">
        <v>45862</v>
      </c>
      <c r="BT3351" s="4">
        <v>0.41875000000000001</v>
      </c>
      <c r="BU3351" t="s">
        <v>3301</v>
      </c>
      <c r="BV3351" t="s">
        <v>98</v>
      </c>
      <c r="BY3351">
        <v>5320</v>
      </c>
      <c r="CA3351" t="s">
        <v>2616</v>
      </c>
      <c r="CC3351" t="s">
        <v>93</v>
      </c>
      <c r="CD3351">
        <v>4001</v>
      </c>
      <c r="CE3351" t="s">
        <v>145</v>
      </c>
      <c r="CF3351" s="3">
        <v>45862</v>
      </c>
      <c r="CI3351">
        <v>1</v>
      </c>
      <c r="CJ3351">
        <v>1</v>
      </c>
      <c r="CK3351">
        <v>21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"080066749458"</f>
        <v>080066749458</v>
      </c>
      <c r="F3352" s="3">
        <v>45861</v>
      </c>
      <c r="G3352">
        <v>202604</v>
      </c>
      <c r="H3352" t="s">
        <v>75</v>
      </c>
      <c r="I3352" t="s">
        <v>76</v>
      </c>
      <c r="J3352" t="s">
        <v>77</v>
      </c>
      <c r="K3352" t="s">
        <v>78</v>
      </c>
      <c r="L3352" t="s">
        <v>1861</v>
      </c>
      <c r="M3352" t="s">
        <v>1862</v>
      </c>
      <c r="N3352" t="s">
        <v>1863</v>
      </c>
      <c r="O3352" t="s">
        <v>82</v>
      </c>
      <c r="P3352" t="str">
        <f>"4170050474                    "</f>
        <v xml:space="preserve">4170050474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43.78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2</v>
      </c>
      <c r="BJ3352">
        <v>1.9</v>
      </c>
      <c r="BK3352">
        <v>2</v>
      </c>
      <c r="BL3352">
        <v>137.94</v>
      </c>
      <c r="BM3352">
        <v>20.69</v>
      </c>
      <c r="BN3352">
        <v>158.63</v>
      </c>
      <c r="BO3352">
        <v>158.63</v>
      </c>
      <c r="BQ3352" t="s">
        <v>1864</v>
      </c>
      <c r="BR3352" t="s">
        <v>84</v>
      </c>
      <c r="BS3352" s="3">
        <v>45862</v>
      </c>
      <c r="BT3352" s="4">
        <v>0.55208333333333337</v>
      </c>
      <c r="BU3352" t="s">
        <v>2506</v>
      </c>
      <c r="BV3352" t="s">
        <v>98</v>
      </c>
      <c r="BY3352">
        <v>9600</v>
      </c>
      <c r="CA3352" t="s">
        <v>1866</v>
      </c>
      <c r="CC3352" t="s">
        <v>1862</v>
      </c>
      <c r="CD3352">
        <v>6500</v>
      </c>
      <c r="CE3352" t="s">
        <v>145</v>
      </c>
      <c r="CF3352" s="3">
        <v>45862</v>
      </c>
      <c r="CI3352">
        <v>1</v>
      </c>
      <c r="CJ3352">
        <v>1</v>
      </c>
      <c r="CK3352">
        <v>23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"080066749490"</f>
        <v>080066749490</v>
      </c>
      <c r="F3353" s="3">
        <v>45861</v>
      </c>
      <c r="G3353">
        <v>202604</v>
      </c>
      <c r="H3353" t="s">
        <v>75</v>
      </c>
      <c r="I3353" t="s">
        <v>76</v>
      </c>
      <c r="J3353" t="s">
        <v>77</v>
      </c>
      <c r="K3353" t="s">
        <v>78</v>
      </c>
      <c r="L3353" t="s">
        <v>79</v>
      </c>
      <c r="M3353" t="s">
        <v>80</v>
      </c>
      <c r="N3353" t="s">
        <v>141</v>
      </c>
      <c r="O3353" t="s">
        <v>82</v>
      </c>
      <c r="P3353" t="str">
        <f>"4170050509                    "</f>
        <v xml:space="preserve">4170050509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22.6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71.2</v>
      </c>
      <c r="BM3353">
        <v>10.68</v>
      </c>
      <c r="BN3353">
        <v>81.88</v>
      </c>
      <c r="BO3353">
        <v>81.88</v>
      </c>
      <c r="BQ3353" t="s">
        <v>142</v>
      </c>
      <c r="BR3353" t="s">
        <v>84</v>
      </c>
      <c r="BS3353" s="3">
        <v>45862</v>
      </c>
      <c r="BT3353" s="4">
        <v>0.42152777777777778</v>
      </c>
      <c r="BU3353" t="s">
        <v>2437</v>
      </c>
      <c r="BV3353" t="s">
        <v>98</v>
      </c>
      <c r="BY3353">
        <v>1200</v>
      </c>
      <c r="CA3353" t="s">
        <v>144</v>
      </c>
      <c r="CC3353" t="s">
        <v>80</v>
      </c>
      <c r="CD3353">
        <v>7441</v>
      </c>
      <c r="CE3353" t="s">
        <v>121</v>
      </c>
      <c r="CF3353" s="3">
        <v>45863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"080066749498"</f>
        <v>080066749498</v>
      </c>
      <c r="F3354" s="3">
        <v>45861</v>
      </c>
      <c r="G3354">
        <v>202604</v>
      </c>
      <c r="H3354" t="s">
        <v>75</v>
      </c>
      <c r="I3354" t="s">
        <v>76</v>
      </c>
      <c r="J3354" t="s">
        <v>77</v>
      </c>
      <c r="K3354" t="s">
        <v>78</v>
      </c>
      <c r="L3354" t="s">
        <v>92</v>
      </c>
      <c r="M3354" t="s">
        <v>93</v>
      </c>
      <c r="N3354" t="s">
        <v>3302</v>
      </c>
      <c r="O3354" t="s">
        <v>82</v>
      </c>
      <c r="P3354" t="str">
        <f>"4170050492                    "</f>
        <v xml:space="preserve">4170050492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56.47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5</v>
      </c>
      <c r="BJ3354">
        <v>1.9</v>
      </c>
      <c r="BK3354">
        <v>5</v>
      </c>
      <c r="BL3354">
        <v>177.91</v>
      </c>
      <c r="BM3354">
        <v>26.69</v>
      </c>
      <c r="BN3354">
        <v>204.6</v>
      </c>
      <c r="BO3354">
        <v>204.6</v>
      </c>
      <c r="BQ3354" t="s">
        <v>3303</v>
      </c>
      <c r="BR3354" t="s">
        <v>84</v>
      </c>
      <c r="BS3354" s="3">
        <v>45869</v>
      </c>
      <c r="BT3354" s="4">
        <v>0.32013888888888886</v>
      </c>
      <c r="BU3354" t="s">
        <v>383</v>
      </c>
      <c r="BV3354" t="s">
        <v>86</v>
      </c>
      <c r="BY3354">
        <v>9600</v>
      </c>
      <c r="CA3354" t="s">
        <v>384</v>
      </c>
      <c r="CC3354" t="s">
        <v>93</v>
      </c>
      <c r="CD3354">
        <v>4080</v>
      </c>
      <c r="CE3354" t="s">
        <v>145</v>
      </c>
      <c r="CI3354">
        <v>1</v>
      </c>
      <c r="CJ3354">
        <v>6</v>
      </c>
      <c r="CK3354">
        <v>21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"080066749513"</f>
        <v>080066749513</v>
      </c>
      <c r="F3355" s="3">
        <v>45861</v>
      </c>
      <c r="G3355">
        <v>202604</v>
      </c>
      <c r="H3355" t="s">
        <v>75</v>
      </c>
      <c r="I3355" t="s">
        <v>76</v>
      </c>
      <c r="J3355" t="s">
        <v>77</v>
      </c>
      <c r="K3355" t="s">
        <v>78</v>
      </c>
      <c r="L3355" t="s">
        <v>240</v>
      </c>
      <c r="M3355" t="s">
        <v>241</v>
      </c>
      <c r="N3355" t="s">
        <v>447</v>
      </c>
      <c r="O3355" t="s">
        <v>82</v>
      </c>
      <c r="P3355" t="str">
        <f>"4170050484                    "</f>
        <v xml:space="preserve">4170050484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17.649999999999999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55.61</v>
      </c>
      <c r="BM3355">
        <v>8.34</v>
      </c>
      <c r="BN3355">
        <v>63.95</v>
      </c>
      <c r="BO3355">
        <v>63.95</v>
      </c>
      <c r="BQ3355" t="s">
        <v>448</v>
      </c>
      <c r="BR3355" t="s">
        <v>84</v>
      </c>
      <c r="BS3355" s="3">
        <v>45862</v>
      </c>
      <c r="BT3355" s="4">
        <v>0.43055555555555558</v>
      </c>
      <c r="BU3355" t="s">
        <v>3293</v>
      </c>
      <c r="BV3355" t="s">
        <v>98</v>
      </c>
      <c r="BY3355">
        <v>1200</v>
      </c>
      <c r="CA3355" t="s">
        <v>451</v>
      </c>
      <c r="CC3355" t="s">
        <v>241</v>
      </c>
      <c r="CD3355">
        <v>2094</v>
      </c>
      <c r="CE3355" t="s">
        <v>121</v>
      </c>
      <c r="CF3355" s="3">
        <v>45862</v>
      </c>
      <c r="CI3355">
        <v>1</v>
      </c>
      <c r="CJ3355">
        <v>1</v>
      </c>
      <c r="CK3355">
        <v>22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"080066749527"</f>
        <v>080066749527</v>
      </c>
      <c r="F3356" s="3">
        <v>45861</v>
      </c>
      <c r="G3356">
        <v>202604</v>
      </c>
      <c r="H3356" t="s">
        <v>75</v>
      </c>
      <c r="I3356" t="s">
        <v>76</v>
      </c>
      <c r="J3356" t="s">
        <v>77</v>
      </c>
      <c r="K3356" t="s">
        <v>78</v>
      </c>
      <c r="L3356" t="s">
        <v>135</v>
      </c>
      <c r="M3356" t="s">
        <v>136</v>
      </c>
      <c r="N3356" t="s">
        <v>416</v>
      </c>
      <c r="O3356" t="s">
        <v>82</v>
      </c>
      <c r="P3356" t="str">
        <f>"4170050423                    "</f>
        <v xml:space="preserve">4170050423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33.89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3</v>
      </c>
      <c r="BJ3356">
        <v>1.1000000000000001</v>
      </c>
      <c r="BK3356">
        <v>3</v>
      </c>
      <c r="BL3356">
        <v>106.77</v>
      </c>
      <c r="BM3356">
        <v>16.02</v>
      </c>
      <c r="BN3356">
        <v>122.79</v>
      </c>
      <c r="BO3356">
        <v>122.79</v>
      </c>
      <c r="BQ3356" t="s">
        <v>417</v>
      </c>
      <c r="BR3356" t="s">
        <v>84</v>
      </c>
      <c r="BS3356" s="3">
        <v>45862</v>
      </c>
      <c r="BT3356" s="4">
        <v>0.41666666666666669</v>
      </c>
      <c r="BU3356" t="s">
        <v>650</v>
      </c>
      <c r="BV3356" t="s">
        <v>98</v>
      </c>
      <c r="BY3356">
        <v>5320</v>
      </c>
      <c r="CC3356" t="s">
        <v>136</v>
      </c>
      <c r="CD3356">
        <v>3201</v>
      </c>
      <c r="CE3356" t="s">
        <v>145</v>
      </c>
      <c r="CF3356" s="3">
        <v>45863</v>
      </c>
      <c r="CI3356">
        <v>1</v>
      </c>
      <c r="CJ3356">
        <v>1</v>
      </c>
      <c r="CK3356">
        <v>21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"080066749532"</f>
        <v>080066749532</v>
      </c>
      <c r="F3357" s="3">
        <v>45861</v>
      </c>
      <c r="G3357">
        <v>202604</v>
      </c>
      <c r="H3357" t="s">
        <v>75</v>
      </c>
      <c r="I3357" t="s">
        <v>76</v>
      </c>
      <c r="J3357" t="s">
        <v>77</v>
      </c>
      <c r="K3357" t="s">
        <v>78</v>
      </c>
      <c r="L3357" t="s">
        <v>151</v>
      </c>
      <c r="M3357" t="s">
        <v>152</v>
      </c>
      <c r="N3357" t="s">
        <v>2250</v>
      </c>
      <c r="O3357" t="s">
        <v>82</v>
      </c>
      <c r="P3357" t="str">
        <f>"4170050419                    "</f>
        <v xml:space="preserve">4170050419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22.6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71.2</v>
      </c>
      <c r="BM3357">
        <v>10.68</v>
      </c>
      <c r="BN3357">
        <v>81.88</v>
      </c>
      <c r="BO3357">
        <v>81.88</v>
      </c>
      <c r="BQ3357" t="s">
        <v>2251</v>
      </c>
      <c r="BR3357" t="s">
        <v>84</v>
      </c>
      <c r="BS3357" s="3">
        <v>45862</v>
      </c>
      <c r="BT3357" s="4">
        <v>0.4201388888888889</v>
      </c>
      <c r="BU3357" t="s">
        <v>2744</v>
      </c>
      <c r="BV3357" t="s">
        <v>98</v>
      </c>
      <c r="BY3357">
        <v>1200</v>
      </c>
      <c r="CA3357" t="s">
        <v>518</v>
      </c>
      <c r="CC3357" t="s">
        <v>152</v>
      </c>
      <c r="CD3357" s="5" t="s">
        <v>1141</v>
      </c>
      <c r="CE3357" t="s">
        <v>121</v>
      </c>
      <c r="CF3357" s="3">
        <v>45862</v>
      </c>
      <c r="CI3357">
        <v>1</v>
      </c>
      <c r="CJ3357">
        <v>1</v>
      </c>
      <c r="CK3357">
        <v>21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"080066749559"</f>
        <v>080066749559</v>
      </c>
      <c r="F3358" s="3">
        <v>45861</v>
      </c>
      <c r="G3358">
        <v>202604</v>
      </c>
      <c r="H3358" t="s">
        <v>75</v>
      </c>
      <c r="I3358" t="s">
        <v>76</v>
      </c>
      <c r="J3358" t="s">
        <v>77</v>
      </c>
      <c r="K3358" t="s">
        <v>78</v>
      </c>
      <c r="L3358" t="s">
        <v>277</v>
      </c>
      <c r="M3358" t="s">
        <v>278</v>
      </c>
      <c r="N3358" t="s">
        <v>2683</v>
      </c>
      <c r="O3358" t="s">
        <v>82</v>
      </c>
      <c r="P3358" t="str">
        <f>"4170050448                    "</f>
        <v xml:space="preserve">4170050448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22.6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71.2</v>
      </c>
      <c r="BM3358">
        <v>10.68</v>
      </c>
      <c r="BN3358">
        <v>81.88</v>
      </c>
      <c r="BO3358">
        <v>81.88</v>
      </c>
      <c r="BQ3358" t="s">
        <v>2684</v>
      </c>
      <c r="BR3358" t="s">
        <v>84</v>
      </c>
      <c r="BS3358" s="3">
        <v>45862</v>
      </c>
      <c r="BT3358" s="4">
        <v>0.4152777777777778</v>
      </c>
      <c r="BU3358" t="s">
        <v>2859</v>
      </c>
      <c r="BV3358" t="s">
        <v>98</v>
      </c>
      <c r="BY3358">
        <v>1200</v>
      </c>
      <c r="CA3358" t="s">
        <v>282</v>
      </c>
      <c r="CC3358" t="s">
        <v>278</v>
      </c>
      <c r="CD3358">
        <v>6230</v>
      </c>
      <c r="CE3358" t="s">
        <v>121</v>
      </c>
      <c r="CF3358" s="3">
        <v>45862</v>
      </c>
      <c r="CI3358">
        <v>1</v>
      </c>
      <c r="CJ3358">
        <v>1</v>
      </c>
      <c r="CK3358">
        <v>21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"080066749574"</f>
        <v>080066749574</v>
      </c>
      <c r="F3359" s="3">
        <v>45861</v>
      </c>
      <c r="G3359">
        <v>202604</v>
      </c>
      <c r="H3359" t="s">
        <v>75</v>
      </c>
      <c r="I3359" t="s">
        <v>76</v>
      </c>
      <c r="J3359" t="s">
        <v>77</v>
      </c>
      <c r="K3359" t="s">
        <v>78</v>
      </c>
      <c r="L3359" t="s">
        <v>122</v>
      </c>
      <c r="M3359" t="s">
        <v>123</v>
      </c>
      <c r="N3359" t="s">
        <v>2097</v>
      </c>
      <c r="O3359" t="s">
        <v>82</v>
      </c>
      <c r="P3359" t="str">
        <f>"4170050411                    "</f>
        <v xml:space="preserve">4170050411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22.6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71.2</v>
      </c>
      <c r="BM3359">
        <v>10.68</v>
      </c>
      <c r="BN3359">
        <v>81.88</v>
      </c>
      <c r="BO3359">
        <v>81.88</v>
      </c>
      <c r="BQ3359" t="s">
        <v>2098</v>
      </c>
      <c r="BR3359" t="s">
        <v>84</v>
      </c>
      <c r="BS3359" s="3">
        <v>45862</v>
      </c>
      <c r="BT3359" s="4">
        <v>0.38124999999999998</v>
      </c>
      <c r="BU3359" t="s">
        <v>2099</v>
      </c>
      <c r="BV3359" t="s">
        <v>98</v>
      </c>
      <c r="BY3359">
        <v>1200</v>
      </c>
      <c r="CA3359" t="s">
        <v>187</v>
      </c>
      <c r="CC3359" t="s">
        <v>123</v>
      </c>
      <c r="CD3359">
        <v>3600</v>
      </c>
      <c r="CE3359" t="s">
        <v>121</v>
      </c>
      <c r="CF3359" s="3">
        <v>45862</v>
      </c>
      <c r="CI3359">
        <v>1</v>
      </c>
      <c r="CJ3359">
        <v>1</v>
      </c>
      <c r="CK3359">
        <v>21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"080066749587"</f>
        <v>080066749587</v>
      </c>
      <c r="F3360" s="3">
        <v>45861</v>
      </c>
      <c r="G3360">
        <v>202604</v>
      </c>
      <c r="H3360" t="s">
        <v>75</v>
      </c>
      <c r="I3360" t="s">
        <v>76</v>
      </c>
      <c r="J3360" t="s">
        <v>77</v>
      </c>
      <c r="K3360" t="s">
        <v>78</v>
      </c>
      <c r="L3360" t="s">
        <v>168</v>
      </c>
      <c r="M3360" t="s">
        <v>169</v>
      </c>
      <c r="N3360" t="s">
        <v>1422</v>
      </c>
      <c r="O3360" t="s">
        <v>82</v>
      </c>
      <c r="P3360" t="str">
        <f>"4170050489                    "</f>
        <v xml:space="preserve">4170050489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67.760000000000005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2</v>
      </c>
      <c r="BI3360">
        <v>6</v>
      </c>
      <c r="BJ3360">
        <v>4.0999999999999996</v>
      </c>
      <c r="BK3360">
        <v>6</v>
      </c>
      <c r="BL3360">
        <v>213.48</v>
      </c>
      <c r="BM3360">
        <v>32.020000000000003</v>
      </c>
      <c r="BN3360">
        <v>245.5</v>
      </c>
      <c r="BO3360">
        <v>245.5</v>
      </c>
      <c r="BQ3360" t="s">
        <v>1423</v>
      </c>
      <c r="BR3360" t="s">
        <v>84</v>
      </c>
      <c r="BS3360" s="3">
        <v>45862</v>
      </c>
      <c r="BT3360" s="4">
        <v>0.43194444444444446</v>
      </c>
      <c r="BU3360" t="s">
        <v>3304</v>
      </c>
      <c r="BV3360" t="s">
        <v>98</v>
      </c>
      <c r="BY3360">
        <v>20680</v>
      </c>
      <c r="CA3360" t="s">
        <v>196</v>
      </c>
      <c r="CC3360" t="s">
        <v>169</v>
      </c>
      <c r="CD3360">
        <v>6001</v>
      </c>
      <c r="CE3360" t="s">
        <v>145</v>
      </c>
      <c r="CF3360" s="3">
        <v>45862</v>
      </c>
      <c r="CI3360">
        <v>1</v>
      </c>
      <c r="CJ3360">
        <v>1</v>
      </c>
      <c r="CK3360">
        <v>21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"080066749637"</f>
        <v>080066749637</v>
      </c>
      <c r="F3361" s="3">
        <v>45861</v>
      </c>
      <c r="G3361">
        <v>202604</v>
      </c>
      <c r="H3361" t="s">
        <v>75</v>
      </c>
      <c r="I3361" t="s">
        <v>76</v>
      </c>
      <c r="J3361" t="s">
        <v>77</v>
      </c>
      <c r="K3361" t="s">
        <v>78</v>
      </c>
      <c r="L3361" t="s">
        <v>135</v>
      </c>
      <c r="M3361" t="s">
        <v>136</v>
      </c>
      <c r="N3361" t="s">
        <v>379</v>
      </c>
      <c r="O3361" t="s">
        <v>82</v>
      </c>
      <c r="P3361" t="str">
        <f>"4170050578                    "</f>
        <v xml:space="preserve">4170050578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45.18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4</v>
      </c>
      <c r="BJ3361">
        <v>0.6</v>
      </c>
      <c r="BK3361">
        <v>4</v>
      </c>
      <c r="BL3361">
        <v>142.34</v>
      </c>
      <c r="BM3361">
        <v>21.35</v>
      </c>
      <c r="BN3361">
        <v>163.69</v>
      </c>
      <c r="BO3361">
        <v>163.69</v>
      </c>
      <c r="BQ3361" t="s">
        <v>380</v>
      </c>
      <c r="BR3361" t="s">
        <v>84</v>
      </c>
      <c r="BS3361" s="3">
        <v>45862</v>
      </c>
      <c r="BT3361" s="4">
        <v>0.41666666666666669</v>
      </c>
      <c r="BU3361" t="s">
        <v>381</v>
      </c>
      <c r="BV3361" t="s">
        <v>98</v>
      </c>
      <c r="BY3361">
        <v>3192</v>
      </c>
      <c r="CA3361" t="s">
        <v>382</v>
      </c>
      <c r="CC3361" t="s">
        <v>136</v>
      </c>
      <c r="CD3361">
        <v>3212</v>
      </c>
      <c r="CE3361" t="s">
        <v>145</v>
      </c>
      <c r="CF3361" s="3">
        <v>45863</v>
      </c>
      <c r="CI3361">
        <v>2</v>
      </c>
      <c r="CJ3361">
        <v>1</v>
      </c>
      <c r="CK3361">
        <v>21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"080066749681"</f>
        <v>080066749681</v>
      </c>
      <c r="F3362" s="3">
        <v>45861</v>
      </c>
      <c r="G3362">
        <v>202604</v>
      </c>
      <c r="H3362" t="s">
        <v>75</v>
      </c>
      <c r="I3362" t="s">
        <v>76</v>
      </c>
      <c r="J3362" t="s">
        <v>77</v>
      </c>
      <c r="K3362" t="s">
        <v>78</v>
      </c>
      <c r="L3362" t="s">
        <v>122</v>
      </c>
      <c r="M3362" t="s">
        <v>123</v>
      </c>
      <c r="N3362" t="s">
        <v>124</v>
      </c>
      <c r="O3362" t="s">
        <v>82</v>
      </c>
      <c r="P3362" t="str">
        <f>"4170050463                    "</f>
        <v xml:space="preserve">4170050463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22.6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71.2</v>
      </c>
      <c r="BM3362">
        <v>10.68</v>
      </c>
      <c r="BN3362">
        <v>81.88</v>
      </c>
      <c r="BO3362">
        <v>81.88</v>
      </c>
      <c r="BQ3362" t="s">
        <v>125</v>
      </c>
      <c r="BR3362" t="s">
        <v>84</v>
      </c>
      <c r="BS3362" s="3">
        <v>45862</v>
      </c>
      <c r="BT3362" s="4">
        <v>0.51875000000000004</v>
      </c>
      <c r="BU3362" t="s">
        <v>3305</v>
      </c>
      <c r="BV3362" t="s">
        <v>86</v>
      </c>
      <c r="BW3362" t="s">
        <v>219</v>
      </c>
      <c r="BX3362" t="s">
        <v>220</v>
      </c>
      <c r="BY3362">
        <v>1200</v>
      </c>
      <c r="CA3362" t="s">
        <v>127</v>
      </c>
      <c r="CC3362" t="s">
        <v>123</v>
      </c>
      <c r="CD3362">
        <v>4037</v>
      </c>
      <c r="CE3362" t="s">
        <v>121</v>
      </c>
      <c r="CF3362" s="3">
        <v>45862</v>
      </c>
      <c r="CI3362">
        <v>1</v>
      </c>
      <c r="CJ3362">
        <v>1</v>
      </c>
      <c r="CK3362">
        <v>21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"080066749688"</f>
        <v>080066749688</v>
      </c>
      <c r="F3363" s="3">
        <v>45861</v>
      </c>
      <c r="G3363">
        <v>202604</v>
      </c>
      <c r="H3363" t="s">
        <v>75</v>
      </c>
      <c r="I3363" t="s">
        <v>76</v>
      </c>
      <c r="J3363" t="s">
        <v>77</v>
      </c>
      <c r="K3363" t="s">
        <v>78</v>
      </c>
      <c r="L3363" t="s">
        <v>79</v>
      </c>
      <c r="M3363" t="s">
        <v>80</v>
      </c>
      <c r="N3363" t="s">
        <v>141</v>
      </c>
      <c r="O3363" t="s">
        <v>82</v>
      </c>
      <c r="P3363" t="str">
        <f>"4170050690                    "</f>
        <v xml:space="preserve">4170050690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39.53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2</v>
      </c>
      <c r="BI3363">
        <v>3</v>
      </c>
      <c r="BJ3363">
        <v>3.3</v>
      </c>
      <c r="BK3363">
        <v>3.5</v>
      </c>
      <c r="BL3363">
        <v>124.55</v>
      </c>
      <c r="BM3363">
        <v>18.68</v>
      </c>
      <c r="BN3363">
        <v>143.22999999999999</v>
      </c>
      <c r="BO3363">
        <v>143.22999999999999</v>
      </c>
      <c r="BQ3363" t="s">
        <v>142</v>
      </c>
      <c r="BR3363" t="s">
        <v>84</v>
      </c>
      <c r="BS3363" s="3">
        <v>45862</v>
      </c>
      <c r="BT3363" s="4">
        <v>0.42152777777777778</v>
      </c>
      <c r="BU3363" t="s">
        <v>2437</v>
      </c>
      <c r="BV3363" t="s">
        <v>98</v>
      </c>
      <c r="BY3363">
        <v>16320</v>
      </c>
      <c r="CA3363" t="s">
        <v>144</v>
      </c>
      <c r="CC3363" t="s">
        <v>80</v>
      </c>
      <c r="CD3363">
        <v>7441</v>
      </c>
      <c r="CE3363" t="s">
        <v>145</v>
      </c>
      <c r="CF3363" s="3">
        <v>45863</v>
      </c>
      <c r="CI3363">
        <v>1</v>
      </c>
      <c r="CJ3363">
        <v>1</v>
      </c>
      <c r="CK3363">
        <v>21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"080066749712"</f>
        <v>080066749712</v>
      </c>
      <c r="F3364" s="3">
        <v>45861</v>
      </c>
      <c r="G3364">
        <v>202604</v>
      </c>
      <c r="H3364" t="s">
        <v>75</v>
      </c>
      <c r="I3364" t="s">
        <v>76</v>
      </c>
      <c r="J3364" t="s">
        <v>77</v>
      </c>
      <c r="K3364" t="s">
        <v>78</v>
      </c>
      <c r="L3364" t="s">
        <v>135</v>
      </c>
      <c r="M3364" t="s">
        <v>136</v>
      </c>
      <c r="N3364" t="s">
        <v>1093</v>
      </c>
      <c r="O3364" t="s">
        <v>82</v>
      </c>
      <c r="P3364" t="str">
        <f>"4170050595                    "</f>
        <v xml:space="preserve">4170050595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22.6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71.2</v>
      </c>
      <c r="BM3364">
        <v>10.68</v>
      </c>
      <c r="BN3364">
        <v>81.88</v>
      </c>
      <c r="BO3364">
        <v>81.88</v>
      </c>
      <c r="BQ3364" t="s">
        <v>1094</v>
      </c>
      <c r="BR3364" t="s">
        <v>84</v>
      </c>
      <c r="BS3364" s="3">
        <v>45862</v>
      </c>
      <c r="BT3364" s="4">
        <v>0.41666666666666669</v>
      </c>
      <c r="BU3364" t="s">
        <v>2630</v>
      </c>
      <c r="BV3364" t="s">
        <v>98</v>
      </c>
      <c r="BY3364">
        <v>1200</v>
      </c>
      <c r="CA3364" t="s">
        <v>1602</v>
      </c>
      <c r="CC3364" t="s">
        <v>136</v>
      </c>
      <c r="CD3364">
        <v>3201</v>
      </c>
      <c r="CE3364" t="s">
        <v>121</v>
      </c>
      <c r="CF3364" s="3">
        <v>45863</v>
      </c>
      <c r="CI3364">
        <v>1</v>
      </c>
      <c r="CJ3364">
        <v>1</v>
      </c>
      <c r="CK3364">
        <v>21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"080066749770"</f>
        <v>080066749770</v>
      </c>
      <c r="F3365" s="3">
        <v>45861</v>
      </c>
      <c r="G3365">
        <v>202604</v>
      </c>
      <c r="H3365" t="s">
        <v>75</v>
      </c>
      <c r="I3365" t="s">
        <v>76</v>
      </c>
      <c r="J3365" t="s">
        <v>77</v>
      </c>
      <c r="K3365" t="s">
        <v>78</v>
      </c>
      <c r="L3365" t="s">
        <v>146</v>
      </c>
      <c r="M3365" t="s">
        <v>146</v>
      </c>
      <c r="N3365" t="s">
        <v>3306</v>
      </c>
      <c r="O3365" t="s">
        <v>82</v>
      </c>
      <c r="P3365" t="str">
        <f>"4170050537                    "</f>
        <v xml:space="preserve">4170050537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43.78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137.94</v>
      </c>
      <c r="BM3365">
        <v>20.69</v>
      </c>
      <c r="BN3365">
        <v>158.63</v>
      </c>
      <c r="BO3365">
        <v>158.63</v>
      </c>
      <c r="BQ3365" t="s">
        <v>3307</v>
      </c>
      <c r="BR3365" t="s">
        <v>84</v>
      </c>
      <c r="BS3365" s="3">
        <v>45862</v>
      </c>
      <c r="BT3365" s="4">
        <v>0.53611111111111109</v>
      </c>
      <c r="BU3365" t="s">
        <v>3308</v>
      </c>
      <c r="BV3365" t="s">
        <v>98</v>
      </c>
      <c r="BY3365">
        <v>1200</v>
      </c>
      <c r="CA3365" t="s">
        <v>989</v>
      </c>
      <c r="CC3365" t="s">
        <v>146</v>
      </c>
      <c r="CD3365">
        <v>7646</v>
      </c>
      <c r="CE3365" t="s">
        <v>121</v>
      </c>
      <c r="CF3365" s="3">
        <v>45863</v>
      </c>
      <c r="CI3365">
        <v>1</v>
      </c>
      <c r="CJ3365">
        <v>1</v>
      </c>
      <c r="CK3365">
        <v>23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"080066749845"</f>
        <v>080066749845</v>
      </c>
      <c r="F3366" s="3">
        <v>45861</v>
      </c>
      <c r="G3366">
        <v>202604</v>
      </c>
      <c r="H3366" t="s">
        <v>75</v>
      </c>
      <c r="I3366" t="s">
        <v>76</v>
      </c>
      <c r="J3366" t="s">
        <v>77</v>
      </c>
      <c r="K3366" t="s">
        <v>78</v>
      </c>
      <c r="L3366" t="s">
        <v>135</v>
      </c>
      <c r="M3366" t="s">
        <v>136</v>
      </c>
      <c r="N3366" t="s">
        <v>416</v>
      </c>
      <c r="O3366" t="s">
        <v>82</v>
      </c>
      <c r="P3366" t="str">
        <f>"4170050415                    "</f>
        <v xml:space="preserve">4170050415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22.6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71.2</v>
      </c>
      <c r="BM3366">
        <v>10.68</v>
      </c>
      <c r="BN3366">
        <v>81.88</v>
      </c>
      <c r="BO3366">
        <v>81.88</v>
      </c>
      <c r="BQ3366" t="s">
        <v>417</v>
      </c>
      <c r="BR3366" t="s">
        <v>84</v>
      </c>
      <c r="BS3366" s="3">
        <v>45862</v>
      </c>
      <c r="BT3366" s="4">
        <v>0.41666666666666669</v>
      </c>
      <c r="BU3366" t="s">
        <v>650</v>
      </c>
      <c r="BV3366" t="s">
        <v>98</v>
      </c>
      <c r="BY3366">
        <v>1200</v>
      </c>
      <c r="CC3366" t="s">
        <v>136</v>
      </c>
      <c r="CD3366">
        <v>3201</v>
      </c>
      <c r="CE3366" t="s">
        <v>121</v>
      </c>
      <c r="CF3366" s="3">
        <v>45863</v>
      </c>
      <c r="CI3366">
        <v>1</v>
      </c>
      <c r="CJ3366">
        <v>1</v>
      </c>
      <c r="CK3366">
        <v>21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"080066749915"</f>
        <v>080066749915</v>
      </c>
      <c r="F3367" s="3">
        <v>45861</v>
      </c>
      <c r="G3367">
        <v>202604</v>
      </c>
      <c r="H3367" t="s">
        <v>75</v>
      </c>
      <c r="I3367" t="s">
        <v>76</v>
      </c>
      <c r="J3367" t="s">
        <v>77</v>
      </c>
      <c r="K3367" t="s">
        <v>78</v>
      </c>
      <c r="L3367" t="s">
        <v>135</v>
      </c>
      <c r="M3367" t="s">
        <v>136</v>
      </c>
      <c r="N3367" t="s">
        <v>2213</v>
      </c>
      <c r="O3367" t="s">
        <v>82</v>
      </c>
      <c r="P3367" t="str">
        <f>"4170050580                    "</f>
        <v xml:space="preserve">4170050580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22.6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71.2</v>
      </c>
      <c r="BM3367">
        <v>10.68</v>
      </c>
      <c r="BN3367">
        <v>81.88</v>
      </c>
      <c r="BO3367">
        <v>81.88</v>
      </c>
      <c r="BQ3367" t="s">
        <v>2214</v>
      </c>
      <c r="BR3367" t="s">
        <v>84</v>
      </c>
      <c r="BS3367" s="3">
        <v>45862</v>
      </c>
      <c r="BT3367" s="4">
        <v>0.41666666666666669</v>
      </c>
      <c r="BU3367" t="s">
        <v>2416</v>
      </c>
      <c r="BV3367" t="s">
        <v>98</v>
      </c>
      <c r="BY3367">
        <v>1200</v>
      </c>
      <c r="CA3367" t="s">
        <v>349</v>
      </c>
      <c r="CC3367" t="s">
        <v>136</v>
      </c>
      <c r="CD3367">
        <v>3200</v>
      </c>
      <c r="CE3367" t="s">
        <v>121</v>
      </c>
      <c r="CF3367" s="3">
        <v>45863</v>
      </c>
      <c r="CI3367">
        <v>1</v>
      </c>
      <c r="CJ3367">
        <v>1</v>
      </c>
      <c r="CK3367">
        <v>21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"080066749947"</f>
        <v>080066749947</v>
      </c>
      <c r="F3368" s="3">
        <v>45861</v>
      </c>
      <c r="G3368">
        <v>202604</v>
      </c>
      <c r="H3368" t="s">
        <v>75</v>
      </c>
      <c r="I3368" t="s">
        <v>76</v>
      </c>
      <c r="J3368" t="s">
        <v>77</v>
      </c>
      <c r="K3368" t="s">
        <v>78</v>
      </c>
      <c r="L3368" t="s">
        <v>79</v>
      </c>
      <c r="M3368" t="s">
        <v>80</v>
      </c>
      <c r="N3368" t="s">
        <v>931</v>
      </c>
      <c r="O3368" t="s">
        <v>82</v>
      </c>
      <c r="P3368" t="str">
        <f>"4170050477                    "</f>
        <v xml:space="preserve">4170050477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22.6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71.2</v>
      </c>
      <c r="BM3368">
        <v>10.68</v>
      </c>
      <c r="BN3368">
        <v>81.88</v>
      </c>
      <c r="BO3368">
        <v>81.88</v>
      </c>
      <c r="BQ3368" t="s">
        <v>932</v>
      </c>
      <c r="BR3368" t="s">
        <v>84</v>
      </c>
      <c r="BS3368" s="3">
        <v>45862</v>
      </c>
      <c r="BT3368" s="4">
        <v>0.3923611111111111</v>
      </c>
      <c r="BU3368" t="s">
        <v>3309</v>
      </c>
      <c r="BV3368" t="s">
        <v>98</v>
      </c>
      <c r="BY3368">
        <v>1200</v>
      </c>
      <c r="CA3368" t="s">
        <v>934</v>
      </c>
      <c r="CC3368" t="s">
        <v>80</v>
      </c>
      <c r="CD3368">
        <v>7535</v>
      </c>
      <c r="CE3368" t="s">
        <v>121</v>
      </c>
      <c r="CF3368" s="3">
        <v>45863</v>
      </c>
      <c r="CI3368">
        <v>1</v>
      </c>
      <c r="CJ3368">
        <v>1</v>
      </c>
      <c r="CK3368">
        <v>21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"080066749993"</f>
        <v>080066749993</v>
      </c>
      <c r="F3369" s="3">
        <v>45861</v>
      </c>
      <c r="G3369">
        <v>202604</v>
      </c>
      <c r="H3369" t="s">
        <v>75</v>
      </c>
      <c r="I3369" t="s">
        <v>76</v>
      </c>
      <c r="J3369" t="s">
        <v>77</v>
      </c>
      <c r="K3369" t="s">
        <v>78</v>
      </c>
      <c r="L3369" t="s">
        <v>135</v>
      </c>
      <c r="M3369" t="s">
        <v>136</v>
      </c>
      <c r="N3369" t="s">
        <v>416</v>
      </c>
      <c r="O3369" t="s">
        <v>82</v>
      </c>
      <c r="P3369" t="str">
        <f>"4170050420                    "</f>
        <v xml:space="preserve">4170050420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22.6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71.2</v>
      </c>
      <c r="BM3369">
        <v>10.68</v>
      </c>
      <c r="BN3369">
        <v>81.88</v>
      </c>
      <c r="BO3369">
        <v>81.88</v>
      </c>
      <c r="BQ3369" t="s">
        <v>417</v>
      </c>
      <c r="BR3369" t="s">
        <v>84</v>
      </c>
      <c r="BS3369" s="3">
        <v>45862</v>
      </c>
      <c r="BT3369" s="4">
        <v>0.41666666666666669</v>
      </c>
      <c r="BU3369" t="s">
        <v>3310</v>
      </c>
      <c r="BV3369" t="s">
        <v>98</v>
      </c>
      <c r="BY3369">
        <v>1200</v>
      </c>
      <c r="CC3369" t="s">
        <v>136</v>
      </c>
      <c r="CD3369">
        <v>3201</v>
      </c>
      <c r="CE3369" t="s">
        <v>121</v>
      </c>
      <c r="CF3369" s="3">
        <v>45863</v>
      </c>
      <c r="CI3369">
        <v>1</v>
      </c>
      <c r="CJ3369">
        <v>1</v>
      </c>
      <c r="CK3369">
        <v>21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"080066750078"</f>
        <v>080066750078</v>
      </c>
      <c r="F3370" s="3">
        <v>45861</v>
      </c>
      <c r="G3370">
        <v>202604</v>
      </c>
      <c r="H3370" t="s">
        <v>75</v>
      </c>
      <c r="I3370" t="s">
        <v>76</v>
      </c>
      <c r="J3370" t="s">
        <v>77</v>
      </c>
      <c r="K3370" t="s">
        <v>78</v>
      </c>
      <c r="L3370" t="s">
        <v>135</v>
      </c>
      <c r="M3370" t="s">
        <v>136</v>
      </c>
      <c r="N3370" t="s">
        <v>416</v>
      </c>
      <c r="O3370" t="s">
        <v>82</v>
      </c>
      <c r="P3370" t="str">
        <f>"4170050422                    "</f>
        <v xml:space="preserve">4170050422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79.05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7</v>
      </c>
      <c r="BJ3370">
        <v>3.4</v>
      </c>
      <c r="BK3370">
        <v>7</v>
      </c>
      <c r="BL3370">
        <v>249.05</v>
      </c>
      <c r="BM3370">
        <v>37.36</v>
      </c>
      <c r="BN3370">
        <v>286.41000000000003</v>
      </c>
      <c r="BO3370">
        <v>286.41000000000003</v>
      </c>
      <c r="BQ3370" t="s">
        <v>417</v>
      </c>
      <c r="BR3370" t="s">
        <v>84</v>
      </c>
      <c r="BS3370" s="3">
        <v>45862</v>
      </c>
      <c r="BT3370" s="4">
        <v>0.41666666666666669</v>
      </c>
      <c r="BU3370" t="s">
        <v>3262</v>
      </c>
      <c r="BV3370" t="s">
        <v>98</v>
      </c>
      <c r="BY3370">
        <v>16965</v>
      </c>
      <c r="CC3370" t="s">
        <v>136</v>
      </c>
      <c r="CD3370">
        <v>3201</v>
      </c>
      <c r="CE3370" t="s">
        <v>145</v>
      </c>
      <c r="CF3370" s="3">
        <v>45863</v>
      </c>
      <c r="CI3370">
        <v>1</v>
      </c>
      <c r="CJ3370">
        <v>1</v>
      </c>
      <c r="CK3370">
        <v>21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"080066750096"</f>
        <v>080066750096</v>
      </c>
      <c r="F3371" s="3">
        <v>45861</v>
      </c>
      <c r="G3371">
        <v>202604</v>
      </c>
      <c r="H3371" t="s">
        <v>75</v>
      </c>
      <c r="I3371" t="s">
        <v>76</v>
      </c>
      <c r="J3371" t="s">
        <v>77</v>
      </c>
      <c r="K3371" t="s">
        <v>78</v>
      </c>
      <c r="L3371" t="s">
        <v>92</v>
      </c>
      <c r="M3371" t="s">
        <v>93</v>
      </c>
      <c r="N3371" t="s">
        <v>334</v>
      </c>
      <c r="O3371" t="s">
        <v>82</v>
      </c>
      <c r="P3371" t="str">
        <f>"4170050508                    "</f>
        <v xml:space="preserve">4170050508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135.5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12</v>
      </c>
      <c r="BJ3371">
        <v>7.7</v>
      </c>
      <c r="BK3371">
        <v>12</v>
      </c>
      <c r="BL3371">
        <v>426.9</v>
      </c>
      <c r="BM3371">
        <v>64.040000000000006</v>
      </c>
      <c r="BN3371">
        <v>490.94</v>
      </c>
      <c r="BO3371">
        <v>490.94</v>
      </c>
      <c r="BQ3371" t="s">
        <v>335</v>
      </c>
      <c r="BR3371" t="s">
        <v>84</v>
      </c>
      <c r="BS3371" s="3">
        <v>45862</v>
      </c>
      <c r="BT3371" s="4">
        <v>0.41666666666666669</v>
      </c>
      <c r="BU3371" t="s">
        <v>2897</v>
      </c>
      <c r="BV3371" t="s">
        <v>98</v>
      </c>
      <c r="BY3371">
        <v>38280</v>
      </c>
      <c r="CA3371" t="s">
        <v>337</v>
      </c>
      <c r="CC3371" t="s">
        <v>93</v>
      </c>
      <c r="CD3371">
        <v>4052</v>
      </c>
      <c r="CE3371" t="s">
        <v>91</v>
      </c>
      <c r="CF3371" s="3">
        <v>45862</v>
      </c>
      <c r="CI3371">
        <v>1</v>
      </c>
      <c r="CJ3371">
        <v>1</v>
      </c>
      <c r="CK3371">
        <v>21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"080066750124"</f>
        <v>080066750124</v>
      </c>
      <c r="F3372" s="3">
        <v>45861</v>
      </c>
      <c r="G3372">
        <v>202604</v>
      </c>
      <c r="H3372" t="s">
        <v>75</v>
      </c>
      <c r="I3372" t="s">
        <v>76</v>
      </c>
      <c r="J3372" t="s">
        <v>77</v>
      </c>
      <c r="K3372" t="s">
        <v>78</v>
      </c>
      <c r="L3372" t="s">
        <v>758</v>
      </c>
      <c r="M3372" t="s">
        <v>759</v>
      </c>
      <c r="N3372" t="s">
        <v>760</v>
      </c>
      <c r="O3372" t="s">
        <v>95</v>
      </c>
      <c r="P3372" t="str">
        <f>"4170050593                    "</f>
        <v xml:space="preserve">4170050593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61.64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1.1000000000000001</v>
      </c>
      <c r="BK3372">
        <v>2</v>
      </c>
      <c r="BL3372">
        <v>200.06</v>
      </c>
      <c r="BM3372">
        <v>30.01</v>
      </c>
      <c r="BN3372">
        <v>230.07</v>
      </c>
      <c r="BO3372">
        <v>230.07</v>
      </c>
      <c r="BQ3372" t="s">
        <v>761</v>
      </c>
      <c r="BR3372" t="s">
        <v>84</v>
      </c>
      <c r="BS3372" s="3">
        <v>45862</v>
      </c>
      <c r="BT3372" s="4">
        <v>0.625</v>
      </c>
      <c r="BU3372" t="s">
        <v>762</v>
      </c>
      <c r="BV3372" t="s">
        <v>98</v>
      </c>
      <c r="BY3372">
        <v>5700</v>
      </c>
      <c r="CA3372" t="s">
        <v>3015</v>
      </c>
      <c r="CC3372" t="s">
        <v>759</v>
      </c>
      <c r="CD3372">
        <v>2531</v>
      </c>
      <c r="CE3372" t="s">
        <v>167</v>
      </c>
      <c r="CF3372" s="3">
        <v>45863</v>
      </c>
      <c r="CI3372">
        <v>1</v>
      </c>
      <c r="CJ3372">
        <v>1</v>
      </c>
      <c r="CK3372">
        <v>43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"080066750129"</f>
        <v>080066750129</v>
      </c>
      <c r="F3373" s="3">
        <v>45861</v>
      </c>
      <c r="G3373">
        <v>202604</v>
      </c>
      <c r="H3373" t="s">
        <v>75</v>
      </c>
      <c r="I3373" t="s">
        <v>76</v>
      </c>
      <c r="J3373" t="s">
        <v>77</v>
      </c>
      <c r="K3373" t="s">
        <v>78</v>
      </c>
      <c r="L3373" t="s">
        <v>79</v>
      </c>
      <c r="M3373" t="s">
        <v>80</v>
      </c>
      <c r="N3373" t="s">
        <v>376</v>
      </c>
      <c r="O3373" t="s">
        <v>82</v>
      </c>
      <c r="P3373" t="str">
        <f>"4170050326                    "</f>
        <v xml:space="preserve">4170050326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22.6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71.2</v>
      </c>
      <c r="BM3373">
        <v>10.68</v>
      </c>
      <c r="BN3373">
        <v>81.88</v>
      </c>
      <c r="BO3373">
        <v>81.88</v>
      </c>
      <c r="BQ3373" t="s">
        <v>377</v>
      </c>
      <c r="BR3373" t="s">
        <v>84</v>
      </c>
      <c r="BS3373" s="3">
        <v>45862</v>
      </c>
      <c r="BT3373" s="4">
        <v>0.40833333333333333</v>
      </c>
      <c r="BU3373" t="s">
        <v>2916</v>
      </c>
      <c r="BV3373" t="s">
        <v>98</v>
      </c>
      <c r="BY3373">
        <v>1200</v>
      </c>
      <c r="CC3373" t="s">
        <v>80</v>
      </c>
      <c r="CD3373">
        <v>8001</v>
      </c>
      <c r="CE3373" t="s">
        <v>121</v>
      </c>
      <c r="CF3373" s="3">
        <v>45863</v>
      </c>
      <c r="CI3373">
        <v>1</v>
      </c>
      <c r="CJ3373">
        <v>1</v>
      </c>
      <c r="CK3373">
        <v>21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"080066750160"</f>
        <v>080066750160</v>
      </c>
      <c r="F3374" s="3">
        <v>45861</v>
      </c>
      <c r="G3374">
        <v>202604</v>
      </c>
      <c r="H3374" t="s">
        <v>75</v>
      </c>
      <c r="I3374" t="s">
        <v>76</v>
      </c>
      <c r="J3374" t="s">
        <v>77</v>
      </c>
      <c r="K3374" t="s">
        <v>78</v>
      </c>
      <c r="L3374" t="s">
        <v>79</v>
      </c>
      <c r="M3374" t="s">
        <v>80</v>
      </c>
      <c r="N3374" t="s">
        <v>755</v>
      </c>
      <c r="O3374" t="s">
        <v>82</v>
      </c>
      <c r="P3374" t="str">
        <f>"4170050310                    "</f>
        <v xml:space="preserve">4170050310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22.6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0.6</v>
      </c>
      <c r="BK3374">
        <v>1</v>
      </c>
      <c r="BL3374">
        <v>71.2</v>
      </c>
      <c r="BM3374">
        <v>10.68</v>
      </c>
      <c r="BN3374">
        <v>81.88</v>
      </c>
      <c r="BO3374">
        <v>81.88</v>
      </c>
      <c r="BQ3374" t="s">
        <v>756</v>
      </c>
      <c r="BR3374" t="s">
        <v>84</v>
      </c>
      <c r="BS3374" s="3">
        <v>45862</v>
      </c>
      <c r="BT3374" s="4">
        <v>0.37013888888888891</v>
      </c>
      <c r="BU3374" t="s">
        <v>1461</v>
      </c>
      <c r="BV3374" t="s">
        <v>98</v>
      </c>
      <c r="BY3374">
        <v>3192</v>
      </c>
      <c r="CA3374" t="s">
        <v>665</v>
      </c>
      <c r="CC3374" t="s">
        <v>80</v>
      </c>
      <c r="CD3374">
        <v>7945</v>
      </c>
      <c r="CE3374" t="s">
        <v>259</v>
      </c>
      <c r="CF3374" s="3">
        <v>45863</v>
      </c>
      <c r="CI3374">
        <v>1</v>
      </c>
      <c r="CJ3374">
        <v>1</v>
      </c>
      <c r="CK3374">
        <v>21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"080066750167"</f>
        <v>080066750167</v>
      </c>
      <c r="F3375" s="3">
        <v>45861</v>
      </c>
      <c r="G3375">
        <v>202604</v>
      </c>
      <c r="H3375" t="s">
        <v>75</v>
      </c>
      <c r="I3375" t="s">
        <v>76</v>
      </c>
      <c r="J3375" t="s">
        <v>77</v>
      </c>
      <c r="K3375" t="s">
        <v>78</v>
      </c>
      <c r="L3375" t="s">
        <v>452</v>
      </c>
      <c r="M3375" t="s">
        <v>453</v>
      </c>
      <c r="N3375" t="s">
        <v>968</v>
      </c>
      <c r="O3375" t="s">
        <v>82</v>
      </c>
      <c r="P3375" t="str">
        <f>"4170050592                    "</f>
        <v xml:space="preserve">4170050592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17.649999999999999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55.61</v>
      </c>
      <c r="BM3375">
        <v>8.34</v>
      </c>
      <c r="BN3375">
        <v>63.95</v>
      </c>
      <c r="BO3375">
        <v>63.95</v>
      </c>
      <c r="BQ3375" t="s">
        <v>969</v>
      </c>
      <c r="BR3375" t="s">
        <v>84</v>
      </c>
      <c r="BS3375" s="3">
        <v>45862</v>
      </c>
      <c r="BT3375" s="4">
        <v>0.53472222222222221</v>
      </c>
      <c r="BU3375" t="s">
        <v>1632</v>
      </c>
      <c r="BV3375" t="s">
        <v>98</v>
      </c>
      <c r="BY3375">
        <v>1200</v>
      </c>
      <c r="CA3375" t="s">
        <v>1541</v>
      </c>
      <c r="CC3375" t="s">
        <v>453</v>
      </c>
      <c r="CD3375">
        <v>1559</v>
      </c>
      <c r="CE3375" t="s">
        <v>121</v>
      </c>
      <c r="CF3375" s="3">
        <v>45862</v>
      </c>
      <c r="CI3375">
        <v>1</v>
      </c>
      <c r="CJ3375">
        <v>1</v>
      </c>
      <c r="CK3375">
        <v>22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"080066750188"</f>
        <v>080066750188</v>
      </c>
      <c r="F3376" s="3">
        <v>45861</v>
      </c>
      <c r="G3376">
        <v>202604</v>
      </c>
      <c r="H3376" t="s">
        <v>75</v>
      </c>
      <c r="I3376" t="s">
        <v>76</v>
      </c>
      <c r="J3376" t="s">
        <v>77</v>
      </c>
      <c r="K3376" t="s">
        <v>78</v>
      </c>
      <c r="L3376" t="s">
        <v>2045</v>
      </c>
      <c r="M3376" t="s">
        <v>2046</v>
      </c>
      <c r="N3376" t="s">
        <v>2487</v>
      </c>
      <c r="O3376" t="s">
        <v>82</v>
      </c>
      <c r="P3376" t="str">
        <f>"4170050475                    "</f>
        <v xml:space="preserve">4170050475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22.6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0.6</v>
      </c>
      <c r="BK3376">
        <v>1</v>
      </c>
      <c r="BL3376">
        <v>71.2</v>
      </c>
      <c r="BM3376">
        <v>10.68</v>
      </c>
      <c r="BN3376">
        <v>81.88</v>
      </c>
      <c r="BO3376">
        <v>81.88</v>
      </c>
      <c r="BQ3376" t="s">
        <v>2488</v>
      </c>
      <c r="BR3376" t="s">
        <v>84</v>
      </c>
      <c r="BS3376" s="3">
        <v>45862</v>
      </c>
      <c r="BT3376" s="4">
        <v>0.4236111111111111</v>
      </c>
      <c r="BU3376" t="s">
        <v>3311</v>
      </c>
      <c r="BV3376" t="s">
        <v>98</v>
      </c>
      <c r="BY3376">
        <v>3192</v>
      </c>
      <c r="CA3376" t="s">
        <v>2048</v>
      </c>
      <c r="CC3376" t="s">
        <v>2046</v>
      </c>
      <c r="CD3376">
        <v>4126</v>
      </c>
      <c r="CE3376" t="s">
        <v>145</v>
      </c>
      <c r="CF3376" s="3">
        <v>45863</v>
      </c>
      <c r="CI3376">
        <v>1</v>
      </c>
      <c r="CJ3376">
        <v>1</v>
      </c>
      <c r="CK3376">
        <v>21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"080066750197"</f>
        <v>080066750197</v>
      </c>
      <c r="F3377" s="3">
        <v>45861</v>
      </c>
      <c r="G3377">
        <v>202604</v>
      </c>
      <c r="H3377" t="s">
        <v>75</v>
      </c>
      <c r="I3377" t="s">
        <v>76</v>
      </c>
      <c r="J3377" t="s">
        <v>77</v>
      </c>
      <c r="K3377" t="s">
        <v>78</v>
      </c>
      <c r="L3377" t="s">
        <v>168</v>
      </c>
      <c r="M3377" t="s">
        <v>169</v>
      </c>
      <c r="N3377" t="s">
        <v>206</v>
      </c>
      <c r="O3377" t="s">
        <v>82</v>
      </c>
      <c r="P3377" t="str">
        <f>"4170050499                    "</f>
        <v xml:space="preserve">4170050499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22.6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71.2</v>
      </c>
      <c r="BM3377">
        <v>10.68</v>
      </c>
      <c r="BN3377">
        <v>81.88</v>
      </c>
      <c r="BO3377">
        <v>81.88</v>
      </c>
      <c r="BQ3377" t="s">
        <v>207</v>
      </c>
      <c r="BR3377" t="s">
        <v>84</v>
      </c>
      <c r="BS3377" s="3">
        <v>45862</v>
      </c>
      <c r="BT3377" s="4">
        <v>0.41875000000000001</v>
      </c>
      <c r="BU3377" t="s">
        <v>2861</v>
      </c>
      <c r="BV3377" t="s">
        <v>98</v>
      </c>
      <c r="BY3377">
        <v>1200</v>
      </c>
      <c r="CA3377" t="s">
        <v>196</v>
      </c>
      <c r="CC3377" t="s">
        <v>169</v>
      </c>
      <c r="CD3377">
        <v>6001</v>
      </c>
      <c r="CE3377" t="s">
        <v>121</v>
      </c>
      <c r="CF3377" s="3">
        <v>45862</v>
      </c>
      <c r="CI3377">
        <v>1</v>
      </c>
      <c r="CJ3377">
        <v>1</v>
      </c>
      <c r="CK3377">
        <v>21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"080066750206"</f>
        <v>080066750206</v>
      </c>
      <c r="F3378" s="3">
        <v>45861</v>
      </c>
      <c r="G3378">
        <v>202604</v>
      </c>
      <c r="H3378" t="s">
        <v>75</v>
      </c>
      <c r="I3378" t="s">
        <v>76</v>
      </c>
      <c r="J3378" t="s">
        <v>77</v>
      </c>
      <c r="K3378" t="s">
        <v>78</v>
      </c>
      <c r="L3378" t="s">
        <v>92</v>
      </c>
      <c r="M3378" t="s">
        <v>93</v>
      </c>
      <c r="N3378" t="s">
        <v>334</v>
      </c>
      <c r="O3378" t="s">
        <v>82</v>
      </c>
      <c r="P3378" t="str">
        <f>"4170050445                    "</f>
        <v xml:space="preserve">4170050445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22.6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1.1000000000000001</v>
      </c>
      <c r="BK3378">
        <v>1.5</v>
      </c>
      <c r="BL3378">
        <v>71.2</v>
      </c>
      <c r="BM3378">
        <v>10.68</v>
      </c>
      <c r="BN3378">
        <v>81.88</v>
      </c>
      <c r="BO3378">
        <v>81.88</v>
      </c>
      <c r="BQ3378" t="s">
        <v>335</v>
      </c>
      <c r="BR3378" t="s">
        <v>84</v>
      </c>
      <c r="BS3378" s="3">
        <v>45862</v>
      </c>
      <c r="BT3378" s="4">
        <v>0.41666666666666669</v>
      </c>
      <c r="BU3378" t="s">
        <v>2897</v>
      </c>
      <c r="BV3378" t="s">
        <v>98</v>
      </c>
      <c r="BY3378">
        <v>5320</v>
      </c>
      <c r="CA3378" t="s">
        <v>337</v>
      </c>
      <c r="CC3378" t="s">
        <v>93</v>
      </c>
      <c r="CD3378">
        <v>4052</v>
      </c>
      <c r="CE3378" t="s">
        <v>145</v>
      </c>
      <c r="CF3378" s="3">
        <v>45862</v>
      </c>
      <c r="CI3378">
        <v>1</v>
      </c>
      <c r="CJ3378">
        <v>1</v>
      </c>
      <c r="CK3378">
        <v>21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"080066750227"</f>
        <v>080066750227</v>
      </c>
      <c r="F3379" s="3">
        <v>45861</v>
      </c>
      <c r="G3379">
        <v>202604</v>
      </c>
      <c r="H3379" t="s">
        <v>75</v>
      </c>
      <c r="I3379" t="s">
        <v>76</v>
      </c>
      <c r="J3379" t="s">
        <v>77</v>
      </c>
      <c r="K3379" t="s">
        <v>78</v>
      </c>
      <c r="L3379" t="s">
        <v>168</v>
      </c>
      <c r="M3379" t="s">
        <v>169</v>
      </c>
      <c r="N3379" t="s">
        <v>360</v>
      </c>
      <c r="O3379" t="s">
        <v>82</v>
      </c>
      <c r="P3379" t="str">
        <f>"4170050443                    "</f>
        <v xml:space="preserve">4170050443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22.6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71.2</v>
      </c>
      <c r="BM3379">
        <v>10.68</v>
      </c>
      <c r="BN3379">
        <v>81.88</v>
      </c>
      <c r="BO3379">
        <v>81.88</v>
      </c>
      <c r="BQ3379" t="s">
        <v>361</v>
      </c>
      <c r="BR3379" t="s">
        <v>84</v>
      </c>
      <c r="BS3379" s="3">
        <v>45862</v>
      </c>
      <c r="BT3379" s="4">
        <v>0.36805555555555558</v>
      </c>
      <c r="BU3379" t="s">
        <v>3291</v>
      </c>
      <c r="BV3379" t="s">
        <v>98</v>
      </c>
      <c r="BY3379">
        <v>1200</v>
      </c>
      <c r="CA3379" t="s">
        <v>423</v>
      </c>
      <c r="CC3379" t="s">
        <v>169</v>
      </c>
      <c r="CD3379">
        <v>6001</v>
      </c>
      <c r="CE3379" t="s">
        <v>121</v>
      </c>
      <c r="CF3379" s="3">
        <v>45862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"080066750237"</f>
        <v>080066750237</v>
      </c>
      <c r="F3380" s="3">
        <v>45861</v>
      </c>
      <c r="G3380">
        <v>202604</v>
      </c>
      <c r="H3380" t="s">
        <v>75</v>
      </c>
      <c r="I3380" t="s">
        <v>76</v>
      </c>
      <c r="J3380" t="s">
        <v>77</v>
      </c>
      <c r="K3380" t="s">
        <v>78</v>
      </c>
      <c r="L3380" t="s">
        <v>79</v>
      </c>
      <c r="M3380" t="s">
        <v>80</v>
      </c>
      <c r="N3380" t="s">
        <v>286</v>
      </c>
      <c r="O3380" t="s">
        <v>82</v>
      </c>
      <c r="P3380" t="str">
        <f>"4170050490                    "</f>
        <v xml:space="preserve">4170050490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22.6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1.1000000000000001</v>
      </c>
      <c r="BK3380">
        <v>1.5</v>
      </c>
      <c r="BL3380">
        <v>71.2</v>
      </c>
      <c r="BM3380">
        <v>10.68</v>
      </c>
      <c r="BN3380">
        <v>81.88</v>
      </c>
      <c r="BO3380">
        <v>81.88</v>
      </c>
      <c r="BQ3380" t="s">
        <v>287</v>
      </c>
      <c r="BR3380" t="s">
        <v>84</v>
      </c>
      <c r="BS3380" s="3">
        <v>45862</v>
      </c>
      <c r="BT3380" s="4">
        <v>0.3263888888888889</v>
      </c>
      <c r="BU3380" t="s">
        <v>288</v>
      </c>
      <c r="BV3380" t="s">
        <v>98</v>
      </c>
      <c r="BY3380">
        <v>5320</v>
      </c>
      <c r="CA3380" t="s">
        <v>289</v>
      </c>
      <c r="CC3380" t="s">
        <v>80</v>
      </c>
      <c r="CD3380">
        <v>7530</v>
      </c>
      <c r="CE3380" t="s">
        <v>145</v>
      </c>
      <c r="CF3380" s="3">
        <v>45863</v>
      </c>
      <c r="CI3380">
        <v>1</v>
      </c>
      <c r="CJ3380">
        <v>1</v>
      </c>
      <c r="CK3380">
        <v>21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"080066750275"</f>
        <v>080066750275</v>
      </c>
      <c r="F3381" s="3">
        <v>45861</v>
      </c>
      <c r="G3381">
        <v>202604</v>
      </c>
      <c r="H3381" t="s">
        <v>75</v>
      </c>
      <c r="I3381" t="s">
        <v>76</v>
      </c>
      <c r="J3381" t="s">
        <v>77</v>
      </c>
      <c r="K3381" t="s">
        <v>78</v>
      </c>
      <c r="L3381" t="s">
        <v>135</v>
      </c>
      <c r="M3381" t="s">
        <v>136</v>
      </c>
      <c r="N3381" t="s">
        <v>2213</v>
      </c>
      <c r="O3381" t="s">
        <v>82</v>
      </c>
      <c r="P3381" t="str">
        <f>"4170050552                    "</f>
        <v xml:space="preserve">4170050552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146.79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13</v>
      </c>
      <c r="BJ3381">
        <v>6</v>
      </c>
      <c r="BK3381">
        <v>13</v>
      </c>
      <c r="BL3381">
        <v>462.47</v>
      </c>
      <c r="BM3381">
        <v>69.37</v>
      </c>
      <c r="BN3381">
        <v>531.84</v>
      </c>
      <c r="BO3381">
        <v>531.84</v>
      </c>
      <c r="BQ3381" t="s">
        <v>2214</v>
      </c>
      <c r="BR3381" t="s">
        <v>84</v>
      </c>
      <c r="BS3381" s="3">
        <v>45862</v>
      </c>
      <c r="BT3381" s="4">
        <v>0.41666666666666669</v>
      </c>
      <c r="BU3381" t="s">
        <v>2416</v>
      </c>
      <c r="BV3381" t="s">
        <v>98</v>
      </c>
      <c r="BY3381">
        <v>30240</v>
      </c>
      <c r="CA3381" t="s">
        <v>349</v>
      </c>
      <c r="CC3381" t="s">
        <v>136</v>
      </c>
      <c r="CD3381">
        <v>3200</v>
      </c>
      <c r="CE3381" t="s">
        <v>91</v>
      </c>
      <c r="CF3381" s="3">
        <v>45863</v>
      </c>
      <c r="CI3381">
        <v>1</v>
      </c>
      <c r="CJ3381">
        <v>1</v>
      </c>
      <c r="CK3381">
        <v>21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"080066750325"</f>
        <v>080066750325</v>
      </c>
      <c r="F3382" s="3">
        <v>45861</v>
      </c>
      <c r="G3382">
        <v>202604</v>
      </c>
      <c r="H3382" t="s">
        <v>75</v>
      </c>
      <c r="I3382" t="s">
        <v>76</v>
      </c>
      <c r="J3382" t="s">
        <v>77</v>
      </c>
      <c r="K3382" t="s">
        <v>78</v>
      </c>
      <c r="L3382" t="s">
        <v>305</v>
      </c>
      <c r="M3382" t="s">
        <v>306</v>
      </c>
      <c r="N3382" t="s">
        <v>1820</v>
      </c>
      <c r="O3382" t="s">
        <v>82</v>
      </c>
      <c r="P3382" t="str">
        <f>"4170050479                    "</f>
        <v xml:space="preserve">4170050479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22.6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71.2</v>
      </c>
      <c r="BM3382">
        <v>10.68</v>
      </c>
      <c r="BN3382">
        <v>81.88</v>
      </c>
      <c r="BO3382">
        <v>81.88</v>
      </c>
      <c r="BQ3382" t="s">
        <v>1821</v>
      </c>
      <c r="BR3382" t="s">
        <v>84</v>
      </c>
      <c r="BS3382" s="3">
        <v>45862</v>
      </c>
      <c r="BT3382" s="4">
        <v>0.45555555555555555</v>
      </c>
      <c r="BU3382" t="s">
        <v>3253</v>
      </c>
      <c r="BV3382" t="s">
        <v>86</v>
      </c>
      <c r="BY3382">
        <v>1200</v>
      </c>
      <c r="CA3382" t="s">
        <v>1877</v>
      </c>
      <c r="CC3382" t="s">
        <v>306</v>
      </c>
      <c r="CD3382">
        <v>5200</v>
      </c>
      <c r="CE3382" t="s">
        <v>121</v>
      </c>
      <c r="CF3382" s="3">
        <v>45862</v>
      </c>
      <c r="CI3382">
        <v>1</v>
      </c>
      <c r="CJ3382">
        <v>1</v>
      </c>
      <c r="CK3382">
        <v>21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"080066750348"</f>
        <v>080066750348</v>
      </c>
      <c r="F3383" s="3">
        <v>45861</v>
      </c>
      <c r="G3383">
        <v>202604</v>
      </c>
      <c r="H3383" t="s">
        <v>75</v>
      </c>
      <c r="I3383" t="s">
        <v>76</v>
      </c>
      <c r="J3383" t="s">
        <v>77</v>
      </c>
      <c r="K3383" t="s">
        <v>78</v>
      </c>
      <c r="L3383" t="s">
        <v>79</v>
      </c>
      <c r="M3383" t="s">
        <v>80</v>
      </c>
      <c r="N3383" t="s">
        <v>1566</v>
      </c>
      <c r="O3383" t="s">
        <v>82</v>
      </c>
      <c r="P3383" t="str">
        <f>"4170050476                    "</f>
        <v xml:space="preserve">4170050476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22.6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71.2</v>
      </c>
      <c r="BM3383">
        <v>10.68</v>
      </c>
      <c r="BN3383">
        <v>81.88</v>
      </c>
      <c r="BO3383">
        <v>81.88</v>
      </c>
      <c r="BQ3383" t="s">
        <v>1567</v>
      </c>
      <c r="BR3383" t="s">
        <v>84</v>
      </c>
      <c r="BS3383" s="3">
        <v>45862</v>
      </c>
      <c r="BT3383" s="4">
        <v>0.43055555555555558</v>
      </c>
      <c r="BU3383" t="s">
        <v>3312</v>
      </c>
      <c r="BV3383" t="s">
        <v>98</v>
      </c>
      <c r="BY3383">
        <v>1200</v>
      </c>
      <c r="CA3383" t="s">
        <v>495</v>
      </c>
      <c r="CC3383" t="s">
        <v>80</v>
      </c>
      <c r="CD3383">
        <v>7800</v>
      </c>
      <c r="CE3383" t="s">
        <v>121</v>
      </c>
      <c r="CF3383" s="3">
        <v>45863</v>
      </c>
      <c r="CI3383">
        <v>1</v>
      </c>
      <c r="CJ3383">
        <v>1</v>
      </c>
      <c r="CK3383">
        <v>21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"080066750395"</f>
        <v>080066750395</v>
      </c>
      <c r="F3384" s="3">
        <v>45861</v>
      </c>
      <c r="G3384">
        <v>202604</v>
      </c>
      <c r="H3384" t="s">
        <v>75</v>
      </c>
      <c r="I3384" t="s">
        <v>76</v>
      </c>
      <c r="J3384" t="s">
        <v>77</v>
      </c>
      <c r="K3384" t="s">
        <v>78</v>
      </c>
      <c r="L3384" t="s">
        <v>350</v>
      </c>
      <c r="M3384" t="s">
        <v>351</v>
      </c>
      <c r="N3384" t="s">
        <v>352</v>
      </c>
      <c r="O3384" t="s">
        <v>82</v>
      </c>
      <c r="P3384" t="str">
        <f>"4170050497                    "</f>
        <v xml:space="preserve">4170050497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22.6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71.2</v>
      </c>
      <c r="BM3384">
        <v>10.68</v>
      </c>
      <c r="BN3384">
        <v>81.88</v>
      </c>
      <c r="BO3384">
        <v>81.88</v>
      </c>
      <c r="BQ3384" t="s">
        <v>353</v>
      </c>
      <c r="BR3384" t="s">
        <v>84</v>
      </c>
      <c r="BS3384" s="3">
        <v>45862</v>
      </c>
      <c r="BT3384" s="4">
        <v>0.41875000000000001</v>
      </c>
      <c r="BU3384" t="s">
        <v>354</v>
      </c>
      <c r="BV3384" t="s">
        <v>98</v>
      </c>
      <c r="BY3384">
        <v>1200</v>
      </c>
      <c r="CA3384" t="s">
        <v>337</v>
      </c>
      <c r="CC3384" t="s">
        <v>351</v>
      </c>
      <c r="CD3384">
        <v>4133</v>
      </c>
      <c r="CE3384" t="s">
        <v>121</v>
      </c>
      <c r="CF3384" s="3">
        <v>45862</v>
      </c>
      <c r="CI3384">
        <v>1</v>
      </c>
      <c r="CJ3384">
        <v>1</v>
      </c>
      <c r="CK3384">
        <v>21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"080066750428"</f>
        <v>080066750428</v>
      </c>
      <c r="F3385" s="3">
        <v>45861</v>
      </c>
      <c r="G3385">
        <v>202604</v>
      </c>
      <c r="H3385" t="s">
        <v>75</v>
      </c>
      <c r="I3385" t="s">
        <v>76</v>
      </c>
      <c r="J3385" t="s">
        <v>77</v>
      </c>
      <c r="K3385" t="s">
        <v>78</v>
      </c>
      <c r="L3385" t="s">
        <v>168</v>
      </c>
      <c r="M3385" t="s">
        <v>169</v>
      </c>
      <c r="N3385" t="s">
        <v>2157</v>
      </c>
      <c r="O3385" t="s">
        <v>82</v>
      </c>
      <c r="P3385" t="str">
        <f>"4170049563                    "</f>
        <v xml:space="preserve">4170049563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22.6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71.2</v>
      </c>
      <c r="BM3385">
        <v>10.68</v>
      </c>
      <c r="BN3385">
        <v>81.88</v>
      </c>
      <c r="BO3385">
        <v>81.88</v>
      </c>
      <c r="BQ3385" t="s">
        <v>2158</v>
      </c>
      <c r="BR3385" t="s">
        <v>84</v>
      </c>
      <c r="BS3385" s="3">
        <v>45862</v>
      </c>
      <c r="BT3385" s="4">
        <v>0.37986111111111109</v>
      </c>
      <c r="BU3385" t="s">
        <v>470</v>
      </c>
      <c r="BV3385" t="s">
        <v>98</v>
      </c>
      <c r="BY3385">
        <v>1200</v>
      </c>
      <c r="CA3385" t="s">
        <v>415</v>
      </c>
      <c r="CC3385" t="s">
        <v>169</v>
      </c>
      <c r="CD3385">
        <v>6001</v>
      </c>
      <c r="CE3385" t="s">
        <v>121</v>
      </c>
      <c r="CF3385" s="3">
        <v>45862</v>
      </c>
      <c r="CI3385">
        <v>1</v>
      </c>
      <c r="CJ3385">
        <v>1</v>
      </c>
      <c r="CK3385">
        <v>21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"080066750463"</f>
        <v>080066750463</v>
      </c>
      <c r="F3386" s="3">
        <v>45861</v>
      </c>
      <c r="G3386">
        <v>202604</v>
      </c>
      <c r="H3386" t="s">
        <v>75</v>
      </c>
      <c r="I3386" t="s">
        <v>76</v>
      </c>
      <c r="J3386" t="s">
        <v>77</v>
      </c>
      <c r="K3386" t="s">
        <v>78</v>
      </c>
      <c r="L3386" t="s">
        <v>79</v>
      </c>
      <c r="M3386" t="s">
        <v>80</v>
      </c>
      <c r="N3386" t="s">
        <v>141</v>
      </c>
      <c r="O3386" t="s">
        <v>82</v>
      </c>
      <c r="P3386" t="str">
        <f>"4170050375                    "</f>
        <v xml:space="preserve">4170050375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22.6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71.2</v>
      </c>
      <c r="BM3386">
        <v>10.68</v>
      </c>
      <c r="BN3386">
        <v>81.88</v>
      </c>
      <c r="BO3386">
        <v>81.88</v>
      </c>
      <c r="BQ3386" t="s">
        <v>142</v>
      </c>
      <c r="BR3386" t="s">
        <v>84</v>
      </c>
      <c r="BS3386" s="3">
        <v>45862</v>
      </c>
      <c r="BT3386" s="4">
        <v>0.42152777777777778</v>
      </c>
      <c r="BU3386" t="s">
        <v>2437</v>
      </c>
      <c r="BV3386" t="s">
        <v>98</v>
      </c>
      <c r="BY3386">
        <v>1200</v>
      </c>
      <c r="CA3386" t="s">
        <v>144</v>
      </c>
      <c r="CC3386" t="s">
        <v>80</v>
      </c>
      <c r="CD3386">
        <v>7441</v>
      </c>
      <c r="CE3386" t="s">
        <v>121</v>
      </c>
      <c r="CF3386" s="3">
        <v>45863</v>
      </c>
      <c r="CI3386">
        <v>1</v>
      </c>
      <c r="CJ3386">
        <v>1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"080066750599"</f>
        <v>080066750599</v>
      </c>
      <c r="F3387" s="3">
        <v>45861</v>
      </c>
      <c r="G3387">
        <v>202604</v>
      </c>
      <c r="H3387" t="s">
        <v>75</v>
      </c>
      <c r="I3387" t="s">
        <v>76</v>
      </c>
      <c r="J3387" t="s">
        <v>77</v>
      </c>
      <c r="K3387" t="s">
        <v>78</v>
      </c>
      <c r="L3387" t="s">
        <v>350</v>
      </c>
      <c r="M3387" t="s">
        <v>351</v>
      </c>
      <c r="N3387" t="s">
        <v>1271</v>
      </c>
      <c r="O3387" t="s">
        <v>82</v>
      </c>
      <c r="P3387" t="str">
        <f>"4170050408                    "</f>
        <v xml:space="preserve">4170050408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22.6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16.739999999999998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87.94</v>
      </c>
      <c r="BM3387">
        <v>13.19</v>
      </c>
      <c r="BN3387">
        <v>101.13</v>
      </c>
      <c r="BO3387">
        <v>101.13</v>
      </c>
      <c r="BQ3387" t="s">
        <v>1272</v>
      </c>
      <c r="BR3387" t="s">
        <v>84</v>
      </c>
      <c r="BS3387" s="3">
        <v>45862</v>
      </c>
      <c r="BT3387" s="4">
        <v>0.42152777777777778</v>
      </c>
      <c r="BU3387" t="s">
        <v>3313</v>
      </c>
      <c r="BV3387" t="s">
        <v>98</v>
      </c>
      <c r="BY3387">
        <v>1200</v>
      </c>
      <c r="BZ3387" t="s">
        <v>30</v>
      </c>
      <c r="CA3387" t="s">
        <v>337</v>
      </c>
      <c r="CC3387" t="s">
        <v>351</v>
      </c>
      <c r="CD3387">
        <v>4133</v>
      </c>
      <c r="CE3387" t="s">
        <v>121</v>
      </c>
      <c r="CF3387" s="3">
        <v>45862</v>
      </c>
      <c r="CI3387">
        <v>1</v>
      </c>
      <c r="CJ3387">
        <v>1</v>
      </c>
      <c r="CK3387">
        <v>21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"080066750624"</f>
        <v>080066750624</v>
      </c>
      <c r="F3388" s="3">
        <v>45861</v>
      </c>
      <c r="G3388">
        <v>202604</v>
      </c>
      <c r="H3388" t="s">
        <v>75</v>
      </c>
      <c r="I3388" t="s">
        <v>76</v>
      </c>
      <c r="J3388" t="s">
        <v>77</v>
      </c>
      <c r="K3388" t="s">
        <v>78</v>
      </c>
      <c r="L3388" t="s">
        <v>168</v>
      </c>
      <c r="M3388" t="s">
        <v>169</v>
      </c>
      <c r="N3388" t="s">
        <v>2157</v>
      </c>
      <c r="O3388" t="s">
        <v>82</v>
      </c>
      <c r="P3388" t="str">
        <f>"4170049596                    "</f>
        <v xml:space="preserve">4170049596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22.6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71.2</v>
      </c>
      <c r="BM3388">
        <v>10.68</v>
      </c>
      <c r="BN3388">
        <v>81.88</v>
      </c>
      <c r="BO3388">
        <v>81.88</v>
      </c>
      <c r="BQ3388" t="s">
        <v>2158</v>
      </c>
      <c r="BR3388" t="s">
        <v>84</v>
      </c>
      <c r="BS3388" s="3">
        <v>45862</v>
      </c>
      <c r="BT3388" s="4">
        <v>0.37847222222222221</v>
      </c>
      <c r="BU3388" t="s">
        <v>414</v>
      </c>
      <c r="BV3388" t="s">
        <v>98</v>
      </c>
      <c r="BY3388">
        <v>1200</v>
      </c>
      <c r="CA3388" t="s">
        <v>415</v>
      </c>
      <c r="CC3388" t="s">
        <v>169</v>
      </c>
      <c r="CD3388">
        <v>6001</v>
      </c>
      <c r="CE3388" t="s">
        <v>121</v>
      </c>
      <c r="CF3388" s="3">
        <v>45862</v>
      </c>
      <c r="CI3388">
        <v>1</v>
      </c>
      <c r="CJ3388">
        <v>1</v>
      </c>
      <c r="CK3388">
        <v>21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"080066750692"</f>
        <v>080066750692</v>
      </c>
      <c r="F3389" s="3">
        <v>45861</v>
      </c>
      <c r="G3389">
        <v>202604</v>
      </c>
      <c r="H3389" t="s">
        <v>75</v>
      </c>
      <c r="I3389" t="s">
        <v>76</v>
      </c>
      <c r="J3389" t="s">
        <v>77</v>
      </c>
      <c r="K3389" t="s">
        <v>78</v>
      </c>
      <c r="L3389" t="s">
        <v>295</v>
      </c>
      <c r="M3389" t="s">
        <v>296</v>
      </c>
      <c r="N3389" t="s">
        <v>519</v>
      </c>
      <c r="O3389" t="s">
        <v>311</v>
      </c>
      <c r="P3389" t="str">
        <f>"4170050305                    "</f>
        <v xml:space="preserve">4170050305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19.64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8</v>
      </c>
      <c r="BJ3389">
        <v>8.9</v>
      </c>
      <c r="BK3389">
        <v>9</v>
      </c>
      <c r="BL3389">
        <v>61.87</v>
      </c>
      <c r="BM3389">
        <v>9.2799999999999994</v>
      </c>
      <c r="BN3389">
        <v>71.150000000000006</v>
      </c>
      <c r="BO3389">
        <v>71.150000000000006</v>
      </c>
      <c r="BQ3389" t="s">
        <v>520</v>
      </c>
      <c r="BR3389" t="s">
        <v>84</v>
      </c>
      <c r="BS3389" s="3">
        <v>45862</v>
      </c>
      <c r="BT3389" s="4">
        <v>0.3576388888888889</v>
      </c>
      <c r="BU3389" t="s">
        <v>3314</v>
      </c>
      <c r="BV3389" t="s">
        <v>98</v>
      </c>
      <c r="BY3389">
        <v>44640</v>
      </c>
      <c r="CA3389" t="s">
        <v>529</v>
      </c>
      <c r="CC3389" t="s">
        <v>296</v>
      </c>
      <c r="CD3389">
        <v>1459</v>
      </c>
      <c r="CE3389" t="s">
        <v>145</v>
      </c>
      <c r="CF3389" s="3">
        <v>45862</v>
      </c>
      <c r="CI3389">
        <v>1</v>
      </c>
      <c r="CJ3389">
        <v>1</v>
      </c>
      <c r="CK3389">
        <v>32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"080066750765"</f>
        <v>080066750765</v>
      </c>
      <c r="F3390" s="3">
        <v>45861</v>
      </c>
      <c r="G3390">
        <v>202604</v>
      </c>
      <c r="H3390" t="s">
        <v>75</v>
      </c>
      <c r="I3390" t="s">
        <v>76</v>
      </c>
      <c r="J3390" t="s">
        <v>77</v>
      </c>
      <c r="K3390" t="s">
        <v>78</v>
      </c>
      <c r="L3390" t="s">
        <v>92</v>
      </c>
      <c r="M3390" t="s">
        <v>93</v>
      </c>
      <c r="N3390" t="s">
        <v>334</v>
      </c>
      <c r="O3390" t="s">
        <v>82</v>
      </c>
      <c r="P3390" t="str">
        <f>"4170050574                    "</f>
        <v xml:space="preserve">4170050574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22.6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0.8</v>
      </c>
      <c r="BK3390">
        <v>1</v>
      </c>
      <c r="BL3390">
        <v>71.2</v>
      </c>
      <c r="BM3390">
        <v>10.68</v>
      </c>
      <c r="BN3390">
        <v>81.88</v>
      </c>
      <c r="BO3390">
        <v>81.88</v>
      </c>
      <c r="BQ3390" t="s">
        <v>335</v>
      </c>
      <c r="BR3390" t="s">
        <v>84</v>
      </c>
      <c r="BS3390" s="3">
        <v>45862</v>
      </c>
      <c r="BT3390" s="4">
        <v>0.41666666666666669</v>
      </c>
      <c r="BU3390" t="s">
        <v>2897</v>
      </c>
      <c r="BV3390" t="s">
        <v>98</v>
      </c>
      <c r="BY3390">
        <v>4000</v>
      </c>
      <c r="CA3390" t="s">
        <v>337</v>
      </c>
      <c r="CC3390" t="s">
        <v>93</v>
      </c>
      <c r="CD3390">
        <v>4052</v>
      </c>
      <c r="CE3390" t="s">
        <v>91</v>
      </c>
      <c r="CF3390" s="3">
        <v>45862</v>
      </c>
      <c r="CI3390">
        <v>1</v>
      </c>
      <c r="CJ3390">
        <v>1</v>
      </c>
      <c r="CK3390">
        <v>21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"080066750796"</f>
        <v>080066750796</v>
      </c>
      <c r="F3391" s="3">
        <v>45861</v>
      </c>
      <c r="G3391">
        <v>202604</v>
      </c>
      <c r="H3391" t="s">
        <v>75</v>
      </c>
      <c r="I3391" t="s">
        <v>76</v>
      </c>
      <c r="J3391" t="s">
        <v>77</v>
      </c>
      <c r="K3391" t="s">
        <v>78</v>
      </c>
      <c r="L3391" t="s">
        <v>135</v>
      </c>
      <c r="M3391" t="s">
        <v>136</v>
      </c>
      <c r="N3391" t="s">
        <v>416</v>
      </c>
      <c r="O3391" t="s">
        <v>82</v>
      </c>
      <c r="P3391" t="str">
        <f>"4170050551                    "</f>
        <v xml:space="preserve">4170050551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22.6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0.9</v>
      </c>
      <c r="BK3391">
        <v>1</v>
      </c>
      <c r="BL3391">
        <v>71.2</v>
      </c>
      <c r="BM3391">
        <v>10.68</v>
      </c>
      <c r="BN3391">
        <v>81.88</v>
      </c>
      <c r="BO3391">
        <v>81.88</v>
      </c>
      <c r="BQ3391" t="s">
        <v>417</v>
      </c>
      <c r="BR3391" t="s">
        <v>84</v>
      </c>
      <c r="BS3391" s="3">
        <v>45862</v>
      </c>
      <c r="BT3391" s="4">
        <v>0.41666666666666669</v>
      </c>
      <c r="BU3391" t="s">
        <v>650</v>
      </c>
      <c r="BV3391" t="s">
        <v>98</v>
      </c>
      <c r="BY3391">
        <v>4400</v>
      </c>
      <c r="CC3391" t="s">
        <v>136</v>
      </c>
      <c r="CD3391">
        <v>3201</v>
      </c>
      <c r="CE3391" t="s">
        <v>91</v>
      </c>
      <c r="CF3391" s="3">
        <v>45863</v>
      </c>
      <c r="CI3391">
        <v>1</v>
      </c>
      <c r="CJ3391">
        <v>1</v>
      </c>
      <c r="CK3391">
        <v>21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"080066750817"</f>
        <v>080066750817</v>
      </c>
      <c r="F3392" s="3">
        <v>45861</v>
      </c>
      <c r="G3392">
        <v>202604</v>
      </c>
      <c r="H3392" t="s">
        <v>75</v>
      </c>
      <c r="I3392" t="s">
        <v>76</v>
      </c>
      <c r="J3392" t="s">
        <v>77</v>
      </c>
      <c r="K3392" t="s">
        <v>78</v>
      </c>
      <c r="L3392" t="s">
        <v>168</v>
      </c>
      <c r="M3392" t="s">
        <v>169</v>
      </c>
      <c r="N3392" t="s">
        <v>206</v>
      </c>
      <c r="O3392" t="s">
        <v>82</v>
      </c>
      <c r="P3392" t="str">
        <f>"4170050350                    "</f>
        <v xml:space="preserve">4170050350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67.760000000000005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6</v>
      </c>
      <c r="BJ3392">
        <v>3.4</v>
      </c>
      <c r="BK3392">
        <v>6</v>
      </c>
      <c r="BL3392">
        <v>213.48</v>
      </c>
      <c r="BM3392">
        <v>32.020000000000003</v>
      </c>
      <c r="BN3392">
        <v>245.5</v>
      </c>
      <c r="BO3392">
        <v>245.5</v>
      </c>
      <c r="BQ3392" t="s">
        <v>207</v>
      </c>
      <c r="BR3392" t="s">
        <v>84</v>
      </c>
      <c r="BS3392" s="3">
        <v>45862</v>
      </c>
      <c r="BT3392" s="4">
        <v>0.41875000000000001</v>
      </c>
      <c r="BU3392" t="s">
        <v>2861</v>
      </c>
      <c r="BV3392" t="s">
        <v>98</v>
      </c>
      <c r="BY3392">
        <v>16965</v>
      </c>
      <c r="CA3392" t="s">
        <v>196</v>
      </c>
      <c r="CC3392" t="s">
        <v>169</v>
      </c>
      <c r="CD3392">
        <v>6001</v>
      </c>
      <c r="CE3392" t="s">
        <v>145</v>
      </c>
      <c r="CF3392" s="3">
        <v>45862</v>
      </c>
      <c r="CI3392">
        <v>1</v>
      </c>
      <c r="CJ3392">
        <v>1</v>
      </c>
      <c r="CK3392">
        <v>21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"080066750836"</f>
        <v>080066750836</v>
      </c>
      <c r="F3393" s="3">
        <v>45861</v>
      </c>
      <c r="G3393">
        <v>202604</v>
      </c>
      <c r="H3393" t="s">
        <v>75</v>
      </c>
      <c r="I3393" t="s">
        <v>76</v>
      </c>
      <c r="J3393" t="s">
        <v>77</v>
      </c>
      <c r="K3393" t="s">
        <v>78</v>
      </c>
      <c r="L3393" t="s">
        <v>92</v>
      </c>
      <c r="M3393" t="s">
        <v>93</v>
      </c>
      <c r="N3393" t="s">
        <v>334</v>
      </c>
      <c r="O3393" t="s">
        <v>82</v>
      </c>
      <c r="P3393" t="str">
        <f>"4170050452                    "</f>
        <v xml:space="preserve">4170050452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22.6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1.1000000000000001</v>
      </c>
      <c r="BK3393">
        <v>1.5</v>
      </c>
      <c r="BL3393">
        <v>71.2</v>
      </c>
      <c r="BM3393">
        <v>10.68</v>
      </c>
      <c r="BN3393">
        <v>81.88</v>
      </c>
      <c r="BO3393">
        <v>81.88</v>
      </c>
      <c r="BQ3393" t="s">
        <v>335</v>
      </c>
      <c r="BR3393" t="s">
        <v>84</v>
      </c>
      <c r="BS3393" s="3">
        <v>45862</v>
      </c>
      <c r="BT3393" s="4">
        <v>0.41666666666666669</v>
      </c>
      <c r="BU3393" t="s">
        <v>2897</v>
      </c>
      <c r="BV3393" t="s">
        <v>98</v>
      </c>
      <c r="BY3393">
        <v>5320</v>
      </c>
      <c r="CA3393" t="s">
        <v>337</v>
      </c>
      <c r="CC3393" t="s">
        <v>93</v>
      </c>
      <c r="CD3393">
        <v>4052</v>
      </c>
      <c r="CE3393" t="s">
        <v>145</v>
      </c>
      <c r="CF3393" s="3">
        <v>45862</v>
      </c>
      <c r="CI3393">
        <v>1</v>
      </c>
      <c r="CJ3393">
        <v>1</v>
      </c>
      <c r="CK3393">
        <v>21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"080066750882"</f>
        <v>080066750882</v>
      </c>
      <c r="F3394" s="3">
        <v>45861</v>
      </c>
      <c r="G3394">
        <v>202604</v>
      </c>
      <c r="H3394" t="s">
        <v>75</v>
      </c>
      <c r="I3394" t="s">
        <v>76</v>
      </c>
      <c r="J3394" t="s">
        <v>77</v>
      </c>
      <c r="K3394" t="s">
        <v>78</v>
      </c>
      <c r="L3394" t="s">
        <v>865</v>
      </c>
      <c r="M3394" t="s">
        <v>866</v>
      </c>
      <c r="N3394" t="s">
        <v>867</v>
      </c>
      <c r="O3394" t="s">
        <v>82</v>
      </c>
      <c r="P3394" t="str">
        <f>"4170050496                    "</f>
        <v xml:space="preserve">4170050496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211.84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7</v>
      </c>
      <c r="BJ3394">
        <v>10.3</v>
      </c>
      <c r="BK3394">
        <v>10.5</v>
      </c>
      <c r="BL3394">
        <v>667.42</v>
      </c>
      <c r="BM3394">
        <v>100.11</v>
      </c>
      <c r="BN3394">
        <v>767.53</v>
      </c>
      <c r="BO3394">
        <v>767.53</v>
      </c>
      <c r="BQ3394" t="s">
        <v>868</v>
      </c>
      <c r="BR3394" t="s">
        <v>84</v>
      </c>
      <c r="BS3394" t="s">
        <v>587</v>
      </c>
      <c r="BY3394">
        <v>51516</v>
      </c>
      <c r="CC3394" t="s">
        <v>866</v>
      </c>
      <c r="CD3394">
        <v>8446</v>
      </c>
      <c r="CE3394" t="s">
        <v>91</v>
      </c>
      <c r="CI3394">
        <v>1</v>
      </c>
      <c r="CJ3394" t="s">
        <v>587</v>
      </c>
      <c r="CK3394">
        <v>23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"080066751004"</f>
        <v>080066751004</v>
      </c>
      <c r="F3395" s="3">
        <v>45861</v>
      </c>
      <c r="G3395">
        <v>202604</v>
      </c>
      <c r="H3395" t="s">
        <v>75</v>
      </c>
      <c r="I3395" t="s">
        <v>76</v>
      </c>
      <c r="J3395" t="s">
        <v>77</v>
      </c>
      <c r="K3395" t="s">
        <v>78</v>
      </c>
      <c r="L3395" t="s">
        <v>146</v>
      </c>
      <c r="M3395" t="s">
        <v>146</v>
      </c>
      <c r="N3395" t="s">
        <v>986</v>
      </c>
      <c r="O3395" t="s">
        <v>82</v>
      </c>
      <c r="P3395" t="str">
        <f>"4170050520                    "</f>
        <v xml:space="preserve">4170050520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63.56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3</v>
      </c>
      <c r="BJ3395">
        <v>1.7</v>
      </c>
      <c r="BK3395">
        <v>3</v>
      </c>
      <c r="BL3395">
        <v>200.24</v>
      </c>
      <c r="BM3395">
        <v>30.04</v>
      </c>
      <c r="BN3395">
        <v>230.28</v>
      </c>
      <c r="BO3395">
        <v>230.28</v>
      </c>
      <c r="BQ3395" t="s">
        <v>987</v>
      </c>
      <c r="BR3395" t="s">
        <v>84</v>
      </c>
      <c r="BS3395" s="3">
        <v>45862</v>
      </c>
      <c r="BT3395" s="4">
        <v>0.53680555555555554</v>
      </c>
      <c r="BU3395" t="s">
        <v>1748</v>
      </c>
      <c r="BV3395" t="s">
        <v>98</v>
      </c>
      <c r="BY3395">
        <v>8512</v>
      </c>
      <c r="CA3395" t="s">
        <v>989</v>
      </c>
      <c r="CC3395" t="s">
        <v>146</v>
      </c>
      <c r="CD3395">
        <v>7646</v>
      </c>
      <c r="CE3395" t="s">
        <v>145</v>
      </c>
      <c r="CF3395" s="3">
        <v>45863</v>
      </c>
      <c r="CI3395">
        <v>1</v>
      </c>
      <c r="CJ3395">
        <v>1</v>
      </c>
      <c r="CK3395">
        <v>23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"080066751026"</f>
        <v>080066751026</v>
      </c>
      <c r="F3396" s="3">
        <v>45861</v>
      </c>
      <c r="G3396">
        <v>202604</v>
      </c>
      <c r="H3396" t="s">
        <v>75</v>
      </c>
      <c r="I3396" t="s">
        <v>76</v>
      </c>
      <c r="J3396" t="s">
        <v>77</v>
      </c>
      <c r="K3396" t="s">
        <v>78</v>
      </c>
      <c r="L3396" t="s">
        <v>168</v>
      </c>
      <c r="M3396" t="s">
        <v>169</v>
      </c>
      <c r="N3396" t="s">
        <v>2157</v>
      </c>
      <c r="O3396" t="s">
        <v>82</v>
      </c>
      <c r="P3396" t="str">
        <f>"4170050565                    "</f>
        <v xml:space="preserve">4170050565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71.2</v>
      </c>
      <c r="BM3396">
        <v>10.68</v>
      </c>
      <c r="BN3396">
        <v>81.88</v>
      </c>
      <c r="BO3396">
        <v>81.88</v>
      </c>
      <c r="BQ3396" t="s">
        <v>2158</v>
      </c>
      <c r="BR3396" t="s">
        <v>84</v>
      </c>
      <c r="BS3396" s="3">
        <v>45862</v>
      </c>
      <c r="BT3396" s="4">
        <v>0.37986111111111109</v>
      </c>
      <c r="BU3396" t="s">
        <v>470</v>
      </c>
      <c r="BV3396" t="s">
        <v>98</v>
      </c>
      <c r="BY3396">
        <v>1200</v>
      </c>
      <c r="CA3396" t="s">
        <v>415</v>
      </c>
      <c r="CC3396" t="s">
        <v>169</v>
      </c>
      <c r="CD3396">
        <v>6001</v>
      </c>
      <c r="CE3396" t="s">
        <v>121</v>
      </c>
      <c r="CF3396" s="3">
        <v>45862</v>
      </c>
      <c r="CI3396">
        <v>1</v>
      </c>
      <c r="CJ3396">
        <v>1</v>
      </c>
      <c r="CK3396">
        <v>21</v>
      </c>
      <c r="CL3396" t="s">
        <v>86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"080066751042"</f>
        <v>080066751042</v>
      </c>
      <c r="F3397" s="3">
        <v>45861</v>
      </c>
      <c r="G3397">
        <v>202604</v>
      </c>
      <c r="H3397" t="s">
        <v>75</v>
      </c>
      <c r="I3397" t="s">
        <v>76</v>
      </c>
      <c r="J3397" t="s">
        <v>77</v>
      </c>
      <c r="K3397" t="s">
        <v>78</v>
      </c>
      <c r="L3397" t="s">
        <v>427</v>
      </c>
      <c r="M3397" t="s">
        <v>428</v>
      </c>
      <c r="N3397" t="s">
        <v>3315</v>
      </c>
      <c r="O3397" t="s">
        <v>82</v>
      </c>
      <c r="P3397" t="str">
        <f>"4170050495                    "</f>
        <v xml:space="preserve">4170050495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43.78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0.6</v>
      </c>
      <c r="BK3397">
        <v>1</v>
      </c>
      <c r="BL3397">
        <v>137.94</v>
      </c>
      <c r="BM3397">
        <v>20.69</v>
      </c>
      <c r="BN3397">
        <v>158.63</v>
      </c>
      <c r="BO3397">
        <v>158.63</v>
      </c>
      <c r="BQ3397" t="s">
        <v>3316</v>
      </c>
      <c r="BR3397" t="s">
        <v>84</v>
      </c>
      <c r="BS3397" s="3">
        <v>45862</v>
      </c>
      <c r="BT3397" s="4">
        <v>0.41666666666666669</v>
      </c>
      <c r="BU3397" t="s">
        <v>3317</v>
      </c>
      <c r="BV3397" t="s">
        <v>98</v>
      </c>
      <c r="BY3397">
        <v>3192</v>
      </c>
      <c r="CA3397" t="s">
        <v>432</v>
      </c>
      <c r="CC3397" t="s">
        <v>428</v>
      </c>
      <c r="CD3397">
        <v>9880</v>
      </c>
      <c r="CE3397" t="s">
        <v>259</v>
      </c>
      <c r="CF3397" s="3">
        <v>45863</v>
      </c>
      <c r="CI3397">
        <v>1</v>
      </c>
      <c r="CJ3397">
        <v>1</v>
      </c>
      <c r="CK3397">
        <v>23</v>
      </c>
      <c r="CL3397" t="s">
        <v>86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"080066751052"</f>
        <v>080066751052</v>
      </c>
      <c r="F3398" s="3">
        <v>45861</v>
      </c>
      <c r="G3398">
        <v>202604</v>
      </c>
      <c r="H3398" t="s">
        <v>75</v>
      </c>
      <c r="I3398" t="s">
        <v>76</v>
      </c>
      <c r="J3398" t="s">
        <v>77</v>
      </c>
      <c r="K3398" t="s">
        <v>78</v>
      </c>
      <c r="L3398" t="s">
        <v>240</v>
      </c>
      <c r="M3398" t="s">
        <v>241</v>
      </c>
      <c r="N3398" t="s">
        <v>447</v>
      </c>
      <c r="O3398" t="s">
        <v>82</v>
      </c>
      <c r="P3398" t="str">
        <f>"4170050483                    "</f>
        <v xml:space="preserve">4170050483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17.649999999999999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55.61</v>
      </c>
      <c r="BM3398">
        <v>8.34</v>
      </c>
      <c r="BN3398">
        <v>63.95</v>
      </c>
      <c r="BO3398">
        <v>63.95</v>
      </c>
      <c r="BQ3398" t="s">
        <v>448</v>
      </c>
      <c r="BR3398" t="s">
        <v>84</v>
      </c>
      <c r="BS3398" s="3">
        <v>45862</v>
      </c>
      <c r="BT3398" s="4">
        <v>0.43055555555555558</v>
      </c>
      <c r="BU3398" t="s">
        <v>3293</v>
      </c>
      <c r="BV3398" t="s">
        <v>98</v>
      </c>
      <c r="BY3398">
        <v>1200</v>
      </c>
      <c r="CA3398" t="s">
        <v>451</v>
      </c>
      <c r="CC3398" t="s">
        <v>241</v>
      </c>
      <c r="CD3398">
        <v>2094</v>
      </c>
      <c r="CE3398" t="s">
        <v>121</v>
      </c>
      <c r="CF3398" s="3">
        <v>45862</v>
      </c>
      <c r="CI3398">
        <v>1</v>
      </c>
      <c r="CJ3398">
        <v>1</v>
      </c>
      <c r="CK3398">
        <v>22</v>
      </c>
      <c r="CL3398" t="s">
        <v>86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"080066751066"</f>
        <v>080066751066</v>
      </c>
      <c r="F3399" s="3">
        <v>45861</v>
      </c>
      <c r="G3399">
        <v>202604</v>
      </c>
      <c r="H3399" t="s">
        <v>75</v>
      </c>
      <c r="I3399" t="s">
        <v>76</v>
      </c>
      <c r="J3399" t="s">
        <v>77</v>
      </c>
      <c r="K3399" t="s">
        <v>78</v>
      </c>
      <c r="L3399" t="s">
        <v>92</v>
      </c>
      <c r="M3399" t="s">
        <v>93</v>
      </c>
      <c r="N3399" t="s">
        <v>334</v>
      </c>
      <c r="O3399" t="s">
        <v>82</v>
      </c>
      <c r="P3399" t="str">
        <f>"4170050451                    "</f>
        <v xml:space="preserve">4170050451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22.6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0.6</v>
      </c>
      <c r="BK3399">
        <v>1</v>
      </c>
      <c r="BL3399">
        <v>71.2</v>
      </c>
      <c r="BM3399">
        <v>10.68</v>
      </c>
      <c r="BN3399">
        <v>81.88</v>
      </c>
      <c r="BO3399">
        <v>81.88</v>
      </c>
      <c r="BQ3399" t="s">
        <v>335</v>
      </c>
      <c r="BR3399" t="s">
        <v>84</v>
      </c>
      <c r="BS3399" s="3">
        <v>45862</v>
      </c>
      <c r="BT3399" s="4">
        <v>0.41666666666666669</v>
      </c>
      <c r="BU3399" t="s">
        <v>2897</v>
      </c>
      <c r="BV3399" t="s">
        <v>98</v>
      </c>
      <c r="BY3399">
        <v>3192</v>
      </c>
      <c r="CA3399" t="s">
        <v>337</v>
      </c>
      <c r="CC3399" t="s">
        <v>93</v>
      </c>
      <c r="CD3399">
        <v>4052</v>
      </c>
      <c r="CE3399" t="s">
        <v>259</v>
      </c>
      <c r="CF3399" s="3">
        <v>45862</v>
      </c>
      <c r="CI3399">
        <v>1</v>
      </c>
      <c r="CJ3399">
        <v>1</v>
      </c>
      <c r="CK3399">
        <v>21</v>
      </c>
      <c r="CL3399" t="s">
        <v>86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"080066751075"</f>
        <v>080066751075</v>
      </c>
      <c r="F3400" s="3">
        <v>45861</v>
      </c>
      <c r="G3400">
        <v>202604</v>
      </c>
      <c r="H3400" t="s">
        <v>75</v>
      </c>
      <c r="I3400" t="s">
        <v>76</v>
      </c>
      <c r="J3400" t="s">
        <v>77</v>
      </c>
      <c r="K3400" t="s">
        <v>78</v>
      </c>
      <c r="L3400" t="s">
        <v>168</v>
      </c>
      <c r="M3400" t="s">
        <v>169</v>
      </c>
      <c r="N3400" t="s">
        <v>2157</v>
      </c>
      <c r="O3400" t="s">
        <v>82</v>
      </c>
      <c r="P3400" t="str">
        <f>"4170050361                    "</f>
        <v xml:space="preserve">4170050361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22.6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71.2</v>
      </c>
      <c r="BM3400">
        <v>10.68</v>
      </c>
      <c r="BN3400">
        <v>81.88</v>
      </c>
      <c r="BO3400">
        <v>81.88</v>
      </c>
      <c r="BQ3400" t="s">
        <v>2158</v>
      </c>
      <c r="BR3400" t="s">
        <v>84</v>
      </c>
      <c r="BS3400" s="3">
        <v>45862</v>
      </c>
      <c r="BT3400" s="4">
        <v>0.37847222222222221</v>
      </c>
      <c r="BU3400" t="s">
        <v>414</v>
      </c>
      <c r="BV3400" t="s">
        <v>98</v>
      </c>
      <c r="BY3400">
        <v>1200</v>
      </c>
      <c r="CA3400" t="s">
        <v>415</v>
      </c>
      <c r="CC3400" t="s">
        <v>169</v>
      </c>
      <c r="CD3400">
        <v>6001</v>
      </c>
      <c r="CE3400" t="s">
        <v>121</v>
      </c>
      <c r="CF3400" s="3">
        <v>45862</v>
      </c>
      <c r="CI3400">
        <v>1</v>
      </c>
      <c r="CJ3400">
        <v>1</v>
      </c>
      <c r="CK3400">
        <v>21</v>
      </c>
      <c r="CL3400" t="s">
        <v>86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"080066751102"</f>
        <v>080066751102</v>
      </c>
      <c r="F3401" s="3">
        <v>45861</v>
      </c>
      <c r="G3401">
        <v>202604</v>
      </c>
      <c r="H3401" t="s">
        <v>75</v>
      </c>
      <c r="I3401" t="s">
        <v>76</v>
      </c>
      <c r="J3401" t="s">
        <v>77</v>
      </c>
      <c r="K3401" t="s">
        <v>78</v>
      </c>
      <c r="L3401" t="s">
        <v>79</v>
      </c>
      <c r="M3401" t="s">
        <v>80</v>
      </c>
      <c r="N3401" t="s">
        <v>1775</v>
      </c>
      <c r="O3401" t="s">
        <v>82</v>
      </c>
      <c r="P3401" t="str">
        <f>"4170050467                    "</f>
        <v xml:space="preserve">4170050467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22.6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1.1000000000000001</v>
      </c>
      <c r="BK3401">
        <v>1.5</v>
      </c>
      <c r="BL3401">
        <v>71.2</v>
      </c>
      <c r="BM3401">
        <v>10.68</v>
      </c>
      <c r="BN3401">
        <v>81.88</v>
      </c>
      <c r="BO3401">
        <v>81.88</v>
      </c>
      <c r="BQ3401" t="s">
        <v>1776</v>
      </c>
      <c r="BR3401" t="s">
        <v>84</v>
      </c>
      <c r="BS3401" s="3">
        <v>45862</v>
      </c>
      <c r="BT3401" s="4">
        <v>0.3923611111111111</v>
      </c>
      <c r="BU3401" t="s">
        <v>3309</v>
      </c>
      <c r="BV3401" t="s">
        <v>98</v>
      </c>
      <c r="BY3401">
        <v>5320</v>
      </c>
      <c r="CA3401" t="s">
        <v>934</v>
      </c>
      <c r="CC3401" t="s">
        <v>80</v>
      </c>
      <c r="CD3401">
        <v>7530</v>
      </c>
      <c r="CE3401" t="s">
        <v>145</v>
      </c>
      <c r="CF3401" s="3">
        <v>45863</v>
      </c>
      <c r="CI3401">
        <v>1</v>
      </c>
      <c r="CJ3401">
        <v>1</v>
      </c>
      <c r="CK3401">
        <v>21</v>
      </c>
      <c r="CL3401" t="s">
        <v>86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"080066751116"</f>
        <v>080066751116</v>
      </c>
      <c r="F3402" s="3">
        <v>45861</v>
      </c>
      <c r="G3402">
        <v>202604</v>
      </c>
      <c r="H3402" t="s">
        <v>75</v>
      </c>
      <c r="I3402" t="s">
        <v>76</v>
      </c>
      <c r="J3402" t="s">
        <v>77</v>
      </c>
      <c r="K3402" t="s">
        <v>78</v>
      </c>
      <c r="L3402" t="s">
        <v>135</v>
      </c>
      <c r="M3402" t="s">
        <v>136</v>
      </c>
      <c r="N3402" t="s">
        <v>416</v>
      </c>
      <c r="O3402" t="s">
        <v>82</v>
      </c>
      <c r="P3402" t="str">
        <f>"4170050616                    "</f>
        <v xml:space="preserve">4170050616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22.6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71.2</v>
      </c>
      <c r="BM3402">
        <v>10.68</v>
      </c>
      <c r="BN3402">
        <v>81.88</v>
      </c>
      <c r="BO3402">
        <v>81.88</v>
      </c>
      <c r="BQ3402" t="s">
        <v>417</v>
      </c>
      <c r="BR3402" t="s">
        <v>84</v>
      </c>
      <c r="BS3402" s="3">
        <v>45862</v>
      </c>
      <c r="BT3402" s="4">
        <v>0.41666666666666669</v>
      </c>
      <c r="BU3402" t="s">
        <v>650</v>
      </c>
      <c r="BV3402" t="s">
        <v>98</v>
      </c>
      <c r="BY3402">
        <v>1200</v>
      </c>
      <c r="CC3402" t="s">
        <v>136</v>
      </c>
      <c r="CD3402">
        <v>3201</v>
      </c>
      <c r="CE3402" t="s">
        <v>121</v>
      </c>
      <c r="CF3402" s="3">
        <v>45863</v>
      </c>
      <c r="CI3402">
        <v>1</v>
      </c>
      <c r="CJ3402">
        <v>1</v>
      </c>
      <c r="CK3402">
        <v>21</v>
      </c>
      <c r="CL3402" t="s">
        <v>86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"080066751125"</f>
        <v>080066751125</v>
      </c>
      <c r="F3403" s="3">
        <v>45861</v>
      </c>
      <c r="G3403">
        <v>202604</v>
      </c>
      <c r="H3403" t="s">
        <v>75</v>
      </c>
      <c r="I3403" t="s">
        <v>76</v>
      </c>
      <c r="J3403" t="s">
        <v>77</v>
      </c>
      <c r="K3403" t="s">
        <v>78</v>
      </c>
      <c r="L3403" t="s">
        <v>135</v>
      </c>
      <c r="M3403" t="s">
        <v>136</v>
      </c>
      <c r="N3403" t="s">
        <v>416</v>
      </c>
      <c r="O3403" t="s">
        <v>82</v>
      </c>
      <c r="P3403" t="str">
        <f>"4170050421                    "</f>
        <v xml:space="preserve">4170050421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22.6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1.1000000000000001</v>
      </c>
      <c r="BK3403">
        <v>2</v>
      </c>
      <c r="BL3403">
        <v>71.2</v>
      </c>
      <c r="BM3403">
        <v>10.68</v>
      </c>
      <c r="BN3403">
        <v>81.88</v>
      </c>
      <c r="BO3403">
        <v>81.88</v>
      </c>
      <c r="BQ3403" t="s">
        <v>417</v>
      </c>
      <c r="BR3403" t="s">
        <v>84</v>
      </c>
      <c r="BS3403" s="3">
        <v>45862</v>
      </c>
      <c r="BT3403" s="4">
        <v>0.41666666666666669</v>
      </c>
      <c r="BU3403" t="s">
        <v>650</v>
      </c>
      <c r="BV3403" t="s">
        <v>98</v>
      </c>
      <c r="BY3403">
        <v>5320</v>
      </c>
      <c r="CC3403" t="s">
        <v>136</v>
      </c>
      <c r="CD3403">
        <v>3201</v>
      </c>
      <c r="CE3403" t="s">
        <v>145</v>
      </c>
      <c r="CF3403" s="3">
        <v>45863</v>
      </c>
      <c r="CI3403">
        <v>1</v>
      </c>
      <c r="CJ3403">
        <v>1</v>
      </c>
      <c r="CK3403">
        <v>21</v>
      </c>
      <c r="CL3403" t="s">
        <v>86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"080066751137"</f>
        <v>080066751137</v>
      </c>
      <c r="F3404" s="3">
        <v>45861</v>
      </c>
      <c r="G3404">
        <v>202604</v>
      </c>
      <c r="H3404" t="s">
        <v>75</v>
      </c>
      <c r="I3404" t="s">
        <v>76</v>
      </c>
      <c r="J3404" t="s">
        <v>77</v>
      </c>
      <c r="K3404" t="s">
        <v>78</v>
      </c>
      <c r="L3404" t="s">
        <v>240</v>
      </c>
      <c r="M3404" t="s">
        <v>241</v>
      </c>
      <c r="N3404" t="s">
        <v>447</v>
      </c>
      <c r="O3404" t="s">
        <v>82</v>
      </c>
      <c r="P3404" t="str">
        <f>"4170050488                    "</f>
        <v xml:space="preserve">4170050488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17.649999999999999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55.61</v>
      </c>
      <c r="BM3404">
        <v>8.34</v>
      </c>
      <c r="BN3404">
        <v>63.95</v>
      </c>
      <c r="BO3404">
        <v>63.95</v>
      </c>
      <c r="BQ3404" t="s">
        <v>448</v>
      </c>
      <c r="BR3404" t="s">
        <v>84</v>
      </c>
      <c r="BS3404" s="3">
        <v>45862</v>
      </c>
      <c r="BT3404" s="4">
        <v>0.43055555555555558</v>
      </c>
      <c r="BU3404" t="s">
        <v>3293</v>
      </c>
      <c r="BV3404" t="s">
        <v>98</v>
      </c>
      <c r="BY3404">
        <v>1200</v>
      </c>
      <c r="CA3404" t="s">
        <v>451</v>
      </c>
      <c r="CC3404" t="s">
        <v>241</v>
      </c>
      <c r="CD3404">
        <v>2094</v>
      </c>
      <c r="CE3404" t="s">
        <v>121</v>
      </c>
      <c r="CF3404" s="3">
        <v>45862</v>
      </c>
      <c r="CI3404">
        <v>1</v>
      </c>
      <c r="CJ3404">
        <v>1</v>
      </c>
      <c r="CK3404">
        <v>22</v>
      </c>
      <c r="CL3404" t="s">
        <v>86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"080066751163"</f>
        <v>080066751163</v>
      </c>
      <c r="F3405" s="3">
        <v>45861</v>
      </c>
      <c r="G3405">
        <v>202604</v>
      </c>
      <c r="H3405" t="s">
        <v>75</v>
      </c>
      <c r="I3405" t="s">
        <v>76</v>
      </c>
      <c r="J3405" t="s">
        <v>77</v>
      </c>
      <c r="K3405" t="s">
        <v>78</v>
      </c>
      <c r="L3405" t="s">
        <v>168</v>
      </c>
      <c r="M3405" t="s">
        <v>169</v>
      </c>
      <c r="N3405" t="s">
        <v>206</v>
      </c>
      <c r="O3405" t="s">
        <v>82</v>
      </c>
      <c r="P3405" t="str">
        <f>"4170050351                    "</f>
        <v xml:space="preserve">4170050351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101.63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4</v>
      </c>
      <c r="BJ3405">
        <v>8.9</v>
      </c>
      <c r="BK3405">
        <v>9</v>
      </c>
      <c r="BL3405">
        <v>320.19</v>
      </c>
      <c r="BM3405">
        <v>48.03</v>
      </c>
      <c r="BN3405">
        <v>368.22</v>
      </c>
      <c r="BO3405">
        <v>368.22</v>
      </c>
      <c r="BQ3405" t="s">
        <v>207</v>
      </c>
      <c r="BR3405" t="s">
        <v>84</v>
      </c>
      <c r="BS3405" s="3">
        <v>45862</v>
      </c>
      <c r="BT3405" s="4">
        <v>0.41875000000000001</v>
      </c>
      <c r="BU3405" t="s">
        <v>2861</v>
      </c>
      <c r="BV3405" t="s">
        <v>98</v>
      </c>
      <c r="BY3405">
        <v>44640</v>
      </c>
      <c r="CA3405" t="s">
        <v>196</v>
      </c>
      <c r="CC3405" t="s">
        <v>169</v>
      </c>
      <c r="CD3405">
        <v>6001</v>
      </c>
      <c r="CE3405" t="s">
        <v>145</v>
      </c>
      <c r="CF3405" s="3">
        <v>45862</v>
      </c>
      <c r="CI3405">
        <v>1</v>
      </c>
      <c r="CJ3405">
        <v>1</v>
      </c>
      <c r="CK3405">
        <v>21</v>
      </c>
      <c r="CL3405" t="s">
        <v>86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"080066751173"</f>
        <v>080066751173</v>
      </c>
      <c r="F3406" s="3">
        <v>45861</v>
      </c>
      <c r="G3406">
        <v>202604</v>
      </c>
      <c r="H3406" t="s">
        <v>75</v>
      </c>
      <c r="I3406" t="s">
        <v>76</v>
      </c>
      <c r="J3406" t="s">
        <v>77</v>
      </c>
      <c r="K3406" t="s">
        <v>78</v>
      </c>
      <c r="L3406" t="s">
        <v>122</v>
      </c>
      <c r="M3406" t="s">
        <v>123</v>
      </c>
      <c r="N3406" t="s">
        <v>2340</v>
      </c>
      <c r="O3406" t="s">
        <v>82</v>
      </c>
      <c r="P3406" t="str">
        <f>"4170050491                    "</f>
        <v xml:space="preserve">4170050491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22.6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71.2</v>
      </c>
      <c r="BM3406">
        <v>10.68</v>
      </c>
      <c r="BN3406">
        <v>81.88</v>
      </c>
      <c r="BO3406">
        <v>81.88</v>
      </c>
      <c r="BQ3406" t="s">
        <v>2341</v>
      </c>
      <c r="BR3406" t="s">
        <v>84</v>
      </c>
      <c r="BS3406" s="3">
        <v>45862</v>
      </c>
      <c r="BT3406" s="4">
        <v>0.375</v>
      </c>
      <c r="BU3406" t="s">
        <v>2342</v>
      </c>
      <c r="BV3406" t="s">
        <v>98</v>
      </c>
      <c r="BY3406">
        <v>1200</v>
      </c>
      <c r="CA3406" t="s">
        <v>187</v>
      </c>
      <c r="CC3406" t="s">
        <v>123</v>
      </c>
      <c r="CD3406">
        <v>3610</v>
      </c>
      <c r="CE3406" t="s">
        <v>121</v>
      </c>
      <c r="CF3406" s="3">
        <v>45862</v>
      </c>
      <c r="CI3406">
        <v>1</v>
      </c>
      <c r="CJ3406">
        <v>1</v>
      </c>
      <c r="CK3406">
        <v>21</v>
      </c>
      <c r="CL3406" t="s">
        <v>86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"080066751202"</f>
        <v>080066751202</v>
      </c>
      <c r="F3407" s="3">
        <v>45861</v>
      </c>
      <c r="G3407">
        <v>202604</v>
      </c>
      <c r="H3407" t="s">
        <v>75</v>
      </c>
      <c r="I3407" t="s">
        <v>76</v>
      </c>
      <c r="J3407" t="s">
        <v>77</v>
      </c>
      <c r="K3407" t="s">
        <v>78</v>
      </c>
      <c r="L3407" t="s">
        <v>240</v>
      </c>
      <c r="M3407" t="s">
        <v>241</v>
      </c>
      <c r="N3407" t="s">
        <v>2052</v>
      </c>
      <c r="O3407" t="s">
        <v>82</v>
      </c>
      <c r="P3407" t="str">
        <f>"4170050364                    "</f>
        <v xml:space="preserve">4170050364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17.649999999999999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55.61</v>
      </c>
      <c r="BM3407">
        <v>8.34</v>
      </c>
      <c r="BN3407">
        <v>63.95</v>
      </c>
      <c r="BO3407">
        <v>63.95</v>
      </c>
      <c r="BQ3407" t="s">
        <v>2053</v>
      </c>
      <c r="BR3407" t="s">
        <v>84</v>
      </c>
      <c r="BS3407" s="3">
        <v>45862</v>
      </c>
      <c r="BT3407" s="4">
        <v>0.39513888888888887</v>
      </c>
      <c r="BU3407" t="s">
        <v>3318</v>
      </c>
      <c r="BV3407" t="s">
        <v>98</v>
      </c>
      <c r="BY3407">
        <v>1200</v>
      </c>
      <c r="CA3407" t="s">
        <v>3319</v>
      </c>
      <c r="CC3407" t="s">
        <v>241</v>
      </c>
      <c r="CD3407">
        <v>2090</v>
      </c>
      <c r="CE3407" t="s">
        <v>121</v>
      </c>
      <c r="CF3407" s="3">
        <v>45863</v>
      </c>
      <c r="CI3407">
        <v>1</v>
      </c>
      <c r="CJ3407">
        <v>1</v>
      </c>
      <c r="CK3407">
        <v>22</v>
      </c>
      <c r="CL3407" t="s">
        <v>86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"080066751206"</f>
        <v>080066751206</v>
      </c>
      <c r="F3408" s="3">
        <v>45861</v>
      </c>
      <c r="G3408">
        <v>202604</v>
      </c>
      <c r="H3408" t="s">
        <v>75</v>
      </c>
      <c r="I3408" t="s">
        <v>76</v>
      </c>
      <c r="J3408" t="s">
        <v>77</v>
      </c>
      <c r="K3408" t="s">
        <v>78</v>
      </c>
      <c r="L3408" t="s">
        <v>542</v>
      </c>
      <c r="M3408" t="s">
        <v>543</v>
      </c>
      <c r="N3408" t="s">
        <v>3320</v>
      </c>
      <c r="O3408" t="s">
        <v>82</v>
      </c>
      <c r="P3408" t="str">
        <f>"4170050429                    "</f>
        <v xml:space="preserve">4170050429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17.649999999999999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3</v>
      </c>
      <c r="BJ3408">
        <v>3.2</v>
      </c>
      <c r="BK3408">
        <v>4</v>
      </c>
      <c r="BL3408">
        <v>55.61</v>
      </c>
      <c r="BM3408">
        <v>8.34</v>
      </c>
      <c r="BN3408">
        <v>63.95</v>
      </c>
      <c r="BO3408">
        <v>63.95</v>
      </c>
      <c r="BQ3408" t="s">
        <v>3321</v>
      </c>
      <c r="BR3408" t="s">
        <v>84</v>
      </c>
      <c r="BS3408" s="3">
        <v>45862</v>
      </c>
      <c r="BT3408" s="4">
        <v>0.39930555555555558</v>
      </c>
      <c r="BU3408" t="s">
        <v>2914</v>
      </c>
      <c r="BV3408" t="s">
        <v>98</v>
      </c>
      <c r="BY3408">
        <v>16128</v>
      </c>
      <c r="CA3408" t="s">
        <v>748</v>
      </c>
      <c r="CC3408" t="s">
        <v>543</v>
      </c>
      <c r="CD3408">
        <v>1451</v>
      </c>
      <c r="CE3408" t="s">
        <v>91</v>
      </c>
      <c r="CF3408" s="3">
        <v>45862</v>
      </c>
      <c r="CI3408">
        <v>1</v>
      </c>
      <c r="CJ3408">
        <v>1</v>
      </c>
      <c r="CK3408">
        <v>22</v>
      </c>
      <c r="CL3408" t="s">
        <v>86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"080066751236"</f>
        <v>080066751236</v>
      </c>
      <c r="F3409" s="3">
        <v>45861</v>
      </c>
      <c r="G3409">
        <v>202604</v>
      </c>
      <c r="H3409" t="s">
        <v>75</v>
      </c>
      <c r="I3409" t="s">
        <v>76</v>
      </c>
      <c r="J3409" t="s">
        <v>77</v>
      </c>
      <c r="K3409" t="s">
        <v>78</v>
      </c>
      <c r="L3409" t="s">
        <v>240</v>
      </c>
      <c r="M3409" t="s">
        <v>241</v>
      </c>
      <c r="N3409" t="s">
        <v>447</v>
      </c>
      <c r="O3409" t="s">
        <v>82</v>
      </c>
      <c r="P3409" t="str">
        <f>"4170050470                    "</f>
        <v xml:space="preserve">4170050470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17.649999999999999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55.61</v>
      </c>
      <c r="BM3409">
        <v>8.34</v>
      </c>
      <c r="BN3409">
        <v>63.95</v>
      </c>
      <c r="BO3409">
        <v>63.95</v>
      </c>
      <c r="BQ3409" t="s">
        <v>448</v>
      </c>
      <c r="BR3409" t="s">
        <v>84</v>
      </c>
      <c r="BS3409" s="3">
        <v>45862</v>
      </c>
      <c r="BT3409" s="4">
        <v>0.43055555555555558</v>
      </c>
      <c r="BU3409" t="s">
        <v>3322</v>
      </c>
      <c r="BV3409" t="s">
        <v>98</v>
      </c>
      <c r="BY3409">
        <v>1200</v>
      </c>
      <c r="CA3409" t="s">
        <v>451</v>
      </c>
      <c r="CC3409" t="s">
        <v>241</v>
      </c>
      <c r="CD3409">
        <v>2094</v>
      </c>
      <c r="CE3409" t="s">
        <v>3323</v>
      </c>
      <c r="CF3409" s="3">
        <v>45862</v>
      </c>
      <c r="CI3409">
        <v>1</v>
      </c>
      <c r="CJ3409">
        <v>1</v>
      </c>
      <c r="CK3409">
        <v>22</v>
      </c>
      <c r="CL3409" t="s">
        <v>86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"080066751299"</f>
        <v>080066751299</v>
      </c>
      <c r="F3410" s="3">
        <v>45861</v>
      </c>
      <c r="G3410">
        <v>202604</v>
      </c>
      <c r="H3410" t="s">
        <v>75</v>
      </c>
      <c r="I3410" t="s">
        <v>76</v>
      </c>
      <c r="J3410" t="s">
        <v>77</v>
      </c>
      <c r="K3410" t="s">
        <v>78</v>
      </c>
      <c r="L3410" t="s">
        <v>168</v>
      </c>
      <c r="M3410" t="s">
        <v>169</v>
      </c>
      <c r="N3410" t="s">
        <v>206</v>
      </c>
      <c r="O3410" t="s">
        <v>82</v>
      </c>
      <c r="P3410" t="str">
        <f>"4170050354                    "</f>
        <v xml:space="preserve">4170050354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180.66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2</v>
      </c>
      <c r="BI3410">
        <v>8</v>
      </c>
      <c r="BJ3410">
        <v>15.7</v>
      </c>
      <c r="BK3410">
        <v>16</v>
      </c>
      <c r="BL3410">
        <v>569.17999999999995</v>
      </c>
      <c r="BM3410">
        <v>85.38</v>
      </c>
      <c r="BN3410">
        <v>654.55999999999995</v>
      </c>
      <c r="BO3410">
        <v>654.55999999999995</v>
      </c>
      <c r="BQ3410" t="s">
        <v>207</v>
      </c>
      <c r="BR3410" t="s">
        <v>84</v>
      </c>
      <c r="BS3410" s="3">
        <v>45862</v>
      </c>
      <c r="BT3410" s="4">
        <v>0.41875000000000001</v>
      </c>
      <c r="BU3410" t="s">
        <v>2861</v>
      </c>
      <c r="BV3410" t="s">
        <v>98</v>
      </c>
      <c r="BY3410">
        <v>78304</v>
      </c>
      <c r="CA3410" t="s">
        <v>196</v>
      </c>
      <c r="CC3410" t="s">
        <v>169</v>
      </c>
      <c r="CD3410">
        <v>6001</v>
      </c>
      <c r="CE3410" t="s">
        <v>145</v>
      </c>
      <c r="CF3410" s="3">
        <v>45862</v>
      </c>
      <c r="CI3410">
        <v>1</v>
      </c>
      <c r="CJ3410">
        <v>1</v>
      </c>
      <c r="CK3410">
        <v>21</v>
      </c>
      <c r="CL3410" t="s">
        <v>86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"080066751316"</f>
        <v>080066751316</v>
      </c>
      <c r="F3411" s="3">
        <v>45861</v>
      </c>
      <c r="G3411">
        <v>202604</v>
      </c>
      <c r="H3411" t="s">
        <v>75</v>
      </c>
      <c r="I3411" t="s">
        <v>76</v>
      </c>
      <c r="J3411" t="s">
        <v>77</v>
      </c>
      <c r="K3411" t="s">
        <v>78</v>
      </c>
      <c r="L3411" t="s">
        <v>295</v>
      </c>
      <c r="M3411" t="s">
        <v>296</v>
      </c>
      <c r="N3411" t="s">
        <v>297</v>
      </c>
      <c r="O3411" t="s">
        <v>82</v>
      </c>
      <c r="P3411" t="str">
        <f>"4170050456                    "</f>
        <v xml:space="preserve">4170050456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17.649999999999999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55.61</v>
      </c>
      <c r="BM3411">
        <v>8.34</v>
      </c>
      <c r="BN3411">
        <v>63.95</v>
      </c>
      <c r="BO3411">
        <v>63.95</v>
      </c>
      <c r="BQ3411" t="s">
        <v>298</v>
      </c>
      <c r="BR3411" t="s">
        <v>84</v>
      </c>
      <c r="BS3411" s="3">
        <v>45862</v>
      </c>
      <c r="BT3411" s="4">
        <v>0.31666666666666665</v>
      </c>
      <c r="BU3411" t="s">
        <v>299</v>
      </c>
      <c r="BV3411" t="s">
        <v>98</v>
      </c>
      <c r="BY3411">
        <v>1200</v>
      </c>
      <c r="CA3411" t="s">
        <v>300</v>
      </c>
      <c r="CC3411" t="s">
        <v>296</v>
      </c>
      <c r="CD3411">
        <v>1459</v>
      </c>
      <c r="CE3411" t="s">
        <v>121</v>
      </c>
      <c r="CF3411" s="3">
        <v>45863</v>
      </c>
      <c r="CI3411">
        <v>1</v>
      </c>
      <c r="CJ3411">
        <v>1</v>
      </c>
      <c r="CK3411">
        <v>22</v>
      </c>
      <c r="CL3411" t="s">
        <v>86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"080066751384"</f>
        <v>080066751384</v>
      </c>
      <c r="F3412" s="3">
        <v>45861</v>
      </c>
      <c r="G3412">
        <v>202604</v>
      </c>
      <c r="H3412" t="s">
        <v>75</v>
      </c>
      <c r="I3412" t="s">
        <v>76</v>
      </c>
      <c r="J3412" t="s">
        <v>77</v>
      </c>
      <c r="K3412" t="s">
        <v>78</v>
      </c>
      <c r="L3412" t="s">
        <v>168</v>
      </c>
      <c r="M3412" t="s">
        <v>169</v>
      </c>
      <c r="N3412" t="s">
        <v>412</v>
      </c>
      <c r="O3412" t="s">
        <v>82</v>
      </c>
      <c r="P3412" t="str">
        <f>"4170050409                    "</f>
        <v xml:space="preserve">4170050409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22.6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0.6</v>
      </c>
      <c r="BK3412">
        <v>2</v>
      </c>
      <c r="BL3412">
        <v>71.2</v>
      </c>
      <c r="BM3412">
        <v>10.68</v>
      </c>
      <c r="BN3412">
        <v>81.88</v>
      </c>
      <c r="BO3412">
        <v>81.88</v>
      </c>
      <c r="BQ3412" t="s">
        <v>413</v>
      </c>
      <c r="BR3412" t="s">
        <v>84</v>
      </c>
      <c r="BS3412" s="3">
        <v>45862</v>
      </c>
      <c r="BT3412" s="4">
        <v>0.38055555555555554</v>
      </c>
      <c r="BU3412" t="s">
        <v>470</v>
      </c>
      <c r="BV3412" t="s">
        <v>98</v>
      </c>
      <c r="BY3412">
        <v>3192</v>
      </c>
      <c r="CA3412" t="s">
        <v>415</v>
      </c>
      <c r="CC3412" t="s">
        <v>169</v>
      </c>
      <c r="CD3412">
        <v>6001</v>
      </c>
      <c r="CE3412" t="s">
        <v>145</v>
      </c>
      <c r="CF3412" s="3">
        <v>45862</v>
      </c>
      <c r="CI3412">
        <v>1</v>
      </c>
      <c r="CJ3412">
        <v>1</v>
      </c>
      <c r="CK3412">
        <v>21</v>
      </c>
      <c r="CL3412" t="s">
        <v>86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"080066751423"</f>
        <v>080066751423</v>
      </c>
      <c r="F3413" s="3">
        <v>45861</v>
      </c>
      <c r="G3413">
        <v>202604</v>
      </c>
      <c r="H3413" t="s">
        <v>75</v>
      </c>
      <c r="I3413" t="s">
        <v>76</v>
      </c>
      <c r="J3413" t="s">
        <v>77</v>
      </c>
      <c r="K3413" t="s">
        <v>78</v>
      </c>
      <c r="L3413" t="s">
        <v>240</v>
      </c>
      <c r="M3413" t="s">
        <v>241</v>
      </c>
      <c r="N3413" t="s">
        <v>447</v>
      </c>
      <c r="O3413" t="s">
        <v>82</v>
      </c>
      <c r="P3413" t="str">
        <f>"4170050478                    "</f>
        <v xml:space="preserve">4170050478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17.649999999999999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55.61</v>
      </c>
      <c r="BM3413">
        <v>8.34</v>
      </c>
      <c r="BN3413">
        <v>63.95</v>
      </c>
      <c r="BO3413">
        <v>63.95</v>
      </c>
      <c r="BQ3413" t="s">
        <v>448</v>
      </c>
      <c r="BR3413" t="s">
        <v>84</v>
      </c>
      <c r="BS3413" s="3">
        <v>45862</v>
      </c>
      <c r="BT3413" s="4">
        <v>0.43055555555555558</v>
      </c>
      <c r="BU3413" t="s">
        <v>3293</v>
      </c>
      <c r="BV3413" t="s">
        <v>98</v>
      </c>
      <c r="BY3413">
        <v>1200</v>
      </c>
      <c r="CA3413" t="s">
        <v>451</v>
      </c>
      <c r="CC3413" t="s">
        <v>241</v>
      </c>
      <c r="CD3413">
        <v>2094</v>
      </c>
      <c r="CE3413" t="s">
        <v>121</v>
      </c>
      <c r="CF3413" s="3">
        <v>45862</v>
      </c>
      <c r="CI3413">
        <v>1</v>
      </c>
      <c r="CJ3413">
        <v>1</v>
      </c>
      <c r="CK3413">
        <v>22</v>
      </c>
      <c r="CL3413" t="s">
        <v>86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"080066751487"</f>
        <v>080066751487</v>
      </c>
      <c r="F3414" s="3">
        <v>45861</v>
      </c>
      <c r="G3414">
        <v>202604</v>
      </c>
      <c r="H3414" t="s">
        <v>75</v>
      </c>
      <c r="I3414" t="s">
        <v>76</v>
      </c>
      <c r="J3414" t="s">
        <v>77</v>
      </c>
      <c r="K3414" t="s">
        <v>78</v>
      </c>
      <c r="L3414" t="s">
        <v>79</v>
      </c>
      <c r="M3414" t="s">
        <v>80</v>
      </c>
      <c r="N3414" t="s">
        <v>931</v>
      </c>
      <c r="O3414" t="s">
        <v>82</v>
      </c>
      <c r="P3414" t="str">
        <f>"4170050458                    "</f>
        <v xml:space="preserve">4170050458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22.6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71.2</v>
      </c>
      <c r="BM3414">
        <v>10.68</v>
      </c>
      <c r="BN3414">
        <v>81.88</v>
      </c>
      <c r="BO3414">
        <v>81.88</v>
      </c>
      <c r="BQ3414" t="s">
        <v>932</v>
      </c>
      <c r="BR3414" t="s">
        <v>84</v>
      </c>
      <c r="BS3414" s="3">
        <v>45862</v>
      </c>
      <c r="BT3414" s="4">
        <v>0.3923611111111111</v>
      </c>
      <c r="BU3414" t="s">
        <v>3309</v>
      </c>
      <c r="BV3414" t="s">
        <v>98</v>
      </c>
      <c r="BY3414">
        <v>1200</v>
      </c>
      <c r="CA3414" t="s">
        <v>934</v>
      </c>
      <c r="CC3414" t="s">
        <v>80</v>
      </c>
      <c r="CD3414">
        <v>7535</v>
      </c>
      <c r="CE3414" t="s">
        <v>121</v>
      </c>
      <c r="CF3414" s="3">
        <v>45863</v>
      </c>
      <c r="CI3414">
        <v>1</v>
      </c>
      <c r="CJ3414">
        <v>1</v>
      </c>
      <c r="CK3414">
        <v>21</v>
      </c>
      <c r="CL3414" t="s">
        <v>86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"080066751547"</f>
        <v>080066751547</v>
      </c>
      <c r="F3415" s="3">
        <v>45861</v>
      </c>
      <c r="G3415">
        <v>202604</v>
      </c>
      <c r="H3415" t="s">
        <v>75</v>
      </c>
      <c r="I3415" t="s">
        <v>76</v>
      </c>
      <c r="J3415" t="s">
        <v>77</v>
      </c>
      <c r="K3415" t="s">
        <v>78</v>
      </c>
      <c r="L3415" t="s">
        <v>168</v>
      </c>
      <c r="M3415" t="s">
        <v>169</v>
      </c>
      <c r="N3415" t="s">
        <v>202</v>
      </c>
      <c r="O3415" t="s">
        <v>82</v>
      </c>
      <c r="P3415" t="str">
        <f>"4170050469                    "</f>
        <v xml:space="preserve">4170050469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22.6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71.2</v>
      </c>
      <c r="BM3415">
        <v>10.68</v>
      </c>
      <c r="BN3415">
        <v>81.88</v>
      </c>
      <c r="BO3415">
        <v>81.88</v>
      </c>
      <c r="BQ3415" t="s">
        <v>203</v>
      </c>
      <c r="BR3415" t="s">
        <v>84</v>
      </c>
      <c r="BS3415" s="3">
        <v>45862</v>
      </c>
      <c r="BT3415" s="4">
        <v>0.40555555555555556</v>
      </c>
      <c r="BU3415" t="s">
        <v>204</v>
      </c>
      <c r="BV3415" t="s">
        <v>98</v>
      </c>
      <c r="BY3415">
        <v>1200</v>
      </c>
      <c r="CA3415" t="s">
        <v>205</v>
      </c>
      <c r="CC3415" t="s">
        <v>169</v>
      </c>
      <c r="CD3415">
        <v>6001</v>
      </c>
      <c r="CE3415" t="s">
        <v>121</v>
      </c>
      <c r="CF3415" s="3">
        <v>45862</v>
      </c>
      <c r="CI3415">
        <v>1</v>
      </c>
      <c r="CJ3415">
        <v>1</v>
      </c>
      <c r="CK3415">
        <v>21</v>
      </c>
      <c r="CL3415" t="s">
        <v>86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"080066751699"</f>
        <v>080066751699</v>
      </c>
      <c r="F3416" s="3">
        <v>45861</v>
      </c>
      <c r="G3416">
        <v>202604</v>
      </c>
      <c r="H3416" t="s">
        <v>75</v>
      </c>
      <c r="I3416" t="s">
        <v>76</v>
      </c>
      <c r="J3416" t="s">
        <v>77</v>
      </c>
      <c r="K3416" t="s">
        <v>78</v>
      </c>
      <c r="L3416" t="s">
        <v>79</v>
      </c>
      <c r="M3416" t="s">
        <v>80</v>
      </c>
      <c r="N3416" t="s">
        <v>141</v>
      </c>
      <c r="O3416" t="s">
        <v>82</v>
      </c>
      <c r="P3416" t="str">
        <f>"4170050566                    "</f>
        <v xml:space="preserve">4170050566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22.6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71.2</v>
      </c>
      <c r="BM3416">
        <v>10.68</v>
      </c>
      <c r="BN3416">
        <v>81.88</v>
      </c>
      <c r="BO3416">
        <v>81.88</v>
      </c>
      <c r="BQ3416" t="s">
        <v>142</v>
      </c>
      <c r="BR3416" t="s">
        <v>84</v>
      </c>
      <c r="BS3416" s="3">
        <v>45862</v>
      </c>
      <c r="BT3416" s="4">
        <v>0.42152777777777778</v>
      </c>
      <c r="BU3416" t="s">
        <v>2437</v>
      </c>
      <c r="BV3416" t="s">
        <v>98</v>
      </c>
      <c r="BY3416">
        <v>1200</v>
      </c>
      <c r="CA3416" t="s">
        <v>144</v>
      </c>
      <c r="CC3416" t="s">
        <v>80</v>
      </c>
      <c r="CD3416">
        <v>7441</v>
      </c>
      <c r="CE3416" t="s">
        <v>121</v>
      </c>
      <c r="CF3416" s="3">
        <v>45863</v>
      </c>
      <c r="CI3416">
        <v>1</v>
      </c>
      <c r="CJ3416">
        <v>1</v>
      </c>
      <c r="CK3416">
        <v>21</v>
      </c>
      <c r="CL3416" t="s">
        <v>86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"080066752333"</f>
        <v>080066752333</v>
      </c>
      <c r="F3417" s="3">
        <v>45861</v>
      </c>
      <c r="G3417">
        <v>202604</v>
      </c>
      <c r="H3417" t="s">
        <v>75</v>
      </c>
      <c r="I3417" t="s">
        <v>76</v>
      </c>
      <c r="J3417" t="s">
        <v>77</v>
      </c>
      <c r="K3417" t="s">
        <v>78</v>
      </c>
      <c r="L3417" t="s">
        <v>542</v>
      </c>
      <c r="M3417" t="s">
        <v>543</v>
      </c>
      <c r="N3417" t="s">
        <v>3320</v>
      </c>
      <c r="O3417" t="s">
        <v>82</v>
      </c>
      <c r="P3417" t="str">
        <f>"4170050582                    "</f>
        <v xml:space="preserve">4170050582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17.649999999999999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3</v>
      </c>
      <c r="BJ3417">
        <v>1.6</v>
      </c>
      <c r="BK3417">
        <v>3</v>
      </c>
      <c r="BL3417">
        <v>55.61</v>
      </c>
      <c r="BM3417">
        <v>8.34</v>
      </c>
      <c r="BN3417">
        <v>63.95</v>
      </c>
      <c r="BO3417">
        <v>63.95</v>
      </c>
      <c r="BQ3417" t="s">
        <v>3321</v>
      </c>
      <c r="BR3417" t="s">
        <v>84</v>
      </c>
      <c r="BS3417" s="3">
        <v>45862</v>
      </c>
      <c r="BT3417" s="4">
        <v>0.39930555555555558</v>
      </c>
      <c r="BU3417" t="s">
        <v>2914</v>
      </c>
      <c r="BV3417" t="s">
        <v>98</v>
      </c>
      <c r="BY3417">
        <v>8208</v>
      </c>
      <c r="CA3417" t="s">
        <v>748</v>
      </c>
      <c r="CC3417" t="s">
        <v>543</v>
      </c>
      <c r="CD3417">
        <v>1451</v>
      </c>
      <c r="CE3417" t="s">
        <v>91</v>
      </c>
      <c r="CF3417" s="3">
        <v>45862</v>
      </c>
      <c r="CI3417">
        <v>1</v>
      </c>
      <c r="CJ3417">
        <v>1</v>
      </c>
      <c r="CK3417">
        <v>22</v>
      </c>
      <c r="CL3417" t="s">
        <v>86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"080011575146"</f>
        <v>080011575146</v>
      </c>
      <c r="F3418" s="3">
        <v>45861</v>
      </c>
      <c r="G3418">
        <v>202604</v>
      </c>
      <c r="H3418" t="s">
        <v>329</v>
      </c>
      <c r="I3418" t="s">
        <v>330</v>
      </c>
      <c r="J3418" t="s">
        <v>2754</v>
      </c>
      <c r="K3418" t="s">
        <v>78</v>
      </c>
      <c r="L3418" t="s">
        <v>1768</v>
      </c>
      <c r="M3418" t="s">
        <v>1769</v>
      </c>
      <c r="N3418" t="s">
        <v>3324</v>
      </c>
      <c r="O3418" t="s">
        <v>82</v>
      </c>
      <c r="P3418" t="str">
        <f>"Upliftment                    "</f>
        <v xml:space="preserve">Upliftment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43.78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137.94</v>
      </c>
      <c r="BM3418">
        <v>20.69</v>
      </c>
      <c r="BN3418">
        <v>158.63</v>
      </c>
      <c r="BO3418">
        <v>158.63</v>
      </c>
      <c r="BP3418" t="s">
        <v>587</v>
      </c>
      <c r="BQ3418" t="s">
        <v>3325</v>
      </c>
      <c r="BR3418" t="s">
        <v>3326</v>
      </c>
      <c r="BS3418" s="3">
        <v>45862</v>
      </c>
      <c r="BT3418" s="4">
        <v>0.43402777777777779</v>
      </c>
      <c r="BU3418" t="s">
        <v>1772</v>
      </c>
      <c r="BV3418" t="s">
        <v>98</v>
      </c>
      <c r="BY3418">
        <v>1200</v>
      </c>
      <c r="BZ3418" t="s">
        <v>3327</v>
      </c>
      <c r="CA3418" t="s">
        <v>3328</v>
      </c>
      <c r="CC3418" t="s">
        <v>1769</v>
      </c>
      <c r="CD3418">
        <v>2302</v>
      </c>
      <c r="CE3418" t="s">
        <v>233</v>
      </c>
      <c r="CF3418" s="3">
        <v>45862</v>
      </c>
      <c r="CI3418">
        <v>1</v>
      </c>
      <c r="CJ3418">
        <v>1</v>
      </c>
      <c r="CK3418">
        <v>23</v>
      </c>
      <c r="CL3418" t="s">
        <v>86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"080011575878"</f>
        <v>080011575878</v>
      </c>
      <c r="F3419" s="3">
        <v>45861</v>
      </c>
      <c r="G3419">
        <v>202604</v>
      </c>
      <c r="H3419" t="s">
        <v>92</v>
      </c>
      <c r="I3419" t="s">
        <v>93</v>
      </c>
      <c r="J3419" t="s">
        <v>3329</v>
      </c>
      <c r="K3419" t="s">
        <v>78</v>
      </c>
      <c r="L3419" t="s">
        <v>75</v>
      </c>
      <c r="M3419" t="s">
        <v>76</v>
      </c>
      <c r="N3419" t="s">
        <v>228</v>
      </c>
      <c r="O3419" t="s">
        <v>82</v>
      </c>
      <c r="P3419" t="str">
        <f>"ZA1001393400                  "</f>
        <v xml:space="preserve">ZA1001393400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33.89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3</v>
      </c>
      <c r="BJ3419">
        <v>2.4</v>
      </c>
      <c r="BK3419">
        <v>3</v>
      </c>
      <c r="BL3419">
        <v>106.77</v>
      </c>
      <c r="BM3419">
        <v>16.02</v>
      </c>
      <c r="BN3419">
        <v>122.79</v>
      </c>
      <c r="BO3419">
        <v>122.79</v>
      </c>
      <c r="BP3419" t="s">
        <v>3330</v>
      </c>
      <c r="BQ3419" t="s">
        <v>230</v>
      </c>
      <c r="BR3419" t="s">
        <v>3331</v>
      </c>
      <c r="BS3419" s="3">
        <v>45862</v>
      </c>
      <c r="BT3419" s="4">
        <v>0.39930555555555558</v>
      </c>
      <c r="BU3419" t="s">
        <v>864</v>
      </c>
      <c r="BV3419" t="s">
        <v>98</v>
      </c>
      <c r="BY3419">
        <v>12000</v>
      </c>
      <c r="BZ3419" t="s">
        <v>89</v>
      </c>
      <c r="CC3419" t="s">
        <v>76</v>
      </c>
      <c r="CD3419">
        <v>1618</v>
      </c>
      <c r="CE3419" t="s">
        <v>233</v>
      </c>
      <c r="CF3419" s="3">
        <v>45862</v>
      </c>
      <c r="CI3419">
        <v>1</v>
      </c>
      <c r="CJ3419">
        <v>1</v>
      </c>
      <c r="CK3419">
        <v>21</v>
      </c>
      <c r="CL3419" t="s">
        <v>86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"080011575960"</f>
        <v>080011575960</v>
      </c>
      <c r="F3420" s="3">
        <v>45861</v>
      </c>
      <c r="G3420">
        <v>202604</v>
      </c>
      <c r="H3420" t="s">
        <v>168</v>
      </c>
      <c r="I3420" t="s">
        <v>169</v>
      </c>
      <c r="J3420" t="s">
        <v>3332</v>
      </c>
      <c r="K3420" t="s">
        <v>78</v>
      </c>
      <c r="L3420" t="s">
        <v>75</v>
      </c>
      <c r="M3420" t="s">
        <v>76</v>
      </c>
      <c r="N3420" t="s">
        <v>228</v>
      </c>
      <c r="O3420" t="s">
        <v>82</v>
      </c>
      <c r="P3420" t="str">
        <f>"ZA1001398772                  "</f>
        <v xml:space="preserve">ZA1001398772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22.6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71.2</v>
      </c>
      <c r="BM3420">
        <v>10.68</v>
      </c>
      <c r="BN3420">
        <v>81.88</v>
      </c>
      <c r="BO3420">
        <v>81.88</v>
      </c>
      <c r="BP3420" t="s">
        <v>3333</v>
      </c>
      <c r="BQ3420" t="s">
        <v>230</v>
      </c>
      <c r="BR3420" t="s">
        <v>3334</v>
      </c>
      <c r="BS3420" s="3">
        <v>45862</v>
      </c>
      <c r="BT3420" s="4">
        <v>0.39930555555555558</v>
      </c>
      <c r="BU3420" t="s">
        <v>232</v>
      </c>
      <c r="BV3420" t="s">
        <v>98</v>
      </c>
      <c r="BY3420">
        <v>1200</v>
      </c>
      <c r="BZ3420" t="s">
        <v>89</v>
      </c>
      <c r="CA3420" t="s">
        <v>304</v>
      </c>
      <c r="CC3420" t="s">
        <v>76</v>
      </c>
      <c r="CD3420">
        <v>1619</v>
      </c>
      <c r="CE3420" t="s">
        <v>2756</v>
      </c>
      <c r="CF3420" s="3">
        <v>45862</v>
      </c>
      <c r="CI3420">
        <v>1</v>
      </c>
      <c r="CJ3420">
        <v>1</v>
      </c>
      <c r="CK3420">
        <v>21</v>
      </c>
      <c r="CL3420" t="s">
        <v>86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"080011576388"</f>
        <v>080011576388</v>
      </c>
      <c r="F3421" s="3">
        <v>45861</v>
      </c>
      <c r="G3421">
        <v>202604</v>
      </c>
      <c r="H3421" t="s">
        <v>79</v>
      </c>
      <c r="I3421" t="s">
        <v>80</v>
      </c>
      <c r="J3421" t="s">
        <v>3335</v>
      </c>
      <c r="K3421" t="s">
        <v>78</v>
      </c>
      <c r="L3421" t="s">
        <v>75</v>
      </c>
      <c r="M3421" t="s">
        <v>76</v>
      </c>
      <c r="N3421" t="s">
        <v>228</v>
      </c>
      <c r="O3421" t="s">
        <v>95</v>
      </c>
      <c r="P3421" t="str">
        <f>"ZA1001399423                  "</f>
        <v xml:space="preserve">ZA1001399423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43.7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0.4</v>
      </c>
      <c r="BJ3421">
        <v>2.1</v>
      </c>
      <c r="BK3421">
        <v>3</v>
      </c>
      <c r="BL3421">
        <v>143.55000000000001</v>
      </c>
      <c r="BM3421">
        <v>21.53</v>
      </c>
      <c r="BN3421">
        <v>165.08</v>
      </c>
      <c r="BO3421">
        <v>165.08</v>
      </c>
      <c r="BP3421" t="s">
        <v>3336</v>
      </c>
      <c r="BQ3421" t="s">
        <v>230</v>
      </c>
      <c r="BR3421" t="s">
        <v>3337</v>
      </c>
      <c r="BS3421" s="3">
        <v>45863</v>
      </c>
      <c r="BT3421" s="4">
        <v>0.45416666666666666</v>
      </c>
      <c r="BU3421" t="s">
        <v>1899</v>
      </c>
      <c r="BV3421" t="s">
        <v>98</v>
      </c>
      <c r="BY3421">
        <v>10602.59</v>
      </c>
      <c r="BZ3421" t="s">
        <v>99</v>
      </c>
      <c r="CA3421" t="s">
        <v>304</v>
      </c>
      <c r="CC3421" t="s">
        <v>76</v>
      </c>
      <c r="CD3421">
        <v>1619</v>
      </c>
      <c r="CE3421" t="s">
        <v>233</v>
      </c>
      <c r="CF3421" s="3">
        <v>45863</v>
      </c>
      <c r="CI3421">
        <v>3</v>
      </c>
      <c r="CJ3421">
        <v>2</v>
      </c>
      <c r="CK3421">
        <v>41</v>
      </c>
      <c r="CL3421" t="s">
        <v>86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"080066751755"</f>
        <v>080066751755</v>
      </c>
      <c r="F3422" s="3">
        <v>45861</v>
      </c>
      <c r="G3422">
        <v>202604</v>
      </c>
      <c r="H3422" t="s">
        <v>75</v>
      </c>
      <c r="I3422" t="s">
        <v>76</v>
      </c>
      <c r="J3422" t="s">
        <v>77</v>
      </c>
      <c r="K3422" t="s">
        <v>78</v>
      </c>
      <c r="L3422" t="s">
        <v>174</v>
      </c>
      <c r="M3422" t="s">
        <v>175</v>
      </c>
      <c r="N3422" t="s">
        <v>176</v>
      </c>
      <c r="O3422" t="s">
        <v>82</v>
      </c>
      <c r="P3422" t="str">
        <f>"4170050378                    "</f>
        <v xml:space="preserve">4170050378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22.6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71.2</v>
      </c>
      <c r="BM3422">
        <v>10.68</v>
      </c>
      <c r="BN3422">
        <v>81.88</v>
      </c>
      <c r="BO3422">
        <v>81.88</v>
      </c>
      <c r="BQ3422" t="s">
        <v>177</v>
      </c>
      <c r="BR3422" t="s">
        <v>84</v>
      </c>
      <c r="BS3422" s="3">
        <v>45862</v>
      </c>
      <c r="BT3422" s="4">
        <v>0.43125000000000002</v>
      </c>
      <c r="BU3422" t="s">
        <v>3290</v>
      </c>
      <c r="BV3422" t="s">
        <v>98</v>
      </c>
      <c r="BY3422">
        <v>1200</v>
      </c>
      <c r="CA3422" t="s">
        <v>173</v>
      </c>
      <c r="CC3422" t="s">
        <v>175</v>
      </c>
      <c r="CD3422">
        <v>6220</v>
      </c>
      <c r="CE3422" t="s">
        <v>121</v>
      </c>
      <c r="CF3422" s="3">
        <v>45862</v>
      </c>
      <c r="CI3422">
        <v>1</v>
      </c>
      <c r="CJ3422">
        <v>1</v>
      </c>
      <c r="CK3422">
        <v>21</v>
      </c>
      <c r="CL3422" t="s">
        <v>86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"080066751814"</f>
        <v>080066751814</v>
      </c>
      <c r="F3423" s="3">
        <v>45861</v>
      </c>
      <c r="G3423">
        <v>202604</v>
      </c>
      <c r="H3423" t="s">
        <v>75</v>
      </c>
      <c r="I3423" t="s">
        <v>76</v>
      </c>
      <c r="J3423" t="s">
        <v>77</v>
      </c>
      <c r="K3423" t="s">
        <v>78</v>
      </c>
      <c r="L3423" t="s">
        <v>168</v>
      </c>
      <c r="M3423" t="s">
        <v>169</v>
      </c>
      <c r="N3423" t="s">
        <v>1673</v>
      </c>
      <c r="O3423" t="s">
        <v>82</v>
      </c>
      <c r="P3423" t="str">
        <f>"4170050493                    "</f>
        <v xml:space="preserve">4170050493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22.6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71.2</v>
      </c>
      <c r="BM3423">
        <v>10.68</v>
      </c>
      <c r="BN3423">
        <v>81.88</v>
      </c>
      <c r="BO3423">
        <v>81.88</v>
      </c>
      <c r="BQ3423" t="s">
        <v>1674</v>
      </c>
      <c r="BR3423" t="s">
        <v>84</v>
      </c>
      <c r="BS3423" s="3">
        <v>45862</v>
      </c>
      <c r="BT3423" s="4">
        <v>0.39583333333333331</v>
      </c>
      <c r="BU3423" t="s">
        <v>2676</v>
      </c>
      <c r="BV3423" t="s">
        <v>98</v>
      </c>
      <c r="BY3423">
        <v>1200</v>
      </c>
      <c r="CA3423" t="s">
        <v>423</v>
      </c>
      <c r="CC3423" t="s">
        <v>169</v>
      </c>
      <c r="CD3423">
        <v>6001</v>
      </c>
      <c r="CE3423" t="s">
        <v>121</v>
      </c>
      <c r="CF3423" s="3">
        <v>45862</v>
      </c>
      <c r="CI3423">
        <v>1</v>
      </c>
      <c r="CJ3423">
        <v>1</v>
      </c>
      <c r="CK3423">
        <v>21</v>
      </c>
      <c r="CL3423" t="s">
        <v>86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"080066751884"</f>
        <v>080066751884</v>
      </c>
      <c r="F3424" s="3">
        <v>45861</v>
      </c>
      <c r="G3424">
        <v>202604</v>
      </c>
      <c r="H3424" t="s">
        <v>75</v>
      </c>
      <c r="I3424" t="s">
        <v>76</v>
      </c>
      <c r="J3424" t="s">
        <v>77</v>
      </c>
      <c r="K3424" t="s">
        <v>78</v>
      </c>
      <c r="L3424" t="s">
        <v>221</v>
      </c>
      <c r="M3424" t="s">
        <v>222</v>
      </c>
      <c r="N3424" t="s">
        <v>223</v>
      </c>
      <c r="O3424" t="s">
        <v>82</v>
      </c>
      <c r="P3424" t="str">
        <f>"4170050587                    "</f>
        <v xml:space="preserve">4170050587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43.78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137.94</v>
      </c>
      <c r="BM3424">
        <v>20.69</v>
      </c>
      <c r="BN3424">
        <v>158.63</v>
      </c>
      <c r="BO3424">
        <v>158.63</v>
      </c>
      <c r="BQ3424" t="s">
        <v>224</v>
      </c>
      <c r="BR3424" t="s">
        <v>84</v>
      </c>
      <c r="BS3424" s="3">
        <v>45862</v>
      </c>
      <c r="BT3424" s="4">
        <v>0.38541666666666669</v>
      </c>
      <c r="BU3424" t="s">
        <v>2049</v>
      </c>
      <c r="BV3424" t="s">
        <v>98</v>
      </c>
      <c r="BY3424">
        <v>1200</v>
      </c>
      <c r="CC3424" t="s">
        <v>222</v>
      </c>
      <c r="CD3424">
        <v>2740</v>
      </c>
      <c r="CE3424" t="s">
        <v>121</v>
      </c>
      <c r="CF3424" s="3">
        <v>45863</v>
      </c>
      <c r="CI3424">
        <v>1</v>
      </c>
      <c r="CJ3424">
        <v>1</v>
      </c>
      <c r="CK3424">
        <v>23</v>
      </c>
      <c r="CL3424" t="s">
        <v>86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"080066751938"</f>
        <v>080066751938</v>
      </c>
      <c r="F3425" s="3">
        <v>45861</v>
      </c>
      <c r="G3425">
        <v>202604</v>
      </c>
      <c r="H3425" t="s">
        <v>75</v>
      </c>
      <c r="I3425" t="s">
        <v>76</v>
      </c>
      <c r="J3425" t="s">
        <v>77</v>
      </c>
      <c r="K3425" t="s">
        <v>78</v>
      </c>
      <c r="L3425" t="s">
        <v>168</v>
      </c>
      <c r="M3425" t="s">
        <v>169</v>
      </c>
      <c r="N3425" t="s">
        <v>487</v>
      </c>
      <c r="O3425" t="s">
        <v>82</v>
      </c>
      <c r="P3425" t="str">
        <f>"4170050482                    "</f>
        <v xml:space="preserve">4170050482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22.6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71.2</v>
      </c>
      <c r="BM3425">
        <v>10.68</v>
      </c>
      <c r="BN3425">
        <v>81.88</v>
      </c>
      <c r="BO3425">
        <v>81.88</v>
      </c>
      <c r="BQ3425" t="s">
        <v>488</v>
      </c>
      <c r="BR3425" t="s">
        <v>84</v>
      </c>
      <c r="BS3425" s="3">
        <v>45862</v>
      </c>
      <c r="BT3425" s="4">
        <v>0.4236111111111111</v>
      </c>
      <c r="BU3425" t="s">
        <v>1554</v>
      </c>
      <c r="BV3425" t="s">
        <v>98</v>
      </c>
      <c r="BY3425">
        <v>1200</v>
      </c>
      <c r="CA3425" t="s">
        <v>415</v>
      </c>
      <c r="CC3425" t="s">
        <v>169</v>
      </c>
      <c r="CD3425">
        <v>6012</v>
      </c>
      <c r="CE3425" t="s">
        <v>121</v>
      </c>
      <c r="CF3425" s="3">
        <v>45862</v>
      </c>
      <c r="CI3425">
        <v>1</v>
      </c>
      <c r="CJ3425">
        <v>1</v>
      </c>
      <c r="CK3425">
        <v>21</v>
      </c>
      <c r="CL3425" t="s">
        <v>86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"080066751983"</f>
        <v>080066751983</v>
      </c>
      <c r="F3426" s="3">
        <v>45861</v>
      </c>
      <c r="G3426">
        <v>202604</v>
      </c>
      <c r="H3426" t="s">
        <v>75</v>
      </c>
      <c r="I3426" t="s">
        <v>76</v>
      </c>
      <c r="J3426" t="s">
        <v>77</v>
      </c>
      <c r="K3426" t="s">
        <v>78</v>
      </c>
      <c r="L3426" t="s">
        <v>168</v>
      </c>
      <c r="M3426" t="s">
        <v>169</v>
      </c>
      <c r="N3426" t="s">
        <v>2157</v>
      </c>
      <c r="O3426" t="s">
        <v>82</v>
      </c>
      <c r="P3426" t="str">
        <f>"4170050575                    "</f>
        <v xml:space="preserve">4170050575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22.6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71.2</v>
      </c>
      <c r="BM3426">
        <v>10.68</v>
      </c>
      <c r="BN3426">
        <v>81.88</v>
      </c>
      <c r="BO3426">
        <v>81.88</v>
      </c>
      <c r="BQ3426" t="s">
        <v>2158</v>
      </c>
      <c r="BR3426" t="s">
        <v>84</v>
      </c>
      <c r="BS3426" s="3">
        <v>45862</v>
      </c>
      <c r="BT3426" s="4">
        <v>0.37916666666666665</v>
      </c>
      <c r="BU3426" t="s">
        <v>414</v>
      </c>
      <c r="BV3426" t="s">
        <v>98</v>
      </c>
      <c r="BY3426">
        <v>1200</v>
      </c>
      <c r="CA3426" t="s">
        <v>415</v>
      </c>
      <c r="CC3426" t="s">
        <v>169</v>
      </c>
      <c r="CD3426">
        <v>6001</v>
      </c>
      <c r="CE3426" t="s">
        <v>121</v>
      </c>
      <c r="CF3426" s="3">
        <v>45862</v>
      </c>
      <c r="CI3426">
        <v>1</v>
      </c>
      <c r="CJ3426">
        <v>1</v>
      </c>
      <c r="CK3426">
        <v>21</v>
      </c>
      <c r="CL3426" t="s">
        <v>86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"080066752207"</f>
        <v>080066752207</v>
      </c>
      <c r="F3427" s="3">
        <v>45861</v>
      </c>
      <c r="G3427">
        <v>202604</v>
      </c>
      <c r="H3427" t="s">
        <v>75</v>
      </c>
      <c r="I3427" t="s">
        <v>76</v>
      </c>
      <c r="J3427" t="s">
        <v>77</v>
      </c>
      <c r="K3427" t="s">
        <v>78</v>
      </c>
      <c r="L3427" t="s">
        <v>79</v>
      </c>
      <c r="M3427" t="s">
        <v>80</v>
      </c>
      <c r="N3427" t="s">
        <v>1919</v>
      </c>
      <c r="O3427" t="s">
        <v>82</v>
      </c>
      <c r="P3427" t="str">
        <f>"4170050577                    "</f>
        <v xml:space="preserve">4170050577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22.6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1.7</v>
      </c>
      <c r="BK3427">
        <v>2</v>
      </c>
      <c r="BL3427">
        <v>71.2</v>
      </c>
      <c r="BM3427">
        <v>10.68</v>
      </c>
      <c r="BN3427">
        <v>81.88</v>
      </c>
      <c r="BO3427">
        <v>81.88</v>
      </c>
      <c r="BQ3427" t="s">
        <v>1920</v>
      </c>
      <c r="BR3427" t="s">
        <v>84</v>
      </c>
      <c r="BS3427" s="3">
        <v>45862</v>
      </c>
      <c r="BT3427" s="4">
        <v>0.43611111111111112</v>
      </c>
      <c r="BU3427" t="s">
        <v>3177</v>
      </c>
      <c r="BV3427" t="s">
        <v>98</v>
      </c>
      <c r="BY3427">
        <v>8512</v>
      </c>
      <c r="CA3427" t="s">
        <v>579</v>
      </c>
      <c r="CC3427" t="s">
        <v>80</v>
      </c>
      <c r="CD3427">
        <v>7460</v>
      </c>
      <c r="CE3427" t="s">
        <v>110</v>
      </c>
      <c r="CF3427" s="3">
        <v>45863</v>
      </c>
      <c r="CI3427">
        <v>1</v>
      </c>
      <c r="CJ3427">
        <v>1</v>
      </c>
      <c r="CK3427">
        <v>21</v>
      </c>
      <c r="CL3427" t="s">
        <v>86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"080066752273"</f>
        <v>080066752273</v>
      </c>
      <c r="F3428" s="3">
        <v>45861</v>
      </c>
      <c r="G3428">
        <v>202604</v>
      </c>
      <c r="H3428" t="s">
        <v>75</v>
      </c>
      <c r="I3428" t="s">
        <v>76</v>
      </c>
      <c r="J3428" t="s">
        <v>77</v>
      </c>
      <c r="K3428" t="s">
        <v>78</v>
      </c>
      <c r="L3428" t="s">
        <v>135</v>
      </c>
      <c r="M3428" t="s">
        <v>136</v>
      </c>
      <c r="N3428" t="s">
        <v>2825</v>
      </c>
      <c r="O3428" t="s">
        <v>82</v>
      </c>
      <c r="P3428" t="str">
        <f>"4170050501                    "</f>
        <v xml:space="preserve">4170050501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22.6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1.1000000000000001</v>
      </c>
      <c r="BK3428">
        <v>1.5</v>
      </c>
      <c r="BL3428">
        <v>71.2</v>
      </c>
      <c r="BM3428">
        <v>10.68</v>
      </c>
      <c r="BN3428">
        <v>81.88</v>
      </c>
      <c r="BO3428">
        <v>81.88</v>
      </c>
      <c r="BQ3428" t="s">
        <v>2826</v>
      </c>
      <c r="BR3428" t="s">
        <v>84</v>
      </c>
      <c r="BS3428" s="3">
        <v>45863</v>
      </c>
      <c r="BT3428" s="4">
        <v>0.41666666666666669</v>
      </c>
      <c r="BU3428" t="s">
        <v>3338</v>
      </c>
      <c r="BV3428" t="s">
        <v>98</v>
      </c>
      <c r="BY3428">
        <v>5320</v>
      </c>
      <c r="CA3428" t="s">
        <v>349</v>
      </c>
      <c r="CC3428" t="s">
        <v>136</v>
      </c>
      <c r="CD3428">
        <v>3201</v>
      </c>
      <c r="CE3428" t="s">
        <v>110</v>
      </c>
      <c r="CF3428" s="3">
        <v>45864</v>
      </c>
      <c r="CI3428">
        <v>5</v>
      </c>
      <c r="CJ3428">
        <v>2</v>
      </c>
      <c r="CK3428">
        <v>21</v>
      </c>
      <c r="CL3428" t="s">
        <v>86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"080066752377"</f>
        <v>080066752377</v>
      </c>
      <c r="F3429" s="3">
        <v>45861</v>
      </c>
      <c r="G3429">
        <v>202604</v>
      </c>
      <c r="H3429" t="s">
        <v>75</v>
      </c>
      <c r="I3429" t="s">
        <v>76</v>
      </c>
      <c r="J3429" t="s">
        <v>77</v>
      </c>
      <c r="K3429" t="s">
        <v>78</v>
      </c>
      <c r="L3429" t="s">
        <v>168</v>
      </c>
      <c r="M3429" t="s">
        <v>169</v>
      </c>
      <c r="N3429" t="s">
        <v>420</v>
      </c>
      <c r="O3429" t="s">
        <v>82</v>
      </c>
      <c r="P3429" t="str">
        <f>"4170050570                    "</f>
        <v xml:space="preserve">4170050570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67.760000000000005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6</v>
      </c>
      <c r="BJ3429">
        <v>3.4</v>
      </c>
      <c r="BK3429">
        <v>6</v>
      </c>
      <c r="BL3429">
        <v>213.48</v>
      </c>
      <c r="BM3429">
        <v>32.020000000000003</v>
      </c>
      <c r="BN3429">
        <v>245.5</v>
      </c>
      <c r="BO3429">
        <v>245.5</v>
      </c>
      <c r="BQ3429" t="s">
        <v>421</v>
      </c>
      <c r="BR3429" t="s">
        <v>84</v>
      </c>
      <c r="BS3429" s="3">
        <v>45862</v>
      </c>
      <c r="BT3429" s="4">
        <v>0.54166666666666663</v>
      </c>
      <c r="BU3429" t="s">
        <v>1600</v>
      </c>
      <c r="BV3429" t="s">
        <v>86</v>
      </c>
      <c r="BW3429" t="s">
        <v>194</v>
      </c>
      <c r="BX3429" t="s">
        <v>1382</v>
      </c>
      <c r="BY3429">
        <v>16965</v>
      </c>
      <c r="CA3429" t="s">
        <v>3339</v>
      </c>
      <c r="CC3429" t="s">
        <v>169</v>
      </c>
      <c r="CD3429">
        <v>6001</v>
      </c>
      <c r="CE3429" t="s">
        <v>145</v>
      </c>
      <c r="CF3429" s="3">
        <v>45862</v>
      </c>
      <c r="CI3429">
        <v>1</v>
      </c>
      <c r="CJ3429">
        <v>1</v>
      </c>
      <c r="CK3429">
        <v>21</v>
      </c>
      <c r="CL3429" t="s">
        <v>86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"080066752405"</f>
        <v>080066752405</v>
      </c>
      <c r="F3430" s="3">
        <v>45861</v>
      </c>
      <c r="G3430">
        <v>202604</v>
      </c>
      <c r="H3430" t="s">
        <v>75</v>
      </c>
      <c r="I3430" t="s">
        <v>76</v>
      </c>
      <c r="J3430" t="s">
        <v>77</v>
      </c>
      <c r="K3430" t="s">
        <v>78</v>
      </c>
      <c r="L3430" t="s">
        <v>542</v>
      </c>
      <c r="M3430" t="s">
        <v>543</v>
      </c>
      <c r="N3430" t="s">
        <v>352</v>
      </c>
      <c r="O3430" t="s">
        <v>82</v>
      </c>
      <c r="P3430" t="str">
        <f>"4170050357                    "</f>
        <v xml:space="preserve">4170050357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17.649999999999999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2</v>
      </c>
      <c r="BJ3430">
        <v>1.1000000000000001</v>
      </c>
      <c r="BK3430">
        <v>2</v>
      </c>
      <c r="BL3430">
        <v>55.61</v>
      </c>
      <c r="BM3430">
        <v>8.34</v>
      </c>
      <c r="BN3430">
        <v>63.95</v>
      </c>
      <c r="BO3430">
        <v>63.95</v>
      </c>
      <c r="BQ3430" t="s">
        <v>353</v>
      </c>
      <c r="BR3430" t="s">
        <v>84</v>
      </c>
      <c r="BS3430" s="3">
        <v>45862</v>
      </c>
      <c r="BT3430" s="4">
        <v>0.375</v>
      </c>
      <c r="BU3430" t="s">
        <v>3340</v>
      </c>
      <c r="BV3430" t="s">
        <v>98</v>
      </c>
      <c r="BY3430">
        <v>5320</v>
      </c>
      <c r="CA3430" t="s">
        <v>748</v>
      </c>
      <c r="CC3430" t="s">
        <v>543</v>
      </c>
      <c r="CD3430">
        <v>1451</v>
      </c>
      <c r="CE3430" t="s">
        <v>145</v>
      </c>
      <c r="CF3430" s="3">
        <v>45862</v>
      </c>
      <c r="CI3430">
        <v>1</v>
      </c>
      <c r="CJ3430">
        <v>1</v>
      </c>
      <c r="CK3430">
        <v>22</v>
      </c>
      <c r="CL3430" t="s">
        <v>86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"080066752433"</f>
        <v>080066752433</v>
      </c>
      <c r="F3431" s="3">
        <v>45861</v>
      </c>
      <c r="G3431">
        <v>202604</v>
      </c>
      <c r="H3431" t="s">
        <v>75</v>
      </c>
      <c r="I3431" t="s">
        <v>76</v>
      </c>
      <c r="J3431" t="s">
        <v>77</v>
      </c>
      <c r="K3431" t="s">
        <v>78</v>
      </c>
      <c r="L3431" t="s">
        <v>151</v>
      </c>
      <c r="M3431" t="s">
        <v>152</v>
      </c>
      <c r="N3431" t="s">
        <v>500</v>
      </c>
      <c r="O3431" t="s">
        <v>82</v>
      </c>
      <c r="P3431" t="str">
        <f>"4170050521                    "</f>
        <v xml:space="preserve">4170050521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22.6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71.2</v>
      </c>
      <c r="BM3431">
        <v>10.68</v>
      </c>
      <c r="BN3431">
        <v>81.88</v>
      </c>
      <c r="BO3431">
        <v>81.88</v>
      </c>
      <c r="BQ3431" t="s">
        <v>501</v>
      </c>
      <c r="BR3431" t="s">
        <v>84</v>
      </c>
      <c r="BS3431" s="3">
        <v>45862</v>
      </c>
      <c r="BT3431" s="4">
        <v>0.38194444444444442</v>
      </c>
      <c r="BU3431" t="s">
        <v>1722</v>
      </c>
      <c r="BV3431" t="s">
        <v>98</v>
      </c>
      <c r="BY3431">
        <v>1200</v>
      </c>
      <c r="CA3431" t="s">
        <v>388</v>
      </c>
      <c r="CC3431" t="s">
        <v>152</v>
      </c>
      <c r="CD3431" s="5" t="s">
        <v>157</v>
      </c>
      <c r="CE3431" t="s">
        <v>121</v>
      </c>
      <c r="CF3431" s="3">
        <v>45862</v>
      </c>
      <c r="CI3431">
        <v>1</v>
      </c>
      <c r="CJ3431">
        <v>1</v>
      </c>
      <c r="CK3431">
        <v>21</v>
      </c>
      <c r="CL3431" t="s">
        <v>86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"080066752437"</f>
        <v>080066752437</v>
      </c>
      <c r="F3432" s="3">
        <v>45861</v>
      </c>
      <c r="G3432">
        <v>202604</v>
      </c>
      <c r="H3432" t="s">
        <v>75</v>
      </c>
      <c r="I3432" t="s">
        <v>76</v>
      </c>
      <c r="J3432" t="s">
        <v>77</v>
      </c>
      <c r="K3432" t="s">
        <v>78</v>
      </c>
      <c r="L3432" t="s">
        <v>295</v>
      </c>
      <c r="M3432" t="s">
        <v>296</v>
      </c>
      <c r="N3432" t="s">
        <v>1837</v>
      </c>
      <c r="O3432" t="s">
        <v>82</v>
      </c>
      <c r="P3432" t="str">
        <f>"4170050369                    "</f>
        <v xml:space="preserve">4170050369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17.649999999999999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1.1000000000000001</v>
      </c>
      <c r="BK3432">
        <v>2</v>
      </c>
      <c r="BL3432">
        <v>55.61</v>
      </c>
      <c r="BM3432">
        <v>8.34</v>
      </c>
      <c r="BN3432">
        <v>63.95</v>
      </c>
      <c r="BO3432">
        <v>63.95</v>
      </c>
      <c r="BQ3432" t="s">
        <v>1838</v>
      </c>
      <c r="BR3432" t="s">
        <v>84</v>
      </c>
      <c r="BS3432" s="3">
        <v>45862</v>
      </c>
      <c r="BT3432" s="4">
        <v>0.31597222222222221</v>
      </c>
      <c r="BU3432" t="s">
        <v>299</v>
      </c>
      <c r="BV3432" t="s">
        <v>98</v>
      </c>
      <c r="BY3432">
        <v>5320</v>
      </c>
      <c r="CA3432" t="s">
        <v>300</v>
      </c>
      <c r="CC3432" t="s">
        <v>296</v>
      </c>
      <c r="CD3432">
        <v>1459</v>
      </c>
      <c r="CE3432" t="s">
        <v>145</v>
      </c>
      <c r="CF3432" s="3">
        <v>45863</v>
      </c>
      <c r="CI3432">
        <v>1</v>
      </c>
      <c r="CJ3432">
        <v>1</v>
      </c>
      <c r="CK3432">
        <v>22</v>
      </c>
      <c r="CL3432" t="s">
        <v>86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"080066752463"</f>
        <v>080066752463</v>
      </c>
      <c r="F3433" s="3">
        <v>45861</v>
      </c>
      <c r="G3433">
        <v>202604</v>
      </c>
      <c r="H3433" t="s">
        <v>75</v>
      </c>
      <c r="I3433" t="s">
        <v>76</v>
      </c>
      <c r="J3433" t="s">
        <v>77</v>
      </c>
      <c r="K3433" t="s">
        <v>78</v>
      </c>
      <c r="L3433" t="s">
        <v>92</v>
      </c>
      <c r="M3433" t="s">
        <v>93</v>
      </c>
      <c r="N3433" t="s">
        <v>1266</v>
      </c>
      <c r="O3433" t="s">
        <v>82</v>
      </c>
      <c r="P3433" t="str">
        <f>"4170050388                    "</f>
        <v xml:space="preserve">4170050388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22.6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71.2</v>
      </c>
      <c r="BM3433">
        <v>10.68</v>
      </c>
      <c r="BN3433">
        <v>81.88</v>
      </c>
      <c r="BO3433">
        <v>81.88</v>
      </c>
      <c r="BQ3433" t="s">
        <v>1267</v>
      </c>
      <c r="BR3433" t="s">
        <v>84</v>
      </c>
      <c r="BS3433" s="3">
        <v>45862</v>
      </c>
      <c r="BT3433" s="4">
        <v>0.38124999999999998</v>
      </c>
      <c r="BU3433" t="s">
        <v>3341</v>
      </c>
      <c r="BV3433" t="s">
        <v>98</v>
      </c>
      <c r="BY3433">
        <v>1200</v>
      </c>
      <c r="CA3433" t="s">
        <v>100</v>
      </c>
      <c r="CC3433" t="s">
        <v>93</v>
      </c>
      <c r="CD3433">
        <v>4072</v>
      </c>
      <c r="CE3433" t="s">
        <v>121</v>
      </c>
      <c r="CF3433" s="3">
        <v>45862</v>
      </c>
      <c r="CI3433">
        <v>1</v>
      </c>
      <c r="CJ3433">
        <v>1</v>
      </c>
      <c r="CK3433">
        <v>21</v>
      </c>
      <c r="CL3433" t="s">
        <v>86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"080066752467"</f>
        <v>080066752467</v>
      </c>
      <c r="F3434" s="3">
        <v>45861</v>
      </c>
      <c r="G3434">
        <v>202604</v>
      </c>
      <c r="H3434" t="s">
        <v>75</v>
      </c>
      <c r="I3434" t="s">
        <v>76</v>
      </c>
      <c r="J3434" t="s">
        <v>77</v>
      </c>
      <c r="K3434" t="s">
        <v>78</v>
      </c>
      <c r="L3434" t="s">
        <v>305</v>
      </c>
      <c r="M3434" t="s">
        <v>306</v>
      </c>
      <c r="N3434" t="s">
        <v>640</v>
      </c>
      <c r="O3434" t="s">
        <v>82</v>
      </c>
      <c r="P3434" t="str">
        <f>"4170050530                    "</f>
        <v xml:space="preserve">4170050530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45.18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4</v>
      </c>
      <c r="BJ3434">
        <v>1.7</v>
      </c>
      <c r="BK3434">
        <v>4</v>
      </c>
      <c r="BL3434">
        <v>142.34</v>
      </c>
      <c r="BM3434">
        <v>21.35</v>
      </c>
      <c r="BN3434">
        <v>163.69</v>
      </c>
      <c r="BO3434">
        <v>163.69</v>
      </c>
      <c r="BQ3434" t="s">
        <v>641</v>
      </c>
      <c r="BR3434" t="s">
        <v>84</v>
      </c>
      <c r="BS3434" s="3">
        <v>45862</v>
      </c>
      <c r="BT3434" s="4">
        <v>0.4375</v>
      </c>
      <c r="BU3434" t="s">
        <v>975</v>
      </c>
      <c r="BV3434" t="s">
        <v>98</v>
      </c>
      <c r="BY3434">
        <v>8512</v>
      </c>
      <c r="CA3434" t="s">
        <v>310</v>
      </c>
      <c r="CC3434" t="s">
        <v>306</v>
      </c>
      <c r="CD3434">
        <v>5201</v>
      </c>
      <c r="CE3434" t="s">
        <v>145</v>
      </c>
      <c r="CF3434" s="3">
        <v>45862</v>
      </c>
      <c r="CI3434">
        <v>1</v>
      </c>
      <c r="CJ3434">
        <v>1</v>
      </c>
      <c r="CK3434">
        <v>21</v>
      </c>
      <c r="CL3434" t="s">
        <v>86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"080066752514"</f>
        <v>080066752514</v>
      </c>
      <c r="F3435" s="3">
        <v>45861</v>
      </c>
      <c r="G3435">
        <v>202604</v>
      </c>
      <c r="H3435" t="s">
        <v>75</v>
      </c>
      <c r="I3435" t="s">
        <v>76</v>
      </c>
      <c r="J3435" t="s">
        <v>77</v>
      </c>
      <c r="K3435" t="s">
        <v>78</v>
      </c>
      <c r="L3435" t="s">
        <v>240</v>
      </c>
      <c r="M3435" t="s">
        <v>241</v>
      </c>
      <c r="N3435" t="s">
        <v>272</v>
      </c>
      <c r="O3435" t="s">
        <v>82</v>
      </c>
      <c r="P3435" t="str">
        <f>"4170050553                    "</f>
        <v xml:space="preserve">4170050553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22.6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16.739999999999998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87.94</v>
      </c>
      <c r="BM3435">
        <v>13.19</v>
      </c>
      <c r="BN3435">
        <v>101.13</v>
      </c>
      <c r="BO3435">
        <v>101.13</v>
      </c>
      <c r="BQ3435" t="s">
        <v>273</v>
      </c>
      <c r="BR3435" t="s">
        <v>84</v>
      </c>
      <c r="BS3435" s="3">
        <v>45862</v>
      </c>
      <c r="BT3435" s="4">
        <v>0.69166666666666665</v>
      </c>
      <c r="BU3435" t="s">
        <v>3342</v>
      </c>
      <c r="BV3435" t="s">
        <v>98</v>
      </c>
      <c r="BY3435">
        <v>1200</v>
      </c>
      <c r="BZ3435" t="s">
        <v>30</v>
      </c>
      <c r="CA3435" t="s">
        <v>3343</v>
      </c>
      <c r="CC3435" t="s">
        <v>241</v>
      </c>
      <c r="CD3435">
        <v>1832</v>
      </c>
      <c r="CE3435" t="s">
        <v>121</v>
      </c>
      <c r="CF3435" s="3">
        <v>45863</v>
      </c>
      <c r="CI3435">
        <v>0</v>
      </c>
      <c r="CJ3435">
        <v>0</v>
      </c>
      <c r="CK3435">
        <v>21</v>
      </c>
      <c r="CL3435" t="s">
        <v>86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"080066752535"</f>
        <v>080066752535</v>
      </c>
      <c r="F3436" s="3">
        <v>45861</v>
      </c>
      <c r="G3436">
        <v>202604</v>
      </c>
      <c r="H3436" t="s">
        <v>75</v>
      </c>
      <c r="I3436" t="s">
        <v>76</v>
      </c>
      <c r="J3436" t="s">
        <v>77</v>
      </c>
      <c r="K3436" t="s">
        <v>78</v>
      </c>
      <c r="L3436" t="s">
        <v>151</v>
      </c>
      <c r="M3436" t="s">
        <v>152</v>
      </c>
      <c r="N3436" t="s">
        <v>272</v>
      </c>
      <c r="O3436" t="s">
        <v>82</v>
      </c>
      <c r="P3436" t="str">
        <f>"4170050541                    "</f>
        <v xml:space="preserve">4170050541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22.6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0.6</v>
      </c>
      <c r="BK3436">
        <v>1</v>
      </c>
      <c r="BL3436">
        <v>71.2</v>
      </c>
      <c r="BM3436">
        <v>10.68</v>
      </c>
      <c r="BN3436">
        <v>81.88</v>
      </c>
      <c r="BO3436">
        <v>81.88</v>
      </c>
      <c r="BQ3436" t="s">
        <v>273</v>
      </c>
      <c r="BR3436" t="s">
        <v>84</v>
      </c>
      <c r="BS3436" s="3">
        <v>45862</v>
      </c>
      <c r="BT3436" s="4">
        <v>0.41944444444444445</v>
      </c>
      <c r="BU3436" t="s">
        <v>2625</v>
      </c>
      <c r="BV3436" t="s">
        <v>98</v>
      </c>
      <c r="BY3436">
        <v>3192</v>
      </c>
      <c r="CA3436" t="s">
        <v>275</v>
      </c>
      <c r="CC3436" t="s">
        <v>152</v>
      </c>
      <c r="CD3436" s="5" t="s">
        <v>276</v>
      </c>
      <c r="CE3436" t="s">
        <v>259</v>
      </c>
      <c r="CF3436" s="3">
        <v>45862</v>
      </c>
      <c r="CI3436">
        <v>1</v>
      </c>
      <c r="CJ3436">
        <v>1</v>
      </c>
      <c r="CK3436">
        <v>21</v>
      </c>
      <c r="CL3436" t="s">
        <v>86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"080066752569"</f>
        <v>080066752569</v>
      </c>
      <c r="F3437" s="3">
        <v>45861</v>
      </c>
      <c r="G3437">
        <v>202604</v>
      </c>
      <c r="H3437" t="s">
        <v>75</v>
      </c>
      <c r="I3437" t="s">
        <v>76</v>
      </c>
      <c r="J3437" t="s">
        <v>77</v>
      </c>
      <c r="K3437" t="s">
        <v>78</v>
      </c>
      <c r="L3437" t="s">
        <v>135</v>
      </c>
      <c r="M3437" t="s">
        <v>136</v>
      </c>
      <c r="N3437" t="s">
        <v>416</v>
      </c>
      <c r="O3437" t="s">
        <v>82</v>
      </c>
      <c r="P3437" t="str">
        <f>"4170050502                    "</f>
        <v xml:space="preserve">4170050502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56.47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5</v>
      </c>
      <c r="BJ3437">
        <v>3.4</v>
      </c>
      <c r="BK3437">
        <v>5</v>
      </c>
      <c r="BL3437">
        <v>177.91</v>
      </c>
      <c r="BM3437">
        <v>26.69</v>
      </c>
      <c r="BN3437">
        <v>204.6</v>
      </c>
      <c r="BO3437">
        <v>204.6</v>
      </c>
      <c r="BQ3437" t="s">
        <v>417</v>
      </c>
      <c r="BR3437" t="s">
        <v>84</v>
      </c>
      <c r="BS3437" s="3">
        <v>45862</v>
      </c>
      <c r="BT3437" s="4">
        <v>0.41666666666666669</v>
      </c>
      <c r="BU3437" t="s">
        <v>650</v>
      </c>
      <c r="BV3437" t="s">
        <v>98</v>
      </c>
      <c r="BY3437">
        <v>16965</v>
      </c>
      <c r="BZ3437" t="s">
        <v>89</v>
      </c>
      <c r="CC3437" t="s">
        <v>136</v>
      </c>
      <c r="CD3437">
        <v>3201</v>
      </c>
      <c r="CE3437" t="s">
        <v>145</v>
      </c>
      <c r="CF3437" s="3">
        <v>45863</v>
      </c>
      <c r="CI3437">
        <v>1</v>
      </c>
      <c r="CJ3437">
        <v>1</v>
      </c>
      <c r="CK3437">
        <v>21</v>
      </c>
      <c r="CL3437" t="s">
        <v>86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"080066752609"</f>
        <v>080066752609</v>
      </c>
      <c r="F3438" s="3">
        <v>45861</v>
      </c>
      <c r="G3438">
        <v>202604</v>
      </c>
      <c r="H3438" t="s">
        <v>75</v>
      </c>
      <c r="I3438" t="s">
        <v>76</v>
      </c>
      <c r="J3438" t="s">
        <v>77</v>
      </c>
      <c r="K3438" t="s">
        <v>78</v>
      </c>
      <c r="L3438" t="s">
        <v>168</v>
      </c>
      <c r="M3438" t="s">
        <v>169</v>
      </c>
      <c r="N3438" t="s">
        <v>206</v>
      </c>
      <c r="O3438" t="s">
        <v>82</v>
      </c>
      <c r="P3438" t="str">
        <f>"4170050597                    "</f>
        <v xml:space="preserve">4170050597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39.53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3.4</v>
      </c>
      <c r="BK3438">
        <v>3.5</v>
      </c>
      <c r="BL3438">
        <v>124.55</v>
      </c>
      <c r="BM3438">
        <v>18.68</v>
      </c>
      <c r="BN3438">
        <v>143.22999999999999</v>
      </c>
      <c r="BO3438">
        <v>143.22999999999999</v>
      </c>
      <c r="BQ3438" t="s">
        <v>207</v>
      </c>
      <c r="BR3438" t="s">
        <v>84</v>
      </c>
      <c r="BS3438" s="3">
        <v>45862</v>
      </c>
      <c r="BT3438" s="4">
        <v>0.41875000000000001</v>
      </c>
      <c r="BU3438" t="s">
        <v>2861</v>
      </c>
      <c r="BV3438" t="s">
        <v>98</v>
      </c>
      <c r="BY3438">
        <v>16965</v>
      </c>
      <c r="BZ3438" t="s">
        <v>89</v>
      </c>
      <c r="CA3438" t="s">
        <v>196</v>
      </c>
      <c r="CC3438" t="s">
        <v>169</v>
      </c>
      <c r="CD3438">
        <v>6001</v>
      </c>
      <c r="CE3438" t="s">
        <v>145</v>
      </c>
      <c r="CF3438" s="3">
        <v>45862</v>
      </c>
      <c r="CI3438">
        <v>1</v>
      </c>
      <c r="CJ3438">
        <v>1</v>
      </c>
      <c r="CK3438">
        <v>21</v>
      </c>
      <c r="CL3438" t="s">
        <v>86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"080066752610"</f>
        <v>080066752610</v>
      </c>
      <c r="F3439" s="3">
        <v>45861</v>
      </c>
      <c r="G3439">
        <v>202604</v>
      </c>
      <c r="H3439" t="s">
        <v>75</v>
      </c>
      <c r="I3439" t="s">
        <v>76</v>
      </c>
      <c r="J3439" t="s">
        <v>77</v>
      </c>
      <c r="K3439" t="s">
        <v>78</v>
      </c>
      <c r="L3439" t="s">
        <v>79</v>
      </c>
      <c r="M3439" t="s">
        <v>80</v>
      </c>
      <c r="N3439" t="s">
        <v>286</v>
      </c>
      <c r="O3439" t="s">
        <v>82</v>
      </c>
      <c r="P3439" t="str">
        <f>"4170050564                    "</f>
        <v xml:space="preserve">4170050564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22.6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71.2</v>
      </c>
      <c r="BM3439">
        <v>10.68</v>
      </c>
      <c r="BN3439">
        <v>81.88</v>
      </c>
      <c r="BO3439">
        <v>81.88</v>
      </c>
      <c r="BQ3439" t="s">
        <v>287</v>
      </c>
      <c r="BR3439" t="s">
        <v>84</v>
      </c>
      <c r="BS3439" s="3">
        <v>45862</v>
      </c>
      <c r="BT3439" s="4">
        <v>0.3263888888888889</v>
      </c>
      <c r="BU3439" t="s">
        <v>288</v>
      </c>
      <c r="BV3439" t="s">
        <v>98</v>
      </c>
      <c r="BY3439">
        <v>1200</v>
      </c>
      <c r="BZ3439" t="s">
        <v>89</v>
      </c>
      <c r="CA3439" t="s">
        <v>289</v>
      </c>
      <c r="CC3439" t="s">
        <v>80</v>
      </c>
      <c r="CD3439">
        <v>7530</v>
      </c>
      <c r="CE3439" t="s">
        <v>121</v>
      </c>
      <c r="CF3439" s="3">
        <v>45863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"080066752637"</f>
        <v>080066752637</v>
      </c>
      <c r="F3440" s="3">
        <v>45861</v>
      </c>
      <c r="G3440">
        <v>202604</v>
      </c>
      <c r="H3440" t="s">
        <v>75</v>
      </c>
      <c r="I3440" t="s">
        <v>76</v>
      </c>
      <c r="J3440" t="s">
        <v>77</v>
      </c>
      <c r="K3440" t="s">
        <v>78</v>
      </c>
      <c r="L3440" t="s">
        <v>305</v>
      </c>
      <c r="M3440" t="s">
        <v>306</v>
      </c>
      <c r="N3440" t="s">
        <v>640</v>
      </c>
      <c r="O3440" t="s">
        <v>82</v>
      </c>
      <c r="P3440" t="str">
        <f>"4170050573                    "</f>
        <v xml:space="preserve">4170050573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22.6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71.2</v>
      </c>
      <c r="BM3440">
        <v>10.68</v>
      </c>
      <c r="BN3440">
        <v>81.88</v>
      </c>
      <c r="BO3440">
        <v>81.88</v>
      </c>
      <c r="BQ3440" t="s">
        <v>641</v>
      </c>
      <c r="BR3440" t="s">
        <v>84</v>
      </c>
      <c r="BS3440" s="3">
        <v>45862</v>
      </c>
      <c r="BT3440" s="4">
        <v>0.4375</v>
      </c>
      <c r="BU3440" t="s">
        <v>975</v>
      </c>
      <c r="BV3440" t="s">
        <v>98</v>
      </c>
      <c r="BY3440">
        <v>1200</v>
      </c>
      <c r="CA3440" t="s">
        <v>310</v>
      </c>
      <c r="CC3440" t="s">
        <v>306</v>
      </c>
      <c r="CD3440">
        <v>5201</v>
      </c>
      <c r="CE3440" t="s">
        <v>121</v>
      </c>
      <c r="CF3440" s="3">
        <v>45862</v>
      </c>
      <c r="CI3440">
        <v>1</v>
      </c>
      <c r="CJ3440">
        <v>1</v>
      </c>
      <c r="CK3440">
        <v>21</v>
      </c>
      <c r="CL3440" t="s">
        <v>86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"080066752659"</f>
        <v>080066752659</v>
      </c>
      <c r="F3441" s="3">
        <v>45861</v>
      </c>
      <c r="G3441">
        <v>202604</v>
      </c>
      <c r="H3441" t="s">
        <v>75</v>
      </c>
      <c r="I3441" t="s">
        <v>76</v>
      </c>
      <c r="J3441" t="s">
        <v>77</v>
      </c>
      <c r="K3441" t="s">
        <v>78</v>
      </c>
      <c r="L3441" t="s">
        <v>79</v>
      </c>
      <c r="M3441" t="s">
        <v>80</v>
      </c>
      <c r="N3441" t="s">
        <v>1816</v>
      </c>
      <c r="O3441" t="s">
        <v>82</v>
      </c>
      <c r="P3441" t="str">
        <f>"4170050629                    "</f>
        <v xml:space="preserve">4170050629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101.63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2</v>
      </c>
      <c r="BI3441">
        <v>9</v>
      </c>
      <c r="BJ3441">
        <v>7.5</v>
      </c>
      <c r="BK3441">
        <v>9</v>
      </c>
      <c r="BL3441">
        <v>320.19</v>
      </c>
      <c r="BM3441">
        <v>48.03</v>
      </c>
      <c r="BN3441">
        <v>368.22</v>
      </c>
      <c r="BO3441">
        <v>368.22</v>
      </c>
      <c r="BQ3441" t="s">
        <v>1817</v>
      </c>
      <c r="BR3441" t="s">
        <v>84</v>
      </c>
      <c r="BS3441" s="3">
        <v>45862</v>
      </c>
      <c r="BT3441" s="4">
        <v>0.41944444444444445</v>
      </c>
      <c r="BU3441" t="s">
        <v>1419</v>
      </c>
      <c r="BV3441" t="s">
        <v>98</v>
      </c>
      <c r="BY3441">
        <v>37637</v>
      </c>
      <c r="CA3441" t="s">
        <v>90</v>
      </c>
      <c r="CC3441" t="s">
        <v>80</v>
      </c>
      <c r="CD3441">
        <v>7550</v>
      </c>
      <c r="CE3441" t="s">
        <v>91</v>
      </c>
      <c r="CF3441" s="3">
        <v>45863</v>
      </c>
      <c r="CI3441">
        <v>1</v>
      </c>
      <c r="CJ3441">
        <v>1</v>
      </c>
      <c r="CK3441">
        <v>21</v>
      </c>
      <c r="CL3441" t="s">
        <v>86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"080066752673"</f>
        <v>080066752673</v>
      </c>
      <c r="F3442" s="3">
        <v>45861</v>
      </c>
      <c r="G3442">
        <v>202604</v>
      </c>
      <c r="H3442" t="s">
        <v>75</v>
      </c>
      <c r="I3442" t="s">
        <v>76</v>
      </c>
      <c r="J3442" t="s">
        <v>77</v>
      </c>
      <c r="K3442" t="s">
        <v>78</v>
      </c>
      <c r="L3442" t="s">
        <v>92</v>
      </c>
      <c r="M3442" t="s">
        <v>93</v>
      </c>
      <c r="N3442" t="s">
        <v>291</v>
      </c>
      <c r="O3442" t="s">
        <v>82</v>
      </c>
      <c r="P3442" t="str">
        <f>"4170050462                    "</f>
        <v xml:space="preserve">4170050462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22.6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71.2</v>
      </c>
      <c r="BM3442">
        <v>10.68</v>
      </c>
      <c r="BN3442">
        <v>81.88</v>
      </c>
      <c r="BO3442">
        <v>81.88</v>
      </c>
      <c r="BQ3442" t="s">
        <v>292</v>
      </c>
      <c r="BR3442" t="s">
        <v>84</v>
      </c>
      <c r="BS3442" s="3">
        <v>45862</v>
      </c>
      <c r="BT3442" s="4">
        <v>0.33819444444444446</v>
      </c>
      <c r="BU3442" t="s">
        <v>971</v>
      </c>
      <c r="BV3442" t="s">
        <v>98</v>
      </c>
      <c r="BY3442">
        <v>1200</v>
      </c>
      <c r="CA3442" t="s">
        <v>294</v>
      </c>
      <c r="CC3442" t="s">
        <v>93</v>
      </c>
      <c r="CD3442">
        <v>4000</v>
      </c>
      <c r="CE3442" t="s">
        <v>121</v>
      </c>
      <c r="CF3442" s="3">
        <v>45862</v>
      </c>
      <c r="CI3442">
        <v>1</v>
      </c>
      <c r="CJ3442">
        <v>1</v>
      </c>
      <c r="CK3442">
        <v>21</v>
      </c>
      <c r="CL3442" t="s">
        <v>86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"080066752699"</f>
        <v>080066752699</v>
      </c>
      <c r="F3443" s="3">
        <v>45861</v>
      </c>
      <c r="G3443">
        <v>202604</v>
      </c>
      <c r="H3443" t="s">
        <v>75</v>
      </c>
      <c r="I3443" t="s">
        <v>76</v>
      </c>
      <c r="J3443" t="s">
        <v>77</v>
      </c>
      <c r="K3443" t="s">
        <v>78</v>
      </c>
      <c r="L3443" t="s">
        <v>151</v>
      </c>
      <c r="M3443" t="s">
        <v>152</v>
      </c>
      <c r="N3443" t="s">
        <v>1568</v>
      </c>
      <c r="O3443" t="s">
        <v>82</v>
      </c>
      <c r="P3443" t="str">
        <f>"4170050446                    "</f>
        <v xml:space="preserve">4170050446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22.6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71.2</v>
      </c>
      <c r="BM3443">
        <v>10.68</v>
      </c>
      <c r="BN3443">
        <v>81.88</v>
      </c>
      <c r="BO3443">
        <v>81.88</v>
      </c>
      <c r="BQ3443" t="s">
        <v>1569</v>
      </c>
      <c r="BR3443" t="s">
        <v>84</v>
      </c>
      <c r="BS3443" s="3">
        <v>45862</v>
      </c>
      <c r="BT3443" s="4">
        <v>0.36319444444444443</v>
      </c>
      <c r="BU3443" t="s">
        <v>1570</v>
      </c>
      <c r="BV3443" t="s">
        <v>98</v>
      </c>
      <c r="BY3443">
        <v>1200</v>
      </c>
      <c r="CA3443" t="s">
        <v>906</v>
      </c>
      <c r="CC3443" t="s">
        <v>152</v>
      </c>
      <c r="CD3443" s="5" t="s">
        <v>907</v>
      </c>
      <c r="CE3443" t="s">
        <v>121</v>
      </c>
      <c r="CF3443" s="3">
        <v>45862</v>
      </c>
      <c r="CI3443">
        <v>1</v>
      </c>
      <c r="CJ3443">
        <v>1</v>
      </c>
      <c r="CK3443">
        <v>21</v>
      </c>
      <c r="CL3443" t="s">
        <v>86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"080066752705"</f>
        <v>080066752705</v>
      </c>
      <c r="F3444" s="3">
        <v>45861</v>
      </c>
      <c r="G3444">
        <v>202604</v>
      </c>
      <c r="H3444" t="s">
        <v>75</v>
      </c>
      <c r="I3444" t="s">
        <v>76</v>
      </c>
      <c r="J3444" t="s">
        <v>77</v>
      </c>
      <c r="K3444" t="s">
        <v>78</v>
      </c>
      <c r="L3444" t="s">
        <v>122</v>
      </c>
      <c r="M3444" t="s">
        <v>123</v>
      </c>
      <c r="N3444" t="s">
        <v>184</v>
      </c>
      <c r="O3444" t="s">
        <v>95</v>
      </c>
      <c r="P3444" t="str">
        <f>"4170050535                    "</f>
        <v xml:space="preserve">4170050535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49.11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18</v>
      </c>
      <c r="BJ3444">
        <v>16.899999999999999</v>
      </c>
      <c r="BK3444">
        <v>18</v>
      </c>
      <c r="BL3444">
        <v>160.6</v>
      </c>
      <c r="BM3444">
        <v>24.09</v>
      </c>
      <c r="BN3444">
        <v>184.69</v>
      </c>
      <c r="BO3444">
        <v>184.69</v>
      </c>
      <c r="BQ3444" t="s">
        <v>185</v>
      </c>
      <c r="BR3444" t="s">
        <v>84</v>
      </c>
      <c r="BS3444" s="3">
        <v>45862</v>
      </c>
      <c r="BT3444" s="4">
        <v>0.55902777777777779</v>
      </c>
      <c r="BU3444" t="s">
        <v>3344</v>
      </c>
      <c r="BV3444" t="s">
        <v>98</v>
      </c>
      <c r="BY3444">
        <v>84700</v>
      </c>
      <c r="CC3444" t="s">
        <v>123</v>
      </c>
      <c r="CD3444">
        <v>3610</v>
      </c>
      <c r="CE3444" t="s">
        <v>2742</v>
      </c>
      <c r="CF3444" s="3">
        <v>45862</v>
      </c>
      <c r="CI3444">
        <v>1</v>
      </c>
      <c r="CJ3444">
        <v>1</v>
      </c>
      <c r="CK3444">
        <v>41</v>
      </c>
      <c r="CL3444" t="s">
        <v>86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"080066752729"</f>
        <v>080066752729</v>
      </c>
      <c r="F3445" s="3">
        <v>45861</v>
      </c>
      <c r="G3445">
        <v>202604</v>
      </c>
      <c r="H3445" t="s">
        <v>75</v>
      </c>
      <c r="I3445" t="s">
        <v>76</v>
      </c>
      <c r="J3445" t="s">
        <v>77</v>
      </c>
      <c r="K3445" t="s">
        <v>78</v>
      </c>
      <c r="L3445" t="s">
        <v>146</v>
      </c>
      <c r="M3445" t="s">
        <v>146</v>
      </c>
      <c r="N3445" t="s">
        <v>3345</v>
      </c>
      <c r="O3445" t="s">
        <v>82</v>
      </c>
      <c r="P3445" t="str">
        <f>"4170050494                    "</f>
        <v xml:space="preserve">4170050494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43.78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137.94</v>
      </c>
      <c r="BM3445">
        <v>20.69</v>
      </c>
      <c r="BN3445">
        <v>158.63</v>
      </c>
      <c r="BO3445">
        <v>158.63</v>
      </c>
      <c r="BQ3445" t="s">
        <v>3346</v>
      </c>
      <c r="BR3445" t="s">
        <v>84</v>
      </c>
      <c r="BS3445" s="3">
        <v>45862</v>
      </c>
      <c r="BT3445" s="4">
        <v>0.41458333333333336</v>
      </c>
      <c r="BU3445" t="s">
        <v>3347</v>
      </c>
      <c r="BV3445" t="s">
        <v>98</v>
      </c>
      <c r="BY3445">
        <v>1200</v>
      </c>
      <c r="CA3445" t="s">
        <v>989</v>
      </c>
      <c r="CC3445" t="s">
        <v>146</v>
      </c>
      <c r="CD3445">
        <v>7620</v>
      </c>
      <c r="CE3445" t="s">
        <v>121</v>
      </c>
      <c r="CF3445" s="3">
        <v>45863</v>
      </c>
      <c r="CI3445">
        <v>1</v>
      </c>
      <c r="CJ3445">
        <v>1</v>
      </c>
      <c r="CK3445">
        <v>23</v>
      </c>
      <c r="CL3445" t="s">
        <v>86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"080066752753"</f>
        <v>080066752753</v>
      </c>
      <c r="F3446" s="3">
        <v>45861</v>
      </c>
      <c r="G3446">
        <v>202604</v>
      </c>
      <c r="H3446" t="s">
        <v>75</v>
      </c>
      <c r="I3446" t="s">
        <v>76</v>
      </c>
      <c r="J3446" t="s">
        <v>77</v>
      </c>
      <c r="K3446" t="s">
        <v>78</v>
      </c>
      <c r="L3446" t="s">
        <v>168</v>
      </c>
      <c r="M3446" t="s">
        <v>169</v>
      </c>
      <c r="N3446" t="s">
        <v>813</v>
      </c>
      <c r="O3446" t="s">
        <v>82</v>
      </c>
      <c r="P3446" t="str">
        <f>"4170050396                    "</f>
        <v xml:space="preserve">4170050396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22.6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71.2</v>
      </c>
      <c r="BM3446">
        <v>10.68</v>
      </c>
      <c r="BN3446">
        <v>81.88</v>
      </c>
      <c r="BO3446">
        <v>81.88</v>
      </c>
      <c r="BQ3446" t="s">
        <v>814</v>
      </c>
      <c r="BR3446" t="s">
        <v>84</v>
      </c>
      <c r="BS3446" s="3">
        <v>45862</v>
      </c>
      <c r="BT3446" s="4">
        <v>0.41319444444444442</v>
      </c>
      <c r="BU3446" t="s">
        <v>2780</v>
      </c>
      <c r="BV3446" t="s">
        <v>98</v>
      </c>
      <c r="BY3446">
        <v>1200</v>
      </c>
      <c r="CA3446" t="s">
        <v>196</v>
      </c>
      <c r="CC3446" t="s">
        <v>169</v>
      </c>
      <c r="CD3446">
        <v>6001</v>
      </c>
      <c r="CE3446" t="s">
        <v>121</v>
      </c>
      <c r="CF3446" s="3">
        <v>45862</v>
      </c>
      <c r="CI3446">
        <v>1</v>
      </c>
      <c r="CJ3446">
        <v>1</v>
      </c>
      <c r="CK3446">
        <v>21</v>
      </c>
      <c r="CL3446" t="s">
        <v>86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"080066753101"</f>
        <v>080066753101</v>
      </c>
      <c r="F3447" s="3">
        <v>45861</v>
      </c>
      <c r="G3447">
        <v>202604</v>
      </c>
      <c r="H3447" t="s">
        <v>75</v>
      </c>
      <c r="I3447" t="s">
        <v>76</v>
      </c>
      <c r="J3447" t="s">
        <v>77</v>
      </c>
      <c r="K3447" t="s">
        <v>78</v>
      </c>
      <c r="L3447" t="s">
        <v>503</v>
      </c>
      <c r="M3447" t="s">
        <v>504</v>
      </c>
      <c r="N3447" t="s">
        <v>505</v>
      </c>
      <c r="O3447" t="s">
        <v>82</v>
      </c>
      <c r="P3447" t="str">
        <f>"4170050510                    "</f>
        <v xml:space="preserve">4170050510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122.87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6</v>
      </c>
      <c r="BJ3447">
        <v>2.2999999999999998</v>
      </c>
      <c r="BK3447">
        <v>6</v>
      </c>
      <c r="BL3447">
        <v>387.11</v>
      </c>
      <c r="BM3447">
        <v>58.07</v>
      </c>
      <c r="BN3447">
        <v>445.18</v>
      </c>
      <c r="BO3447">
        <v>445.18</v>
      </c>
      <c r="BQ3447" t="s">
        <v>506</v>
      </c>
      <c r="BR3447" t="s">
        <v>84</v>
      </c>
      <c r="BS3447" s="3">
        <v>45862</v>
      </c>
      <c r="BT3447" s="4">
        <v>0.45624999999999999</v>
      </c>
      <c r="BU3447" t="s">
        <v>771</v>
      </c>
      <c r="BV3447" t="s">
        <v>98</v>
      </c>
      <c r="BY3447">
        <v>11400</v>
      </c>
      <c r="CA3447" t="s">
        <v>772</v>
      </c>
      <c r="CC3447" t="s">
        <v>504</v>
      </c>
      <c r="CD3447">
        <v>7130</v>
      </c>
      <c r="CE3447" t="s">
        <v>91</v>
      </c>
      <c r="CF3447" s="3">
        <v>45863</v>
      </c>
      <c r="CI3447">
        <v>1</v>
      </c>
      <c r="CJ3447">
        <v>1</v>
      </c>
      <c r="CK3447">
        <v>23</v>
      </c>
      <c r="CL3447" t="s">
        <v>86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"080066753145"</f>
        <v>080066753145</v>
      </c>
      <c r="F3448" s="3">
        <v>45861</v>
      </c>
      <c r="G3448">
        <v>202604</v>
      </c>
      <c r="H3448" t="s">
        <v>75</v>
      </c>
      <c r="I3448" t="s">
        <v>76</v>
      </c>
      <c r="J3448" t="s">
        <v>77</v>
      </c>
      <c r="K3448" t="s">
        <v>78</v>
      </c>
      <c r="L3448" t="s">
        <v>135</v>
      </c>
      <c r="M3448" t="s">
        <v>136</v>
      </c>
      <c r="N3448" t="s">
        <v>2091</v>
      </c>
      <c r="O3448" t="s">
        <v>82</v>
      </c>
      <c r="P3448" t="str">
        <f>"4170050534                    "</f>
        <v xml:space="preserve">4170050534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22.6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1.1000000000000001</v>
      </c>
      <c r="BK3448">
        <v>1.5</v>
      </c>
      <c r="BL3448">
        <v>71.2</v>
      </c>
      <c r="BM3448">
        <v>10.68</v>
      </c>
      <c r="BN3448">
        <v>81.88</v>
      </c>
      <c r="BO3448">
        <v>81.88</v>
      </c>
      <c r="BQ3448" t="s">
        <v>2092</v>
      </c>
      <c r="BR3448" t="s">
        <v>84</v>
      </c>
      <c r="BS3448" s="3">
        <v>45862</v>
      </c>
      <c r="BT3448" s="4">
        <v>0.41666666666666669</v>
      </c>
      <c r="BU3448" t="s">
        <v>3348</v>
      </c>
      <c r="BV3448" t="s">
        <v>98</v>
      </c>
      <c r="BY3448">
        <v>5320</v>
      </c>
      <c r="CA3448" t="s">
        <v>349</v>
      </c>
      <c r="CC3448" t="s">
        <v>136</v>
      </c>
      <c r="CD3448">
        <v>3201</v>
      </c>
      <c r="CE3448" t="s">
        <v>145</v>
      </c>
      <c r="CF3448" s="3">
        <v>45863</v>
      </c>
      <c r="CI3448">
        <v>1</v>
      </c>
      <c r="CJ3448">
        <v>1</v>
      </c>
      <c r="CK3448">
        <v>21</v>
      </c>
      <c r="CL3448" t="s">
        <v>86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"080066753183"</f>
        <v>080066753183</v>
      </c>
      <c r="F3449" s="3">
        <v>45861</v>
      </c>
      <c r="G3449">
        <v>202604</v>
      </c>
      <c r="H3449" t="s">
        <v>75</v>
      </c>
      <c r="I3449" t="s">
        <v>76</v>
      </c>
      <c r="J3449" t="s">
        <v>77</v>
      </c>
      <c r="K3449" t="s">
        <v>78</v>
      </c>
      <c r="L3449" t="s">
        <v>554</v>
      </c>
      <c r="M3449" t="s">
        <v>555</v>
      </c>
      <c r="N3449" t="s">
        <v>2163</v>
      </c>
      <c r="O3449" t="s">
        <v>82</v>
      </c>
      <c r="P3449" t="str">
        <f>"4170050527                    "</f>
        <v xml:space="preserve">4170050527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22.6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0.6</v>
      </c>
      <c r="BK3449">
        <v>1</v>
      </c>
      <c r="BL3449">
        <v>71.2</v>
      </c>
      <c r="BM3449">
        <v>10.68</v>
      </c>
      <c r="BN3449">
        <v>81.88</v>
      </c>
      <c r="BO3449">
        <v>81.88</v>
      </c>
      <c r="BQ3449" t="s">
        <v>2164</v>
      </c>
      <c r="BR3449" t="s">
        <v>84</v>
      </c>
      <c r="BS3449" s="3">
        <v>45862</v>
      </c>
      <c r="BT3449" s="4">
        <v>0.34097222222222223</v>
      </c>
      <c r="BU3449" t="s">
        <v>3349</v>
      </c>
      <c r="BV3449" t="s">
        <v>98</v>
      </c>
      <c r="BY3449">
        <v>3192</v>
      </c>
      <c r="CA3449" t="s">
        <v>156</v>
      </c>
      <c r="CC3449" t="s">
        <v>555</v>
      </c>
      <c r="CD3449" s="5" t="s">
        <v>560</v>
      </c>
      <c r="CE3449" t="s">
        <v>145</v>
      </c>
      <c r="CF3449" s="3">
        <v>45862</v>
      </c>
      <c r="CI3449">
        <v>1</v>
      </c>
      <c r="CJ3449">
        <v>1</v>
      </c>
      <c r="CK3449">
        <v>21</v>
      </c>
      <c r="CL3449" t="s">
        <v>86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"080066753194"</f>
        <v>080066753194</v>
      </c>
      <c r="F3450" s="3">
        <v>45861</v>
      </c>
      <c r="G3450">
        <v>202604</v>
      </c>
      <c r="H3450" t="s">
        <v>75</v>
      </c>
      <c r="I3450" t="s">
        <v>76</v>
      </c>
      <c r="J3450" t="s">
        <v>77</v>
      </c>
      <c r="K3450" t="s">
        <v>78</v>
      </c>
      <c r="L3450" t="s">
        <v>221</v>
      </c>
      <c r="M3450" t="s">
        <v>222</v>
      </c>
      <c r="N3450" t="s">
        <v>223</v>
      </c>
      <c r="O3450" t="s">
        <v>82</v>
      </c>
      <c r="P3450" t="str">
        <f>"4170050572                    "</f>
        <v xml:space="preserve">4170050572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83.33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4</v>
      </c>
      <c r="BJ3450">
        <v>1.3</v>
      </c>
      <c r="BK3450">
        <v>4</v>
      </c>
      <c r="BL3450">
        <v>262.52999999999997</v>
      </c>
      <c r="BM3450">
        <v>39.380000000000003</v>
      </c>
      <c r="BN3450">
        <v>301.91000000000003</v>
      </c>
      <c r="BO3450">
        <v>301.91000000000003</v>
      </c>
      <c r="BQ3450" t="s">
        <v>224</v>
      </c>
      <c r="BR3450" t="s">
        <v>84</v>
      </c>
      <c r="BS3450" s="3">
        <v>45862</v>
      </c>
      <c r="BT3450" s="4">
        <v>0.38541666666666669</v>
      </c>
      <c r="BU3450" t="s">
        <v>2049</v>
      </c>
      <c r="BV3450" t="s">
        <v>98</v>
      </c>
      <c r="BY3450">
        <v>6480</v>
      </c>
      <c r="CC3450" t="s">
        <v>222</v>
      </c>
      <c r="CD3450">
        <v>2740</v>
      </c>
      <c r="CE3450" t="s">
        <v>91</v>
      </c>
      <c r="CF3450" s="3">
        <v>45863</v>
      </c>
      <c r="CI3450">
        <v>1</v>
      </c>
      <c r="CJ3450">
        <v>1</v>
      </c>
      <c r="CK3450">
        <v>23</v>
      </c>
      <c r="CL3450" t="s">
        <v>86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"080066753214"</f>
        <v>080066753214</v>
      </c>
      <c r="F3451" s="3">
        <v>45861</v>
      </c>
      <c r="G3451">
        <v>202604</v>
      </c>
      <c r="H3451" t="s">
        <v>75</v>
      </c>
      <c r="I3451" t="s">
        <v>76</v>
      </c>
      <c r="J3451" t="s">
        <v>77</v>
      </c>
      <c r="K3451" t="s">
        <v>78</v>
      </c>
      <c r="L3451" t="s">
        <v>240</v>
      </c>
      <c r="M3451" t="s">
        <v>241</v>
      </c>
      <c r="N3451" t="s">
        <v>242</v>
      </c>
      <c r="O3451" t="s">
        <v>82</v>
      </c>
      <c r="P3451" t="str">
        <f>"4170049776                    "</f>
        <v xml:space="preserve">4170049776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17.649999999999999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1.1000000000000001</v>
      </c>
      <c r="BK3451">
        <v>2</v>
      </c>
      <c r="BL3451">
        <v>55.61</v>
      </c>
      <c r="BM3451">
        <v>8.34</v>
      </c>
      <c r="BN3451">
        <v>63.95</v>
      </c>
      <c r="BO3451">
        <v>63.95</v>
      </c>
      <c r="BQ3451" t="s">
        <v>243</v>
      </c>
      <c r="BR3451" t="s">
        <v>84</v>
      </c>
      <c r="BS3451" s="3">
        <v>45862</v>
      </c>
      <c r="BT3451" s="4">
        <v>0.35694444444444445</v>
      </c>
      <c r="BU3451" t="s">
        <v>244</v>
      </c>
      <c r="BV3451" t="s">
        <v>98</v>
      </c>
      <c r="BY3451">
        <v>5320</v>
      </c>
      <c r="CA3451" t="s">
        <v>245</v>
      </c>
      <c r="CC3451" t="s">
        <v>241</v>
      </c>
      <c r="CD3451">
        <v>2091</v>
      </c>
      <c r="CE3451" t="s">
        <v>145</v>
      </c>
      <c r="CF3451" s="3">
        <v>45863</v>
      </c>
      <c r="CI3451">
        <v>1</v>
      </c>
      <c r="CJ3451">
        <v>1</v>
      </c>
      <c r="CK3451">
        <v>22</v>
      </c>
      <c r="CL3451" t="s">
        <v>86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"080066753273"</f>
        <v>080066753273</v>
      </c>
      <c r="F3452" s="3">
        <v>45861</v>
      </c>
      <c r="G3452">
        <v>202604</v>
      </c>
      <c r="H3452" t="s">
        <v>75</v>
      </c>
      <c r="I3452" t="s">
        <v>76</v>
      </c>
      <c r="J3452" t="s">
        <v>77</v>
      </c>
      <c r="K3452" t="s">
        <v>78</v>
      </c>
      <c r="L3452" t="s">
        <v>79</v>
      </c>
      <c r="M3452" t="s">
        <v>80</v>
      </c>
      <c r="N3452" t="s">
        <v>141</v>
      </c>
      <c r="O3452" t="s">
        <v>82</v>
      </c>
      <c r="P3452" t="str">
        <f>"4170050628                    "</f>
        <v xml:space="preserve">4170050628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22.6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71.2</v>
      </c>
      <c r="BM3452">
        <v>10.68</v>
      </c>
      <c r="BN3452">
        <v>81.88</v>
      </c>
      <c r="BO3452">
        <v>81.88</v>
      </c>
      <c r="BQ3452" t="s">
        <v>142</v>
      </c>
      <c r="BR3452" t="s">
        <v>84</v>
      </c>
      <c r="BS3452" s="3">
        <v>45862</v>
      </c>
      <c r="BT3452" s="4">
        <v>0.42152777777777778</v>
      </c>
      <c r="BU3452" t="s">
        <v>2437</v>
      </c>
      <c r="BV3452" t="s">
        <v>98</v>
      </c>
      <c r="BY3452">
        <v>1200</v>
      </c>
      <c r="CA3452" t="s">
        <v>144</v>
      </c>
      <c r="CC3452" t="s">
        <v>80</v>
      </c>
      <c r="CD3452">
        <v>7441</v>
      </c>
      <c r="CE3452" t="s">
        <v>121</v>
      </c>
      <c r="CF3452" s="3">
        <v>45863</v>
      </c>
      <c r="CI3452">
        <v>1</v>
      </c>
      <c r="CJ3452">
        <v>1</v>
      </c>
      <c r="CK3452">
        <v>21</v>
      </c>
      <c r="CL3452" t="s">
        <v>86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"080066753294"</f>
        <v>080066753294</v>
      </c>
      <c r="F3453" s="3">
        <v>45861</v>
      </c>
      <c r="G3453">
        <v>202604</v>
      </c>
      <c r="H3453" t="s">
        <v>75</v>
      </c>
      <c r="I3453" t="s">
        <v>76</v>
      </c>
      <c r="J3453" t="s">
        <v>77</v>
      </c>
      <c r="K3453" t="s">
        <v>78</v>
      </c>
      <c r="L3453" t="s">
        <v>122</v>
      </c>
      <c r="M3453" t="s">
        <v>123</v>
      </c>
      <c r="N3453" t="s">
        <v>267</v>
      </c>
      <c r="O3453" t="s">
        <v>82</v>
      </c>
      <c r="P3453" t="str">
        <f>"4170050182                    "</f>
        <v xml:space="preserve">4170050182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22.6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71.2</v>
      </c>
      <c r="BM3453">
        <v>10.68</v>
      </c>
      <c r="BN3453">
        <v>81.88</v>
      </c>
      <c r="BO3453">
        <v>81.88</v>
      </c>
      <c r="BQ3453" t="s">
        <v>268</v>
      </c>
      <c r="BR3453" t="s">
        <v>84</v>
      </c>
      <c r="BS3453" s="3">
        <v>45862</v>
      </c>
      <c r="BT3453" s="4">
        <v>0.40486111111111112</v>
      </c>
      <c r="BU3453" t="s">
        <v>3350</v>
      </c>
      <c r="BV3453" t="s">
        <v>98</v>
      </c>
      <c r="BY3453">
        <v>1200</v>
      </c>
      <c r="CA3453" t="s">
        <v>2974</v>
      </c>
      <c r="CC3453" t="s">
        <v>123</v>
      </c>
      <c r="CD3453">
        <v>3610</v>
      </c>
      <c r="CE3453" t="s">
        <v>121</v>
      </c>
      <c r="CF3453" s="3">
        <v>45863</v>
      </c>
      <c r="CI3453">
        <v>1</v>
      </c>
      <c r="CJ3453">
        <v>1</v>
      </c>
      <c r="CK3453">
        <v>21</v>
      </c>
      <c r="CL3453" t="s">
        <v>86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"080066753296"</f>
        <v>080066753296</v>
      </c>
      <c r="F3454" s="3">
        <v>45861</v>
      </c>
      <c r="G3454">
        <v>202604</v>
      </c>
      <c r="H3454" t="s">
        <v>75</v>
      </c>
      <c r="I3454" t="s">
        <v>76</v>
      </c>
      <c r="J3454" t="s">
        <v>77</v>
      </c>
      <c r="K3454" t="s">
        <v>78</v>
      </c>
      <c r="L3454" t="s">
        <v>854</v>
      </c>
      <c r="M3454" t="s">
        <v>855</v>
      </c>
      <c r="N3454" t="s">
        <v>429</v>
      </c>
      <c r="O3454" t="s">
        <v>82</v>
      </c>
      <c r="P3454" t="str">
        <f>"4170050544                    "</f>
        <v xml:space="preserve">4170050544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43.78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16.739999999999998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154.68</v>
      </c>
      <c r="BM3454">
        <v>23.2</v>
      </c>
      <c r="BN3454">
        <v>177.88</v>
      </c>
      <c r="BO3454">
        <v>177.88</v>
      </c>
      <c r="BQ3454" t="s">
        <v>430</v>
      </c>
      <c r="BR3454" t="s">
        <v>84</v>
      </c>
      <c r="BS3454" s="3">
        <v>45862</v>
      </c>
      <c r="BT3454" s="4">
        <v>0.38680555555555557</v>
      </c>
      <c r="BU3454" t="s">
        <v>3351</v>
      </c>
      <c r="BV3454" t="s">
        <v>98</v>
      </c>
      <c r="BY3454">
        <v>1200</v>
      </c>
      <c r="BZ3454" t="s">
        <v>30</v>
      </c>
      <c r="CA3454" t="s">
        <v>2137</v>
      </c>
      <c r="CC3454" t="s">
        <v>855</v>
      </c>
      <c r="CD3454" s="5" t="s">
        <v>993</v>
      </c>
      <c r="CE3454" t="s">
        <v>121</v>
      </c>
      <c r="CF3454" s="3">
        <v>45862</v>
      </c>
      <c r="CI3454">
        <v>1</v>
      </c>
      <c r="CJ3454">
        <v>1</v>
      </c>
      <c r="CK3454">
        <v>23</v>
      </c>
      <c r="CL3454" t="s">
        <v>86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"080066753420"</f>
        <v>080066753420</v>
      </c>
      <c r="F3455" s="3">
        <v>45861</v>
      </c>
      <c r="G3455">
        <v>202604</v>
      </c>
      <c r="H3455" t="s">
        <v>75</v>
      </c>
      <c r="I3455" t="s">
        <v>76</v>
      </c>
      <c r="J3455" t="s">
        <v>77</v>
      </c>
      <c r="K3455" t="s">
        <v>78</v>
      </c>
      <c r="L3455" t="s">
        <v>135</v>
      </c>
      <c r="M3455" t="s">
        <v>136</v>
      </c>
      <c r="N3455" t="s">
        <v>2213</v>
      </c>
      <c r="O3455" t="s">
        <v>82</v>
      </c>
      <c r="P3455" t="str">
        <f>"4170050427                    "</f>
        <v xml:space="preserve">4170050427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22.6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71.2</v>
      </c>
      <c r="BM3455">
        <v>10.68</v>
      </c>
      <c r="BN3455">
        <v>81.88</v>
      </c>
      <c r="BO3455">
        <v>81.88</v>
      </c>
      <c r="BQ3455" t="s">
        <v>2214</v>
      </c>
      <c r="BR3455" t="s">
        <v>84</v>
      </c>
      <c r="BS3455" s="3">
        <v>45862</v>
      </c>
      <c r="BT3455" s="4">
        <v>0.41666666666666669</v>
      </c>
      <c r="BU3455" t="s">
        <v>2416</v>
      </c>
      <c r="BV3455" t="s">
        <v>98</v>
      </c>
      <c r="BY3455">
        <v>1200</v>
      </c>
      <c r="CA3455" t="s">
        <v>349</v>
      </c>
      <c r="CC3455" t="s">
        <v>136</v>
      </c>
      <c r="CD3455">
        <v>3200</v>
      </c>
      <c r="CE3455" t="s">
        <v>121</v>
      </c>
      <c r="CF3455" s="3">
        <v>45863</v>
      </c>
      <c r="CI3455">
        <v>1</v>
      </c>
      <c r="CJ3455">
        <v>1</v>
      </c>
      <c r="CK3455">
        <v>21</v>
      </c>
      <c r="CL3455" t="s">
        <v>86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"080066753426"</f>
        <v>080066753426</v>
      </c>
      <c r="F3456" s="3">
        <v>45861</v>
      </c>
      <c r="G3456">
        <v>202604</v>
      </c>
      <c r="H3456" t="s">
        <v>75</v>
      </c>
      <c r="I3456" t="s">
        <v>76</v>
      </c>
      <c r="J3456" t="s">
        <v>77</v>
      </c>
      <c r="K3456" t="s">
        <v>78</v>
      </c>
      <c r="L3456" t="s">
        <v>452</v>
      </c>
      <c r="M3456" t="s">
        <v>453</v>
      </c>
      <c r="N3456" t="s">
        <v>1338</v>
      </c>
      <c r="O3456" t="s">
        <v>82</v>
      </c>
      <c r="P3456" t="str">
        <f>"4170050471                    "</f>
        <v xml:space="preserve">4170050471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17.649999999999999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0.6</v>
      </c>
      <c r="BK3456">
        <v>1</v>
      </c>
      <c r="BL3456">
        <v>55.61</v>
      </c>
      <c r="BM3456">
        <v>8.34</v>
      </c>
      <c r="BN3456">
        <v>63.95</v>
      </c>
      <c r="BO3456">
        <v>63.95</v>
      </c>
      <c r="BQ3456" t="s">
        <v>1339</v>
      </c>
      <c r="BR3456" t="s">
        <v>84</v>
      </c>
      <c r="BS3456" s="3">
        <v>45862</v>
      </c>
      <c r="BT3456" s="4">
        <v>0.41249999999999998</v>
      </c>
      <c r="BU3456" t="s">
        <v>285</v>
      </c>
      <c r="BV3456" t="s">
        <v>98</v>
      </c>
      <c r="BY3456">
        <v>3192</v>
      </c>
      <c r="CA3456" t="s">
        <v>1541</v>
      </c>
      <c r="CC3456" t="s">
        <v>453</v>
      </c>
      <c r="CD3456">
        <v>1559</v>
      </c>
      <c r="CE3456" t="s">
        <v>145</v>
      </c>
      <c r="CF3456" s="3">
        <v>45862</v>
      </c>
      <c r="CI3456">
        <v>1</v>
      </c>
      <c r="CJ3456">
        <v>1</v>
      </c>
      <c r="CK3456">
        <v>22</v>
      </c>
      <c r="CL3456" t="s">
        <v>86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"080066754074"</f>
        <v>080066754074</v>
      </c>
      <c r="F3457" s="3">
        <v>45861</v>
      </c>
      <c r="G3457">
        <v>202604</v>
      </c>
      <c r="H3457" t="s">
        <v>75</v>
      </c>
      <c r="I3457" t="s">
        <v>76</v>
      </c>
      <c r="J3457" t="s">
        <v>77</v>
      </c>
      <c r="K3457" t="s">
        <v>78</v>
      </c>
      <c r="L3457" t="s">
        <v>135</v>
      </c>
      <c r="M3457" t="s">
        <v>136</v>
      </c>
      <c r="N3457" t="s">
        <v>379</v>
      </c>
      <c r="O3457" t="s">
        <v>82</v>
      </c>
      <c r="P3457" t="str">
        <f>"4170050515                    "</f>
        <v xml:space="preserve">4170050515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112.92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10</v>
      </c>
      <c r="BJ3457">
        <v>4.5</v>
      </c>
      <c r="BK3457">
        <v>10</v>
      </c>
      <c r="BL3457">
        <v>355.76</v>
      </c>
      <c r="BM3457">
        <v>53.36</v>
      </c>
      <c r="BN3457">
        <v>409.12</v>
      </c>
      <c r="BO3457">
        <v>409.12</v>
      </c>
      <c r="BQ3457" t="s">
        <v>380</v>
      </c>
      <c r="BR3457" t="s">
        <v>84</v>
      </c>
      <c r="BS3457" s="3">
        <v>45862</v>
      </c>
      <c r="BT3457" s="4">
        <v>0.41666666666666669</v>
      </c>
      <c r="BU3457" t="s">
        <v>381</v>
      </c>
      <c r="BV3457" t="s">
        <v>98</v>
      </c>
      <c r="BY3457">
        <v>22620</v>
      </c>
      <c r="CA3457" t="s">
        <v>382</v>
      </c>
      <c r="CC3457" t="s">
        <v>136</v>
      </c>
      <c r="CD3457">
        <v>3212</v>
      </c>
      <c r="CE3457" t="s">
        <v>110</v>
      </c>
      <c r="CF3457" s="3">
        <v>45863</v>
      </c>
      <c r="CI3457">
        <v>2</v>
      </c>
      <c r="CJ3457">
        <v>1</v>
      </c>
      <c r="CK3457">
        <v>21</v>
      </c>
      <c r="CL3457" t="s">
        <v>86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"080066754096"</f>
        <v>080066754096</v>
      </c>
      <c r="F3458" s="3">
        <v>45861</v>
      </c>
      <c r="G3458">
        <v>202604</v>
      </c>
      <c r="H3458" t="s">
        <v>75</v>
      </c>
      <c r="I3458" t="s">
        <v>76</v>
      </c>
      <c r="J3458" t="s">
        <v>77</v>
      </c>
      <c r="K3458" t="s">
        <v>78</v>
      </c>
      <c r="L3458" t="s">
        <v>79</v>
      </c>
      <c r="M3458" t="s">
        <v>80</v>
      </c>
      <c r="N3458" t="s">
        <v>188</v>
      </c>
      <c r="O3458" t="s">
        <v>82</v>
      </c>
      <c r="P3458" t="str">
        <f>"4170050711                    "</f>
        <v xml:space="preserve">4170050711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39.53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3</v>
      </c>
      <c r="BJ3458">
        <v>3.4</v>
      </c>
      <c r="BK3458">
        <v>3.5</v>
      </c>
      <c r="BL3458">
        <v>124.55</v>
      </c>
      <c r="BM3458">
        <v>18.68</v>
      </c>
      <c r="BN3458">
        <v>143.22999999999999</v>
      </c>
      <c r="BO3458">
        <v>143.22999999999999</v>
      </c>
      <c r="BQ3458" t="s">
        <v>189</v>
      </c>
      <c r="BR3458" t="s">
        <v>84</v>
      </c>
      <c r="BS3458" s="3">
        <v>45862</v>
      </c>
      <c r="BT3458" s="4">
        <v>0.37430555555555556</v>
      </c>
      <c r="BU3458" t="s">
        <v>190</v>
      </c>
      <c r="BV3458" t="s">
        <v>98</v>
      </c>
      <c r="BY3458">
        <v>16965</v>
      </c>
      <c r="CC3458" t="s">
        <v>80</v>
      </c>
      <c r="CD3458">
        <v>7441</v>
      </c>
      <c r="CE3458" t="s">
        <v>110</v>
      </c>
      <c r="CF3458" s="3">
        <v>45863</v>
      </c>
      <c r="CI3458">
        <v>1</v>
      </c>
      <c r="CJ3458">
        <v>1</v>
      </c>
      <c r="CK3458">
        <v>21</v>
      </c>
      <c r="CL3458" t="s">
        <v>86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"080066754120"</f>
        <v>080066754120</v>
      </c>
      <c r="F3459" s="3">
        <v>45861</v>
      </c>
      <c r="G3459">
        <v>202604</v>
      </c>
      <c r="H3459" t="s">
        <v>75</v>
      </c>
      <c r="I3459" t="s">
        <v>76</v>
      </c>
      <c r="J3459" t="s">
        <v>77</v>
      </c>
      <c r="K3459" t="s">
        <v>78</v>
      </c>
      <c r="L3459" t="s">
        <v>168</v>
      </c>
      <c r="M3459" t="s">
        <v>169</v>
      </c>
      <c r="N3459" t="s">
        <v>3352</v>
      </c>
      <c r="O3459" t="s">
        <v>82</v>
      </c>
      <c r="P3459" t="str">
        <f>"4170050533                    "</f>
        <v xml:space="preserve">4170050533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22.6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1.9</v>
      </c>
      <c r="BK3459">
        <v>2</v>
      </c>
      <c r="BL3459">
        <v>71.2</v>
      </c>
      <c r="BM3459">
        <v>10.68</v>
      </c>
      <c r="BN3459">
        <v>81.88</v>
      </c>
      <c r="BO3459">
        <v>81.88</v>
      </c>
      <c r="BQ3459" t="s">
        <v>3353</v>
      </c>
      <c r="BR3459" t="s">
        <v>84</v>
      </c>
      <c r="BS3459" s="3">
        <v>45862</v>
      </c>
      <c r="BT3459" s="4">
        <v>0.43472222222222223</v>
      </c>
      <c r="BU3459" t="s">
        <v>3354</v>
      </c>
      <c r="BV3459" t="s">
        <v>98</v>
      </c>
      <c r="BY3459">
        <v>9600</v>
      </c>
      <c r="CA3459" t="s">
        <v>423</v>
      </c>
      <c r="CC3459" t="s">
        <v>169</v>
      </c>
      <c r="CD3459">
        <v>6000</v>
      </c>
      <c r="CE3459" t="s">
        <v>110</v>
      </c>
      <c r="CF3459" s="3">
        <v>45862</v>
      </c>
      <c r="CI3459">
        <v>1</v>
      </c>
      <c r="CJ3459">
        <v>1</v>
      </c>
      <c r="CK3459">
        <v>21</v>
      </c>
      <c r="CL3459" t="s">
        <v>86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"080066754126"</f>
        <v>080066754126</v>
      </c>
      <c r="F3460" s="3">
        <v>45861</v>
      </c>
      <c r="G3460">
        <v>202604</v>
      </c>
      <c r="H3460" t="s">
        <v>75</v>
      </c>
      <c r="I3460" t="s">
        <v>76</v>
      </c>
      <c r="J3460" t="s">
        <v>77</v>
      </c>
      <c r="K3460" t="s">
        <v>78</v>
      </c>
      <c r="L3460" t="s">
        <v>452</v>
      </c>
      <c r="M3460" t="s">
        <v>453</v>
      </c>
      <c r="N3460" t="s">
        <v>968</v>
      </c>
      <c r="O3460" t="s">
        <v>82</v>
      </c>
      <c r="P3460" t="str">
        <f>"4170050602                    "</f>
        <v xml:space="preserve">4170050602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17.649999999999999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55.61</v>
      </c>
      <c r="BM3460">
        <v>8.34</v>
      </c>
      <c r="BN3460">
        <v>63.95</v>
      </c>
      <c r="BO3460">
        <v>63.95</v>
      </c>
      <c r="BQ3460" t="s">
        <v>969</v>
      </c>
      <c r="BR3460" t="s">
        <v>84</v>
      </c>
      <c r="BS3460" s="3">
        <v>45862</v>
      </c>
      <c r="BT3460" s="4">
        <v>0.53472222222222221</v>
      </c>
      <c r="BU3460" t="s">
        <v>1632</v>
      </c>
      <c r="BV3460" t="s">
        <v>98</v>
      </c>
      <c r="BY3460">
        <v>1200</v>
      </c>
      <c r="CA3460" t="s">
        <v>1541</v>
      </c>
      <c r="CC3460" t="s">
        <v>453</v>
      </c>
      <c r="CD3460">
        <v>1559</v>
      </c>
      <c r="CE3460" t="s">
        <v>110</v>
      </c>
      <c r="CF3460" s="3">
        <v>45862</v>
      </c>
      <c r="CI3460">
        <v>1</v>
      </c>
      <c r="CJ3460">
        <v>1</v>
      </c>
      <c r="CK3460">
        <v>22</v>
      </c>
      <c r="CL3460" t="s">
        <v>86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"080066754146"</f>
        <v>080066754146</v>
      </c>
      <c r="F3461" s="3">
        <v>45861</v>
      </c>
      <c r="G3461">
        <v>202604</v>
      </c>
      <c r="H3461" t="s">
        <v>75</v>
      </c>
      <c r="I3461" t="s">
        <v>76</v>
      </c>
      <c r="J3461" t="s">
        <v>77</v>
      </c>
      <c r="K3461" t="s">
        <v>78</v>
      </c>
      <c r="L3461" t="s">
        <v>604</v>
      </c>
      <c r="M3461" t="s">
        <v>605</v>
      </c>
      <c r="N3461" t="s">
        <v>3355</v>
      </c>
      <c r="O3461" t="s">
        <v>82</v>
      </c>
      <c r="P3461" t="str">
        <f>"4170050560                    "</f>
        <v xml:space="preserve">4170050560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43.78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137.94</v>
      </c>
      <c r="BM3461">
        <v>20.69</v>
      </c>
      <c r="BN3461">
        <v>158.63</v>
      </c>
      <c r="BO3461">
        <v>158.63</v>
      </c>
      <c r="BQ3461" t="s">
        <v>3356</v>
      </c>
      <c r="BR3461" t="s">
        <v>84</v>
      </c>
      <c r="BS3461" s="3">
        <v>45863</v>
      </c>
      <c r="BT3461" s="4">
        <v>0.43055555555555558</v>
      </c>
      <c r="BU3461" t="s">
        <v>3357</v>
      </c>
      <c r="BV3461" t="s">
        <v>98</v>
      </c>
      <c r="BY3461">
        <v>1200</v>
      </c>
      <c r="CA3461" t="s">
        <v>3358</v>
      </c>
      <c r="CC3461" t="s">
        <v>605</v>
      </c>
      <c r="CD3461">
        <v>4490</v>
      </c>
      <c r="CE3461" t="s">
        <v>110</v>
      </c>
      <c r="CF3461" s="3">
        <v>45863</v>
      </c>
      <c r="CI3461">
        <v>5</v>
      </c>
      <c r="CJ3461">
        <v>2</v>
      </c>
      <c r="CK3461">
        <v>23</v>
      </c>
      <c r="CL3461" t="s">
        <v>86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"080066754137"</f>
        <v>080066754137</v>
      </c>
      <c r="F3462" s="3">
        <v>45861</v>
      </c>
      <c r="G3462">
        <v>202604</v>
      </c>
      <c r="H3462" t="s">
        <v>75</v>
      </c>
      <c r="I3462" t="s">
        <v>76</v>
      </c>
      <c r="J3462" t="s">
        <v>77</v>
      </c>
      <c r="K3462" t="s">
        <v>78</v>
      </c>
      <c r="L3462" t="s">
        <v>122</v>
      </c>
      <c r="M3462" t="s">
        <v>123</v>
      </c>
      <c r="N3462" t="s">
        <v>184</v>
      </c>
      <c r="O3462" t="s">
        <v>82</v>
      </c>
      <c r="P3462" t="str">
        <f>"4170050360                    "</f>
        <v xml:space="preserve">4170050360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22.6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71.2</v>
      </c>
      <c r="BM3462">
        <v>10.68</v>
      </c>
      <c r="BN3462">
        <v>81.88</v>
      </c>
      <c r="BO3462">
        <v>81.88</v>
      </c>
      <c r="BQ3462" t="s">
        <v>185</v>
      </c>
      <c r="BR3462" t="s">
        <v>84</v>
      </c>
      <c r="BS3462" s="3">
        <v>45862</v>
      </c>
      <c r="BT3462" s="4">
        <v>0.39861111111111114</v>
      </c>
      <c r="BU3462" t="s">
        <v>186</v>
      </c>
      <c r="BV3462" t="s">
        <v>98</v>
      </c>
      <c r="BY3462">
        <v>1200</v>
      </c>
      <c r="CA3462" t="s">
        <v>187</v>
      </c>
      <c r="CC3462" t="s">
        <v>123</v>
      </c>
      <c r="CD3462">
        <v>3610</v>
      </c>
      <c r="CE3462" t="s">
        <v>110</v>
      </c>
      <c r="CF3462" s="3">
        <v>45862</v>
      </c>
      <c r="CI3462">
        <v>1</v>
      </c>
      <c r="CJ3462">
        <v>1</v>
      </c>
      <c r="CK3462">
        <v>21</v>
      </c>
      <c r="CL3462" t="s">
        <v>86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"080066754140"</f>
        <v>080066754140</v>
      </c>
      <c r="F3463" s="3">
        <v>45861</v>
      </c>
      <c r="G3463">
        <v>202604</v>
      </c>
      <c r="H3463" t="s">
        <v>75</v>
      </c>
      <c r="I3463" t="s">
        <v>76</v>
      </c>
      <c r="J3463" t="s">
        <v>77</v>
      </c>
      <c r="K3463" t="s">
        <v>78</v>
      </c>
      <c r="L3463" t="s">
        <v>79</v>
      </c>
      <c r="M3463" t="s">
        <v>80</v>
      </c>
      <c r="N3463" t="s">
        <v>141</v>
      </c>
      <c r="O3463" t="s">
        <v>82</v>
      </c>
      <c r="P3463" t="str">
        <f>"4170050627                    "</f>
        <v xml:space="preserve">4170050627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50.82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4</v>
      </c>
      <c r="BJ3463">
        <v>4.5</v>
      </c>
      <c r="BK3463">
        <v>4.5</v>
      </c>
      <c r="BL3463">
        <v>160.12</v>
      </c>
      <c r="BM3463">
        <v>24.02</v>
      </c>
      <c r="BN3463">
        <v>184.14</v>
      </c>
      <c r="BO3463">
        <v>184.14</v>
      </c>
      <c r="BQ3463" t="s">
        <v>142</v>
      </c>
      <c r="BR3463" t="s">
        <v>84</v>
      </c>
      <c r="BS3463" s="3">
        <v>45862</v>
      </c>
      <c r="BT3463" s="4">
        <v>0.42152777777777778</v>
      </c>
      <c r="BU3463" t="s">
        <v>2437</v>
      </c>
      <c r="BV3463" t="s">
        <v>98</v>
      </c>
      <c r="BY3463">
        <v>22620</v>
      </c>
      <c r="CA3463" t="s">
        <v>144</v>
      </c>
      <c r="CC3463" t="s">
        <v>80</v>
      </c>
      <c r="CD3463">
        <v>7441</v>
      </c>
      <c r="CE3463" t="s">
        <v>110</v>
      </c>
      <c r="CF3463" s="3">
        <v>45863</v>
      </c>
      <c r="CI3463">
        <v>1</v>
      </c>
      <c r="CJ3463">
        <v>1</v>
      </c>
      <c r="CK3463">
        <v>21</v>
      </c>
      <c r="CL3463" t="s">
        <v>86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"080066754156"</f>
        <v>080066754156</v>
      </c>
      <c r="F3464" s="3">
        <v>45861</v>
      </c>
      <c r="G3464">
        <v>202604</v>
      </c>
      <c r="H3464" t="s">
        <v>75</v>
      </c>
      <c r="I3464" t="s">
        <v>76</v>
      </c>
      <c r="J3464" t="s">
        <v>77</v>
      </c>
      <c r="K3464" t="s">
        <v>78</v>
      </c>
      <c r="L3464" t="s">
        <v>174</v>
      </c>
      <c r="M3464" t="s">
        <v>175</v>
      </c>
      <c r="N3464" t="s">
        <v>352</v>
      </c>
      <c r="O3464" t="s">
        <v>82</v>
      </c>
      <c r="P3464" t="str">
        <f>"4170050226                    "</f>
        <v xml:space="preserve">4170050226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45.18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3</v>
      </c>
      <c r="BJ3464">
        <v>3.8</v>
      </c>
      <c r="BK3464">
        <v>4</v>
      </c>
      <c r="BL3464">
        <v>142.34</v>
      </c>
      <c r="BM3464">
        <v>21.35</v>
      </c>
      <c r="BN3464">
        <v>163.69</v>
      </c>
      <c r="BO3464">
        <v>163.69</v>
      </c>
      <c r="BQ3464" t="s">
        <v>1994</v>
      </c>
      <c r="BR3464" t="s">
        <v>84</v>
      </c>
      <c r="BS3464" s="3">
        <v>45862</v>
      </c>
      <c r="BT3464" s="4">
        <v>0.51111111111111107</v>
      </c>
      <c r="BU3464" t="s">
        <v>1995</v>
      </c>
      <c r="BV3464" t="s">
        <v>86</v>
      </c>
      <c r="BW3464" t="s">
        <v>194</v>
      </c>
      <c r="BX3464" t="s">
        <v>195</v>
      </c>
      <c r="BY3464">
        <v>19227</v>
      </c>
      <c r="CA3464" t="s">
        <v>173</v>
      </c>
      <c r="CC3464" t="s">
        <v>175</v>
      </c>
      <c r="CD3464">
        <v>6220</v>
      </c>
      <c r="CE3464" t="s">
        <v>110</v>
      </c>
      <c r="CF3464" s="3">
        <v>45862</v>
      </c>
      <c r="CI3464">
        <v>1</v>
      </c>
      <c r="CJ3464">
        <v>1</v>
      </c>
      <c r="CK3464">
        <v>21</v>
      </c>
      <c r="CL3464" t="s">
        <v>86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"080066754160"</f>
        <v>080066754160</v>
      </c>
      <c r="F3465" s="3">
        <v>45861</v>
      </c>
      <c r="G3465">
        <v>202604</v>
      </c>
      <c r="H3465" t="s">
        <v>75</v>
      </c>
      <c r="I3465" t="s">
        <v>76</v>
      </c>
      <c r="J3465" t="s">
        <v>77</v>
      </c>
      <c r="K3465" t="s">
        <v>78</v>
      </c>
      <c r="L3465" t="s">
        <v>240</v>
      </c>
      <c r="M3465" t="s">
        <v>241</v>
      </c>
      <c r="N3465" t="s">
        <v>3359</v>
      </c>
      <c r="O3465" t="s">
        <v>82</v>
      </c>
      <c r="P3465" t="str">
        <f>"4170050359                    "</f>
        <v xml:space="preserve">4170050359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17.649999999999999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55.61</v>
      </c>
      <c r="BM3465">
        <v>8.34</v>
      </c>
      <c r="BN3465">
        <v>63.95</v>
      </c>
      <c r="BO3465">
        <v>63.95</v>
      </c>
      <c r="BQ3465" t="s">
        <v>3360</v>
      </c>
      <c r="BR3465" t="s">
        <v>84</v>
      </c>
      <c r="BS3465" s="3">
        <v>45862</v>
      </c>
      <c r="BT3465" s="4">
        <v>0.41875000000000001</v>
      </c>
      <c r="BU3465" t="s">
        <v>3361</v>
      </c>
      <c r="BV3465" t="s">
        <v>98</v>
      </c>
      <c r="BY3465">
        <v>1200</v>
      </c>
      <c r="CA3465" t="s">
        <v>3319</v>
      </c>
      <c r="CC3465" t="s">
        <v>241</v>
      </c>
      <c r="CD3465">
        <v>2090</v>
      </c>
      <c r="CE3465" t="s">
        <v>110</v>
      </c>
      <c r="CF3465" s="3">
        <v>45863</v>
      </c>
      <c r="CI3465">
        <v>1</v>
      </c>
      <c r="CJ3465">
        <v>1</v>
      </c>
      <c r="CK3465">
        <v>22</v>
      </c>
      <c r="CL3465" t="s">
        <v>86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"080066754182"</f>
        <v>080066754182</v>
      </c>
      <c r="F3466" s="3">
        <v>45861</v>
      </c>
      <c r="G3466">
        <v>202604</v>
      </c>
      <c r="H3466" t="s">
        <v>75</v>
      </c>
      <c r="I3466" t="s">
        <v>76</v>
      </c>
      <c r="J3466" t="s">
        <v>77</v>
      </c>
      <c r="K3466" t="s">
        <v>78</v>
      </c>
      <c r="L3466" t="s">
        <v>75</v>
      </c>
      <c r="M3466" t="s">
        <v>76</v>
      </c>
      <c r="N3466" t="s">
        <v>118</v>
      </c>
      <c r="O3466" t="s">
        <v>82</v>
      </c>
      <c r="P3466" t="str">
        <f>"4170049780                    "</f>
        <v xml:space="preserve">4170049780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17.649999999999999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2</v>
      </c>
      <c r="BJ3466">
        <v>3.4</v>
      </c>
      <c r="BK3466">
        <v>4</v>
      </c>
      <c r="BL3466">
        <v>55.61</v>
      </c>
      <c r="BM3466">
        <v>8.34</v>
      </c>
      <c r="BN3466">
        <v>63.95</v>
      </c>
      <c r="BO3466">
        <v>63.95</v>
      </c>
      <c r="BQ3466" t="s">
        <v>119</v>
      </c>
      <c r="BR3466" t="s">
        <v>84</v>
      </c>
      <c r="BS3466" s="3">
        <v>45862</v>
      </c>
      <c r="BT3466" s="4">
        <v>0.33194444444444443</v>
      </c>
      <c r="BU3466" t="s">
        <v>212</v>
      </c>
      <c r="BV3466" t="s">
        <v>98</v>
      </c>
      <c r="BY3466">
        <v>16965</v>
      </c>
      <c r="CA3466" t="s">
        <v>213</v>
      </c>
      <c r="CC3466" t="s">
        <v>76</v>
      </c>
      <c r="CD3466">
        <v>1600</v>
      </c>
      <c r="CE3466" t="s">
        <v>145</v>
      </c>
      <c r="CF3466" s="3">
        <v>45862</v>
      </c>
      <c r="CI3466">
        <v>1</v>
      </c>
      <c r="CJ3466">
        <v>1</v>
      </c>
      <c r="CK3466">
        <v>22</v>
      </c>
      <c r="CL3466" t="s">
        <v>86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"080066754195"</f>
        <v>080066754195</v>
      </c>
      <c r="F3467" s="3">
        <v>45861</v>
      </c>
      <c r="G3467">
        <v>202604</v>
      </c>
      <c r="H3467" t="s">
        <v>75</v>
      </c>
      <c r="I3467" t="s">
        <v>76</v>
      </c>
      <c r="J3467" t="s">
        <v>77</v>
      </c>
      <c r="K3467" t="s">
        <v>78</v>
      </c>
      <c r="L3467" t="s">
        <v>305</v>
      </c>
      <c r="M3467" t="s">
        <v>306</v>
      </c>
      <c r="N3467" t="s">
        <v>710</v>
      </c>
      <c r="O3467" t="s">
        <v>82</v>
      </c>
      <c r="P3467" t="str">
        <f>"4170050531                    "</f>
        <v xml:space="preserve">4170050531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22.6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71.2</v>
      </c>
      <c r="BM3467">
        <v>10.68</v>
      </c>
      <c r="BN3467">
        <v>81.88</v>
      </c>
      <c r="BO3467">
        <v>81.88</v>
      </c>
      <c r="BQ3467" t="s">
        <v>711</v>
      </c>
      <c r="BR3467" t="s">
        <v>84</v>
      </c>
      <c r="BS3467" s="3">
        <v>45862</v>
      </c>
      <c r="BT3467" s="4">
        <v>0.68194444444444446</v>
      </c>
      <c r="BU3467" t="s">
        <v>1661</v>
      </c>
      <c r="BV3467" t="s">
        <v>98</v>
      </c>
      <c r="BY3467">
        <v>1200</v>
      </c>
      <c r="CA3467" t="s">
        <v>575</v>
      </c>
      <c r="CC3467" t="s">
        <v>306</v>
      </c>
      <c r="CD3467">
        <v>5201</v>
      </c>
      <c r="CE3467" t="s">
        <v>121</v>
      </c>
      <c r="CF3467" s="3">
        <v>45862</v>
      </c>
      <c r="CI3467">
        <v>5</v>
      </c>
      <c r="CJ3467">
        <v>1</v>
      </c>
      <c r="CK3467">
        <v>21</v>
      </c>
      <c r="CL3467" t="s">
        <v>86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"080066754204"</f>
        <v>080066754204</v>
      </c>
      <c r="F3468" s="3">
        <v>45861</v>
      </c>
      <c r="G3468">
        <v>202604</v>
      </c>
      <c r="H3468" t="s">
        <v>75</v>
      </c>
      <c r="I3468" t="s">
        <v>76</v>
      </c>
      <c r="J3468" t="s">
        <v>77</v>
      </c>
      <c r="K3468" t="s">
        <v>78</v>
      </c>
      <c r="L3468" t="s">
        <v>151</v>
      </c>
      <c r="M3468" t="s">
        <v>152</v>
      </c>
      <c r="N3468" t="s">
        <v>1484</v>
      </c>
      <c r="O3468" t="s">
        <v>82</v>
      </c>
      <c r="P3468" t="str">
        <f>"4170050468                    "</f>
        <v xml:space="preserve">4170050468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22.6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71.2</v>
      </c>
      <c r="BM3468">
        <v>10.68</v>
      </c>
      <c r="BN3468">
        <v>81.88</v>
      </c>
      <c r="BO3468">
        <v>81.88</v>
      </c>
      <c r="BQ3468" t="s">
        <v>1485</v>
      </c>
      <c r="BR3468" t="s">
        <v>84</v>
      </c>
      <c r="BS3468" s="3">
        <v>45862</v>
      </c>
      <c r="BT3468" s="4">
        <v>0.61458333333333337</v>
      </c>
      <c r="BU3468" t="s">
        <v>1632</v>
      </c>
      <c r="BV3468" t="s">
        <v>98</v>
      </c>
      <c r="BY3468">
        <v>1200</v>
      </c>
      <c r="CA3468" t="s">
        <v>513</v>
      </c>
      <c r="CC3468" t="s">
        <v>152</v>
      </c>
      <c r="CD3468" s="5" t="s">
        <v>1487</v>
      </c>
      <c r="CE3468" t="s">
        <v>121</v>
      </c>
      <c r="CF3468" s="3">
        <v>45862</v>
      </c>
      <c r="CI3468">
        <v>1</v>
      </c>
      <c r="CJ3468">
        <v>1</v>
      </c>
      <c r="CK3468">
        <v>21</v>
      </c>
      <c r="CL3468" t="s">
        <v>86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"080066754212"</f>
        <v>080066754212</v>
      </c>
      <c r="F3469" s="3">
        <v>45861</v>
      </c>
      <c r="G3469">
        <v>202604</v>
      </c>
      <c r="H3469" t="s">
        <v>75</v>
      </c>
      <c r="I3469" t="s">
        <v>76</v>
      </c>
      <c r="J3469" t="s">
        <v>77</v>
      </c>
      <c r="K3469" t="s">
        <v>78</v>
      </c>
      <c r="L3469" t="s">
        <v>75</v>
      </c>
      <c r="M3469" t="s">
        <v>76</v>
      </c>
      <c r="N3469" t="s">
        <v>118</v>
      </c>
      <c r="O3469" t="s">
        <v>311</v>
      </c>
      <c r="P3469" t="str">
        <f>"4170050399                    "</f>
        <v xml:space="preserve">4170050399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19.64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5</v>
      </c>
      <c r="BJ3469">
        <v>8.3000000000000007</v>
      </c>
      <c r="BK3469">
        <v>9</v>
      </c>
      <c r="BL3469">
        <v>61.87</v>
      </c>
      <c r="BM3469">
        <v>9.2799999999999994</v>
      </c>
      <c r="BN3469">
        <v>71.150000000000006</v>
      </c>
      <c r="BO3469">
        <v>71.150000000000006</v>
      </c>
      <c r="BQ3469" t="s">
        <v>119</v>
      </c>
      <c r="BR3469" t="s">
        <v>84</v>
      </c>
      <c r="BS3469" s="3">
        <v>45862</v>
      </c>
      <c r="BT3469" s="4">
        <v>0.33194444444444443</v>
      </c>
      <c r="BU3469" t="s">
        <v>212</v>
      </c>
      <c r="BV3469" t="s">
        <v>98</v>
      </c>
      <c r="BY3469">
        <v>41616</v>
      </c>
      <c r="CA3469" t="s">
        <v>213</v>
      </c>
      <c r="CC3469" t="s">
        <v>76</v>
      </c>
      <c r="CD3469">
        <v>1600</v>
      </c>
      <c r="CE3469" t="s">
        <v>91</v>
      </c>
      <c r="CF3469" s="3">
        <v>45862</v>
      </c>
      <c r="CI3469">
        <v>1</v>
      </c>
      <c r="CJ3469">
        <v>1</v>
      </c>
      <c r="CK3469">
        <v>32</v>
      </c>
      <c r="CL3469" t="s">
        <v>86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"080066754213"</f>
        <v>080066754213</v>
      </c>
      <c r="F3470" s="3">
        <v>45861</v>
      </c>
      <c r="G3470">
        <v>202604</v>
      </c>
      <c r="H3470" t="s">
        <v>75</v>
      </c>
      <c r="I3470" t="s">
        <v>76</v>
      </c>
      <c r="J3470" t="s">
        <v>77</v>
      </c>
      <c r="K3470" t="s">
        <v>78</v>
      </c>
      <c r="L3470" t="s">
        <v>92</v>
      </c>
      <c r="M3470" t="s">
        <v>93</v>
      </c>
      <c r="N3470" t="s">
        <v>334</v>
      </c>
      <c r="O3470" t="s">
        <v>82</v>
      </c>
      <c r="P3470" t="str">
        <f>"4170050377                    "</f>
        <v xml:space="preserve">4170050377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22.6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71.2</v>
      </c>
      <c r="BM3470">
        <v>10.68</v>
      </c>
      <c r="BN3470">
        <v>81.88</v>
      </c>
      <c r="BO3470">
        <v>81.88</v>
      </c>
      <c r="BQ3470" t="s">
        <v>335</v>
      </c>
      <c r="BR3470" t="s">
        <v>84</v>
      </c>
      <c r="BS3470" s="3">
        <v>45862</v>
      </c>
      <c r="BT3470" s="4">
        <v>0.41666666666666669</v>
      </c>
      <c r="BU3470" t="s">
        <v>2897</v>
      </c>
      <c r="BV3470" t="s">
        <v>98</v>
      </c>
      <c r="BY3470">
        <v>1200</v>
      </c>
      <c r="CA3470" t="s">
        <v>337</v>
      </c>
      <c r="CC3470" t="s">
        <v>93</v>
      </c>
      <c r="CD3470">
        <v>4052</v>
      </c>
      <c r="CE3470" t="s">
        <v>121</v>
      </c>
      <c r="CF3470" s="3">
        <v>45862</v>
      </c>
      <c r="CI3470">
        <v>1</v>
      </c>
      <c r="CJ3470">
        <v>1</v>
      </c>
      <c r="CK3470">
        <v>21</v>
      </c>
      <c r="CL3470" t="s">
        <v>86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"080066754227"</f>
        <v>080066754227</v>
      </c>
      <c r="F3471" s="3">
        <v>45861</v>
      </c>
      <c r="G3471">
        <v>202604</v>
      </c>
      <c r="H3471" t="s">
        <v>75</v>
      </c>
      <c r="I3471" t="s">
        <v>76</v>
      </c>
      <c r="J3471" t="s">
        <v>77</v>
      </c>
      <c r="K3471" t="s">
        <v>78</v>
      </c>
      <c r="L3471" t="s">
        <v>122</v>
      </c>
      <c r="M3471" t="s">
        <v>123</v>
      </c>
      <c r="N3471" t="s">
        <v>357</v>
      </c>
      <c r="O3471" t="s">
        <v>82</v>
      </c>
      <c r="P3471" t="str">
        <f>"4170050400                    "</f>
        <v xml:space="preserve">4170050400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22.6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71.2</v>
      </c>
      <c r="BM3471">
        <v>10.68</v>
      </c>
      <c r="BN3471">
        <v>81.88</v>
      </c>
      <c r="BO3471">
        <v>81.88</v>
      </c>
      <c r="BQ3471" t="s">
        <v>358</v>
      </c>
      <c r="BR3471" t="s">
        <v>84</v>
      </c>
      <c r="BS3471" s="3">
        <v>45862</v>
      </c>
      <c r="BT3471" s="4">
        <v>0.39374999999999999</v>
      </c>
      <c r="BU3471" t="s">
        <v>359</v>
      </c>
      <c r="BV3471" t="s">
        <v>98</v>
      </c>
      <c r="BY3471">
        <v>1200</v>
      </c>
      <c r="CA3471" t="s">
        <v>2974</v>
      </c>
      <c r="CC3471" t="s">
        <v>123</v>
      </c>
      <c r="CD3471">
        <v>3610</v>
      </c>
      <c r="CE3471" t="s">
        <v>121</v>
      </c>
      <c r="CF3471" s="3">
        <v>45863</v>
      </c>
      <c r="CI3471">
        <v>1</v>
      </c>
      <c r="CJ3471">
        <v>1</v>
      </c>
      <c r="CK3471">
        <v>21</v>
      </c>
      <c r="CL3471" t="s">
        <v>86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"080066754234"</f>
        <v>080066754234</v>
      </c>
      <c r="F3472" s="3">
        <v>45861</v>
      </c>
      <c r="G3472">
        <v>202604</v>
      </c>
      <c r="H3472" t="s">
        <v>75</v>
      </c>
      <c r="I3472" t="s">
        <v>76</v>
      </c>
      <c r="J3472" t="s">
        <v>77</v>
      </c>
      <c r="K3472" t="s">
        <v>78</v>
      </c>
      <c r="L3472" t="s">
        <v>151</v>
      </c>
      <c r="M3472" t="s">
        <v>152</v>
      </c>
      <c r="N3472" t="s">
        <v>3362</v>
      </c>
      <c r="O3472" t="s">
        <v>82</v>
      </c>
      <c r="P3472" t="str">
        <f>"4170050323                    "</f>
        <v xml:space="preserve">4170050323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22.6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1.7</v>
      </c>
      <c r="BK3472">
        <v>2</v>
      </c>
      <c r="BL3472">
        <v>71.2</v>
      </c>
      <c r="BM3472">
        <v>10.68</v>
      </c>
      <c r="BN3472">
        <v>81.88</v>
      </c>
      <c r="BO3472">
        <v>81.88</v>
      </c>
      <c r="BQ3472" t="s">
        <v>3363</v>
      </c>
      <c r="BR3472" t="s">
        <v>84</v>
      </c>
      <c r="BS3472" s="3">
        <v>45862</v>
      </c>
      <c r="BT3472" s="4">
        <v>0.37916666666666665</v>
      </c>
      <c r="BU3472" t="s">
        <v>527</v>
      </c>
      <c r="BV3472" t="s">
        <v>98</v>
      </c>
      <c r="BY3472">
        <v>8512</v>
      </c>
      <c r="CA3472" t="s">
        <v>3364</v>
      </c>
      <c r="CC3472" t="s">
        <v>152</v>
      </c>
      <c r="CD3472" s="5" t="s">
        <v>3365</v>
      </c>
      <c r="CE3472" t="s">
        <v>145</v>
      </c>
      <c r="CF3472" s="3">
        <v>45862</v>
      </c>
      <c r="CI3472">
        <v>1</v>
      </c>
      <c r="CJ3472">
        <v>1</v>
      </c>
      <c r="CK3472">
        <v>21</v>
      </c>
      <c r="CL3472" t="s">
        <v>86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"080066754244"</f>
        <v>080066754244</v>
      </c>
      <c r="F3473" s="3">
        <v>45861</v>
      </c>
      <c r="G3473">
        <v>202604</v>
      </c>
      <c r="H3473" t="s">
        <v>75</v>
      </c>
      <c r="I3473" t="s">
        <v>76</v>
      </c>
      <c r="J3473" t="s">
        <v>77</v>
      </c>
      <c r="K3473" t="s">
        <v>78</v>
      </c>
      <c r="L3473" t="s">
        <v>79</v>
      </c>
      <c r="M3473" t="s">
        <v>80</v>
      </c>
      <c r="N3473" t="s">
        <v>188</v>
      </c>
      <c r="O3473" t="s">
        <v>82</v>
      </c>
      <c r="P3473" t="str">
        <f>"4170050547                    "</f>
        <v xml:space="preserve">4170050547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22.6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71.2</v>
      </c>
      <c r="BM3473">
        <v>10.68</v>
      </c>
      <c r="BN3473">
        <v>81.88</v>
      </c>
      <c r="BO3473">
        <v>81.88</v>
      </c>
      <c r="BQ3473" t="s">
        <v>189</v>
      </c>
      <c r="BR3473" t="s">
        <v>84</v>
      </c>
      <c r="BS3473" s="3">
        <v>45862</v>
      </c>
      <c r="BT3473" s="4">
        <v>0.37430555555555556</v>
      </c>
      <c r="BU3473" t="s">
        <v>190</v>
      </c>
      <c r="BV3473" t="s">
        <v>98</v>
      </c>
      <c r="BY3473">
        <v>1200</v>
      </c>
      <c r="CC3473" t="s">
        <v>80</v>
      </c>
      <c r="CD3473">
        <v>7441</v>
      </c>
      <c r="CE3473" t="s">
        <v>121</v>
      </c>
      <c r="CF3473" s="3">
        <v>45863</v>
      </c>
      <c r="CI3473">
        <v>1</v>
      </c>
      <c r="CJ3473">
        <v>1</v>
      </c>
      <c r="CK3473">
        <v>21</v>
      </c>
      <c r="CL3473" t="s">
        <v>86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"080066754256"</f>
        <v>080066754256</v>
      </c>
      <c r="F3474" s="3">
        <v>45861</v>
      </c>
      <c r="G3474">
        <v>202604</v>
      </c>
      <c r="H3474" t="s">
        <v>75</v>
      </c>
      <c r="I3474" t="s">
        <v>76</v>
      </c>
      <c r="J3474" t="s">
        <v>77</v>
      </c>
      <c r="K3474" t="s">
        <v>78</v>
      </c>
      <c r="L3474" t="s">
        <v>135</v>
      </c>
      <c r="M3474" t="s">
        <v>136</v>
      </c>
      <c r="N3474" t="s">
        <v>2091</v>
      </c>
      <c r="O3474" t="s">
        <v>82</v>
      </c>
      <c r="P3474" t="str">
        <f>"4170050506                    "</f>
        <v xml:space="preserve">4170050506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22.6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71.2</v>
      </c>
      <c r="BM3474">
        <v>10.68</v>
      </c>
      <c r="BN3474">
        <v>81.88</v>
      </c>
      <c r="BO3474">
        <v>81.88</v>
      </c>
      <c r="BQ3474" t="s">
        <v>2092</v>
      </c>
      <c r="BR3474" t="s">
        <v>84</v>
      </c>
      <c r="BS3474" s="3">
        <v>45862</v>
      </c>
      <c r="BT3474" s="4">
        <v>0.41666666666666669</v>
      </c>
      <c r="BU3474" t="s">
        <v>3348</v>
      </c>
      <c r="BV3474" t="s">
        <v>98</v>
      </c>
      <c r="BY3474">
        <v>1200</v>
      </c>
      <c r="CA3474" t="s">
        <v>349</v>
      </c>
      <c r="CC3474" t="s">
        <v>136</v>
      </c>
      <c r="CD3474">
        <v>3201</v>
      </c>
      <c r="CE3474" t="s">
        <v>121</v>
      </c>
      <c r="CF3474" s="3">
        <v>45863</v>
      </c>
      <c r="CI3474">
        <v>1</v>
      </c>
      <c r="CJ3474">
        <v>1</v>
      </c>
      <c r="CK3474">
        <v>21</v>
      </c>
      <c r="CL3474" t="s">
        <v>86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"080066754339"</f>
        <v>080066754339</v>
      </c>
      <c r="F3475" s="3">
        <v>45861</v>
      </c>
      <c r="G3475">
        <v>202604</v>
      </c>
      <c r="H3475" t="s">
        <v>75</v>
      </c>
      <c r="I3475" t="s">
        <v>76</v>
      </c>
      <c r="J3475" t="s">
        <v>77</v>
      </c>
      <c r="K3475" t="s">
        <v>78</v>
      </c>
      <c r="L3475" t="s">
        <v>135</v>
      </c>
      <c r="M3475" t="s">
        <v>136</v>
      </c>
      <c r="N3475" t="s">
        <v>1093</v>
      </c>
      <c r="O3475" t="s">
        <v>82</v>
      </c>
      <c r="P3475" t="str">
        <f>"4170050485                    "</f>
        <v xml:space="preserve">4170050485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22.6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71.2</v>
      </c>
      <c r="BM3475">
        <v>10.68</v>
      </c>
      <c r="BN3475">
        <v>81.88</v>
      </c>
      <c r="BO3475">
        <v>81.88</v>
      </c>
      <c r="BQ3475" t="s">
        <v>1094</v>
      </c>
      <c r="BR3475" t="s">
        <v>84</v>
      </c>
      <c r="BS3475" s="3">
        <v>45862</v>
      </c>
      <c r="BT3475" s="4">
        <v>0.41666666666666669</v>
      </c>
      <c r="BU3475" t="s">
        <v>2630</v>
      </c>
      <c r="BV3475" t="s">
        <v>98</v>
      </c>
      <c r="BY3475">
        <v>1200</v>
      </c>
      <c r="CA3475" t="s">
        <v>1602</v>
      </c>
      <c r="CC3475" t="s">
        <v>136</v>
      </c>
      <c r="CD3475">
        <v>3201</v>
      </c>
      <c r="CE3475" t="s">
        <v>121</v>
      </c>
      <c r="CF3475" s="3">
        <v>45863</v>
      </c>
      <c r="CI3475">
        <v>1</v>
      </c>
      <c r="CJ3475">
        <v>1</v>
      </c>
      <c r="CK3475">
        <v>21</v>
      </c>
      <c r="CL3475" t="s">
        <v>86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"080066754393"</f>
        <v>080066754393</v>
      </c>
      <c r="F3476" s="3">
        <v>45861</v>
      </c>
      <c r="G3476">
        <v>202604</v>
      </c>
      <c r="H3476" t="s">
        <v>75</v>
      </c>
      <c r="I3476" t="s">
        <v>76</v>
      </c>
      <c r="J3476" t="s">
        <v>77</v>
      </c>
      <c r="K3476" t="s">
        <v>78</v>
      </c>
      <c r="L3476" t="s">
        <v>406</v>
      </c>
      <c r="M3476" t="s">
        <v>407</v>
      </c>
      <c r="N3476" t="s">
        <v>3245</v>
      </c>
      <c r="O3476" t="s">
        <v>82</v>
      </c>
      <c r="P3476" t="str">
        <f>"4170050366                    "</f>
        <v xml:space="preserve">4170050366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43.78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137.94</v>
      </c>
      <c r="BM3476">
        <v>20.69</v>
      </c>
      <c r="BN3476">
        <v>158.63</v>
      </c>
      <c r="BO3476">
        <v>158.63</v>
      </c>
      <c r="BQ3476" t="s">
        <v>3246</v>
      </c>
      <c r="BR3476" t="s">
        <v>84</v>
      </c>
      <c r="BS3476" s="3">
        <v>45862</v>
      </c>
      <c r="BT3476" s="4">
        <v>0.39513888888888887</v>
      </c>
      <c r="BU3476" t="s">
        <v>618</v>
      </c>
      <c r="BV3476" t="s">
        <v>98</v>
      </c>
      <c r="BY3476">
        <v>1200</v>
      </c>
      <c r="CA3476" t="s">
        <v>1286</v>
      </c>
      <c r="CC3476" t="s">
        <v>407</v>
      </c>
      <c r="CD3476">
        <v>4399</v>
      </c>
      <c r="CE3476" t="s">
        <v>121</v>
      </c>
      <c r="CF3476" s="3">
        <v>45862</v>
      </c>
      <c r="CI3476">
        <v>1</v>
      </c>
      <c r="CJ3476">
        <v>1</v>
      </c>
      <c r="CK3476">
        <v>23</v>
      </c>
      <c r="CL3476" t="s">
        <v>86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"080066754400"</f>
        <v>080066754400</v>
      </c>
      <c r="F3477" s="3">
        <v>45861</v>
      </c>
      <c r="G3477">
        <v>202604</v>
      </c>
      <c r="H3477" t="s">
        <v>75</v>
      </c>
      <c r="I3477" t="s">
        <v>76</v>
      </c>
      <c r="J3477" t="s">
        <v>77</v>
      </c>
      <c r="K3477" t="s">
        <v>78</v>
      </c>
      <c r="L3477" t="s">
        <v>92</v>
      </c>
      <c r="M3477" t="s">
        <v>93</v>
      </c>
      <c r="N3477" t="s">
        <v>291</v>
      </c>
      <c r="O3477" t="s">
        <v>82</v>
      </c>
      <c r="P3477" t="str">
        <f>"4170050465                    "</f>
        <v xml:space="preserve">4170050465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22.6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71.2</v>
      </c>
      <c r="BM3477">
        <v>10.68</v>
      </c>
      <c r="BN3477">
        <v>81.88</v>
      </c>
      <c r="BO3477">
        <v>81.88</v>
      </c>
      <c r="BQ3477" t="s">
        <v>292</v>
      </c>
      <c r="BR3477" t="s">
        <v>84</v>
      </c>
      <c r="BS3477" s="3">
        <v>45862</v>
      </c>
      <c r="BT3477" s="4">
        <v>0.33819444444444446</v>
      </c>
      <c r="BU3477" t="s">
        <v>971</v>
      </c>
      <c r="BV3477" t="s">
        <v>98</v>
      </c>
      <c r="BY3477">
        <v>1200</v>
      </c>
      <c r="CA3477" t="s">
        <v>294</v>
      </c>
      <c r="CC3477" t="s">
        <v>93</v>
      </c>
      <c r="CD3477">
        <v>4000</v>
      </c>
      <c r="CE3477" t="s">
        <v>121</v>
      </c>
      <c r="CF3477" s="3">
        <v>45862</v>
      </c>
      <c r="CI3477">
        <v>1</v>
      </c>
      <c r="CJ3477">
        <v>1</v>
      </c>
      <c r="CK3477">
        <v>21</v>
      </c>
      <c r="CL3477" t="s">
        <v>86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"080066754411"</f>
        <v>080066754411</v>
      </c>
      <c r="F3478" s="3">
        <v>45861</v>
      </c>
      <c r="G3478">
        <v>202604</v>
      </c>
      <c r="H3478" t="s">
        <v>75</v>
      </c>
      <c r="I3478" t="s">
        <v>76</v>
      </c>
      <c r="J3478" t="s">
        <v>77</v>
      </c>
      <c r="K3478" t="s">
        <v>78</v>
      </c>
      <c r="L3478" t="s">
        <v>135</v>
      </c>
      <c r="M3478" t="s">
        <v>136</v>
      </c>
      <c r="N3478" t="s">
        <v>1093</v>
      </c>
      <c r="O3478" t="s">
        <v>82</v>
      </c>
      <c r="P3478" t="str">
        <f>"4170050486                    "</f>
        <v xml:space="preserve">4170050486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22.6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71.2</v>
      </c>
      <c r="BM3478">
        <v>10.68</v>
      </c>
      <c r="BN3478">
        <v>81.88</v>
      </c>
      <c r="BO3478">
        <v>81.88</v>
      </c>
      <c r="BQ3478" t="s">
        <v>1094</v>
      </c>
      <c r="BR3478" t="s">
        <v>84</v>
      </c>
      <c r="BS3478" s="3">
        <v>45862</v>
      </c>
      <c r="BT3478" s="4">
        <v>0.41666666666666669</v>
      </c>
      <c r="BU3478" t="s">
        <v>2630</v>
      </c>
      <c r="BV3478" t="s">
        <v>98</v>
      </c>
      <c r="BY3478">
        <v>1200</v>
      </c>
      <c r="CA3478" t="s">
        <v>1602</v>
      </c>
      <c r="CC3478" t="s">
        <v>136</v>
      </c>
      <c r="CD3478">
        <v>3201</v>
      </c>
      <c r="CE3478" t="s">
        <v>121</v>
      </c>
      <c r="CF3478" s="3">
        <v>45863</v>
      </c>
      <c r="CI3478">
        <v>1</v>
      </c>
      <c r="CJ3478">
        <v>1</v>
      </c>
      <c r="CK3478">
        <v>21</v>
      </c>
      <c r="CL3478" t="s">
        <v>86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"080066754416"</f>
        <v>080066754416</v>
      </c>
      <c r="F3479" s="3">
        <v>45861</v>
      </c>
      <c r="G3479">
        <v>202604</v>
      </c>
      <c r="H3479" t="s">
        <v>75</v>
      </c>
      <c r="I3479" t="s">
        <v>76</v>
      </c>
      <c r="J3479" t="s">
        <v>77</v>
      </c>
      <c r="K3479" t="s">
        <v>78</v>
      </c>
      <c r="L3479" t="s">
        <v>240</v>
      </c>
      <c r="M3479" t="s">
        <v>241</v>
      </c>
      <c r="N3479" t="s">
        <v>447</v>
      </c>
      <c r="O3479" t="s">
        <v>82</v>
      </c>
      <c r="P3479" t="str">
        <f>"4170050390                    "</f>
        <v xml:space="preserve">4170050390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17.649999999999999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55.61</v>
      </c>
      <c r="BM3479">
        <v>8.34</v>
      </c>
      <c r="BN3479">
        <v>63.95</v>
      </c>
      <c r="BO3479">
        <v>63.95</v>
      </c>
      <c r="BQ3479" t="s">
        <v>448</v>
      </c>
      <c r="BR3479" t="s">
        <v>84</v>
      </c>
      <c r="BS3479" s="3">
        <v>45862</v>
      </c>
      <c r="BT3479" s="4">
        <v>0.43055555555555558</v>
      </c>
      <c r="BU3479" t="s">
        <v>3293</v>
      </c>
      <c r="BV3479" t="s">
        <v>98</v>
      </c>
      <c r="BY3479">
        <v>1200</v>
      </c>
      <c r="CA3479" t="s">
        <v>451</v>
      </c>
      <c r="CC3479" t="s">
        <v>241</v>
      </c>
      <c r="CD3479">
        <v>2094</v>
      </c>
      <c r="CE3479" t="s">
        <v>121</v>
      </c>
      <c r="CF3479" s="3">
        <v>45862</v>
      </c>
      <c r="CI3479">
        <v>1</v>
      </c>
      <c r="CJ3479">
        <v>1</v>
      </c>
      <c r="CK3479">
        <v>22</v>
      </c>
      <c r="CL3479" t="s">
        <v>86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"080066754429"</f>
        <v>080066754429</v>
      </c>
      <c r="F3480" s="3">
        <v>45861</v>
      </c>
      <c r="G3480">
        <v>202604</v>
      </c>
      <c r="H3480" t="s">
        <v>75</v>
      </c>
      <c r="I3480" t="s">
        <v>76</v>
      </c>
      <c r="J3480" t="s">
        <v>77</v>
      </c>
      <c r="K3480" t="s">
        <v>78</v>
      </c>
      <c r="L3480" t="s">
        <v>75</v>
      </c>
      <c r="M3480" t="s">
        <v>76</v>
      </c>
      <c r="N3480" t="s">
        <v>614</v>
      </c>
      <c r="O3480" t="s">
        <v>311</v>
      </c>
      <c r="P3480" t="str">
        <f>"4170050376                    "</f>
        <v xml:space="preserve">4170050376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17.66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8</v>
      </c>
      <c r="BJ3480">
        <v>3.4</v>
      </c>
      <c r="BK3480">
        <v>8</v>
      </c>
      <c r="BL3480">
        <v>55.63</v>
      </c>
      <c r="BM3480">
        <v>8.34</v>
      </c>
      <c r="BN3480">
        <v>63.97</v>
      </c>
      <c r="BO3480">
        <v>63.97</v>
      </c>
      <c r="BQ3480" t="s">
        <v>615</v>
      </c>
      <c r="BR3480" t="s">
        <v>84</v>
      </c>
      <c r="BS3480" s="3">
        <v>45862</v>
      </c>
      <c r="BT3480" s="4">
        <v>0.4201388888888889</v>
      </c>
      <c r="BU3480" t="s">
        <v>616</v>
      </c>
      <c r="BV3480" t="s">
        <v>98</v>
      </c>
      <c r="BY3480">
        <v>16965</v>
      </c>
      <c r="CA3480" t="s">
        <v>617</v>
      </c>
      <c r="CC3480" t="s">
        <v>76</v>
      </c>
      <c r="CD3480">
        <v>1609</v>
      </c>
      <c r="CE3480" t="s">
        <v>145</v>
      </c>
      <c r="CF3480" s="3">
        <v>45863</v>
      </c>
      <c r="CI3480">
        <v>1</v>
      </c>
      <c r="CJ3480">
        <v>1</v>
      </c>
      <c r="CK3480">
        <v>32</v>
      </c>
      <c r="CL3480" t="s">
        <v>86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"080066754439"</f>
        <v>080066754439</v>
      </c>
      <c r="F3481" s="3">
        <v>45861</v>
      </c>
      <c r="G3481">
        <v>202604</v>
      </c>
      <c r="H3481" t="s">
        <v>75</v>
      </c>
      <c r="I3481" t="s">
        <v>76</v>
      </c>
      <c r="J3481" t="s">
        <v>77</v>
      </c>
      <c r="K3481" t="s">
        <v>78</v>
      </c>
      <c r="L3481" t="s">
        <v>151</v>
      </c>
      <c r="M3481" t="s">
        <v>152</v>
      </c>
      <c r="N3481" t="s">
        <v>902</v>
      </c>
      <c r="O3481" t="s">
        <v>82</v>
      </c>
      <c r="P3481" t="str">
        <f>"4170050598                    "</f>
        <v xml:space="preserve">4170050598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33.89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3</v>
      </c>
      <c r="BJ3481">
        <v>1.7</v>
      </c>
      <c r="BK3481">
        <v>3</v>
      </c>
      <c r="BL3481">
        <v>106.77</v>
      </c>
      <c r="BM3481">
        <v>16.02</v>
      </c>
      <c r="BN3481">
        <v>122.79</v>
      </c>
      <c r="BO3481">
        <v>122.79</v>
      </c>
      <c r="BQ3481" t="s">
        <v>903</v>
      </c>
      <c r="BR3481" t="s">
        <v>84</v>
      </c>
      <c r="BS3481" s="3">
        <v>45862</v>
      </c>
      <c r="BT3481" s="4">
        <v>0.38819444444444445</v>
      </c>
      <c r="BU3481" t="s">
        <v>1119</v>
      </c>
      <c r="BV3481" t="s">
        <v>98</v>
      </c>
      <c r="BY3481">
        <v>8512</v>
      </c>
      <c r="CA3481" t="s">
        <v>906</v>
      </c>
      <c r="CC3481" t="s">
        <v>152</v>
      </c>
      <c r="CD3481" s="5" t="s">
        <v>907</v>
      </c>
      <c r="CE3481" t="s">
        <v>145</v>
      </c>
      <c r="CF3481" s="3">
        <v>45862</v>
      </c>
      <c r="CI3481">
        <v>1</v>
      </c>
      <c r="CJ3481">
        <v>1</v>
      </c>
      <c r="CK3481">
        <v>21</v>
      </c>
      <c r="CL3481" t="s">
        <v>86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"080066754456"</f>
        <v>080066754456</v>
      </c>
      <c r="F3482" s="3">
        <v>45861</v>
      </c>
      <c r="G3482">
        <v>202604</v>
      </c>
      <c r="H3482" t="s">
        <v>75</v>
      </c>
      <c r="I3482" t="s">
        <v>76</v>
      </c>
      <c r="J3482" t="s">
        <v>77</v>
      </c>
      <c r="K3482" t="s">
        <v>78</v>
      </c>
      <c r="L3482" t="s">
        <v>221</v>
      </c>
      <c r="M3482" t="s">
        <v>222</v>
      </c>
      <c r="N3482" t="s">
        <v>223</v>
      </c>
      <c r="O3482" t="s">
        <v>82</v>
      </c>
      <c r="P3482" t="str">
        <f>"4170050596                    "</f>
        <v xml:space="preserve">4170050596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142.63999999999999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7</v>
      </c>
      <c r="BJ3482">
        <v>3.5</v>
      </c>
      <c r="BK3482">
        <v>7</v>
      </c>
      <c r="BL3482">
        <v>449.4</v>
      </c>
      <c r="BM3482">
        <v>67.41</v>
      </c>
      <c r="BN3482">
        <v>516.80999999999995</v>
      </c>
      <c r="BO3482">
        <v>516.80999999999995</v>
      </c>
      <c r="BQ3482" t="s">
        <v>224</v>
      </c>
      <c r="BR3482" t="s">
        <v>84</v>
      </c>
      <c r="BS3482" s="3">
        <v>45862</v>
      </c>
      <c r="BT3482" s="4">
        <v>0.38541666666666669</v>
      </c>
      <c r="BU3482" t="s">
        <v>2049</v>
      </c>
      <c r="BV3482" t="s">
        <v>98</v>
      </c>
      <c r="BY3482">
        <v>17360</v>
      </c>
      <c r="CC3482" t="s">
        <v>222</v>
      </c>
      <c r="CD3482">
        <v>2740</v>
      </c>
      <c r="CE3482" t="s">
        <v>91</v>
      </c>
      <c r="CF3482" s="3">
        <v>45863</v>
      </c>
      <c r="CI3482">
        <v>1</v>
      </c>
      <c r="CJ3482">
        <v>1</v>
      </c>
      <c r="CK3482">
        <v>23</v>
      </c>
      <c r="CL3482" t="s">
        <v>86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"080066754474"</f>
        <v>080066754474</v>
      </c>
      <c r="F3483" s="3">
        <v>45861</v>
      </c>
      <c r="G3483">
        <v>202604</v>
      </c>
      <c r="H3483" t="s">
        <v>75</v>
      </c>
      <c r="I3483" t="s">
        <v>76</v>
      </c>
      <c r="J3483" t="s">
        <v>77</v>
      </c>
      <c r="K3483" t="s">
        <v>78</v>
      </c>
      <c r="L3483" t="s">
        <v>92</v>
      </c>
      <c r="M3483" t="s">
        <v>93</v>
      </c>
      <c r="N3483" t="s">
        <v>291</v>
      </c>
      <c r="O3483" t="s">
        <v>82</v>
      </c>
      <c r="P3483" t="str">
        <f>"4170050546                    "</f>
        <v xml:space="preserve">4170050546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135.5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12</v>
      </c>
      <c r="BJ3483">
        <v>3.8</v>
      </c>
      <c r="BK3483">
        <v>12</v>
      </c>
      <c r="BL3483">
        <v>426.9</v>
      </c>
      <c r="BM3483">
        <v>64.040000000000006</v>
      </c>
      <c r="BN3483">
        <v>490.94</v>
      </c>
      <c r="BO3483">
        <v>490.94</v>
      </c>
      <c r="BQ3483" t="s">
        <v>292</v>
      </c>
      <c r="BR3483" t="s">
        <v>84</v>
      </c>
      <c r="BS3483" s="3">
        <v>45862</v>
      </c>
      <c r="BT3483" s="4">
        <v>0.33819444444444446</v>
      </c>
      <c r="BU3483" t="s">
        <v>971</v>
      </c>
      <c r="BV3483" t="s">
        <v>98</v>
      </c>
      <c r="BY3483">
        <v>19227</v>
      </c>
      <c r="CA3483" t="s">
        <v>294</v>
      </c>
      <c r="CC3483" t="s">
        <v>93</v>
      </c>
      <c r="CD3483">
        <v>4051</v>
      </c>
      <c r="CE3483" t="s">
        <v>145</v>
      </c>
      <c r="CF3483" s="3">
        <v>45862</v>
      </c>
      <c r="CI3483">
        <v>1</v>
      </c>
      <c r="CJ3483">
        <v>1</v>
      </c>
      <c r="CK3483">
        <v>21</v>
      </c>
      <c r="CL3483" t="s">
        <v>86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"080066754495"</f>
        <v>080066754495</v>
      </c>
      <c r="F3484" s="3">
        <v>45861</v>
      </c>
      <c r="G3484">
        <v>202604</v>
      </c>
      <c r="H3484" t="s">
        <v>75</v>
      </c>
      <c r="I3484" t="s">
        <v>76</v>
      </c>
      <c r="J3484" t="s">
        <v>77</v>
      </c>
      <c r="K3484" t="s">
        <v>78</v>
      </c>
      <c r="L3484" t="s">
        <v>2819</v>
      </c>
      <c r="M3484" t="s">
        <v>2820</v>
      </c>
      <c r="N3484" t="s">
        <v>2821</v>
      </c>
      <c r="O3484" t="s">
        <v>82</v>
      </c>
      <c r="P3484" t="str">
        <f>"4170050542                    "</f>
        <v xml:space="preserve">4170050542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53.67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2</v>
      </c>
      <c r="BJ3484">
        <v>2.2000000000000002</v>
      </c>
      <c r="BK3484">
        <v>2.5</v>
      </c>
      <c r="BL3484">
        <v>169.09</v>
      </c>
      <c r="BM3484">
        <v>25.36</v>
      </c>
      <c r="BN3484">
        <v>194.45</v>
      </c>
      <c r="BO3484">
        <v>194.45</v>
      </c>
      <c r="BQ3484" t="s">
        <v>2822</v>
      </c>
      <c r="BR3484" t="s">
        <v>84</v>
      </c>
      <c r="BS3484" s="3">
        <v>45863</v>
      </c>
      <c r="BT3484" s="4">
        <v>0.43125000000000002</v>
      </c>
      <c r="BU3484" t="s">
        <v>2823</v>
      </c>
      <c r="BV3484" t="s">
        <v>98</v>
      </c>
      <c r="BY3484">
        <v>10800</v>
      </c>
      <c r="CC3484" t="s">
        <v>2820</v>
      </c>
      <c r="CD3484">
        <v>6740</v>
      </c>
      <c r="CE3484" t="s">
        <v>91</v>
      </c>
      <c r="CF3484" s="3">
        <v>45863</v>
      </c>
      <c r="CI3484">
        <v>2</v>
      </c>
      <c r="CJ3484">
        <v>2</v>
      </c>
      <c r="CK3484">
        <v>23</v>
      </c>
      <c r="CL3484" t="s">
        <v>86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"080066754511"</f>
        <v>080066754511</v>
      </c>
      <c r="F3485" s="3">
        <v>45861</v>
      </c>
      <c r="G3485">
        <v>202604</v>
      </c>
      <c r="H3485" t="s">
        <v>75</v>
      </c>
      <c r="I3485" t="s">
        <v>76</v>
      </c>
      <c r="J3485" t="s">
        <v>77</v>
      </c>
      <c r="K3485" t="s">
        <v>78</v>
      </c>
      <c r="L3485" t="s">
        <v>79</v>
      </c>
      <c r="M3485" t="s">
        <v>80</v>
      </c>
      <c r="N3485" t="s">
        <v>3366</v>
      </c>
      <c r="O3485" t="s">
        <v>82</v>
      </c>
      <c r="P3485" t="str">
        <f>"4170050526                    "</f>
        <v xml:space="preserve">4170050526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22.6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1.9</v>
      </c>
      <c r="BK3485">
        <v>2</v>
      </c>
      <c r="BL3485">
        <v>71.2</v>
      </c>
      <c r="BM3485">
        <v>10.68</v>
      </c>
      <c r="BN3485">
        <v>81.88</v>
      </c>
      <c r="BO3485">
        <v>81.88</v>
      </c>
      <c r="BQ3485" t="s">
        <v>3367</v>
      </c>
      <c r="BR3485" t="s">
        <v>84</v>
      </c>
      <c r="BS3485" s="3">
        <v>45862</v>
      </c>
      <c r="BT3485" s="4">
        <v>0.3972222222222222</v>
      </c>
      <c r="BU3485" t="s">
        <v>3368</v>
      </c>
      <c r="BV3485" t="s">
        <v>98</v>
      </c>
      <c r="BY3485">
        <v>9600</v>
      </c>
      <c r="CA3485" t="s">
        <v>1596</v>
      </c>
      <c r="CC3485" t="s">
        <v>80</v>
      </c>
      <c r="CD3485">
        <v>7499</v>
      </c>
      <c r="CE3485" t="s">
        <v>145</v>
      </c>
      <c r="CF3485" s="3">
        <v>45863</v>
      </c>
      <c r="CI3485">
        <v>1</v>
      </c>
      <c r="CJ3485">
        <v>1</v>
      </c>
      <c r="CK3485">
        <v>21</v>
      </c>
      <c r="CL3485" t="s">
        <v>86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"080066754531"</f>
        <v>080066754531</v>
      </c>
      <c r="F3486" s="3">
        <v>45861</v>
      </c>
      <c r="G3486">
        <v>202604</v>
      </c>
      <c r="H3486" t="s">
        <v>75</v>
      </c>
      <c r="I3486" t="s">
        <v>76</v>
      </c>
      <c r="J3486" t="s">
        <v>77</v>
      </c>
      <c r="K3486" t="s">
        <v>78</v>
      </c>
      <c r="L3486" t="s">
        <v>1762</v>
      </c>
      <c r="M3486" t="s">
        <v>1763</v>
      </c>
      <c r="N3486" t="s">
        <v>2617</v>
      </c>
      <c r="O3486" t="s">
        <v>82</v>
      </c>
      <c r="P3486" t="str">
        <f>"4170050383                    "</f>
        <v xml:space="preserve">4170050383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83.33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4</v>
      </c>
      <c r="BJ3486">
        <v>1.7</v>
      </c>
      <c r="BK3486">
        <v>4</v>
      </c>
      <c r="BL3486">
        <v>262.52999999999997</v>
      </c>
      <c r="BM3486">
        <v>39.380000000000003</v>
      </c>
      <c r="BN3486">
        <v>301.91000000000003</v>
      </c>
      <c r="BO3486">
        <v>301.91000000000003</v>
      </c>
      <c r="BQ3486" t="s">
        <v>2618</v>
      </c>
      <c r="BR3486" t="s">
        <v>84</v>
      </c>
      <c r="BS3486" s="3">
        <v>45862</v>
      </c>
      <c r="BT3486" s="4">
        <v>0.60416666666666663</v>
      </c>
      <c r="BU3486" t="s">
        <v>3369</v>
      </c>
      <c r="BV3486" t="s">
        <v>98</v>
      </c>
      <c r="BY3486">
        <v>8512</v>
      </c>
      <c r="CA3486" t="s">
        <v>1767</v>
      </c>
      <c r="CC3486" t="s">
        <v>1763</v>
      </c>
      <c r="CD3486">
        <v>1390</v>
      </c>
      <c r="CE3486" t="s">
        <v>145</v>
      </c>
      <c r="CF3486" s="3">
        <v>45862</v>
      </c>
      <c r="CI3486">
        <v>1</v>
      </c>
      <c r="CJ3486">
        <v>1</v>
      </c>
      <c r="CK3486">
        <v>23</v>
      </c>
      <c r="CL3486" t="s">
        <v>86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"080066754570"</f>
        <v>080066754570</v>
      </c>
      <c r="F3487" s="3">
        <v>45861</v>
      </c>
      <c r="G3487">
        <v>202604</v>
      </c>
      <c r="H3487" t="s">
        <v>75</v>
      </c>
      <c r="I3487" t="s">
        <v>76</v>
      </c>
      <c r="J3487" t="s">
        <v>77</v>
      </c>
      <c r="K3487" t="s">
        <v>78</v>
      </c>
      <c r="L3487" t="s">
        <v>542</v>
      </c>
      <c r="M3487" t="s">
        <v>543</v>
      </c>
      <c r="N3487" t="s">
        <v>3370</v>
      </c>
      <c r="O3487" t="s">
        <v>82</v>
      </c>
      <c r="P3487" t="str">
        <f>"4170050523                    "</f>
        <v xml:space="preserve">4170050523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17.649999999999999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1.7</v>
      </c>
      <c r="BK3487">
        <v>2</v>
      </c>
      <c r="BL3487">
        <v>55.61</v>
      </c>
      <c r="BM3487">
        <v>8.34</v>
      </c>
      <c r="BN3487">
        <v>63.95</v>
      </c>
      <c r="BO3487">
        <v>63.95</v>
      </c>
      <c r="BQ3487" t="s">
        <v>3371</v>
      </c>
      <c r="BR3487" t="s">
        <v>84</v>
      </c>
      <c r="BS3487" s="3">
        <v>45862</v>
      </c>
      <c r="BT3487" s="4">
        <v>0.36805555555555558</v>
      </c>
      <c r="BU3487" t="s">
        <v>1662</v>
      </c>
      <c r="BV3487" t="s">
        <v>98</v>
      </c>
      <c r="BY3487">
        <v>8512</v>
      </c>
      <c r="CA3487" t="s">
        <v>748</v>
      </c>
      <c r="CC3487" t="s">
        <v>543</v>
      </c>
      <c r="CD3487">
        <v>1451</v>
      </c>
      <c r="CE3487" t="s">
        <v>145</v>
      </c>
      <c r="CF3487" s="3">
        <v>45862</v>
      </c>
      <c r="CI3487">
        <v>1</v>
      </c>
      <c r="CJ3487">
        <v>1</v>
      </c>
      <c r="CK3487">
        <v>22</v>
      </c>
      <c r="CL3487" t="s">
        <v>86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"080066754609"</f>
        <v>080066754609</v>
      </c>
      <c r="F3488" s="3">
        <v>45861</v>
      </c>
      <c r="G3488">
        <v>202604</v>
      </c>
      <c r="H3488" t="s">
        <v>75</v>
      </c>
      <c r="I3488" t="s">
        <v>76</v>
      </c>
      <c r="J3488" t="s">
        <v>77</v>
      </c>
      <c r="K3488" t="s">
        <v>78</v>
      </c>
      <c r="L3488" t="s">
        <v>79</v>
      </c>
      <c r="M3488" t="s">
        <v>80</v>
      </c>
      <c r="N3488" t="s">
        <v>141</v>
      </c>
      <c r="O3488" t="s">
        <v>82</v>
      </c>
      <c r="P3488" t="str">
        <f>"4170050431                    "</f>
        <v xml:space="preserve">4170050431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22.6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1.1000000000000001</v>
      </c>
      <c r="BK3488">
        <v>1.5</v>
      </c>
      <c r="BL3488">
        <v>71.2</v>
      </c>
      <c r="BM3488">
        <v>10.68</v>
      </c>
      <c r="BN3488">
        <v>81.88</v>
      </c>
      <c r="BO3488">
        <v>81.88</v>
      </c>
      <c r="BQ3488" t="s">
        <v>142</v>
      </c>
      <c r="BR3488" t="s">
        <v>84</v>
      </c>
      <c r="BS3488" s="3">
        <v>45862</v>
      </c>
      <c r="BT3488" s="4">
        <v>0.42152777777777778</v>
      </c>
      <c r="BU3488" t="s">
        <v>2437</v>
      </c>
      <c r="BV3488" t="s">
        <v>98</v>
      </c>
      <c r="BY3488">
        <v>5320</v>
      </c>
      <c r="CA3488" t="s">
        <v>144</v>
      </c>
      <c r="CC3488" t="s">
        <v>80</v>
      </c>
      <c r="CD3488">
        <v>7441</v>
      </c>
      <c r="CE3488" t="s">
        <v>145</v>
      </c>
      <c r="CF3488" s="3">
        <v>45863</v>
      </c>
      <c r="CI3488">
        <v>1</v>
      </c>
      <c r="CJ3488">
        <v>1</v>
      </c>
      <c r="CK3488">
        <v>21</v>
      </c>
      <c r="CL3488" t="s">
        <v>86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"080066754624"</f>
        <v>080066754624</v>
      </c>
      <c r="F3489" s="3">
        <v>45861</v>
      </c>
      <c r="G3489">
        <v>202604</v>
      </c>
      <c r="H3489" t="s">
        <v>75</v>
      </c>
      <c r="I3489" t="s">
        <v>76</v>
      </c>
      <c r="J3489" t="s">
        <v>77</v>
      </c>
      <c r="K3489" t="s">
        <v>78</v>
      </c>
      <c r="L3489" t="s">
        <v>75</v>
      </c>
      <c r="M3489" t="s">
        <v>76</v>
      </c>
      <c r="N3489" t="s">
        <v>701</v>
      </c>
      <c r="O3489" t="s">
        <v>82</v>
      </c>
      <c r="P3489" t="str">
        <f>"4170050513                    "</f>
        <v xml:space="preserve">4170050513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17.649999999999999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55.61</v>
      </c>
      <c r="BM3489">
        <v>8.34</v>
      </c>
      <c r="BN3489">
        <v>63.95</v>
      </c>
      <c r="BO3489">
        <v>63.95</v>
      </c>
      <c r="BQ3489" t="s">
        <v>702</v>
      </c>
      <c r="BR3489" t="s">
        <v>84</v>
      </c>
      <c r="BS3489" s="3">
        <v>45862</v>
      </c>
      <c r="BT3489" s="4">
        <v>0.39791666666666664</v>
      </c>
      <c r="BU3489" t="s">
        <v>703</v>
      </c>
      <c r="BV3489" t="s">
        <v>98</v>
      </c>
      <c r="BY3489">
        <v>1200</v>
      </c>
      <c r="CA3489" t="s">
        <v>617</v>
      </c>
      <c r="CC3489" t="s">
        <v>76</v>
      </c>
      <c r="CD3489">
        <v>1645</v>
      </c>
      <c r="CE3489" t="s">
        <v>121</v>
      </c>
      <c r="CF3489" s="3">
        <v>45863</v>
      </c>
      <c r="CI3489">
        <v>1</v>
      </c>
      <c r="CJ3489">
        <v>1</v>
      </c>
      <c r="CK3489">
        <v>22</v>
      </c>
      <c r="CL3489" t="s">
        <v>86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"080066754633"</f>
        <v>080066754633</v>
      </c>
      <c r="F3490" s="3">
        <v>45861</v>
      </c>
      <c r="G3490">
        <v>202604</v>
      </c>
      <c r="H3490" t="s">
        <v>75</v>
      </c>
      <c r="I3490" t="s">
        <v>76</v>
      </c>
      <c r="J3490" t="s">
        <v>77</v>
      </c>
      <c r="K3490" t="s">
        <v>78</v>
      </c>
      <c r="L3490" t="s">
        <v>168</v>
      </c>
      <c r="M3490" t="s">
        <v>169</v>
      </c>
      <c r="N3490" t="s">
        <v>2450</v>
      </c>
      <c r="O3490" t="s">
        <v>95</v>
      </c>
      <c r="P3490" t="str">
        <f>"4170050525                    "</f>
        <v xml:space="preserve">4170050525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85.2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2</v>
      </c>
      <c r="BI3490">
        <v>38</v>
      </c>
      <c r="BJ3490">
        <v>27.1</v>
      </c>
      <c r="BK3490">
        <v>38</v>
      </c>
      <c r="BL3490">
        <v>274.29000000000002</v>
      </c>
      <c r="BM3490">
        <v>41.14</v>
      </c>
      <c r="BN3490">
        <v>315.43</v>
      </c>
      <c r="BO3490">
        <v>315.43</v>
      </c>
      <c r="BQ3490" t="s">
        <v>2451</v>
      </c>
      <c r="BR3490" t="s">
        <v>84</v>
      </c>
      <c r="BS3490" s="3">
        <v>45863</v>
      </c>
      <c r="BT3490" s="4">
        <v>0.3888888888888889</v>
      </c>
      <c r="BU3490" t="s">
        <v>3372</v>
      </c>
      <c r="BV3490" t="s">
        <v>98</v>
      </c>
      <c r="BY3490">
        <v>135360</v>
      </c>
      <c r="CA3490" t="s">
        <v>3373</v>
      </c>
      <c r="CC3490" t="s">
        <v>169</v>
      </c>
      <c r="CD3490">
        <v>6001</v>
      </c>
      <c r="CE3490" t="s">
        <v>145</v>
      </c>
      <c r="CF3490" s="3">
        <v>45863</v>
      </c>
      <c r="CI3490">
        <v>3</v>
      </c>
      <c r="CJ3490">
        <v>2</v>
      </c>
      <c r="CK3490">
        <v>41</v>
      </c>
      <c r="CL3490" t="s">
        <v>86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"080066754635"</f>
        <v>080066754635</v>
      </c>
      <c r="F3491" s="3">
        <v>45861</v>
      </c>
      <c r="G3491">
        <v>202604</v>
      </c>
      <c r="H3491" t="s">
        <v>75</v>
      </c>
      <c r="I3491" t="s">
        <v>76</v>
      </c>
      <c r="J3491" t="s">
        <v>77</v>
      </c>
      <c r="K3491" t="s">
        <v>78</v>
      </c>
      <c r="L3491" t="s">
        <v>151</v>
      </c>
      <c r="M3491" t="s">
        <v>152</v>
      </c>
      <c r="N3491" t="s">
        <v>1484</v>
      </c>
      <c r="O3491" t="s">
        <v>82</v>
      </c>
      <c r="P3491" t="str">
        <f>"4170050591                    "</f>
        <v xml:space="preserve">4170050591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22.6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71.2</v>
      </c>
      <c r="BM3491">
        <v>10.68</v>
      </c>
      <c r="BN3491">
        <v>81.88</v>
      </c>
      <c r="BO3491">
        <v>81.88</v>
      </c>
      <c r="BQ3491" t="s">
        <v>1485</v>
      </c>
      <c r="BR3491" t="s">
        <v>84</v>
      </c>
      <c r="BS3491" s="3">
        <v>45862</v>
      </c>
      <c r="BT3491" s="4">
        <v>0.6166666666666667</v>
      </c>
      <c r="BU3491" t="s">
        <v>1632</v>
      </c>
      <c r="BV3491" t="s">
        <v>98</v>
      </c>
      <c r="BY3491">
        <v>1200</v>
      </c>
      <c r="CA3491" t="s">
        <v>513</v>
      </c>
      <c r="CC3491" t="s">
        <v>152</v>
      </c>
      <c r="CD3491" s="5" t="s">
        <v>1487</v>
      </c>
      <c r="CE3491" t="s">
        <v>121</v>
      </c>
      <c r="CF3491" s="3">
        <v>45862</v>
      </c>
      <c r="CI3491">
        <v>1</v>
      </c>
      <c r="CJ3491">
        <v>1</v>
      </c>
      <c r="CK3491">
        <v>21</v>
      </c>
      <c r="CL3491" t="s">
        <v>86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"080066754650"</f>
        <v>080066754650</v>
      </c>
      <c r="F3492" s="3">
        <v>45861</v>
      </c>
      <c r="G3492">
        <v>202604</v>
      </c>
      <c r="H3492" t="s">
        <v>75</v>
      </c>
      <c r="I3492" t="s">
        <v>76</v>
      </c>
      <c r="J3492" t="s">
        <v>77</v>
      </c>
      <c r="K3492" t="s">
        <v>78</v>
      </c>
      <c r="L3492" t="s">
        <v>305</v>
      </c>
      <c r="M3492" t="s">
        <v>306</v>
      </c>
      <c r="N3492" t="s">
        <v>1320</v>
      </c>
      <c r="O3492" t="s">
        <v>82</v>
      </c>
      <c r="P3492" t="str">
        <f>"4170050435                    "</f>
        <v xml:space="preserve">4170050435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22.6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71.2</v>
      </c>
      <c r="BM3492">
        <v>10.68</v>
      </c>
      <c r="BN3492">
        <v>81.88</v>
      </c>
      <c r="BO3492">
        <v>81.88</v>
      </c>
      <c r="BQ3492" t="s">
        <v>308</v>
      </c>
      <c r="BR3492" t="s">
        <v>84</v>
      </c>
      <c r="BS3492" s="3">
        <v>45862</v>
      </c>
      <c r="BT3492" s="4">
        <v>0.49513888888888891</v>
      </c>
      <c r="BU3492" t="s">
        <v>338</v>
      </c>
      <c r="BV3492" t="s">
        <v>86</v>
      </c>
      <c r="BY3492">
        <v>1200</v>
      </c>
      <c r="CA3492" t="s">
        <v>310</v>
      </c>
      <c r="CC3492" t="s">
        <v>306</v>
      </c>
      <c r="CD3492">
        <v>5200</v>
      </c>
      <c r="CE3492" t="s">
        <v>121</v>
      </c>
      <c r="CF3492" s="3">
        <v>45862</v>
      </c>
      <c r="CI3492">
        <v>1</v>
      </c>
      <c r="CJ3492">
        <v>1</v>
      </c>
      <c r="CK3492">
        <v>21</v>
      </c>
      <c r="CL3492" t="s">
        <v>86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"080066754669"</f>
        <v>080066754669</v>
      </c>
      <c r="F3493" s="3">
        <v>45861</v>
      </c>
      <c r="G3493">
        <v>202604</v>
      </c>
      <c r="H3493" t="s">
        <v>75</v>
      </c>
      <c r="I3493" t="s">
        <v>76</v>
      </c>
      <c r="J3493" t="s">
        <v>77</v>
      </c>
      <c r="K3493" t="s">
        <v>78</v>
      </c>
      <c r="L3493" t="s">
        <v>92</v>
      </c>
      <c r="M3493" t="s">
        <v>93</v>
      </c>
      <c r="N3493" t="s">
        <v>723</v>
      </c>
      <c r="O3493" t="s">
        <v>82</v>
      </c>
      <c r="P3493" t="str">
        <f>"4170050536                    "</f>
        <v xml:space="preserve">4170050536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22.6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71.2</v>
      </c>
      <c r="BM3493">
        <v>10.68</v>
      </c>
      <c r="BN3493">
        <v>81.88</v>
      </c>
      <c r="BO3493">
        <v>81.88</v>
      </c>
      <c r="BQ3493" t="s">
        <v>724</v>
      </c>
      <c r="BR3493" t="s">
        <v>84</v>
      </c>
      <c r="BS3493" s="3">
        <v>45862</v>
      </c>
      <c r="BT3493" s="4">
        <v>0.38194444444444442</v>
      </c>
      <c r="BU3493" t="s">
        <v>3374</v>
      </c>
      <c r="BV3493" t="s">
        <v>98</v>
      </c>
      <c r="BY3493">
        <v>1200</v>
      </c>
      <c r="CA3493" t="s">
        <v>2974</v>
      </c>
      <c r="CC3493" t="s">
        <v>93</v>
      </c>
      <c r="CD3493">
        <v>4000</v>
      </c>
      <c r="CE3493" t="s">
        <v>121</v>
      </c>
      <c r="CF3493" s="3">
        <v>45863</v>
      </c>
      <c r="CI3493">
        <v>1</v>
      </c>
      <c r="CJ3493">
        <v>1</v>
      </c>
      <c r="CK3493">
        <v>21</v>
      </c>
      <c r="CL3493" t="s">
        <v>86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"080066754680"</f>
        <v>080066754680</v>
      </c>
      <c r="F3494" s="3">
        <v>45861</v>
      </c>
      <c r="G3494">
        <v>202604</v>
      </c>
      <c r="H3494" t="s">
        <v>75</v>
      </c>
      <c r="I3494" t="s">
        <v>76</v>
      </c>
      <c r="J3494" t="s">
        <v>77</v>
      </c>
      <c r="K3494" t="s">
        <v>78</v>
      </c>
      <c r="L3494" t="s">
        <v>295</v>
      </c>
      <c r="M3494" t="s">
        <v>296</v>
      </c>
      <c r="N3494" t="s">
        <v>297</v>
      </c>
      <c r="O3494" t="s">
        <v>82</v>
      </c>
      <c r="P3494" t="str">
        <f>"4170050640                    "</f>
        <v xml:space="preserve">4170050640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17.649999999999999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55.61</v>
      </c>
      <c r="BM3494">
        <v>8.34</v>
      </c>
      <c r="BN3494">
        <v>63.95</v>
      </c>
      <c r="BO3494">
        <v>63.95</v>
      </c>
      <c r="BQ3494" t="s">
        <v>298</v>
      </c>
      <c r="BR3494" t="s">
        <v>84</v>
      </c>
      <c r="BS3494" s="3">
        <v>45862</v>
      </c>
      <c r="BT3494" s="4">
        <v>0.31666666666666665</v>
      </c>
      <c r="BU3494" t="s">
        <v>299</v>
      </c>
      <c r="BV3494" t="s">
        <v>98</v>
      </c>
      <c r="BY3494">
        <v>1200</v>
      </c>
      <c r="CA3494" t="s">
        <v>300</v>
      </c>
      <c r="CC3494" t="s">
        <v>296</v>
      </c>
      <c r="CD3494">
        <v>1459</v>
      </c>
      <c r="CE3494" t="s">
        <v>121</v>
      </c>
      <c r="CF3494" s="3">
        <v>45863</v>
      </c>
      <c r="CI3494">
        <v>1</v>
      </c>
      <c r="CJ3494">
        <v>1</v>
      </c>
      <c r="CK3494">
        <v>22</v>
      </c>
      <c r="CL3494" t="s">
        <v>86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"080066754696"</f>
        <v>080066754696</v>
      </c>
      <c r="F3495" s="3">
        <v>45861</v>
      </c>
      <c r="G3495">
        <v>202604</v>
      </c>
      <c r="H3495" t="s">
        <v>75</v>
      </c>
      <c r="I3495" t="s">
        <v>76</v>
      </c>
      <c r="J3495" t="s">
        <v>77</v>
      </c>
      <c r="K3495" t="s">
        <v>78</v>
      </c>
      <c r="L3495" t="s">
        <v>240</v>
      </c>
      <c r="M3495" t="s">
        <v>241</v>
      </c>
      <c r="N3495" t="s">
        <v>1165</v>
      </c>
      <c r="O3495" t="s">
        <v>82</v>
      </c>
      <c r="P3495" t="str">
        <f>"4170050425                    "</f>
        <v xml:space="preserve">4170050425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17.649999999999999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55.61</v>
      </c>
      <c r="BM3495">
        <v>8.34</v>
      </c>
      <c r="BN3495">
        <v>63.95</v>
      </c>
      <c r="BO3495">
        <v>63.95</v>
      </c>
      <c r="BQ3495" t="s">
        <v>1166</v>
      </c>
      <c r="BR3495" t="s">
        <v>84</v>
      </c>
      <c r="BS3495" s="3">
        <v>45862</v>
      </c>
      <c r="BT3495" s="4">
        <v>0.33333333333333331</v>
      </c>
      <c r="BU3495" t="s">
        <v>1167</v>
      </c>
      <c r="BV3495" t="s">
        <v>98</v>
      </c>
      <c r="BY3495">
        <v>1200</v>
      </c>
      <c r="CA3495" t="s">
        <v>397</v>
      </c>
      <c r="CC3495" t="s">
        <v>241</v>
      </c>
      <c r="CD3495">
        <v>2042</v>
      </c>
      <c r="CE3495" t="s">
        <v>121</v>
      </c>
      <c r="CF3495" s="3">
        <v>45862</v>
      </c>
      <c r="CI3495">
        <v>1</v>
      </c>
      <c r="CJ3495">
        <v>1</v>
      </c>
      <c r="CK3495">
        <v>22</v>
      </c>
      <c r="CL3495" t="s">
        <v>86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"080066754743"</f>
        <v>080066754743</v>
      </c>
      <c r="F3496" s="3">
        <v>45861</v>
      </c>
      <c r="G3496">
        <v>202604</v>
      </c>
      <c r="H3496" t="s">
        <v>75</v>
      </c>
      <c r="I3496" t="s">
        <v>76</v>
      </c>
      <c r="J3496" t="s">
        <v>77</v>
      </c>
      <c r="K3496" t="s">
        <v>78</v>
      </c>
      <c r="L3496" t="s">
        <v>221</v>
      </c>
      <c r="M3496" t="s">
        <v>222</v>
      </c>
      <c r="N3496" t="s">
        <v>223</v>
      </c>
      <c r="O3496" t="s">
        <v>82</v>
      </c>
      <c r="P3496" t="str">
        <f>"4170050460                    "</f>
        <v xml:space="preserve">4170050460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43.78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137.94</v>
      </c>
      <c r="BM3496">
        <v>20.69</v>
      </c>
      <c r="BN3496">
        <v>158.63</v>
      </c>
      <c r="BO3496">
        <v>158.63</v>
      </c>
      <c r="BQ3496" t="s">
        <v>224</v>
      </c>
      <c r="BR3496" t="s">
        <v>84</v>
      </c>
      <c r="BS3496" s="3">
        <v>45862</v>
      </c>
      <c r="BT3496" s="4">
        <v>0.38541666666666669</v>
      </c>
      <c r="BU3496" t="s">
        <v>2049</v>
      </c>
      <c r="BV3496" t="s">
        <v>98</v>
      </c>
      <c r="BY3496">
        <v>1200</v>
      </c>
      <c r="CC3496" t="s">
        <v>222</v>
      </c>
      <c r="CD3496">
        <v>2740</v>
      </c>
      <c r="CE3496" t="s">
        <v>121</v>
      </c>
      <c r="CF3496" s="3">
        <v>45863</v>
      </c>
      <c r="CI3496">
        <v>1</v>
      </c>
      <c r="CJ3496">
        <v>1</v>
      </c>
      <c r="CK3496">
        <v>23</v>
      </c>
      <c r="CL3496" t="s">
        <v>86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"080066754813"</f>
        <v>080066754813</v>
      </c>
      <c r="F3497" s="3">
        <v>45861</v>
      </c>
      <c r="G3497">
        <v>202604</v>
      </c>
      <c r="H3497" t="s">
        <v>75</v>
      </c>
      <c r="I3497" t="s">
        <v>76</v>
      </c>
      <c r="J3497" t="s">
        <v>77</v>
      </c>
      <c r="K3497" t="s">
        <v>78</v>
      </c>
      <c r="L3497" t="s">
        <v>1370</v>
      </c>
      <c r="M3497" t="s">
        <v>1371</v>
      </c>
      <c r="N3497" t="s">
        <v>3375</v>
      </c>
      <c r="O3497" t="s">
        <v>82</v>
      </c>
      <c r="P3497" t="str">
        <f>"4170050363                    "</f>
        <v xml:space="preserve">4170050363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43.78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137.94</v>
      </c>
      <c r="BM3497">
        <v>20.69</v>
      </c>
      <c r="BN3497">
        <v>158.63</v>
      </c>
      <c r="BO3497">
        <v>158.63</v>
      </c>
      <c r="BQ3497" t="s">
        <v>3376</v>
      </c>
      <c r="BR3497" t="s">
        <v>84</v>
      </c>
      <c r="BS3497" s="3">
        <v>45866</v>
      </c>
      <c r="BT3497" s="4">
        <v>0.64583333333333337</v>
      </c>
      <c r="BU3497" t="s">
        <v>3377</v>
      </c>
      <c r="BV3497" t="s">
        <v>86</v>
      </c>
      <c r="BW3497" t="s">
        <v>818</v>
      </c>
      <c r="BX3497" t="s">
        <v>819</v>
      </c>
      <c r="BY3497">
        <v>1200</v>
      </c>
      <c r="CC3497" t="s">
        <v>1371</v>
      </c>
      <c r="CD3497" s="5" t="s">
        <v>2240</v>
      </c>
      <c r="CE3497" t="s">
        <v>121</v>
      </c>
      <c r="CF3497" s="3">
        <v>45867</v>
      </c>
      <c r="CI3497">
        <v>1</v>
      </c>
      <c r="CJ3497">
        <v>3</v>
      </c>
      <c r="CK3497">
        <v>23</v>
      </c>
      <c r="CL3497" t="s">
        <v>86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"080066754842"</f>
        <v>080066754842</v>
      </c>
      <c r="F3498" s="3">
        <v>45861</v>
      </c>
      <c r="G3498">
        <v>202604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1579</v>
      </c>
      <c r="O3498" t="s">
        <v>82</v>
      </c>
      <c r="P3498" t="str">
        <f>"4170050373                    "</f>
        <v xml:space="preserve">4170050373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17.649999999999999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55.61</v>
      </c>
      <c r="BM3498">
        <v>8.34</v>
      </c>
      <c r="BN3498">
        <v>63.95</v>
      </c>
      <c r="BO3498">
        <v>63.95</v>
      </c>
      <c r="BQ3498" t="s">
        <v>3378</v>
      </c>
      <c r="BR3498" t="s">
        <v>84</v>
      </c>
      <c r="BS3498" s="3">
        <v>45862</v>
      </c>
      <c r="BT3498" s="4">
        <v>0.30069444444444443</v>
      </c>
      <c r="BU3498" t="s">
        <v>1797</v>
      </c>
      <c r="BV3498" t="s">
        <v>98</v>
      </c>
      <c r="BY3498">
        <v>1200</v>
      </c>
      <c r="CA3498" t="s">
        <v>213</v>
      </c>
      <c r="CC3498" t="s">
        <v>76</v>
      </c>
      <c r="CD3498">
        <v>1600</v>
      </c>
      <c r="CE3498" t="s">
        <v>121</v>
      </c>
      <c r="CF3498" s="3">
        <v>45862</v>
      </c>
      <c r="CI3498">
        <v>1</v>
      </c>
      <c r="CJ3498">
        <v>1</v>
      </c>
      <c r="CK3498">
        <v>22</v>
      </c>
      <c r="CL3498" t="s">
        <v>86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"080066754870"</f>
        <v>080066754870</v>
      </c>
      <c r="F3499" s="3">
        <v>45861</v>
      </c>
      <c r="G3499">
        <v>202604</v>
      </c>
      <c r="H3499" t="s">
        <v>75</v>
      </c>
      <c r="I3499" t="s">
        <v>76</v>
      </c>
      <c r="J3499" t="s">
        <v>77</v>
      </c>
      <c r="K3499" t="s">
        <v>78</v>
      </c>
      <c r="L3499" t="s">
        <v>75</v>
      </c>
      <c r="M3499" t="s">
        <v>76</v>
      </c>
      <c r="N3499" t="s">
        <v>1742</v>
      </c>
      <c r="O3499" t="s">
        <v>82</v>
      </c>
      <c r="P3499" t="str">
        <f>"4170050549                    "</f>
        <v xml:space="preserve">4170050549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17.649999999999999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55.61</v>
      </c>
      <c r="BM3499">
        <v>8.34</v>
      </c>
      <c r="BN3499">
        <v>63.95</v>
      </c>
      <c r="BO3499">
        <v>63.95</v>
      </c>
      <c r="BQ3499" t="s">
        <v>1743</v>
      </c>
      <c r="BR3499" t="s">
        <v>84</v>
      </c>
      <c r="BS3499" s="3">
        <v>45862</v>
      </c>
      <c r="BT3499" s="4">
        <v>0.37638888888888888</v>
      </c>
      <c r="BU3499" t="s">
        <v>3379</v>
      </c>
      <c r="BV3499" t="s">
        <v>98</v>
      </c>
      <c r="BY3499">
        <v>1200</v>
      </c>
      <c r="BZ3499" t="s">
        <v>89</v>
      </c>
      <c r="CA3499" t="s">
        <v>304</v>
      </c>
      <c r="CC3499" t="s">
        <v>76</v>
      </c>
      <c r="CD3499">
        <v>1601</v>
      </c>
      <c r="CE3499" t="s">
        <v>239</v>
      </c>
      <c r="CF3499" s="3">
        <v>45862</v>
      </c>
      <c r="CI3499">
        <v>1</v>
      </c>
      <c r="CJ3499">
        <v>1</v>
      </c>
      <c r="CK3499">
        <v>22</v>
      </c>
      <c r="CL3499" t="s">
        <v>86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"080066754878"</f>
        <v>080066754878</v>
      </c>
      <c r="F3500" s="3">
        <v>45861</v>
      </c>
      <c r="G3500">
        <v>202604</v>
      </c>
      <c r="H3500" t="s">
        <v>75</v>
      </c>
      <c r="I3500" t="s">
        <v>76</v>
      </c>
      <c r="J3500" t="s">
        <v>77</v>
      </c>
      <c r="K3500" t="s">
        <v>78</v>
      </c>
      <c r="L3500" t="s">
        <v>441</v>
      </c>
      <c r="M3500" t="s">
        <v>442</v>
      </c>
      <c r="N3500" t="s">
        <v>443</v>
      </c>
      <c r="O3500" t="s">
        <v>82</v>
      </c>
      <c r="P3500" t="str">
        <f>"4170050554                    "</f>
        <v xml:space="preserve">4170050554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43.78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137.94</v>
      </c>
      <c r="BM3500">
        <v>20.69</v>
      </c>
      <c r="BN3500">
        <v>158.63</v>
      </c>
      <c r="BO3500">
        <v>158.63</v>
      </c>
      <c r="BQ3500" t="s">
        <v>444</v>
      </c>
      <c r="BR3500" t="s">
        <v>84</v>
      </c>
      <c r="BS3500" s="3">
        <v>45862</v>
      </c>
      <c r="BT3500" s="4">
        <v>0.49722222222222223</v>
      </c>
      <c r="BU3500" t="s">
        <v>2597</v>
      </c>
      <c r="BV3500" t="s">
        <v>98</v>
      </c>
      <c r="BY3500">
        <v>1200</v>
      </c>
      <c r="BZ3500" t="s">
        <v>89</v>
      </c>
      <c r="CA3500" t="s">
        <v>2598</v>
      </c>
      <c r="CC3500" t="s">
        <v>442</v>
      </c>
      <c r="CD3500">
        <v>7185</v>
      </c>
      <c r="CE3500" t="s">
        <v>239</v>
      </c>
      <c r="CF3500" s="3">
        <v>45863</v>
      </c>
      <c r="CI3500">
        <v>2</v>
      </c>
      <c r="CJ3500">
        <v>1</v>
      </c>
      <c r="CK3500">
        <v>23</v>
      </c>
      <c r="CL3500" t="s">
        <v>86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"080066754888"</f>
        <v>080066754888</v>
      </c>
      <c r="F3501" s="3">
        <v>45861</v>
      </c>
      <c r="G3501">
        <v>202604</v>
      </c>
      <c r="H3501" t="s">
        <v>75</v>
      </c>
      <c r="I3501" t="s">
        <v>76</v>
      </c>
      <c r="J3501" t="s">
        <v>77</v>
      </c>
      <c r="K3501" t="s">
        <v>78</v>
      </c>
      <c r="L3501" t="s">
        <v>135</v>
      </c>
      <c r="M3501" t="s">
        <v>136</v>
      </c>
      <c r="N3501" t="s">
        <v>2729</v>
      </c>
      <c r="O3501" t="s">
        <v>82</v>
      </c>
      <c r="P3501" t="str">
        <f>"4170050584                    "</f>
        <v xml:space="preserve">4170050584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22.6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71.2</v>
      </c>
      <c r="BM3501">
        <v>10.68</v>
      </c>
      <c r="BN3501">
        <v>81.88</v>
      </c>
      <c r="BO3501">
        <v>81.88</v>
      </c>
      <c r="BQ3501" t="s">
        <v>2730</v>
      </c>
      <c r="BR3501" t="s">
        <v>84</v>
      </c>
      <c r="BS3501" s="3">
        <v>45862</v>
      </c>
      <c r="BT3501" s="4">
        <v>0.41666666666666669</v>
      </c>
      <c r="BU3501" t="s">
        <v>3380</v>
      </c>
      <c r="BV3501" t="s">
        <v>98</v>
      </c>
      <c r="BY3501">
        <v>1200</v>
      </c>
      <c r="CA3501" t="s">
        <v>349</v>
      </c>
      <c r="CC3501" t="s">
        <v>136</v>
      </c>
      <c r="CD3501">
        <v>3200</v>
      </c>
      <c r="CE3501" t="s">
        <v>121</v>
      </c>
      <c r="CF3501" s="3">
        <v>45863</v>
      </c>
      <c r="CI3501">
        <v>1</v>
      </c>
      <c r="CJ3501">
        <v>1</v>
      </c>
      <c r="CK3501">
        <v>21</v>
      </c>
      <c r="CL3501" t="s">
        <v>86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"080066754896"</f>
        <v>080066754896</v>
      </c>
      <c r="F3502" s="3">
        <v>45861</v>
      </c>
      <c r="G3502">
        <v>202604</v>
      </c>
      <c r="H3502" t="s">
        <v>75</v>
      </c>
      <c r="I3502" t="s">
        <v>76</v>
      </c>
      <c r="J3502" t="s">
        <v>77</v>
      </c>
      <c r="K3502" t="s">
        <v>78</v>
      </c>
      <c r="L3502" t="s">
        <v>234</v>
      </c>
      <c r="M3502" t="s">
        <v>235</v>
      </c>
      <c r="N3502" t="s">
        <v>236</v>
      </c>
      <c r="O3502" t="s">
        <v>82</v>
      </c>
      <c r="P3502" t="str">
        <f>"4170050561                    "</f>
        <v xml:space="preserve">4170050561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17.649999999999999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55.61</v>
      </c>
      <c r="BM3502">
        <v>8.34</v>
      </c>
      <c r="BN3502">
        <v>63.95</v>
      </c>
      <c r="BO3502">
        <v>63.95</v>
      </c>
      <c r="BQ3502" t="s">
        <v>237</v>
      </c>
      <c r="BR3502" t="s">
        <v>84</v>
      </c>
      <c r="BS3502" s="3">
        <v>45862</v>
      </c>
      <c r="BT3502" s="4">
        <v>0.39166666666666666</v>
      </c>
      <c r="BU3502" t="s">
        <v>2886</v>
      </c>
      <c r="BV3502" t="s">
        <v>98</v>
      </c>
      <c r="BY3502">
        <v>1200</v>
      </c>
      <c r="CA3502" t="s">
        <v>632</v>
      </c>
      <c r="CC3502" t="s">
        <v>235</v>
      </c>
      <c r="CD3502">
        <v>1682</v>
      </c>
      <c r="CE3502" t="s">
        <v>121</v>
      </c>
      <c r="CF3502" s="3">
        <v>45862</v>
      </c>
      <c r="CI3502">
        <v>1</v>
      </c>
      <c r="CJ3502">
        <v>1</v>
      </c>
      <c r="CK3502">
        <v>22</v>
      </c>
      <c r="CL3502" t="s">
        <v>86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"080066754908"</f>
        <v>080066754908</v>
      </c>
      <c r="F3503" s="3">
        <v>45861</v>
      </c>
      <c r="G3503">
        <v>202604</v>
      </c>
      <c r="H3503" t="s">
        <v>75</v>
      </c>
      <c r="I3503" t="s">
        <v>76</v>
      </c>
      <c r="J3503" t="s">
        <v>77</v>
      </c>
      <c r="K3503" t="s">
        <v>78</v>
      </c>
      <c r="L3503" t="s">
        <v>151</v>
      </c>
      <c r="M3503" t="s">
        <v>152</v>
      </c>
      <c r="N3503" t="s">
        <v>1484</v>
      </c>
      <c r="O3503" t="s">
        <v>82</v>
      </c>
      <c r="P3503" t="str">
        <f>"4170050449                    "</f>
        <v xml:space="preserve">4170050449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22.6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71.2</v>
      </c>
      <c r="BM3503">
        <v>10.68</v>
      </c>
      <c r="BN3503">
        <v>81.88</v>
      </c>
      <c r="BO3503">
        <v>81.88</v>
      </c>
      <c r="BQ3503" t="s">
        <v>1485</v>
      </c>
      <c r="BR3503" t="s">
        <v>84</v>
      </c>
      <c r="BS3503" s="3">
        <v>45862</v>
      </c>
      <c r="BT3503" s="4">
        <v>0.6166666666666667</v>
      </c>
      <c r="BU3503" t="s">
        <v>1632</v>
      </c>
      <c r="BV3503" t="s">
        <v>98</v>
      </c>
      <c r="BY3503">
        <v>1200</v>
      </c>
      <c r="CA3503" t="s">
        <v>513</v>
      </c>
      <c r="CC3503" t="s">
        <v>152</v>
      </c>
      <c r="CD3503" s="5" t="s">
        <v>1487</v>
      </c>
      <c r="CE3503" t="s">
        <v>121</v>
      </c>
      <c r="CF3503" s="3">
        <v>45862</v>
      </c>
      <c r="CI3503">
        <v>1</v>
      </c>
      <c r="CJ3503">
        <v>1</v>
      </c>
      <c r="CK3503">
        <v>21</v>
      </c>
      <c r="CL3503" t="s">
        <v>86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"080066754919"</f>
        <v>080066754919</v>
      </c>
      <c r="F3504" s="3">
        <v>45861</v>
      </c>
      <c r="G3504">
        <v>202604</v>
      </c>
      <c r="H3504" t="s">
        <v>75</v>
      </c>
      <c r="I3504" t="s">
        <v>76</v>
      </c>
      <c r="J3504" t="s">
        <v>77</v>
      </c>
      <c r="K3504" t="s">
        <v>78</v>
      </c>
      <c r="L3504" t="s">
        <v>252</v>
      </c>
      <c r="M3504" t="s">
        <v>253</v>
      </c>
      <c r="N3504" t="s">
        <v>254</v>
      </c>
      <c r="O3504" t="s">
        <v>82</v>
      </c>
      <c r="P3504" t="str">
        <f>"4170050464                    "</f>
        <v xml:space="preserve">4170050464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43.78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137.94</v>
      </c>
      <c r="BM3504">
        <v>20.69</v>
      </c>
      <c r="BN3504">
        <v>158.63</v>
      </c>
      <c r="BO3504">
        <v>158.63</v>
      </c>
      <c r="BQ3504" t="s">
        <v>255</v>
      </c>
      <c r="BR3504" t="s">
        <v>84</v>
      </c>
      <c r="BS3504" s="3">
        <v>45862</v>
      </c>
      <c r="BT3504" s="4">
        <v>0.35138888888888886</v>
      </c>
      <c r="BU3504" t="s">
        <v>2512</v>
      </c>
      <c r="BV3504" t="s">
        <v>98</v>
      </c>
      <c r="BY3504">
        <v>1200</v>
      </c>
      <c r="CA3504" t="s">
        <v>328</v>
      </c>
      <c r="CC3504" t="s">
        <v>253</v>
      </c>
      <c r="CD3504">
        <v>1947</v>
      </c>
      <c r="CE3504" t="s">
        <v>121</v>
      </c>
      <c r="CF3504" s="3">
        <v>45863</v>
      </c>
      <c r="CI3504">
        <v>1</v>
      </c>
      <c r="CJ3504">
        <v>1</v>
      </c>
      <c r="CK3504">
        <v>23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"080066754929"</f>
        <v>080066754929</v>
      </c>
      <c r="F3505" s="3">
        <v>45861</v>
      </c>
      <c r="G3505">
        <v>202604</v>
      </c>
      <c r="H3505" t="s">
        <v>75</v>
      </c>
      <c r="I3505" t="s">
        <v>76</v>
      </c>
      <c r="J3505" t="s">
        <v>77</v>
      </c>
      <c r="K3505" t="s">
        <v>78</v>
      </c>
      <c r="L3505" t="s">
        <v>122</v>
      </c>
      <c r="M3505" t="s">
        <v>123</v>
      </c>
      <c r="N3505" t="s">
        <v>972</v>
      </c>
      <c r="O3505" t="s">
        <v>82</v>
      </c>
      <c r="P3505" t="str">
        <f>"4170050569                    "</f>
        <v xml:space="preserve">4170050569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22.6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71.2</v>
      </c>
      <c r="BM3505">
        <v>10.68</v>
      </c>
      <c r="BN3505">
        <v>81.88</v>
      </c>
      <c r="BO3505">
        <v>81.88</v>
      </c>
      <c r="BQ3505" t="s">
        <v>973</v>
      </c>
      <c r="BR3505" t="s">
        <v>84</v>
      </c>
      <c r="BS3505" s="3">
        <v>45862</v>
      </c>
      <c r="BT3505" s="4">
        <v>0.39583333333333331</v>
      </c>
      <c r="BU3505" t="s">
        <v>974</v>
      </c>
      <c r="BV3505" t="s">
        <v>98</v>
      </c>
      <c r="BY3505">
        <v>1200</v>
      </c>
      <c r="CA3505" t="s">
        <v>2974</v>
      </c>
      <c r="CC3505" t="s">
        <v>123</v>
      </c>
      <c r="CD3505">
        <v>3610</v>
      </c>
      <c r="CE3505" t="s">
        <v>121</v>
      </c>
      <c r="CF3505" s="3">
        <v>45863</v>
      </c>
      <c r="CI3505">
        <v>1</v>
      </c>
      <c r="CJ3505">
        <v>1</v>
      </c>
      <c r="CK3505">
        <v>21</v>
      </c>
      <c r="CL3505" t="s">
        <v>86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"080066754960"</f>
        <v>080066754960</v>
      </c>
      <c r="F3506" s="3">
        <v>45861</v>
      </c>
      <c r="G3506">
        <v>202604</v>
      </c>
      <c r="H3506" t="s">
        <v>75</v>
      </c>
      <c r="I3506" t="s">
        <v>76</v>
      </c>
      <c r="J3506" t="s">
        <v>77</v>
      </c>
      <c r="K3506" t="s">
        <v>78</v>
      </c>
      <c r="L3506" t="s">
        <v>79</v>
      </c>
      <c r="M3506" t="s">
        <v>80</v>
      </c>
      <c r="N3506" t="s">
        <v>576</v>
      </c>
      <c r="O3506" t="s">
        <v>82</v>
      </c>
      <c r="P3506" t="str">
        <f>"4170050559                    "</f>
        <v xml:space="preserve">4170050559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22.6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71.2</v>
      </c>
      <c r="BM3506">
        <v>10.68</v>
      </c>
      <c r="BN3506">
        <v>81.88</v>
      </c>
      <c r="BO3506">
        <v>81.88</v>
      </c>
      <c r="BQ3506" t="s">
        <v>577</v>
      </c>
      <c r="BR3506" t="s">
        <v>84</v>
      </c>
      <c r="BS3506" s="3">
        <v>45862</v>
      </c>
      <c r="BT3506" s="4">
        <v>0.4201388888888889</v>
      </c>
      <c r="BU3506" t="s">
        <v>1092</v>
      </c>
      <c r="BV3506" t="s">
        <v>98</v>
      </c>
      <c r="BY3506">
        <v>1200</v>
      </c>
      <c r="CA3506" t="s">
        <v>579</v>
      </c>
      <c r="CC3506" t="s">
        <v>80</v>
      </c>
      <c r="CD3506">
        <v>7480</v>
      </c>
      <c r="CE3506" t="s">
        <v>121</v>
      </c>
      <c r="CF3506" s="3">
        <v>45863</v>
      </c>
      <c r="CI3506">
        <v>1</v>
      </c>
      <c r="CJ3506">
        <v>1</v>
      </c>
      <c r="CK3506">
        <v>21</v>
      </c>
      <c r="CL3506" t="s">
        <v>86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"080066754965"</f>
        <v>080066754965</v>
      </c>
      <c r="F3507" s="3">
        <v>45861</v>
      </c>
      <c r="G3507">
        <v>202604</v>
      </c>
      <c r="H3507" t="s">
        <v>75</v>
      </c>
      <c r="I3507" t="s">
        <v>76</v>
      </c>
      <c r="J3507" t="s">
        <v>77</v>
      </c>
      <c r="K3507" t="s">
        <v>78</v>
      </c>
      <c r="L3507" t="s">
        <v>168</v>
      </c>
      <c r="M3507" t="s">
        <v>169</v>
      </c>
      <c r="N3507" t="s">
        <v>1192</v>
      </c>
      <c r="O3507" t="s">
        <v>82</v>
      </c>
      <c r="P3507" t="str">
        <f>"4170050459                    "</f>
        <v xml:space="preserve">4170050459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22.6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71.2</v>
      </c>
      <c r="BM3507">
        <v>10.68</v>
      </c>
      <c r="BN3507">
        <v>81.88</v>
      </c>
      <c r="BO3507">
        <v>81.88</v>
      </c>
      <c r="BQ3507" t="s">
        <v>1193</v>
      </c>
      <c r="BR3507" t="s">
        <v>84</v>
      </c>
      <c r="BS3507" s="3">
        <v>45862</v>
      </c>
      <c r="BT3507" s="4">
        <v>0.41388888888888886</v>
      </c>
      <c r="BU3507" t="s">
        <v>3381</v>
      </c>
      <c r="BV3507" t="s">
        <v>98</v>
      </c>
      <c r="BY3507">
        <v>1200</v>
      </c>
      <c r="CA3507" t="s">
        <v>173</v>
      </c>
      <c r="CC3507" t="s">
        <v>169</v>
      </c>
      <c r="CD3507">
        <v>6001</v>
      </c>
      <c r="CE3507" t="s">
        <v>121</v>
      </c>
      <c r="CF3507" s="3">
        <v>45862</v>
      </c>
      <c r="CI3507">
        <v>1</v>
      </c>
      <c r="CJ3507">
        <v>1</v>
      </c>
      <c r="CK3507">
        <v>21</v>
      </c>
      <c r="CL3507" t="s">
        <v>86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"080066754977"</f>
        <v>080066754977</v>
      </c>
      <c r="F3508" s="3">
        <v>45861</v>
      </c>
      <c r="G3508">
        <v>202604</v>
      </c>
      <c r="H3508" t="s">
        <v>75</v>
      </c>
      <c r="I3508" t="s">
        <v>76</v>
      </c>
      <c r="J3508" t="s">
        <v>77</v>
      </c>
      <c r="K3508" t="s">
        <v>78</v>
      </c>
      <c r="L3508" t="s">
        <v>122</v>
      </c>
      <c r="M3508" t="s">
        <v>123</v>
      </c>
      <c r="N3508" t="s">
        <v>2340</v>
      </c>
      <c r="O3508" t="s">
        <v>82</v>
      </c>
      <c r="P3508" t="str">
        <f>"4170050545                    "</f>
        <v xml:space="preserve">4170050545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22.6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71.2</v>
      </c>
      <c r="BM3508">
        <v>10.68</v>
      </c>
      <c r="BN3508">
        <v>81.88</v>
      </c>
      <c r="BO3508">
        <v>81.88</v>
      </c>
      <c r="BQ3508" t="s">
        <v>2341</v>
      </c>
      <c r="BR3508" t="s">
        <v>84</v>
      </c>
      <c r="BS3508" s="3">
        <v>45862</v>
      </c>
      <c r="BT3508" s="4">
        <v>0.37569444444444444</v>
      </c>
      <c r="BU3508" t="s">
        <v>2342</v>
      </c>
      <c r="BV3508" t="s">
        <v>98</v>
      </c>
      <c r="BY3508">
        <v>1200</v>
      </c>
      <c r="CA3508" t="s">
        <v>187</v>
      </c>
      <c r="CC3508" t="s">
        <v>123</v>
      </c>
      <c r="CD3508">
        <v>3610</v>
      </c>
      <c r="CE3508" t="s">
        <v>121</v>
      </c>
      <c r="CF3508" s="3">
        <v>45862</v>
      </c>
      <c r="CI3508">
        <v>1</v>
      </c>
      <c r="CJ3508">
        <v>1</v>
      </c>
      <c r="CK3508">
        <v>21</v>
      </c>
      <c r="CL3508" t="s">
        <v>86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"080066754982"</f>
        <v>080066754982</v>
      </c>
      <c r="F3509" s="3">
        <v>45861</v>
      </c>
      <c r="G3509">
        <v>202604</v>
      </c>
      <c r="H3509" t="s">
        <v>75</v>
      </c>
      <c r="I3509" t="s">
        <v>76</v>
      </c>
      <c r="J3509" t="s">
        <v>77</v>
      </c>
      <c r="K3509" t="s">
        <v>78</v>
      </c>
      <c r="L3509" t="s">
        <v>168</v>
      </c>
      <c r="M3509" t="s">
        <v>169</v>
      </c>
      <c r="N3509" t="s">
        <v>412</v>
      </c>
      <c r="O3509" t="s">
        <v>82</v>
      </c>
      <c r="P3509" t="str">
        <f>"4170050636                    "</f>
        <v xml:space="preserve">4170050636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22.6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71.2</v>
      </c>
      <c r="BM3509">
        <v>10.68</v>
      </c>
      <c r="BN3509">
        <v>81.88</v>
      </c>
      <c r="BO3509">
        <v>81.88</v>
      </c>
      <c r="BQ3509" t="s">
        <v>413</v>
      </c>
      <c r="BR3509" t="s">
        <v>84</v>
      </c>
      <c r="BS3509" s="3">
        <v>45862</v>
      </c>
      <c r="BT3509" s="4">
        <v>0.38055555555555554</v>
      </c>
      <c r="BU3509" t="s">
        <v>470</v>
      </c>
      <c r="BV3509" t="s">
        <v>98</v>
      </c>
      <c r="BY3509">
        <v>1200</v>
      </c>
      <c r="CA3509" t="s">
        <v>415</v>
      </c>
      <c r="CC3509" t="s">
        <v>169</v>
      </c>
      <c r="CD3509">
        <v>6001</v>
      </c>
      <c r="CE3509" t="s">
        <v>258</v>
      </c>
      <c r="CF3509" s="3">
        <v>45862</v>
      </c>
      <c r="CI3509">
        <v>1</v>
      </c>
      <c r="CJ3509">
        <v>1</v>
      </c>
      <c r="CK3509">
        <v>21</v>
      </c>
      <c r="CL3509" t="s">
        <v>86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"080066754991"</f>
        <v>080066754991</v>
      </c>
      <c r="F3510" s="3">
        <v>45861</v>
      </c>
      <c r="G3510">
        <v>202604</v>
      </c>
      <c r="H3510" t="s">
        <v>75</v>
      </c>
      <c r="I3510" t="s">
        <v>76</v>
      </c>
      <c r="J3510" t="s">
        <v>77</v>
      </c>
      <c r="K3510" t="s">
        <v>78</v>
      </c>
      <c r="L3510" t="s">
        <v>135</v>
      </c>
      <c r="M3510" t="s">
        <v>136</v>
      </c>
      <c r="N3510" t="s">
        <v>2213</v>
      </c>
      <c r="O3510" t="s">
        <v>82</v>
      </c>
      <c r="P3510" t="str">
        <f>"4170050424                    "</f>
        <v xml:space="preserve">4170050424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22.6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71.2</v>
      </c>
      <c r="BM3510">
        <v>10.68</v>
      </c>
      <c r="BN3510">
        <v>81.88</v>
      </c>
      <c r="BO3510">
        <v>81.88</v>
      </c>
      <c r="BQ3510" t="s">
        <v>2214</v>
      </c>
      <c r="BR3510" t="s">
        <v>84</v>
      </c>
      <c r="BS3510" s="3">
        <v>45862</v>
      </c>
      <c r="BT3510" s="4">
        <v>0.41666666666666669</v>
      </c>
      <c r="BU3510" t="s">
        <v>2416</v>
      </c>
      <c r="BV3510" t="s">
        <v>98</v>
      </c>
      <c r="BY3510">
        <v>1200</v>
      </c>
      <c r="CA3510" t="s">
        <v>349</v>
      </c>
      <c r="CC3510" t="s">
        <v>136</v>
      </c>
      <c r="CD3510">
        <v>3200</v>
      </c>
      <c r="CE3510" t="s">
        <v>121</v>
      </c>
      <c r="CF3510" s="3">
        <v>45863</v>
      </c>
      <c r="CI3510">
        <v>1</v>
      </c>
      <c r="CJ3510">
        <v>1</v>
      </c>
      <c r="CK3510">
        <v>21</v>
      </c>
      <c r="CL3510" t="s">
        <v>86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"080066755015"</f>
        <v>080066755015</v>
      </c>
      <c r="F3511" s="3">
        <v>45861</v>
      </c>
      <c r="G3511">
        <v>202604</v>
      </c>
      <c r="H3511" t="s">
        <v>75</v>
      </c>
      <c r="I3511" t="s">
        <v>76</v>
      </c>
      <c r="J3511" t="s">
        <v>77</v>
      </c>
      <c r="K3511" t="s">
        <v>78</v>
      </c>
      <c r="L3511" t="s">
        <v>197</v>
      </c>
      <c r="M3511" t="s">
        <v>198</v>
      </c>
      <c r="N3511" t="s">
        <v>2531</v>
      </c>
      <c r="O3511" t="s">
        <v>82</v>
      </c>
      <c r="P3511" t="str">
        <f>"4170050699                    "</f>
        <v xml:space="preserve">4170050699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17.649999999999999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55.61</v>
      </c>
      <c r="BM3511">
        <v>8.34</v>
      </c>
      <c r="BN3511">
        <v>63.95</v>
      </c>
      <c r="BO3511">
        <v>63.95</v>
      </c>
      <c r="BQ3511" t="s">
        <v>2532</v>
      </c>
      <c r="BR3511" t="s">
        <v>84</v>
      </c>
      <c r="BS3511" s="3">
        <v>45862</v>
      </c>
      <c r="BT3511" s="4">
        <v>0.38124999999999998</v>
      </c>
      <c r="BU3511" t="s">
        <v>2533</v>
      </c>
      <c r="BV3511" t="s">
        <v>98</v>
      </c>
      <c r="BY3511">
        <v>1200</v>
      </c>
      <c r="CA3511" t="s">
        <v>1799</v>
      </c>
      <c r="CC3511" t="s">
        <v>198</v>
      </c>
      <c r="CD3511">
        <v>1429</v>
      </c>
      <c r="CE3511" t="s">
        <v>121</v>
      </c>
      <c r="CF3511" s="3">
        <v>45862</v>
      </c>
      <c r="CI3511">
        <v>1</v>
      </c>
      <c r="CJ3511">
        <v>1</v>
      </c>
      <c r="CK3511">
        <v>22</v>
      </c>
      <c r="CL3511" t="s">
        <v>86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"080066755046"</f>
        <v>080066755046</v>
      </c>
      <c r="F3512" s="3">
        <v>45861</v>
      </c>
      <c r="G3512">
        <v>202604</v>
      </c>
      <c r="H3512" t="s">
        <v>75</v>
      </c>
      <c r="I3512" t="s">
        <v>76</v>
      </c>
      <c r="J3512" t="s">
        <v>77</v>
      </c>
      <c r="K3512" t="s">
        <v>78</v>
      </c>
      <c r="L3512" t="s">
        <v>75</v>
      </c>
      <c r="M3512" t="s">
        <v>76</v>
      </c>
      <c r="N3512" t="s">
        <v>1855</v>
      </c>
      <c r="O3512" t="s">
        <v>82</v>
      </c>
      <c r="P3512" t="str">
        <f>"4170050334                    "</f>
        <v xml:space="preserve">4170050334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17.649999999999999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55.61</v>
      </c>
      <c r="BM3512">
        <v>8.34</v>
      </c>
      <c r="BN3512">
        <v>63.95</v>
      </c>
      <c r="BO3512">
        <v>63.95</v>
      </c>
      <c r="BQ3512" t="s">
        <v>1856</v>
      </c>
      <c r="BR3512" t="s">
        <v>84</v>
      </c>
      <c r="BS3512" s="3">
        <v>45862</v>
      </c>
      <c r="BT3512" s="4">
        <v>0.42638888888888887</v>
      </c>
      <c r="BU3512" t="s">
        <v>3382</v>
      </c>
      <c r="BV3512" t="s">
        <v>98</v>
      </c>
      <c r="BY3512">
        <v>1200</v>
      </c>
      <c r="CA3512" t="s">
        <v>522</v>
      </c>
      <c r="CC3512" t="s">
        <v>76</v>
      </c>
      <c r="CD3512">
        <v>1600</v>
      </c>
      <c r="CE3512" t="s">
        <v>121</v>
      </c>
      <c r="CF3512" s="3">
        <v>45862</v>
      </c>
      <c r="CI3512">
        <v>1</v>
      </c>
      <c r="CJ3512">
        <v>1</v>
      </c>
      <c r="CK3512">
        <v>22</v>
      </c>
      <c r="CL3512" t="s">
        <v>86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"080066755050"</f>
        <v>080066755050</v>
      </c>
      <c r="F3513" s="3">
        <v>45861</v>
      </c>
      <c r="G3513">
        <v>202604</v>
      </c>
      <c r="H3513" t="s">
        <v>75</v>
      </c>
      <c r="I3513" t="s">
        <v>76</v>
      </c>
      <c r="J3513" t="s">
        <v>77</v>
      </c>
      <c r="K3513" t="s">
        <v>78</v>
      </c>
      <c r="L3513" t="s">
        <v>295</v>
      </c>
      <c r="M3513" t="s">
        <v>296</v>
      </c>
      <c r="N3513" t="s">
        <v>297</v>
      </c>
      <c r="O3513" t="s">
        <v>82</v>
      </c>
      <c r="P3513" t="str">
        <f>"4170050514                    "</f>
        <v xml:space="preserve">4170050514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17.649999999999999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55.61</v>
      </c>
      <c r="BM3513">
        <v>8.34</v>
      </c>
      <c r="BN3513">
        <v>63.95</v>
      </c>
      <c r="BO3513">
        <v>63.95</v>
      </c>
      <c r="BQ3513" t="s">
        <v>298</v>
      </c>
      <c r="BR3513" t="s">
        <v>84</v>
      </c>
      <c r="BS3513" s="3">
        <v>45862</v>
      </c>
      <c r="BT3513" s="4">
        <v>0.31736111111111109</v>
      </c>
      <c r="BU3513" t="s">
        <v>299</v>
      </c>
      <c r="BV3513" t="s">
        <v>98</v>
      </c>
      <c r="BY3513">
        <v>1200</v>
      </c>
      <c r="CA3513" t="s">
        <v>300</v>
      </c>
      <c r="CC3513" t="s">
        <v>296</v>
      </c>
      <c r="CD3513">
        <v>1459</v>
      </c>
      <c r="CE3513" t="s">
        <v>121</v>
      </c>
      <c r="CF3513" s="3">
        <v>45863</v>
      </c>
      <c r="CI3513">
        <v>1</v>
      </c>
      <c r="CJ3513">
        <v>1</v>
      </c>
      <c r="CK3513">
        <v>22</v>
      </c>
      <c r="CL3513" t="s">
        <v>86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"080066755069"</f>
        <v>080066755069</v>
      </c>
      <c r="F3514" s="3">
        <v>45861</v>
      </c>
      <c r="G3514">
        <v>202604</v>
      </c>
      <c r="H3514" t="s">
        <v>75</v>
      </c>
      <c r="I3514" t="s">
        <v>76</v>
      </c>
      <c r="J3514" t="s">
        <v>77</v>
      </c>
      <c r="K3514" t="s">
        <v>78</v>
      </c>
      <c r="L3514" t="s">
        <v>79</v>
      </c>
      <c r="M3514" t="s">
        <v>80</v>
      </c>
      <c r="N3514" t="s">
        <v>1083</v>
      </c>
      <c r="O3514" t="s">
        <v>82</v>
      </c>
      <c r="P3514" t="str">
        <f>"4170050604                    "</f>
        <v xml:space="preserve">4170050604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22.6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71.2</v>
      </c>
      <c r="BM3514">
        <v>10.68</v>
      </c>
      <c r="BN3514">
        <v>81.88</v>
      </c>
      <c r="BO3514">
        <v>81.88</v>
      </c>
      <c r="BQ3514" t="s">
        <v>1084</v>
      </c>
      <c r="BR3514" t="s">
        <v>84</v>
      </c>
      <c r="BS3514" s="3">
        <v>45862</v>
      </c>
      <c r="BT3514" s="4">
        <v>0.40833333333333333</v>
      </c>
      <c r="BU3514" t="s">
        <v>2916</v>
      </c>
      <c r="BV3514" t="s">
        <v>98</v>
      </c>
      <c r="BY3514">
        <v>1200</v>
      </c>
      <c r="CC3514" t="s">
        <v>80</v>
      </c>
      <c r="CD3514">
        <v>8001</v>
      </c>
      <c r="CE3514" t="s">
        <v>121</v>
      </c>
      <c r="CF3514" s="3">
        <v>45863</v>
      </c>
      <c r="CI3514">
        <v>1</v>
      </c>
      <c r="CJ3514">
        <v>1</v>
      </c>
      <c r="CK3514">
        <v>21</v>
      </c>
      <c r="CL3514" t="s">
        <v>86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"080066755089"</f>
        <v>080066755089</v>
      </c>
      <c r="F3515" s="3">
        <v>45861</v>
      </c>
      <c r="G3515">
        <v>202604</v>
      </c>
      <c r="H3515" t="s">
        <v>75</v>
      </c>
      <c r="I3515" t="s">
        <v>76</v>
      </c>
      <c r="J3515" t="s">
        <v>77</v>
      </c>
      <c r="K3515" t="s">
        <v>78</v>
      </c>
      <c r="L3515" t="s">
        <v>168</v>
      </c>
      <c r="M3515" t="s">
        <v>169</v>
      </c>
      <c r="N3515" t="s">
        <v>662</v>
      </c>
      <c r="O3515" t="s">
        <v>82</v>
      </c>
      <c r="P3515" t="str">
        <f>"4170050428                    "</f>
        <v xml:space="preserve">4170050428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22.6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71.2</v>
      </c>
      <c r="BM3515">
        <v>10.68</v>
      </c>
      <c r="BN3515">
        <v>81.88</v>
      </c>
      <c r="BO3515">
        <v>81.88</v>
      </c>
      <c r="BQ3515" t="s">
        <v>663</v>
      </c>
      <c r="BR3515" t="s">
        <v>84</v>
      </c>
      <c r="BS3515" s="3">
        <v>45862</v>
      </c>
      <c r="BT3515" s="4">
        <v>0.40277777777777779</v>
      </c>
      <c r="BU3515" t="s">
        <v>3383</v>
      </c>
      <c r="BV3515" t="s">
        <v>98</v>
      </c>
      <c r="BY3515">
        <v>1200</v>
      </c>
      <c r="CA3515" t="s">
        <v>423</v>
      </c>
      <c r="CC3515" t="s">
        <v>169</v>
      </c>
      <c r="CD3515">
        <v>6001</v>
      </c>
      <c r="CE3515" t="s">
        <v>121</v>
      </c>
      <c r="CF3515" s="3">
        <v>45862</v>
      </c>
      <c r="CI3515">
        <v>1</v>
      </c>
      <c r="CJ3515">
        <v>1</v>
      </c>
      <c r="CK3515">
        <v>21</v>
      </c>
      <c r="CL3515" t="s">
        <v>86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"080066755102"</f>
        <v>080066755102</v>
      </c>
      <c r="F3516" s="3">
        <v>45861</v>
      </c>
      <c r="G3516">
        <v>202604</v>
      </c>
      <c r="H3516" t="s">
        <v>75</v>
      </c>
      <c r="I3516" t="s">
        <v>76</v>
      </c>
      <c r="J3516" t="s">
        <v>77</v>
      </c>
      <c r="K3516" t="s">
        <v>78</v>
      </c>
      <c r="L3516" t="s">
        <v>79</v>
      </c>
      <c r="M3516" t="s">
        <v>80</v>
      </c>
      <c r="N3516" t="s">
        <v>141</v>
      </c>
      <c r="O3516" t="s">
        <v>82</v>
      </c>
      <c r="P3516" t="str">
        <f>"4170050705                    "</f>
        <v xml:space="preserve">4170050705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22.6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71.2</v>
      </c>
      <c r="BM3516">
        <v>10.68</v>
      </c>
      <c r="BN3516">
        <v>81.88</v>
      </c>
      <c r="BO3516">
        <v>81.88</v>
      </c>
      <c r="BQ3516" t="s">
        <v>142</v>
      </c>
      <c r="BR3516" t="s">
        <v>84</v>
      </c>
      <c r="BS3516" s="3">
        <v>45862</v>
      </c>
      <c r="BT3516" s="4">
        <v>0.42152777777777778</v>
      </c>
      <c r="BU3516" t="s">
        <v>2437</v>
      </c>
      <c r="BV3516" t="s">
        <v>98</v>
      </c>
      <c r="BY3516">
        <v>1200</v>
      </c>
      <c r="CA3516" t="s">
        <v>144</v>
      </c>
      <c r="CC3516" t="s">
        <v>80</v>
      </c>
      <c r="CD3516">
        <v>7441</v>
      </c>
      <c r="CE3516" t="s">
        <v>121</v>
      </c>
      <c r="CF3516" s="3">
        <v>45863</v>
      </c>
      <c r="CI3516">
        <v>1</v>
      </c>
      <c r="CJ3516">
        <v>1</v>
      </c>
      <c r="CK3516">
        <v>21</v>
      </c>
      <c r="CL3516" t="s">
        <v>86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"080066755114"</f>
        <v>080066755114</v>
      </c>
      <c r="F3517" s="3">
        <v>45861</v>
      </c>
      <c r="G3517">
        <v>202604</v>
      </c>
      <c r="H3517" t="s">
        <v>75</v>
      </c>
      <c r="I3517" t="s">
        <v>76</v>
      </c>
      <c r="J3517" t="s">
        <v>77</v>
      </c>
      <c r="K3517" t="s">
        <v>78</v>
      </c>
      <c r="L3517" t="s">
        <v>151</v>
      </c>
      <c r="M3517" t="s">
        <v>152</v>
      </c>
      <c r="N3517" t="s">
        <v>1759</v>
      </c>
      <c r="O3517" t="s">
        <v>82</v>
      </c>
      <c r="P3517" t="str">
        <f>"4170050703                    "</f>
        <v xml:space="preserve">4170050703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22.6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71.2</v>
      </c>
      <c r="BM3517">
        <v>10.68</v>
      </c>
      <c r="BN3517">
        <v>81.88</v>
      </c>
      <c r="BO3517">
        <v>81.88</v>
      </c>
      <c r="BQ3517" t="s">
        <v>1760</v>
      </c>
      <c r="BR3517" t="s">
        <v>84</v>
      </c>
      <c r="BS3517" s="3">
        <v>45862</v>
      </c>
      <c r="BT3517" s="4">
        <v>0.40763888888888888</v>
      </c>
      <c r="BU3517" t="s">
        <v>1394</v>
      </c>
      <c r="BV3517" t="s">
        <v>98</v>
      </c>
      <c r="BY3517">
        <v>1200</v>
      </c>
      <c r="CA3517" t="s">
        <v>3384</v>
      </c>
      <c r="CC3517" t="s">
        <v>152</v>
      </c>
      <c r="CD3517" s="5" t="s">
        <v>684</v>
      </c>
      <c r="CE3517" t="s">
        <v>121</v>
      </c>
      <c r="CF3517" s="3">
        <v>45862</v>
      </c>
      <c r="CI3517">
        <v>1</v>
      </c>
      <c r="CJ3517">
        <v>1</v>
      </c>
      <c r="CK3517">
        <v>21</v>
      </c>
      <c r="CL3517" t="s">
        <v>86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"080066755122"</f>
        <v>080066755122</v>
      </c>
      <c r="F3518" s="3">
        <v>45861</v>
      </c>
      <c r="G3518">
        <v>202604</v>
      </c>
      <c r="H3518" t="s">
        <v>75</v>
      </c>
      <c r="I3518" t="s">
        <v>76</v>
      </c>
      <c r="J3518" t="s">
        <v>77</v>
      </c>
      <c r="K3518" t="s">
        <v>78</v>
      </c>
      <c r="L3518" t="s">
        <v>260</v>
      </c>
      <c r="M3518" t="s">
        <v>261</v>
      </c>
      <c r="N3518" t="s">
        <v>2242</v>
      </c>
      <c r="O3518" t="s">
        <v>82</v>
      </c>
      <c r="P3518" t="str">
        <f>"4170050453                    "</f>
        <v xml:space="preserve">4170050453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43.78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137.94</v>
      </c>
      <c r="BM3518">
        <v>20.69</v>
      </c>
      <c r="BN3518">
        <v>158.63</v>
      </c>
      <c r="BO3518">
        <v>158.63</v>
      </c>
      <c r="BQ3518" t="s">
        <v>2243</v>
      </c>
      <c r="BR3518" t="s">
        <v>84</v>
      </c>
      <c r="BS3518" s="3">
        <v>45862</v>
      </c>
      <c r="BT3518" s="4">
        <v>0.43333333333333335</v>
      </c>
      <c r="BU3518" t="s">
        <v>3385</v>
      </c>
      <c r="BV3518" t="s">
        <v>98</v>
      </c>
      <c r="BY3518">
        <v>1200</v>
      </c>
      <c r="CA3518" t="s">
        <v>3386</v>
      </c>
      <c r="CC3518" t="s">
        <v>261</v>
      </c>
      <c r="CD3518">
        <v>1911</v>
      </c>
      <c r="CE3518" t="s">
        <v>121</v>
      </c>
      <c r="CF3518" s="3">
        <v>45863</v>
      </c>
      <c r="CI3518">
        <v>1</v>
      </c>
      <c r="CJ3518">
        <v>1</v>
      </c>
      <c r="CK3518">
        <v>23</v>
      </c>
      <c r="CL3518" t="s">
        <v>86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"080066755132"</f>
        <v>080066755132</v>
      </c>
      <c r="F3519" s="3">
        <v>45861</v>
      </c>
      <c r="G3519">
        <v>202604</v>
      </c>
      <c r="H3519" t="s">
        <v>75</v>
      </c>
      <c r="I3519" t="s">
        <v>76</v>
      </c>
      <c r="J3519" t="s">
        <v>77</v>
      </c>
      <c r="K3519" t="s">
        <v>78</v>
      </c>
      <c r="L3519" t="s">
        <v>79</v>
      </c>
      <c r="M3519" t="s">
        <v>80</v>
      </c>
      <c r="N3519" t="s">
        <v>576</v>
      </c>
      <c r="O3519" t="s">
        <v>82</v>
      </c>
      <c r="P3519" t="str">
        <f>"4170050567                    "</f>
        <v xml:space="preserve">4170050567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22.6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71.2</v>
      </c>
      <c r="BM3519">
        <v>10.68</v>
      </c>
      <c r="BN3519">
        <v>81.88</v>
      </c>
      <c r="BO3519">
        <v>81.88</v>
      </c>
      <c r="BQ3519" t="s">
        <v>577</v>
      </c>
      <c r="BR3519" t="s">
        <v>84</v>
      </c>
      <c r="BS3519" s="3">
        <v>45862</v>
      </c>
      <c r="BT3519" s="4">
        <v>0.4201388888888889</v>
      </c>
      <c r="BU3519" t="s">
        <v>1092</v>
      </c>
      <c r="BV3519" t="s">
        <v>98</v>
      </c>
      <c r="BY3519">
        <v>1200</v>
      </c>
      <c r="CA3519" t="s">
        <v>579</v>
      </c>
      <c r="CC3519" t="s">
        <v>80</v>
      </c>
      <c r="CD3519">
        <v>7480</v>
      </c>
      <c r="CE3519" t="s">
        <v>121</v>
      </c>
      <c r="CF3519" s="3">
        <v>45863</v>
      </c>
      <c r="CI3519">
        <v>1</v>
      </c>
      <c r="CJ3519">
        <v>1</v>
      </c>
      <c r="CK3519">
        <v>21</v>
      </c>
      <c r="CL3519" t="s">
        <v>86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"080066755140"</f>
        <v>080066755140</v>
      </c>
      <c r="F3520" s="3">
        <v>45861</v>
      </c>
      <c r="G3520">
        <v>202604</v>
      </c>
      <c r="H3520" t="s">
        <v>75</v>
      </c>
      <c r="I3520" t="s">
        <v>76</v>
      </c>
      <c r="J3520" t="s">
        <v>77</v>
      </c>
      <c r="K3520" t="s">
        <v>78</v>
      </c>
      <c r="L3520" t="s">
        <v>240</v>
      </c>
      <c r="M3520" t="s">
        <v>241</v>
      </c>
      <c r="N3520" t="s">
        <v>2301</v>
      </c>
      <c r="O3520" t="s">
        <v>82</v>
      </c>
      <c r="P3520" t="str">
        <f>"4170050382                    "</f>
        <v xml:space="preserve">4170050382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17.649999999999999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55.61</v>
      </c>
      <c r="BM3520">
        <v>8.34</v>
      </c>
      <c r="BN3520">
        <v>63.95</v>
      </c>
      <c r="BO3520">
        <v>63.95</v>
      </c>
      <c r="BQ3520" t="s">
        <v>2302</v>
      </c>
      <c r="BR3520" t="s">
        <v>84</v>
      </c>
      <c r="BS3520" s="3">
        <v>45862</v>
      </c>
      <c r="BT3520" s="4">
        <v>0.36805555555555558</v>
      </c>
      <c r="BU3520" t="s">
        <v>2303</v>
      </c>
      <c r="BV3520" t="s">
        <v>98</v>
      </c>
      <c r="BY3520">
        <v>1200</v>
      </c>
      <c r="CA3520" t="s">
        <v>1738</v>
      </c>
      <c r="CC3520" t="s">
        <v>241</v>
      </c>
      <c r="CD3520">
        <v>2001</v>
      </c>
      <c r="CE3520" t="s">
        <v>121</v>
      </c>
      <c r="CF3520" s="3">
        <v>45862</v>
      </c>
      <c r="CI3520">
        <v>1</v>
      </c>
      <c r="CJ3520">
        <v>1</v>
      </c>
      <c r="CK3520">
        <v>22</v>
      </c>
      <c r="CL3520" t="s">
        <v>86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"080066755147"</f>
        <v>080066755147</v>
      </c>
      <c r="F3521" s="3">
        <v>45861</v>
      </c>
      <c r="G3521">
        <v>202604</v>
      </c>
      <c r="H3521" t="s">
        <v>75</v>
      </c>
      <c r="I3521" t="s">
        <v>76</v>
      </c>
      <c r="J3521" t="s">
        <v>77</v>
      </c>
      <c r="K3521" t="s">
        <v>78</v>
      </c>
      <c r="L3521" t="s">
        <v>305</v>
      </c>
      <c r="M3521" t="s">
        <v>306</v>
      </c>
      <c r="N3521" t="s">
        <v>710</v>
      </c>
      <c r="O3521" t="s">
        <v>82</v>
      </c>
      <c r="P3521" t="str">
        <f>"4170050676                    "</f>
        <v xml:space="preserve">4170050676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22.6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71.2</v>
      </c>
      <c r="BM3521">
        <v>10.68</v>
      </c>
      <c r="BN3521">
        <v>81.88</v>
      </c>
      <c r="BO3521">
        <v>81.88</v>
      </c>
      <c r="BQ3521" t="s">
        <v>711</v>
      </c>
      <c r="BR3521" t="s">
        <v>84</v>
      </c>
      <c r="BS3521" s="3">
        <v>45862</v>
      </c>
      <c r="BT3521" s="4">
        <v>0.4375</v>
      </c>
      <c r="BU3521" t="s">
        <v>712</v>
      </c>
      <c r="BV3521" t="s">
        <v>98</v>
      </c>
      <c r="BY3521">
        <v>1200</v>
      </c>
      <c r="CA3521" t="s">
        <v>575</v>
      </c>
      <c r="CC3521" t="s">
        <v>306</v>
      </c>
      <c r="CD3521">
        <v>5200</v>
      </c>
      <c r="CE3521" t="s">
        <v>121</v>
      </c>
      <c r="CF3521" s="3">
        <v>45862</v>
      </c>
      <c r="CI3521">
        <v>1</v>
      </c>
      <c r="CJ3521">
        <v>1</v>
      </c>
      <c r="CK3521">
        <v>21</v>
      </c>
      <c r="CL3521" t="s">
        <v>86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"080066755153"</f>
        <v>080066755153</v>
      </c>
      <c r="F3522" s="3">
        <v>45861</v>
      </c>
      <c r="G3522">
        <v>202604</v>
      </c>
      <c r="H3522" t="s">
        <v>75</v>
      </c>
      <c r="I3522" t="s">
        <v>76</v>
      </c>
      <c r="J3522" t="s">
        <v>77</v>
      </c>
      <c r="K3522" t="s">
        <v>78</v>
      </c>
      <c r="L3522" t="s">
        <v>240</v>
      </c>
      <c r="M3522" t="s">
        <v>241</v>
      </c>
      <c r="N3522" t="s">
        <v>3016</v>
      </c>
      <c r="O3522" t="s">
        <v>82</v>
      </c>
      <c r="P3522" t="str">
        <f>"4170050457                    "</f>
        <v xml:space="preserve">4170050457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17.649999999999999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55.61</v>
      </c>
      <c r="BM3522">
        <v>8.34</v>
      </c>
      <c r="BN3522">
        <v>63.95</v>
      </c>
      <c r="BO3522">
        <v>63.95</v>
      </c>
      <c r="BQ3522" t="s">
        <v>3017</v>
      </c>
      <c r="BR3522" t="s">
        <v>84</v>
      </c>
      <c r="BS3522" s="3">
        <v>45862</v>
      </c>
      <c r="BT3522" s="4">
        <v>0.34722222222222221</v>
      </c>
      <c r="BU3522" t="s">
        <v>3018</v>
      </c>
      <c r="BV3522" t="s">
        <v>98</v>
      </c>
      <c r="BY3522">
        <v>1200</v>
      </c>
      <c r="CA3522" t="s">
        <v>245</v>
      </c>
      <c r="CC3522" t="s">
        <v>241</v>
      </c>
      <c r="CD3522">
        <v>2000</v>
      </c>
      <c r="CE3522" t="s">
        <v>121</v>
      </c>
      <c r="CF3522" s="3">
        <v>45863</v>
      </c>
      <c r="CI3522">
        <v>1</v>
      </c>
      <c r="CJ3522">
        <v>1</v>
      </c>
      <c r="CK3522">
        <v>22</v>
      </c>
      <c r="CL3522" t="s">
        <v>86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"080066755164"</f>
        <v>080066755164</v>
      </c>
      <c r="F3523" s="3">
        <v>45861</v>
      </c>
      <c r="G3523">
        <v>202604</v>
      </c>
      <c r="H3523" t="s">
        <v>75</v>
      </c>
      <c r="I3523" t="s">
        <v>76</v>
      </c>
      <c r="J3523" t="s">
        <v>77</v>
      </c>
      <c r="K3523" t="s">
        <v>78</v>
      </c>
      <c r="L3523" t="s">
        <v>79</v>
      </c>
      <c r="M3523" t="s">
        <v>80</v>
      </c>
      <c r="N3523" t="s">
        <v>188</v>
      </c>
      <c r="O3523" t="s">
        <v>82</v>
      </c>
      <c r="P3523" t="str">
        <f>"4170050461                    "</f>
        <v xml:space="preserve">4170050461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22.6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71.2</v>
      </c>
      <c r="BM3523">
        <v>10.68</v>
      </c>
      <c r="BN3523">
        <v>81.88</v>
      </c>
      <c r="BO3523">
        <v>81.88</v>
      </c>
      <c r="BQ3523" t="s">
        <v>189</v>
      </c>
      <c r="BR3523" t="s">
        <v>84</v>
      </c>
      <c r="BS3523" s="3">
        <v>45862</v>
      </c>
      <c r="BT3523" s="4">
        <v>0.37430555555555556</v>
      </c>
      <c r="BU3523" t="s">
        <v>190</v>
      </c>
      <c r="BV3523" t="s">
        <v>98</v>
      </c>
      <c r="BY3523">
        <v>1200</v>
      </c>
      <c r="CC3523" t="s">
        <v>80</v>
      </c>
      <c r="CD3523">
        <v>7441</v>
      </c>
      <c r="CE3523" t="s">
        <v>258</v>
      </c>
      <c r="CF3523" s="3">
        <v>45863</v>
      </c>
      <c r="CI3523">
        <v>1</v>
      </c>
      <c r="CJ3523">
        <v>1</v>
      </c>
      <c r="CK3523">
        <v>21</v>
      </c>
      <c r="CL3523" t="s">
        <v>86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"080066755188"</f>
        <v>080066755188</v>
      </c>
      <c r="F3524" s="3">
        <v>45861</v>
      </c>
      <c r="G3524">
        <v>202604</v>
      </c>
      <c r="H3524" t="s">
        <v>75</v>
      </c>
      <c r="I3524" t="s">
        <v>76</v>
      </c>
      <c r="J3524" t="s">
        <v>77</v>
      </c>
      <c r="K3524" t="s">
        <v>78</v>
      </c>
      <c r="L3524" t="s">
        <v>75</v>
      </c>
      <c r="M3524" t="s">
        <v>76</v>
      </c>
      <c r="N3524" t="s">
        <v>3041</v>
      </c>
      <c r="O3524" t="s">
        <v>82</v>
      </c>
      <c r="P3524" t="str">
        <f>"4170050455                    "</f>
        <v xml:space="preserve">4170050455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17.649999999999999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55.61</v>
      </c>
      <c r="BM3524">
        <v>8.34</v>
      </c>
      <c r="BN3524">
        <v>63.95</v>
      </c>
      <c r="BO3524">
        <v>63.95</v>
      </c>
      <c r="BQ3524" t="s">
        <v>3042</v>
      </c>
      <c r="BR3524" t="s">
        <v>84</v>
      </c>
      <c r="BS3524" s="3">
        <v>45862</v>
      </c>
      <c r="BT3524" s="4">
        <v>0.31805555555555554</v>
      </c>
      <c r="BU3524" t="s">
        <v>3387</v>
      </c>
      <c r="BV3524" t="s">
        <v>98</v>
      </c>
      <c r="BY3524">
        <v>1200</v>
      </c>
      <c r="CA3524" t="s">
        <v>213</v>
      </c>
      <c r="CC3524" t="s">
        <v>76</v>
      </c>
      <c r="CD3524">
        <v>1600</v>
      </c>
      <c r="CE3524" t="s">
        <v>121</v>
      </c>
      <c r="CF3524" s="3">
        <v>45862</v>
      </c>
      <c r="CI3524">
        <v>1</v>
      </c>
      <c r="CJ3524">
        <v>1</v>
      </c>
      <c r="CK3524">
        <v>22</v>
      </c>
      <c r="CL3524" t="s">
        <v>86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"080066755189"</f>
        <v>080066755189</v>
      </c>
      <c r="F3525" s="3">
        <v>45861</v>
      </c>
      <c r="G3525">
        <v>202604</v>
      </c>
      <c r="H3525" t="s">
        <v>75</v>
      </c>
      <c r="I3525" t="s">
        <v>76</v>
      </c>
      <c r="J3525" t="s">
        <v>77</v>
      </c>
      <c r="K3525" t="s">
        <v>78</v>
      </c>
      <c r="L3525" t="s">
        <v>79</v>
      </c>
      <c r="M3525" t="s">
        <v>80</v>
      </c>
      <c r="N3525" t="s">
        <v>141</v>
      </c>
      <c r="O3525" t="s">
        <v>82</v>
      </c>
      <c r="P3525" t="str">
        <f>"4170050404                    "</f>
        <v xml:space="preserve">4170050404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22.6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71.2</v>
      </c>
      <c r="BM3525">
        <v>10.68</v>
      </c>
      <c r="BN3525">
        <v>81.88</v>
      </c>
      <c r="BO3525">
        <v>81.88</v>
      </c>
      <c r="BQ3525" t="s">
        <v>142</v>
      </c>
      <c r="BR3525" t="s">
        <v>84</v>
      </c>
      <c r="BS3525" s="3">
        <v>45862</v>
      </c>
      <c r="BT3525" s="4">
        <v>0.42152777777777778</v>
      </c>
      <c r="BU3525" t="s">
        <v>2437</v>
      </c>
      <c r="BV3525" t="s">
        <v>98</v>
      </c>
      <c r="BY3525">
        <v>1200</v>
      </c>
      <c r="CA3525" t="s">
        <v>144</v>
      </c>
      <c r="CC3525" t="s">
        <v>80</v>
      </c>
      <c r="CD3525">
        <v>7441</v>
      </c>
      <c r="CE3525" t="s">
        <v>3388</v>
      </c>
      <c r="CF3525" s="3">
        <v>45863</v>
      </c>
      <c r="CI3525">
        <v>1</v>
      </c>
      <c r="CJ3525">
        <v>1</v>
      </c>
      <c r="CK3525">
        <v>21</v>
      </c>
      <c r="CL3525" t="s">
        <v>86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"080066755206"</f>
        <v>080066755206</v>
      </c>
      <c r="F3526" s="3">
        <v>45861</v>
      </c>
      <c r="G3526">
        <v>202604</v>
      </c>
      <c r="H3526" t="s">
        <v>75</v>
      </c>
      <c r="I3526" t="s">
        <v>76</v>
      </c>
      <c r="J3526" t="s">
        <v>77</v>
      </c>
      <c r="K3526" t="s">
        <v>78</v>
      </c>
      <c r="L3526" t="s">
        <v>79</v>
      </c>
      <c r="M3526" t="s">
        <v>80</v>
      </c>
      <c r="N3526" t="s">
        <v>1083</v>
      </c>
      <c r="O3526" t="s">
        <v>82</v>
      </c>
      <c r="P3526" t="str">
        <f>"4170050440                    "</f>
        <v xml:space="preserve">4170050440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22.6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71.2</v>
      </c>
      <c r="BM3526">
        <v>10.68</v>
      </c>
      <c r="BN3526">
        <v>81.88</v>
      </c>
      <c r="BO3526">
        <v>81.88</v>
      </c>
      <c r="BQ3526" t="s">
        <v>1084</v>
      </c>
      <c r="BR3526" t="s">
        <v>84</v>
      </c>
      <c r="BS3526" s="3">
        <v>45862</v>
      </c>
      <c r="BT3526" s="4">
        <v>0.40833333333333333</v>
      </c>
      <c r="BU3526" t="s">
        <v>2916</v>
      </c>
      <c r="BV3526" t="s">
        <v>98</v>
      </c>
      <c r="BY3526">
        <v>1200</v>
      </c>
      <c r="CC3526" t="s">
        <v>80</v>
      </c>
      <c r="CD3526">
        <v>8001</v>
      </c>
      <c r="CE3526" t="s">
        <v>121</v>
      </c>
      <c r="CF3526" s="3">
        <v>45863</v>
      </c>
      <c r="CI3526">
        <v>1</v>
      </c>
      <c r="CJ3526">
        <v>1</v>
      </c>
      <c r="CK3526">
        <v>21</v>
      </c>
      <c r="CL3526" t="s">
        <v>86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"080066755208"</f>
        <v>080066755208</v>
      </c>
      <c r="F3527" s="3">
        <v>45861</v>
      </c>
      <c r="G3527">
        <v>202604</v>
      </c>
      <c r="H3527" t="s">
        <v>75</v>
      </c>
      <c r="I3527" t="s">
        <v>76</v>
      </c>
      <c r="J3527" t="s">
        <v>77</v>
      </c>
      <c r="K3527" t="s">
        <v>78</v>
      </c>
      <c r="L3527" t="s">
        <v>75</v>
      </c>
      <c r="M3527" t="s">
        <v>76</v>
      </c>
      <c r="N3527" t="s">
        <v>1633</v>
      </c>
      <c r="O3527" t="s">
        <v>82</v>
      </c>
      <c r="P3527" t="str">
        <f>"4170050380                    "</f>
        <v xml:space="preserve">4170050380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17.649999999999999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55.61</v>
      </c>
      <c r="BM3527">
        <v>8.34</v>
      </c>
      <c r="BN3527">
        <v>63.95</v>
      </c>
      <c r="BO3527">
        <v>63.95</v>
      </c>
      <c r="BQ3527" t="s">
        <v>1634</v>
      </c>
      <c r="BR3527" t="s">
        <v>84</v>
      </c>
      <c r="BS3527" s="3">
        <v>45862</v>
      </c>
      <c r="BT3527" s="4">
        <v>0.39027777777777778</v>
      </c>
      <c r="BU3527" t="s">
        <v>3080</v>
      </c>
      <c r="BV3527" t="s">
        <v>98</v>
      </c>
      <c r="BY3527">
        <v>1200</v>
      </c>
      <c r="CA3527" t="s">
        <v>213</v>
      </c>
      <c r="CC3527" t="s">
        <v>76</v>
      </c>
      <c r="CD3527">
        <v>1624</v>
      </c>
      <c r="CE3527" t="s">
        <v>121</v>
      </c>
      <c r="CF3527" s="3">
        <v>45862</v>
      </c>
      <c r="CI3527">
        <v>1</v>
      </c>
      <c r="CJ3527">
        <v>1</v>
      </c>
      <c r="CK3527">
        <v>22</v>
      </c>
      <c r="CL3527" t="s">
        <v>86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"080066755222"</f>
        <v>080066755222</v>
      </c>
      <c r="F3528" s="3">
        <v>45861</v>
      </c>
      <c r="G3528">
        <v>202604</v>
      </c>
      <c r="H3528" t="s">
        <v>75</v>
      </c>
      <c r="I3528" t="s">
        <v>76</v>
      </c>
      <c r="J3528" t="s">
        <v>77</v>
      </c>
      <c r="K3528" t="s">
        <v>78</v>
      </c>
      <c r="L3528" t="s">
        <v>305</v>
      </c>
      <c r="M3528" t="s">
        <v>306</v>
      </c>
      <c r="N3528" t="s">
        <v>640</v>
      </c>
      <c r="O3528" t="s">
        <v>82</v>
      </c>
      <c r="P3528" t="str">
        <f>"4170050512                    "</f>
        <v xml:space="preserve">4170050512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22.6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71.2</v>
      </c>
      <c r="BM3528">
        <v>10.68</v>
      </c>
      <c r="BN3528">
        <v>81.88</v>
      </c>
      <c r="BO3528">
        <v>81.88</v>
      </c>
      <c r="BQ3528" t="s">
        <v>641</v>
      </c>
      <c r="BR3528" t="s">
        <v>84</v>
      </c>
      <c r="BS3528" s="3">
        <v>45862</v>
      </c>
      <c r="BT3528" s="4">
        <v>0.51597222222222228</v>
      </c>
      <c r="BU3528" t="s">
        <v>975</v>
      </c>
      <c r="BV3528" t="s">
        <v>86</v>
      </c>
      <c r="BY3528">
        <v>1200</v>
      </c>
      <c r="CA3528" t="s">
        <v>310</v>
      </c>
      <c r="CC3528" t="s">
        <v>306</v>
      </c>
      <c r="CD3528">
        <v>5201</v>
      </c>
      <c r="CE3528" t="s">
        <v>121</v>
      </c>
      <c r="CF3528" s="3">
        <v>45862</v>
      </c>
      <c r="CI3528">
        <v>1</v>
      </c>
      <c r="CJ3528">
        <v>1</v>
      </c>
      <c r="CK3528">
        <v>21</v>
      </c>
      <c r="CL3528" t="s">
        <v>86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"080066755228"</f>
        <v>080066755228</v>
      </c>
      <c r="F3529" s="3">
        <v>45861</v>
      </c>
      <c r="G3529">
        <v>202604</v>
      </c>
      <c r="H3529" t="s">
        <v>75</v>
      </c>
      <c r="I3529" t="s">
        <v>76</v>
      </c>
      <c r="J3529" t="s">
        <v>77</v>
      </c>
      <c r="K3529" t="s">
        <v>78</v>
      </c>
      <c r="L3529" t="s">
        <v>234</v>
      </c>
      <c r="M3529" t="s">
        <v>235</v>
      </c>
      <c r="N3529" t="s">
        <v>236</v>
      </c>
      <c r="O3529" t="s">
        <v>82</v>
      </c>
      <c r="P3529" t="str">
        <f>"4170050618                    "</f>
        <v xml:space="preserve">4170050618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17.649999999999999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55.61</v>
      </c>
      <c r="BM3529">
        <v>8.34</v>
      </c>
      <c r="BN3529">
        <v>63.95</v>
      </c>
      <c r="BO3529">
        <v>63.95</v>
      </c>
      <c r="BQ3529" t="s">
        <v>237</v>
      </c>
      <c r="BR3529" t="s">
        <v>84</v>
      </c>
      <c r="BS3529" s="3">
        <v>45862</v>
      </c>
      <c r="BT3529" s="4">
        <v>0.39166666666666666</v>
      </c>
      <c r="BU3529" t="s">
        <v>2886</v>
      </c>
      <c r="BV3529" t="s">
        <v>98</v>
      </c>
      <c r="BY3529">
        <v>1200</v>
      </c>
      <c r="CA3529" t="s">
        <v>632</v>
      </c>
      <c r="CC3529" t="s">
        <v>235</v>
      </c>
      <c r="CD3529">
        <v>1682</v>
      </c>
      <c r="CE3529" t="s">
        <v>121</v>
      </c>
      <c r="CF3529" s="3">
        <v>45862</v>
      </c>
      <c r="CI3529">
        <v>1</v>
      </c>
      <c r="CJ3529">
        <v>1</v>
      </c>
      <c r="CK3529">
        <v>22</v>
      </c>
      <c r="CL3529" t="s">
        <v>86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"080066755232"</f>
        <v>080066755232</v>
      </c>
      <c r="F3530" s="3">
        <v>45861</v>
      </c>
      <c r="G3530">
        <v>202604</v>
      </c>
      <c r="H3530" t="s">
        <v>75</v>
      </c>
      <c r="I3530" t="s">
        <v>76</v>
      </c>
      <c r="J3530" t="s">
        <v>77</v>
      </c>
      <c r="K3530" t="s">
        <v>78</v>
      </c>
      <c r="L3530" t="s">
        <v>75</v>
      </c>
      <c r="M3530" t="s">
        <v>76</v>
      </c>
      <c r="N3530" t="s">
        <v>562</v>
      </c>
      <c r="O3530" t="s">
        <v>82</v>
      </c>
      <c r="P3530" t="str">
        <f>"4170050701                    "</f>
        <v xml:space="preserve">4170050701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17.649999999999999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55.61</v>
      </c>
      <c r="BM3530">
        <v>8.34</v>
      </c>
      <c r="BN3530">
        <v>63.95</v>
      </c>
      <c r="BO3530">
        <v>63.95</v>
      </c>
      <c r="BQ3530" t="s">
        <v>563</v>
      </c>
      <c r="BR3530" t="s">
        <v>84</v>
      </c>
      <c r="BS3530" s="3">
        <v>45862</v>
      </c>
      <c r="BT3530" s="4">
        <v>0.38611111111111113</v>
      </c>
      <c r="BU3530" t="s">
        <v>2155</v>
      </c>
      <c r="BV3530" t="s">
        <v>98</v>
      </c>
      <c r="BY3530">
        <v>1200</v>
      </c>
      <c r="CA3530" t="s">
        <v>565</v>
      </c>
      <c r="CC3530" t="s">
        <v>76</v>
      </c>
      <c r="CD3530">
        <v>1619</v>
      </c>
      <c r="CE3530" t="s">
        <v>121</v>
      </c>
      <c r="CF3530" s="3">
        <v>45862</v>
      </c>
      <c r="CI3530">
        <v>1</v>
      </c>
      <c r="CJ3530">
        <v>1</v>
      </c>
      <c r="CK3530">
        <v>22</v>
      </c>
      <c r="CL3530" t="s">
        <v>86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"080066755236"</f>
        <v>080066755236</v>
      </c>
      <c r="F3531" s="3">
        <v>45861</v>
      </c>
      <c r="G3531">
        <v>202604</v>
      </c>
      <c r="H3531" t="s">
        <v>75</v>
      </c>
      <c r="I3531" t="s">
        <v>76</v>
      </c>
      <c r="J3531" t="s">
        <v>77</v>
      </c>
      <c r="K3531" t="s">
        <v>78</v>
      </c>
      <c r="L3531" t="s">
        <v>122</v>
      </c>
      <c r="M3531" t="s">
        <v>123</v>
      </c>
      <c r="N3531" t="s">
        <v>283</v>
      </c>
      <c r="O3531" t="s">
        <v>82</v>
      </c>
      <c r="P3531" t="str">
        <f>"4170050358                    "</f>
        <v xml:space="preserve">4170050358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22.6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71.2</v>
      </c>
      <c r="BM3531">
        <v>10.68</v>
      </c>
      <c r="BN3531">
        <v>81.88</v>
      </c>
      <c r="BO3531">
        <v>81.88</v>
      </c>
      <c r="BQ3531" t="s">
        <v>284</v>
      </c>
      <c r="BR3531" t="s">
        <v>84</v>
      </c>
      <c r="BS3531" s="3">
        <v>45862</v>
      </c>
      <c r="BT3531" s="4">
        <v>0.37986111111111109</v>
      </c>
      <c r="BU3531" t="s">
        <v>285</v>
      </c>
      <c r="BV3531" t="s">
        <v>98</v>
      </c>
      <c r="BY3531">
        <v>1200</v>
      </c>
      <c r="CA3531" t="s">
        <v>187</v>
      </c>
      <c r="CC3531" t="s">
        <v>123</v>
      </c>
      <c r="CD3531">
        <v>3608</v>
      </c>
      <c r="CE3531" t="s">
        <v>121</v>
      </c>
      <c r="CF3531" s="3">
        <v>45862</v>
      </c>
      <c r="CI3531">
        <v>1</v>
      </c>
      <c r="CJ3531">
        <v>1</v>
      </c>
      <c r="CK3531">
        <v>21</v>
      </c>
      <c r="CL3531" t="s">
        <v>86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"080066755239"</f>
        <v>080066755239</v>
      </c>
      <c r="F3532" s="3">
        <v>45861</v>
      </c>
      <c r="G3532">
        <v>202604</v>
      </c>
      <c r="H3532" t="s">
        <v>75</v>
      </c>
      <c r="I3532" t="s">
        <v>76</v>
      </c>
      <c r="J3532" t="s">
        <v>77</v>
      </c>
      <c r="K3532" t="s">
        <v>78</v>
      </c>
      <c r="L3532" t="s">
        <v>277</v>
      </c>
      <c r="M3532" t="s">
        <v>278</v>
      </c>
      <c r="N3532" t="s">
        <v>279</v>
      </c>
      <c r="O3532" t="s">
        <v>82</v>
      </c>
      <c r="P3532" t="str">
        <f>"4170050370                    "</f>
        <v xml:space="preserve">4170050370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22.6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71.2</v>
      </c>
      <c r="BM3532">
        <v>10.68</v>
      </c>
      <c r="BN3532">
        <v>81.88</v>
      </c>
      <c r="BO3532">
        <v>81.88</v>
      </c>
      <c r="BQ3532" t="s">
        <v>280</v>
      </c>
      <c r="BR3532" t="s">
        <v>84</v>
      </c>
      <c r="BS3532" s="3">
        <v>45862</v>
      </c>
      <c r="BT3532" s="4">
        <v>0.41111111111111109</v>
      </c>
      <c r="BU3532" t="s">
        <v>281</v>
      </c>
      <c r="BV3532" t="s">
        <v>98</v>
      </c>
      <c r="BY3532">
        <v>1200</v>
      </c>
      <c r="CA3532" t="s">
        <v>282</v>
      </c>
      <c r="CC3532" t="s">
        <v>278</v>
      </c>
      <c r="CD3532">
        <v>6230</v>
      </c>
      <c r="CE3532" t="s">
        <v>121</v>
      </c>
      <c r="CF3532" s="3">
        <v>45862</v>
      </c>
      <c r="CI3532">
        <v>1</v>
      </c>
      <c r="CJ3532">
        <v>1</v>
      </c>
      <c r="CK3532">
        <v>21</v>
      </c>
      <c r="CL3532" t="s">
        <v>86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"080066755256"</f>
        <v>080066755256</v>
      </c>
      <c r="F3533" s="3">
        <v>45861</v>
      </c>
      <c r="G3533">
        <v>202604</v>
      </c>
      <c r="H3533" t="s">
        <v>75</v>
      </c>
      <c r="I3533" t="s">
        <v>76</v>
      </c>
      <c r="J3533" t="s">
        <v>77</v>
      </c>
      <c r="K3533" t="s">
        <v>78</v>
      </c>
      <c r="L3533" t="s">
        <v>151</v>
      </c>
      <c r="M3533" t="s">
        <v>152</v>
      </c>
      <c r="N3533" t="s">
        <v>3259</v>
      </c>
      <c r="O3533" t="s">
        <v>82</v>
      </c>
      <c r="P3533" t="str">
        <f>"4170050539                    "</f>
        <v xml:space="preserve">4170050539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22.6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71.2</v>
      </c>
      <c r="BM3533">
        <v>10.68</v>
      </c>
      <c r="BN3533">
        <v>81.88</v>
      </c>
      <c r="BO3533">
        <v>81.88</v>
      </c>
      <c r="BQ3533" t="s">
        <v>3260</v>
      </c>
      <c r="BR3533" t="s">
        <v>84</v>
      </c>
      <c r="BS3533" s="3">
        <v>45862</v>
      </c>
      <c r="BT3533" s="4">
        <v>0.39583333333333331</v>
      </c>
      <c r="BU3533" t="s">
        <v>3261</v>
      </c>
      <c r="BV3533" t="s">
        <v>98</v>
      </c>
      <c r="BY3533">
        <v>1200</v>
      </c>
      <c r="CA3533" t="s">
        <v>906</v>
      </c>
      <c r="CC3533" t="s">
        <v>152</v>
      </c>
      <c r="CD3533" s="5" t="s">
        <v>1013</v>
      </c>
      <c r="CE3533" t="s">
        <v>121</v>
      </c>
      <c r="CF3533" s="3">
        <v>45862</v>
      </c>
      <c r="CI3533">
        <v>1</v>
      </c>
      <c r="CJ3533">
        <v>1</v>
      </c>
      <c r="CK3533">
        <v>21</v>
      </c>
      <c r="CL3533" t="s">
        <v>86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"080066755259"</f>
        <v>080066755259</v>
      </c>
      <c r="F3534" s="3">
        <v>45861</v>
      </c>
      <c r="G3534">
        <v>202604</v>
      </c>
      <c r="H3534" t="s">
        <v>75</v>
      </c>
      <c r="I3534" t="s">
        <v>76</v>
      </c>
      <c r="J3534" t="s">
        <v>77</v>
      </c>
      <c r="K3534" t="s">
        <v>78</v>
      </c>
      <c r="L3534" t="s">
        <v>240</v>
      </c>
      <c r="M3534" t="s">
        <v>241</v>
      </c>
      <c r="N3534" t="s">
        <v>1287</v>
      </c>
      <c r="O3534" t="s">
        <v>82</v>
      </c>
      <c r="P3534" t="str">
        <f>"4170050529                    "</f>
        <v xml:space="preserve">4170050529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17.649999999999999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55.61</v>
      </c>
      <c r="BM3534">
        <v>8.34</v>
      </c>
      <c r="BN3534">
        <v>63.95</v>
      </c>
      <c r="BO3534">
        <v>63.95</v>
      </c>
      <c r="BQ3534" t="s">
        <v>1288</v>
      </c>
      <c r="BR3534" t="s">
        <v>84</v>
      </c>
      <c r="BS3534" s="3">
        <v>45862</v>
      </c>
      <c r="BT3534" s="4">
        <v>0.37361111111111112</v>
      </c>
      <c r="BU3534" t="s">
        <v>3389</v>
      </c>
      <c r="BV3534" t="s">
        <v>98</v>
      </c>
      <c r="BY3534">
        <v>1200</v>
      </c>
      <c r="CA3534" t="s">
        <v>1738</v>
      </c>
      <c r="CC3534" t="s">
        <v>241</v>
      </c>
      <c r="CD3534">
        <v>2091</v>
      </c>
      <c r="CE3534" t="s">
        <v>121</v>
      </c>
      <c r="CF3534" s="3">
        <v>45862</v>
      </c>
      <c r="CI3534">
        <v>1</v>
      </c>
      <c r="CJ3534">
        <v>1</v>
      </c>
      <c r="CK3534">
        <v>22</v>
      </c>
      <c r="CL3534" t="s">
        <v>86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"080066755273"</f>
        <v>080066755273</v>
      </c>
      <c r="F3535" s="3">
        <v>45861</v>
      </c>
      <c r="G3535">
        <v>202604</v>
      </c>
      <c r="H3535" t="s">
        <v>75</v>
      </c>
      <c r="I3535" t="s">
        <v>76</v>
      </c>
      <c r="J3535" t="s">
        <v>77</v>
      </c>
      <c r="K3535" t="s">
        <v>78</v>
      </c>
      <c r="L3535" t="s">
        <v>79</v>
      </c>
      <c r="M3535" t="s">
        <v>80</v>
      </c>
      <c r="N3535" t="s">
        <v>286</v>
      </c>
      <c r="O3535" t="s">
        <v>82</v>
      </c>
      <c r="P3535" t="str">
        <f>"4170050392                    "</f>
        <v xml:space="preserve">4170050392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22.6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71.2</v>
      </c>
      <c r="BM3535">
        <v>10.68</v>
      </c>
      <c r="BN3535">
        <v>81.88</v>
      </c>
      <c r="BO3535">
        <v>81.88</v>
      </c>
      <c r="BQ3535" t="s">
        <v>287</v>
      </c>
      <c r="BR3535" t="s">
        <v>84</v>
      </c>
      <c r="BS3535" s="3">
        <v>45862</v>
      </c>
      <c r="BT3535" s="4">
        <v>0.3263888888888889</v>
      </c>
      <c r="BU3535" t="s">
        <v>288</v>
      </c>
      <c r="BV3535" t="s">
        <v>98</v>
      </c>
      <c r="BY3535">
        <v>1200</v>
      </c>
      <c r="CA3535" t="s">
        <v>289</v>
      </c>
      <c r="CC3535" t="s">
        <v>80</v>
      </c>
      <c r="CD3535">
        <v>7530</v>
      </c>
      <c r="CE3535" t="s">
        <v>3323</v>
      </c>
      <c r="CF3535" s="3">
        <v>45863</v>
      </c>
      <c r="CI3535">
        <v>1</v>
      </c>
      <c r="CJ3535">
        <v>1</v>
      </c>
      <c r="CK3535">
        <v>21</v>
      </c>
      <c r="CL3535" t="s">
        <v>86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"080066755276"</f>
        <v>080066755276</v>
      </c>
      <c r="F3536" s="3">
        <v>45861</v>
      </c>
      <c r="G3536">
        <v>202604</v>
      </c>
      <c r="H3536" t="s">
        <v>75</v>
      </c>
      <c r="I3536" t="s">
        <v>76</v>
      </c>
      <c r="J3536" t="s">
        <v>77</v>
      </c>
      <c r="K3536" t="s">
        <v>78</v>
      </c>
      <c r="L3536" t="s">
        <v>151</v>
      </c>
      <c r="M3536" t="s">
        <v>152</v>
      </c>
      <c r="N3536" t="s">
        <v>3259</v>
      </c>
      <c r="O3536" t="s">
        <v>82</v>
      </c>
      <c r="P3536" t="str">
        <f>"4170050576                    "</f>
        <v xml:space="preserve">4170050576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22.6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71.2</v>
      </c>
      <c r="BM3536">
        <v>10.68</v>
      </c>
      <c r="BN3536">
        <v>81.88</v>
      </c>
      <c r="BO3536">
        <v>81.88</v>
      </c>
      <c r="BQ3536" t="s">
        <v>3260</v>
      </c>
      <c r="BR3536" t="s">
        <v>84</v>
      </c>
      <c r="BS3536" s="3">
        <v>45862</v>
      </c>
      <c r="BT3536" s="4">
        <v>0.39583333333333331</v>
      </c>
      <c r="BU3536" t="s">
        <v>3261</v>
      </c>
      <c r="BV3536" t="s">
        <v>98</v>
      </c>
      <c r="BY3536">
        <v>1200</v>
      </c>
      <c r="CA3536" t="s">
        <v>906</v>
      </c>
      <c r="CC3536" t="s">
        <v>152</v>
      </c>
      <c r="CD3536" s="5" t="s">
        <v>1013</v>
      </c>
      <c r="CE3536" t="s">
        <v>121</v>
      </c>
      <c r="CF3536" s="3">
        <v>45862</v>
      </c>
      <c r="CI3536">
        <v>1</v>
      </c>
      <c r="CJ3536">
        <v>1</v>
      </c>
      <c r="CK3536">
        <v>21</v>
      </c>
      <c r="CL3536" t="s">
        <v>86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"080066755282"</f>
        <v>080066755282</v>
      </c>
      <c r="F3537" s="3">
        <v>45861</v>
      </c>
      <c r="G3537">
        <v>202604</v>
      </c>
      <c r="H3537" t="s">
        <v>75</v>
      </c>
      <c r="I3537" t="s">
        <v>76</v>
      </c>
      <c r="J3537" t="s">
        <v>77</v>
      </c>
      <c r="K3537" t="s">
        <v>78</v>
      </c>
      <c r="L3537" t="s">
        <v>240</v>
      </c>
      <c r="M3537" t="s">
        <v>241</v>
      </c>
      <c r="N3537" t="s">
        <v>1287</v>
      </c>
      <c r="O3537" t="s">
        <v>82</v>
      </c>
      <c r="P3537" t="str">
        <f>"4170050540                    "</f>
        <v xml:space="preserve">4170050540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17.649999999999999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55.61</v>
      </c>
      <c r="BM3537">
        <v>8.34</v>
      </c>
      <c r="BN3537">
        <v>63.95</v>
      </c>
      <c r="BO3537">
        <v>63.95</v>
      </c>
      <c r="BQ3537" t="s">
        <v>1288</v>
      </c>
      <c r="BR3537" t="s">
        <v>84</v>
      </c>
      <c r="BS3537" s="3">
        <v>45862</v>
      </c>
      <c r="BT3537" s="4">
        <v>0.37430555555555556</v>
      </c>
      <c r="BU3537" t="s">
        <v>3389</v>
      </c>
      <c r="BV3537" t="s">
        <v>98</v>
      </c>
      <c r="BY3537">
        <v>1200</v>
      </c>
      <c r="CA3537" t="s">
        <v>1738</v>
      </c>
      <c r="CC3537" t="s">
        <v>241</v>
      </c>
      <c r="CD3537">
        <v>2091</v>
      </c>
      <c r="CE3537" t="s">
        <v>121</v>
      </c>
      <c r="CF3537" s="3">
        <v>45862</v>
      </c>
      <c r="CI3537">
        <v>1</v>
      </c>
      <c r="CJ3537">
        <v>1</v>
      </c>
      <c r="CK3537">
        <v>22</v>
      </c>
      <c r="CL3537" t="s">
        <v>86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"080066755292"</f>
        <v>080066755292</v>
      </c>
      <c r="F3538" s="3">
        <v>45861</v>
      </c>
      <c r="G3538">
        <v>202604</v>
      </c>
      <c r="H3538" t="s">
        <v>75</v>
      </c>
      <c r="I3538" t="s">
        <v>76</v>
      </c>
      <c r="J3538" t="s">
        <v>77</v>
      </c>
      <c r="K3538" t="s">
        <v>78</v>
      </c>
      <c r="L3538" t="s">
        <v>295</v>
      </c>
      <c r="M3538" t="s">
        <v>296</v>
      </c>
      <c r="N3538" t="s">
        <v>2507</v>
      </c>
      <c r="O3538" t="s">
        <v>82</v>
      </c>
      <c r="P3538" t="str">
        <f>"4170050619                    "</f>
        <v xml:space="preserve">4170050619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17.649999999999999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55.61</v>
      </c>
      <c r="BM3538">
        <v>8.34</v>
      </c>
      <c r="BN3538">
        <v>63.95</v>
      </c>
      <c r="BO3538">
        <v>63.95</v>
      </c>
      <c r="BQ3538" t="s">
        <v>2508</v>
      </c>
      <c r="BR3538" t="s">
        <v>84</v>
      </c>
      <c r="BS3538" s="3">
        <v>45862</v>
      </c>
      <c r="BT3538" s="4">
        <v>0.3576388888888889</v>
      </c>
      <c r="BU3538" t="s">
        <v>2896</v>
      </c>
      <c r="BV3538" t="s">
        <v>98</v>
      </c>
      <c r="BY3538">
        <v>1200</v>
      </c>
      <c r="CA3538" t="s">
        <v>300</v>
      </c>
      <c r="CC3538" t="s">
        <v>296</v>
      </c>
      <c r="CD3538">
        <v>1459</v>
      </c>
      <c r="CE3538" t="s">
        <v>121</v>
      </c>
      <c r="CF3538" s="3">
        <v>45863</v>
      </c>
      <c r="CI3538">
        <v>1</v>
      </c>
      <c r="CJ3538">
        <v>1</v>
      </c>
      <c r="CK3538">
        <v>22</v>
      </c>
      <c r="CL3538" t="s">
        <v>86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"080066755298"</f>
        <v>080066755298</v>
      </c>
      <c r="F3539" s="3">
        <v>45861</v>
      </c>
      <c r="G3539">
        <v>202604</v>
      </c>
      <c r="H3539" t="s">
        <v>75</v>
      </c>
      <c r="I3539" t="s">
        <v>76</v>
      </c>
      <c r="J3539" t="s">
        <v>77</v>
      </c>
      <c r="K3539" t="s">
        <v>78</v>
      </c>
      <c r="L3539" t="s">
        <v>1762</v>
      </c>
      <c r="M3539" t="s">
        <v>1763</v>
      </c>
      <c r="N3539" t="s">
        <v>1764</v>
      </c>
      <c r="O3539" t="s">
        <v>82</v>
      </c>
      <c r="P3539" t="str">
        <f>"4170050406                    "</f>
        <v xml:space="preserve">4170050406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43.78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137.94</v>
      </c>
      <c r="BM3539">
        <v>20.69</v>
      </c>
      <c r="BN3539">
        <v>158.63</v>
      </c>
      <c r="BO3539">
        <v>158.63</v>
      </c>
      <c r="BQ3539" t="s">
        <v>1765</v>
      </c>
      <c r="BR3539" t="s">
        <v>84</v>
      </c>
      <c r="BS3539" s="3">
        <v>45862</v>
      </c>
      <c r="BT3539" s="4">
        <v>0.70347222222222228</v>
      </c>
      <c r="BU3539" t="s">
        <v>3390</v>
      </c>
      <c r="BV3539" t="s">
        <v>98</v>
      </c>
      <c r="BY3539">
        <v>1200</v>
      </c>
      <c r="CA3539" t="s">
        <v>1767</v>
      </c>
      <c r="CC3539" t="s">
        <v>1763</v>
      </c>
      <c r="CD3539">
        <v>1389</v>
      </c>
      <c r="CE3539" t="s">
        <v>121</v>
      </c>
      <c r="CF3539" s="3">
        <v>45862</v>
      </c>
      <c r="CI3539">
        <v>1</v>
      </c>
      <c r="CJ3539">
        <v>1</v>
      </c>
      <c r="CK3539">
        <v>23</v>
      </c>
      <c r="CL3539" t="s">
        <v>86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"080066755302"</f>
        <v>080066755302</v>
      </c>
      <c r="F3540" s="3">
        <v>45861</v>
      </c>
      <c r="G3540">
        <v>202604</v>
      </c>
      <c r="H3540" t="s">
        <v>75</v>
      </c>
      <c r="I3540" t="s">
        <v>76</v>
      </c>
      <c r="J3540" t="s">
        <v>77</v>
      </c>
      <c r="K3540" t="s">
        <v>78</v>
      </c>
      <c r="L3540" t="s">
        <v>75</v>
      </c>
      <c r="M3540" t="s">
        <v>76</v>
      </c>
      <c r="N3540" t="s">
        <v>701</v>
      </c>
      <c r="O3540" t="s">
        <v>82</v>
      </c>
      <c r="P3540" t="str">
        <f>"4170050386                    "</f>
        <v xml:space="preserve">4170050386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17.649999999999999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55.61</v>
      </c>
      <c r="BM3540">
        <v>8.34</v>
      </c>
      <c r="BN3540">
        <v>63.95</v>
      </c>
      <c r="BO3540">
        <v>63.95</v>
      </c>
      <c r="BQ3540" t="s">
        <v>702</v>
      </c>
      <c r="BR3540" t="s">
        <v>84</v>
      </c>
      <c r="BS3540" s="3">
        <v>45862</v>
      </c>
      <c r="BT3540" s="4">
        <v>0.39930555555555558</v>
      </c>
      <c r="BU3540" t="s">
        <v>703</v>
      </c>
      <c r="BV3540" t="s">
        <v>98</v>
      </c>
      <c r="BY3540">
        <v>1200</v>
      </c>
      <c r="CA3540" t="s">
        <v>617</v>
      </c>
      <c r="CC3540" t="s">
        <v>76</v>
      </c>
      <c r="CD3540">
        <v>1645</v>
      </c>
      <c r="CE3540" t="s">
        <v>121</v>
      </c>
      <c r="CF3540" s="3">
        <v>45863</v>
      </c>
      <c r="CI3540">
        <v>1</v>
      </c>
      <c r="CJ3540">
        <v>1</v>
      </c>
      <c r="CK3540">
        <v>22</v>
      </c>
      <c r="CL3540" t="s">
        <v>86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"080066755311"</f>
        <v>080066755311</v>
      </c>
      <c r="F3541" s="3">
        <v>45861</v>
      </c>
      <c r="G3541">
        <v>202604</v>
      </c>
      <c r="H3541" t="s">
        <v>75</v>
      </c>
      <c r="I3541" t="s">
        <v>76</v>
      </c>
      <c r="J3541" t="s">
        <v>77</v>
      </c>
      <c r="K3541" t="s">
        <v>78</v>
      </c>
      <c r="L3541" t="s">
        <v>240</v>
      </c>
      <c r="M3541" t="s">
        <v>241</v>
      </c>
      <c r="N3541" t="s">
        <v>447</v>
      </c>
      <c r="O3541" t="s">
        <v>82</v>
      </c>
      <c r="P3541" t="str">
        <f>"4170050532                    "</f>
        <v xml:space="preserve">4170050532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17.649999999999999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3</v>
      </c>
      <c r="BJ3541">
        <v>1.9</v>
      </c>
      <c r="BK3541">
        <v>3</v>
      </c>
      <c r="BL3541">
        <v>55.61</v>
      </c>
      <c r="BM3541">
        <v>8.34</v>
      </c>
      <c r="BN3541">
        <v>63.95</v>
      </c>
      <c r="BO3541">
        <v>63.95</v>
      </c>
      <c r="BQ3541" t="s">
        <v>448</v>
      </c>
      <c r="BR3541" t="s">
        <v>84</v>
      </c>
      <c r="BS3541" s="3">
        <v>45862</v>
      </c>
      <c r="BT3541" s="4">
        <v>0.43402777777777779</v>
      </c>
      <c r="BU3541" t="s">
        <v>3391</v>
      </c>
      <c r="BV3541" t="s">
        <v>98</v>
      </c>
      <c r="BY3541">
        <v>9600</v>
      </c>
      <c r="CA3541" t="s">
        <v>451</v>
      </c>
      <c r="CC3541" t="s">
        <v>241</v>
      </c>
      <c r="CD3541">
        <v>2094</v>
      </c>
      <c r="CE3541" t="s">
        <v>145</v>
      </c>
      <c r="CF3541" s="3">
        <v>45862</v>
      </c>
      <c r="CI3541">
        <v>1</v>
      </c>
      <c r="CJ3541">
        <v>1</v>
      </c>
      <c r="CK3541">
        <v>22</v>
      </c>
      <c r="CL3541" t="s">
        <v>86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"080066755314"</f>
        <v>080066755314</v>
      </c>
      <c r="F3542" s="3">
        <v>45861</v>
      </c>
      <c r="G3542">
        <v>202604</v>
      </c>
      <c r="H3542" t="s">
        <v>75</v>
      </c>
      <c r="I3542" t="s">
        <v>76</v>
      </c>
      <c r="J3542" t="s">
        <v>77</v>
      </c>
      <c r="K3542" t="s">
        <v>78</v>
      </c>
      <c r="L3542" t="s">
        <v>240</v>
      </c>
      <c r="M3542" t="s">
        <v>241</v>
      </c>
      <c r="N3542" t="s">
        <v>851</v>
      </c>
      <c r="O3542" t="s">
        <v>82</v>
      </c>
      <c r="P3542" t="str">
        <f>"4170050394                    "</f>
        <v xml:space="preserve">4170050394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17.649999999999999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55.61</v>
      </c>
      <c r="BM3542">
        <v>8.34</v>
      </c>
      <c r="BN3542">
        <v>63.95</v>
      </c>
      <c r="BO3542">
        <v>63.95</v>
      </c>
      <c r="BQ3542" t="s">
        <v>852</v>
      </c>
      <c r="BR3542" t="s">
        <v>84</v>
      </c>
      <c r="BS3542" s="3">
        <v>45862</v>
      </c>
      <c r="BT3542" s="4">
        <v>0.38472222222222224</v>
      </c>
      <c r="BU3542" t="s">
        <v>1444</v>
      </c>
      <c r="BV3542" t="s">
        <v>98</v>
      </c>
      <c r="BY3542">
        <v>1200</v>
      </c>
      <c r="CA3542" t="s">
        <v>451</v>
      </c>
      <c r="CC3542" t="s">
        <v>241</v>
      </c>
      <c r="CD3542">
        <v>2094</v>
      </c>
      <c r="CE3542" t="s">
        <v>121</v>
      </c>
      <c r="CF3542" s="3">
        <v>45862</v>
      </c>
      <c r="CI3542">
        <v>1</v>
      </c>
      <c r="CJ3542">
        <v>1</v>
      </c>
      <c r="CK3542">
        <v>22</v>
      </c>
      <c r="CL3542" t="s">
        <v>86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"080066755321"</f>
        <v>080066755321</v>
      </c>
      <c r="F3543" s="3">
        <v>45861</v>
      </c>
      <c r="G3543">
        <v>202604</v>
      </c>
      <c r="H3543" t="s">
        <v>75</v>
      </c>
      <c r="I3543" t="s">
        <v>76</v>
      </c>
      <c r="J3543" t="s">
        <v>77</v>
      </c>
      <c r="K3543" t="s">
        <v>78</v>
      </c>
      <c r="L3543" t="s">
        <v>240</v>
      </c>
      <c r="M3543" t="s">
        <v>241</v>
      </c>
      <c r="N3543" t="s">
        <v>1025</v>
      </c>
      <c r="O3543" t="s">
        <v>82</v>
      </c>
      <c r="P3543" t="str">
        <f>"4170050524                    "</f>
        <v xml:space="preserve">4170050524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17.649999999999999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2</v>
      </c>
      <c r="BJ3543">
        <v>3.4</v>
      </c>
      <c r="BK3543">
        <v>4</v>
      </c>
      <c r="BL3543">
        <v>55.61</v>
      </c>
      <c r="BM3543">
        <v>8.34</v>
      </c>
      <c r="BN3543">
        <v>63.95</v>
      </c>
      <c r="BO3543">
        <v>63.95</v>
      </c>
      <c r="BQ3543" t="s">
        <v>1026</v>
      </c>
      <c r="BR3543" t="s">
        <v>84</v>
      </c>
      <c r="BS3543" s="3">
        <v>45862</v>
      </c>
      <c r="BT3543" s="4">
        <v>0.34027777777777779</v>
      </c>
      <c r="BU3543" t="s">
        <v>3392</v>
      </c>
      <c r="BV3543" t="s">
        <v>98</v>
      </c>
      <c r="BY3543">
        <v>16965</v>
      </c>
      <c r="CA3543" t="s">
        <v>245</v>
      </c>
      <c r="CC3543" t="s">
        <v>241</v>
      </c>
      <c r="CD3543">
        <v>2092</v>
      </c>
      <c r="CE3543" t="s">
        <v>145</v>
      </c>
      <c r="CF3543" s="3">
        <v>45863</v>
      </c>
      <c r="CI3543">
        <v>1</v>
      </c>
      <c r="CJ3543">
        <v>1</v>
      </c>
      <c r="CK3543">
        <v>22</v>
      </c>
      <c r="CL3543" t="s">
        <v>86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"080066755345"</f>
        <v>080066755345</v>
      </c>
      <c r="F3544" s="3">
        <v>45861</v>
      </c>
      <c r="G3544">
        <v>202604</v>
      </c>
      <c r="H3544" t="s">
        <v>75</v>
      </c>
      <c r="I3544" t="s">
        <v>76</v>
      </c>
      <c r="J3544" t="s">
        <v>77</v>
      </c>
      <c r="K3544" t="s">
        <v>78</v>
      </c>
      <c r="L3544" t="s">
        <v>79</v>
      </c>
      <c r="M3544" t="s">
        <v>80</v>
      </c>
      <c r="N3544" t="s">
        <v>1551</v>
      </c>
      <c r="O3544" t="s">
        <v>82</v>
      </c>
      <c r="P3544" t="str">
        <f>"4170050372                    "</f>
        <v xml:space="preserve">4170050372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22.6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71.2</v>
      </c>
      <c r="BM3544">
        <v>10.68</v>
      </c>
      <c r="BN3544">
        <v>81.88</v>
      </c>
      <c r="BO3544">
        <v>81.88</v>
      </c>
      <c r="BQ3544" t="s">
        <v>1552</v>
      </c>
      <c r="BR3544" t="s">
        <v>84</v>
      </c>
      <c r="BS3544" s="3">
        <v>45862</v>
      </c>
      <c r="BT3544" s="4">
        <v>0.38055555555555554</v>
      </c>
      <c r="BU3544" t="s">
        <v>1553</v>
      </c>
      <c r="BV3544" t="s">
        <v>98</v>
      </c>
      <c r="BY3544">
        <v>1200</v>
      </c>
      <c r="CA3544" t="s">
        <v>934</v>
      </c>
      <c r="CC3544" t="s">
        <v>80</v>
      </c>
      <c r="CD3544">
        <v>7530</v>
      </c>
      <c r="CE3544" t="s">
        <v>121</v>
      </c>
      <c r="CF3544" s="3">
        <v>45863</v>
      </c>
      <c r="CI3544">
        <v>1</v>
      </c>
      <c r="CJ3544">
        <v>1</v>
      </c>
      <c r="CK3544">
        <v>21</v>
      </c>
      <c r="CL3544" t="s">
        <v>86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"080066755358"</f>
        <v>080066755358</v>
      </c>
      <c r="F3545" s="3">
        <v>45861</v>
      </c>
      <c r="G3545">
        <v>202604</v>
      </c>
      <c r="H3545" t="s">
        <v>75</v>
      </c>
      <c r="I3545" t="s">
        <v>76</v>
      </c>
      <c r="J3545" t="s">
        <v>77</v>
      </c>
      <c r="K3545" t="s">
        <v>78</v>
      </c>
      <c r="L3545" t="s">
        <v>168</v>
      </c>
      <c r="M3545" t="s">
        <v>169</v>
      </c>
      <c r="N3545" t="s">
        <v>662</v>
      </c>
      <c r="O3545" t="s">
        <v>82</v>
      </c>
      <c r="P3545" t="str">
        <f>"4170050500                    "</f>
        <v xml:space="preserve">4170050500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45.18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4</v>
      </c>
      <c r="BJ3545">
        <v>3</v>
      </c>
      <c r="BK3545">
        <v>4</v>
      </c>
      <c r="BL3545">
        <v>142.34</v>
      </c>
      <c r="BM3545">
        <v>21.35</v>
      </c>
      <c r="BN3545">
        <v>163.69</v>
      </c>
      <c r="BO3545">
        <v>163.69</v>
      </c>
      <c r="BQ3545" t="s">
        <v>663</v>
      </c>
      <c r="BR3545" t="s">
        <v>84</v>
      </c>
      <c r="BS3545" s="3">
        <v>45862</v>
      </c>
      <c r="BT3545" s="4">
        <v>0.40277777777777779</v>
      </c>
      <c r="BU3545" t="s">
        <v>3393</v>
      </c>
      <c r="BV3545" t="s">
        <v>98</v>
      </c>
      <c r="BY3545">
        <v>15120</v>
      </c>
      <c r="CC3545" t="s">
        <v>169</v>
      </c>
      <c r="CD3545">
        <v>6001</v>
      </c>
      <c r="CE3545" t="s">
        <v>91</v>
      </c>
      <c r="CF3545" s="3">
        <v>45862</v>
      </c>
      <c r="CI3545">
        <v>1</v>
      </c>
      <c r="CJ3545">
        <v>1</v>
      </c>
      <c r="CK3545">
        <v>21</v>
      </c>
      <c r="CL3545" t="s">
        <v>86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"080066755373"</f>
        <v>080066755373</v>
      </c>
      <c r="F3546" s="3">
        <v>45861</v>
      </c>
      <c r="G3546">
        <v>202604</v>
      </c>
      <c r="H3546" t="s">
        <v>75</v>
      </c>
      <c r="I3546" t="s">
        <v>76</v>
      </c>
      <c r="J3546" t="s">
        <v>77</v>
      </c>
      <c r="K3546" t="s">
        <v>78</v>
      </c>
      <c r="L3546" t="s">
        <v>168</v>
      </c>
      <c r="M3546" t="s">
        <v>169</v>
      </c>
      <c r="N3546" t="s">
        <v>420</v>
      </c>
      <c r="O3546" t="s">
        <v>82</v>
      </c>
      <c r="P3546" t="str">
        <f>"4170050401                    "</f>
        <v xml:space="preserve">4170050401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22.6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71.2</v>
      </c>
      <c r="BM3546">
        <v>10.68</v>
      </c>
      <c r="BN3546">
        <v>81.88</v>
      </c>
      <c r="BO3546">
        <v>81.88</v>
      </c>
      <c r="BQ3546" t="s">
        <v>421</v>
      </c>
      <c r="BR3546" t="s">
        <v>84</v>
      </c>
      <c r="BS3546" s="3">
        <v>45862</v>
      </c>
      <c r="BT3546" s="4">
        <v>0.3888888888888889</v>
      </c>
      <c r="BU3546" t="s">
        <v>1121</v>
      </c>
      <c r="BV3546" t="s">
        <v>98</v>
      </c>
      <c r="BY3546">
        <v>1200</v>
      </c>
      <c r="CA3546" t="s">
        <v>423</v>
      </c>
      <c r="CC3546" t="s">
        <v>169</v>
      </c>
      <c r="CD3546">
        <v>6001</v>
      </c>
      <c r="CE3546" t="s">
        <v>121</v>
      </c>
      <c r="CF3546" s="3">
        <v>45862</v>
      </c>
      <c r="CI3546">
        <v>1</v>
      </c>
      <c r="CJ3546">
        <v>1</v>
      </c>
      <c r="CK3546">
        <v>21</v>
      </c>
      <c r="CL3546" t="s">
        <v>86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"080066755433"</f>
        <v>080066755433</v>
      </c>
      <c r="F3547" s="3">
        <v>45861</v>
      </c>
      <c r="G3547">
        <v>202604</v>
      </c>
      <c r="H3547" t="s">
        <v>75</v>
      </c>
      <c r="I3547" t="s">
        <v>76</v>
      </c>
      <c r="J3547" t="s">
        <v>77</v>
      </c>
      <c r="K3547" t="s">
        <v>78</v>
      </c>
      <c r="L3547" t="s">
        <v>75</v>
      </c>
      <c r="M3547" t="s">
        <v>76</v>
      </c>
      <c r="N3547" t="s">
        <v>1855</v>
      </c>
      <c r="O3547" t="s">
        <v>82</v>
      </c>
      <c r="P3547" t="str">
        <f>"4170050413                    "</f>
        <v xml:space="preserve">4170050413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17.649999999999999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</v>
      </c>
      <c r="BJ3547">
        <v>3.1</v>
      </c>
      <c r="BK3547">
        <v>4</v>
      </c>
      <c r="BL3547">
        <v>55.61</v>
      </c>
      <c r="BM3547">
        <v>8.34</v>
      </c>
      <c r="BN3547">
        <v>63.95</v>
      </c>
      <c r="BO3547">
        <v>63.95</v>
      </c>
      <c r="BQ3547" t="s">
        <v>1856</v>
      </c>
      <c r="BR3547" t="s">
        <v>84</v>
      </c>
      <c r="BS3547" s="3">
        <v>45862</v>
      </c>
      <c r="BT3547" s="4">
        <v>0.42638888888888887</v>
      </c>
      <c r="BU3547" t="s">
        <v>3382</v>
      </c>
      <c r="BV3547" t="s">
        <v>98</v>
      </c>
      <c r="BY3547">
        <v>15708</v>
      </c>
      <c r="CA3547" t="s">
        <v>522</v>
      </c>
      <c r="CC3547" t="s">
        <v>76</v>
      </c>
      <c r="CD3547">
        <v>1600</v>
      </c>
      <c r="CE3547" t="s">
        <v>3394</v>
      </c>
      <c r="CF3547" s="3">
        <v>45862</v>
      </c>
      <c r="CI3547">
        <v>1</v>
      </c>
      <c r="CJ3547">
        <v>1</v>
      </c>
      <c r="CK3547">
        <v>22</v>
      </c>
      <c r="CL3547" t="s">
        <v>86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"080066755457"</f>
        <v>080066755457</v>
      </c>
      <c r="F3548" s="3">
        <v>45861</v>
      </c>
      <c r="G3548">
        <v>202604</v>
      </c>
      <c r="H3548" t="s">
        <v>75</v>
      </c>
      <c r="I3548" t="s">
        <v>76</v>
      </c>
      <c r="J3548" t="s">
        <v>77</v>
      </c>
      <c r="K3548" t="s">
        <v>78</v>
      </c>
      <c r="L3548" t="s">
        <v>75</v>
      </c>
      <c r="M3548" t="s">
        <v>76</v>
      </c>
      <c r="N3548" t="s">
        <v>701</v>
      </c>
      <c r="O3548" t="s">
        <v>82</v>
      </c>
      <c r="P3548" t="str">
        <f>"4170050550                    "</f>
        <v xml:space="preserve">4170050550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17.649999999999999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1.1000000000000001</v>
      </c>
      <c r="BK3548">
        <v>2</v>
      </c>
      <c r="BL3548">
        <v>55.61</v>
      </c>
      <c r="BM3548">
        <v>8.34</v>
      </c>
      <c r="BN3548">
        <v>63.95</v>
      </c>
      <c r="BO3548">
        <v>63.95</v>
      </c>
      <c r="BQ3548" t="s">
        <v>702</v>
      </c>
      <c r="BR3548" t="s">
        <v>84</v>
      </c>
      <c r="BS3548" s="3">
        <v>45862</v>
      </c>
      <c r="BT3548" s="4">
        <v>0.3972222222222222</v>
      </c>
      <c r="BU3548" t="s">
        <v>703</v>
      </c>
      <c r="BV3548" t="s">
        <v>98</v>
      </c>
      <c r="BY3548">
        <v>5320</v>
      </c>
      <c r="CA3548" t="s">
        <v>617</v>
      </c>
      <c r="CC3548" t="s">
        <v>76</v>
      </c>
      <c r="CD3548">
        <v>1645</v>
      </c>
      <c r="CE3548" t="s">
        <v>145</v>
      </c>
      <c r="CF3548" s="3">
        <v>45863</v>
      </c>
      <c r="CI3548">
        <v>1</v>
      </c>
      <c r="CJ3548">
        <v>1</v>
      </c>
      <c r="CK3548">
        <v>22</v>
      </c>
      <c r="CL3548" t="s">
        <v>86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"080066755487"</f>
        <v>080066755487</v>
      </c>
      <c r="F3549" s="3">
        <v>45861</v>
      </c>
      <c r="G3549">
        <v>202604</v>
      </c>
      <c r="H3549" t="s">
        <v>75</v>
      </c>
      <c r="I3549" t="s">
        <v>76</v>
      </c>
      <c r="J3549" t="s">
        <v>77</v>
      </c>
      <c r="K3549" t="s">
        <v>78</v>
      </c>
      <c r="L3549" t="s">
        <v>542</v>
      </c>
      <c r="M3549" t="s">
        <v>543</v>
      </c>
      <c r="N3549" t="s">
        <v>745</v>
      </c>
      <c r="O3549" t="s">
        <v>82</v>
      </c>
      <c r="P3549" t="str">
        <f>"4170050568                    "</f>
        <v xml:space="preserve">4170050568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17.649999999999999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1.9</v>
      </c>
      <c r="BK3549">
        <v>2</v>
      </c>
      <c r="BL3549">
        <v>55.61</v>
      </c>
      <c r="BM3549">
        <v>8.34</v>
      </c>
      <c r="BN3549">
        <v>63.95</v>
      </c>
      <c r="BO3549">
        <v>63.95</v>
      </c>
      <c r="BQ3549" t="s">
        <v>746</v>
      </c>
      <c r="BR3549" t="s">
        <v>84</v>
      </c>
      <c r="BS3549" s="3">
        <v>45862</v>
      </c>
      <c r="BT3549" s="4">
        <v>0.39027777777777778</v>
      </c>
      <c r="BU3549" t="s">
        <v>2026</v>
      </c>
      <c r="BV3549" t="s">
        <v>98</v>
      </c>
      <c r="BY3549">
        <v>9600</v>
      </c>
      <c r="CA3549" t="s">
        <v>748</v>
      </c>
      <c r="CC3549" t="s">
        <v>543</v>
      </c>
      <c r="CD3549">
        <v>1451</v>
      </c>
      <c r="CE3549" t="s">
        <v>145</v>
      </c>
      <c r="CF3549" s="3">
        <v>45862</v>
      </c>
      <c r="CI3549">
        <v>1</v>
      </c>
      <c r="CJ3549">
        <v>1</v>
      </c>
      <c r="CK3549">
        <v>22</v>
      </c>
      <c r="CL3549" t="s">
        <v>86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"080066755501"</f>
        <v>080066755501</v>
      </c>
      <c r="F3550" s="3">
        <v>45861</v>
      </c>
      <c r="G3550">
        <v>202604</v>
      </c>
      <c r="H3550" t="s">
        <v>75</v>
      </c>
      <c r="I3550" t="s">
        <v>76</v>
      </c>
      <c r="J3550" t="s">
        <v>77</v>
      </c>
      <c r="K3550" t="s">
        <v>78</v>
      </c>
      <c r="L3550" t="s">
        <v>168</v>
      </c>
      <c r="M3550" t="s">
        <v>169</v>
      </c>
      <c r="N3550" t="s">
        <v>894</v>
      </c>
      <c r="O3550" t="s">
        <v>82</v>
      </c>
      <c r="P3550" t="str">
        <f>"4170050632                    "</f>
        <v xml:space="preserve">4170050632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22.6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2</v>
      </c>
      <c r="BJ3550">
        <v>1.7</v>
      </c>
      <c r="BK3550">
        <v>2</v>
      </c>
      <c r="BL3550">
        <v>71.2</v>
      </c>
      <c r="BM3550">
        <v>10.68</v>
      </c>
      <c r="BN3550">
        <v>81.88</v>
      </c>
      <c r="BO3550">
        <v>81.88</v>
      </c>
      <c r="BQ3550" t="s">
        <v>895</v>
      </c>
      <c r="BR3550" t="s">
        <v>84</v>
      </c>
      <c r="BS3550" s="3">
        <v>45862</v>
      </c>
      <c r="BT3550" s="4">
        <v>0.49444444444444446</v>
      </c>
      <c r="BU3550" t="s">
        <v>896</v>
      </c>
      <c r="BV3550" t="s">
        <v>86</v>
      </c>
      <c r="BY3550">
        <v>8550</v>
      </c>
      <c r="CA3550" t="s">
        <v>282</v>
      </c>
      <c r="CC3550" t="s">
        <v>169</v>
      </c>
      <c r="CD3550">
        <v>6001</v>
      </c>
      <c r="CE3550" t="s">
        <v>91</v>
      </c>
      <c r="CF3550" s="3">
        <v>45862</v>
      </c>
      <c r="CI3550">
        <v>1</v>
      </c>
      <c r="CJ3550">
        <v>1</v>
      </c>
      <c r="CK3550">
        <v>21</v>
      </c>
      <c r="CL3550" t="s">
        <v>86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"080066755502"</f>
        <v>080066755502</v>
      </c>
      <c r="F3551" s="3">
        <v>45861</v>
      </c>
      <c r="G3551">
        <v>202604</v>
      </c>
      <c r="H3551" t="s">
        <v>75</v>
      </c>
      <c r="I3551" t="s">
        <v>76</v>
      </c>
      <c r="J3551" t="s">
        <v>77</v>
      </c>
      <c r="K3551" t="s">
        <v>78</v>
      </c>
      <c r="L3551" t="s">
        <v>295</v>
      </c>
      <c r="M3551" t="s">
        <v>296</v>
      </c>
      <c r="N3551" t="s">
        <v>1262</v>
      </c>
      <c r="O3551" t="s">
        <v>82</v>
      </c>
      <c r="P3551" t="str">
        <f>"4170050397                    "</f>
        <v xml:space="preserve">4170050397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17.649999999999999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0.9</v>
      </c>
      <c r="BK3551">
        <v>1</v>
      </c>
      <c r="BL3551">
        <v>55.61</v>
      </c>
      <c r="BM3551">
        <v>8.34</v>
      </c>
      <c r="BN3551">
        <v>63.95</v>
      </c>
      <c r="BO3551">
        <v>63.95</v>
      </c>
      <c r="BQ3551" t="s">
        <v>1263</v>
      </c>
      <c r="BR3551" t="s">
        <v>84</v>
      </c>
      <c r="BS3551" s="3">
        <v>45862</v>
      </c>
      <c r="BT3551" s="4">
        <v>0.36249999999999999</v>
      </c>
      <c r="BU3551" t="s">
        <v>624</v>
      </c>
      <c r="BV3551" t="s">
        <v>98</v>
      </c>
      <c r="BY3551">
        <v>4275</v>
      </c>
      <c r="CA3551" t="s">
        <v>2782</v>
      </c>
      <c r="CC3551" t="s">
        <v>296</v>
      </c>
      <c r="CD3551">
        <v>1459</v>
      </c>
      <c r="CE3551" t="s">
        <v>1458</v>
      </c>
      <c r="CF3551" s="3">
        <v>45863</v>
      </c>
      <c r="CI3551">
        <v>1</v>
      </c>
      <c r="CJ3551">
        <v>1</v>
      </c>
      <c r="CK3551">
        <v>22</v>
      </c>
      <c r="CL3551" t="s">
        <v>86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"080066755511"</f>
        <v>080066755511</v>
      </c>
      <c r="F3552" s="3">
        <v>45861</v>
      </c>
      <c r="G3552">
        <v>202604</v>
      </c>
      <c r="H3552" t="s">
        <v>75</v>
      </c>
      <c r="I3552" t="s">
        <v>76</v>
      </c>
      <c r="J3552" t="s">
        <v>77</v>
      </c>
      <c r="K3552" t="s">
        <v>78</v>
      </c>
      <c r="L3552" t="s">
        <v>79</v>
      </c>
      <c r="M3552" t="s">
        <v>80</v>
      </c>
      <c r="N3552" t="s">
        <v>594</v>
      </c>
      <c r="O3552" t="s">
        <v>82</v>
      </c>
      <c r="P3552" t="str">
        <f>"4170050562                    "</f>
        <v xml:space="preserve">4170050562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22.6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1.9</v>
      </c>
      <c r="BK3552">
        <v>2</v>
      </c>
      <c r="BL3552">
        <v>71.2</v>
      </c>
      <c r="BM3552">
        <v>10.68</v>
      </c>
      <c r="BN3552">
        <v>81.88</v>
      </c>
      <c r="BO3552">
        <v>81.88</v>
      </c>
      <c r="BQ3552" t="s">
        <v>595</v>
      </c>
      <c r="BR3552" t="s">
        <v>84</v>
      </c>
      <c r="BS3552" s="3">
        <v>45862</v>
      </c>
      <c r="BT3552" s="4">
        <v>0.36805555555555558</v>
      </c>
      <c r="BU3552" t="s">
        <v>3395</v>
      </c>
      <c r="BV3552" t="s">
        <v>98</v>
      </c>
      <c r="BY3552">
        <v>9600</v>
      </c>
      <c r="CA3552" t="s">
        <v>579</v>
      </c>
      <c r="CC3552" t="s">
        <v>80</v>
      </c>
      <c r="CD3552">
        <v>7480</v>
      </c>
      <c r="CE3552" t="s">
        <v>91</v>
      </c>
      <c r="CF3552" s="3">
        <v>45863</v>
      </c>
      <c r="CI3552">
        <v>1</v>
      </c>
      <c r="CJ3552">
        <v>1</v>
      </c>
      <c r="CK3552">
        <v>21</v>
      </c>
      <c r="CL3552" t="s">
        <v>86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"080066755513"</f>
        <v>080066755513</v>
      </c>
      <c r="F3553" s="3">
        <v>45861</v>
      </c>
      <c r="G3553">
        <v>202604</v>
      </c>
      <c r="H3553" t="s">
        <v>75</v>
      </c>
      <c r="I3553" t="s">
        <v>76</v>
      </c>
      <c r="J3553" t="s">
        <v>77</v>
      </c>
      <c r="K3553" t="s">
        <v>78</v>
      </c>
      <c r="L3553" t="s">
        <v>128</v>
      </c>
      <c r="M3553" t="s">
        <v>129</v>
      </c>
      <c r="N3553" t="s">
        <v>2038</v>
      </c>
      <c r="O3553" t="s">
        <v>82</v>
      </c>
      <c r="P3553" t="str">
        <f>"4170050588                    "</f>
        <v xml:space="preserve">4170050588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63.56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3</v>
      </c>
      <c r="BJ3553">
        <v>1.7</v>
      </c>
      <c r="BK3553">
        <v>3</v>
      </c>
      <c r="BL3553">
        <v>200.24</v>
      </c>
      <c r="BM3553">
        <v>30.04</v>
      </c>
      <c r="BN3553">
        <v>230.28</v>
      </c>
      <c r="BO3553">
        <v>230.28</v>
      </c>
      <c r="BQ3553" t="s">
        <v>2039</v>
      </c>
      <c r="BR3553" t="s">
        <v>84</v>
      </c>
      <c r="BS3553" s="3">
        <v>45862</v>
      </c>
      <c r="BT3553" s="4">
        <v>0.37361111111111112</v>
      </c>
      <c r="BU3553" t="s">
        <v>2283</v>
      </c>
      <c r="BV3553" t="s">
        <v>98</v>
      </c>
      <c r="BY3553">
        <v>8512</v>
      </c>
      <c r="CA3553" t="s">
        <v>2284</v>
      </c>
      <c r="CC3553" t="s">
        <v>129</v>
      </c>
      <c r="CD3553" s="5" t="s">
        <v>134</v>
      </c>
      <c r="CE3553" t="s">
        <v>145</v>
      </c>
      <c r="CF3553" s="3">
        <v>45863</v>
      </c>
      <c r="CI3553">
        <v>1</v>
      </c>
      <c r="CJ3553">
        <v>1</v>
      </c>
      <c r="CK3553">
        <v>23</v>
      </c>
      <c r="CL3553" t="s">
        <v>86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"080066755524"</f>
        <v>080066755524</v>
      </c>
      <c r="F3554" s="3">
        <v>45861</v>
      </c>
      <c r="G3554">
        <v>202604</v>
      </c>
      <c r="H3554" t="s">
        <v>75</v>
      </c>
      <c r="I3554" t="s">
        <v>76</v>
      </c>
      <c r="J3554" t="s">
        <v>77</v>
      </c>
      <c r="K3554" t="s">
        <v>78</v>
      </c>
      <c r="L3554" t="s">
        <v>252</v>
      </c>
      <c r="M3554" t="s">
        <v>253</v>
      </c>
      <c r="N3554" t="s">
        <v>254</v>
      </c>
      <c r="O3554" t="s">
        <v>82</v>
      </c>
      <c r="P3554" t="str">
        <f>"4170050505                    "</f>
        <v xml:space="preserve">4170050505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43.78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1.1000000000000001</v>
      </c>
      <c r="BK3554">
        <v>1.5</v>
      </c>
      <c r="BL3554">
        <v>137.94</v>
      </c>
      <c r="BM3554">
        <v>20.69</v>
      </c>
      <c r="BN3554">
        <v>158.63</v>
      </c>
      <c r="BO3554">
        <v>158.63</v>
      </c>
      <c r="BQ3554" t="s">
        <v>255</v>
      </c>
      <c r="BR3554" t="s">
        <v>84</v>
      </c>
      <c r="BS3554" s="3">
        <v>45862</v>
      </c>
      <c r="BT3554" s="4">
        <v>0.35138888888888886</v>
      </c>
      <c r="BU3554" t="s">
        <v>2512</v>
      </c>
      <c r="BV3554" t="s">
        <v>98</v>
      </c>
      <c r="BY3554">
        <v>5320</v>
      </c>
      <c r="CA3554" t="s">
        <v>328</v>
      </c>
      <c r="CC3554" t="s">
        <v>253</v>
      </c>
      <c r="CD3554">
        <v>1947</v>
      </c>
      <c r="CE3554" t="s">
        <v>91</v>
      </c>
      <c r="CF3554" s="3">
        <v>45863</v>
      </c>
      <c r="CI3554">
        <v>1</v>
      </c>
      <c r="CJ3554">
        <v>1</v>
      </c>
      <c r="CK3554">
        <v>23</v>
      </c>
      <c r="CL3554" t="s">
        <v>86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"080066761196"</f>
        <v>080066761196</v>
      </c>
      <c r="F3555" s="3">
        <v>45862</v>
      </c>
      <c r="G3555">
        <v>202604</v>
      </c>
      <c r="H3555" t="s">
        <v>75</v>
      </c>
      <c r="I3555" t="s">
        <v>76</v>
      </c>
      <c r="J3555" t="s">
        <v>77</v>
      </c>
      <c r="K3555" t="s">
        <v>78</v>
      </c>
      <c r="L3555" t="s">
        <v>92</v>
      </c>
      <c r="M3555" t="s">
        <v>93</v>
      </c>
      <c r="N3555" t="s">
        <v>334</v>
      </c>
      <c r="O3555" t="s">
        <v>82</v>
      </c>
      <c r="P3555" t="str">
        <f>"4170050557                    "</f>
        <v xml:space="preserve">4170050557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101.63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6</v>
      </c>
      <c r="BJ3555">
        <v>8.9</v>
      </c>
      <c r="BK3555">
        <v>9</v>
      </c>
      <c r="BL3555">
        <v>320.19</v>
      </c>
      <c r="BM3555">
        <v>48.03</v>
      </c>
      <c r="BN3555">
        <v>368.22</v>
      </c>
      <c r="BO3555">
        <v>368.22</v>
      </c>
      <c r="BQ3555" t="s">
        <v>335</v>
      </c>
      <c r="BR3555" t="s">
        <v>84</v>
      </c>
      <c r="BS3555" s="3">
        <v>45863</v>
      </c>
      <c r="BT3555" s="4">
        <v>0.41458333333333336</v>
      </c>
      <c r="BU3555" t="s">
        <v>1365</v>
      </c>
      <c r="BV3555" t="s">
        <v>98</v>
      </c>
      <c r="BY3555">
        <v>44640</v>
      </c>
      <c r="CA3555" t="s">
        <v>337</v>
      </c>
      <c r="CC3555" t="s">
        <v>93</v>
      </c>
      <c r="CD3555">
        <v>4052</v>
      </c>
      <c r="CE3555" t="s">
        <v>145</v>
      </c>
      <c r="CF3555" s="3">
        <v>45863</v>
      </c>
      <c r="CI3555">
        <v>1</v>
      </c>
      <c r="CJ3555">
        <v>1</v>
      </c>
      <c r="CK3555">
        <v>21</v>
      </c>
      <c r="CL3555" t="s">
        <v>86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"080066761203"</f>
        <v>080066761203</v>
      </c>
      <c r="F3556" s="3">
        <v>45862</v>
      </c>
      <c r="G3556">
        <v>202604</v>
      </c>
      <c r="H3556" t="s">
        <v>75</v>
      </c>
      <c r="I3556" t="s">
        <v>76</v>
      </c>
      <c r="J3556" t="s">
        <v>77</v>
      </c>
      <c r="K3556" t="s">
        <v>78</v>
      </c>
      <c r="L3556" t="s">
        <v>151</v>
      </c>
      <c r="M3556" t="s">
        <v>152</v>
      </c>
      <c r="N3556" t="s">
        <v>1212</v>
      </c>
      <c r="O3556" t="s">
        <v>82</v>
      </c>
      <c r="P3556" t="str">
        <f>"4170050631                    "</f>
        <v xml:space="preserve">4170050631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22.6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71.2</v>
      </c>
      <c r="BM3556">
        <v>10.68</v>
      </c>
      <c r="BN3556">
        <v>81.88</v>
      </c>
      <c r="BO3556">
        <v>81.88</v>
      </c>
      <c r="BQ3556" t="s">
        <v>1213</v>
      </c>
      <c r="BR3556" t="s">
        <v>84</v>
      </c>
      <c r="BS3556" s="3">
        <v>45863</v>
      </c>
      <c r="BT3556" s="4">
        <v>0.41319444444444442</v>
      </c>
      <c r="BU3556" t="s">
        <v>2018</v>
      </c>
      <c r="BV3556" t="s">
        <v>98</v>
      </c>
      <c r="BY3556">
        <v>1200</v>
      </c>
      <c r="CA3556" t="s">
        <v>716</v>
      </c>
      <c r="CC3556" t="s">
        <v>152</v>
      </c>
      <c r="CD3556" s="5" t="s">
        <v>717</v>
      </c>
      <c r="CE3556" t="s">
        <v>121</v>
      </c>
      <c r="CF3556" s="3">
        <v>45863</v>
      </c>
      <c r="CI3556">
        <v>1</v>
      </c>
      <c r="CJ3556">
        <v>1</v>
      </c>
      <c r="CK3556">
        <v>21</v>
      </c>
      <c r="CL3556" t="s">
        <v>86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"080066761215"</f>
        <v>080066761215</v>
      </c>
      <c r="F3557" s="3">
        <v>45862</v>
      </c>
      <c r="G3557">
        <v>202604</v>
      </c>
      <c r="H3557" t="s">
        <v>75</v>
      </c>
      <c r="I3557" t="s">
        <v>76</v>
      </c>
      <c r="J3557" t="s">
        <v>77</v>
      </c>
      <c r="K3557" t="s">
        <v>78</v>
      </c>
      <c r="L3557" t="s">
        <v>79</v>
      </c>
      <c r="M3557" t="s">
        <v>80</v>
      </c>
      <c r="N3557" t="s">
        <v>755</v>
      </c>
      <c r="O3557" t="s">
        <v>82</v>
      </c>
      <c r="P3557" t="str">
        <f>"4170050669                    "</f>
        <v xml:space="preserve">4170050669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39.53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2</v>
      </c>
      <c r="BJ3557">
        <v>3.4</v>
      </c>
      <c r="BK3557">
        <v>3.5</v>
      </c>
      <c r="BL3557">
        <v>124.55</v>
      </c>
      <c r="BM3557">
        <v>18.68</v>
      </c>
      <c r="BN3557">
        <v>143.22999999999999</v>
      </c>
      <c r="BO3557">
        <v>143.22999999999999</v>
      </c>
      <c r="BQ3557" t="s">
        <v>756</v>
      </c>
      <c r="BR3557" t="s">
        <v>84</v>
      </c>
      <c r="BS3557" s="3">
        <v>45863</v>
      </c>
      <c r="BT3557" s="4">
        <v>0.39027777777777778</v>
      </c>
      <c r="BU3557" t="s">
        <v>3396</v>
      </c>
      <c r="BV3557" t="s">
        <v>98</v>
      </c>
      <c r="BY3557">
        <v>16965</v>
      </c>
      <c r="CA3557" t="s">
        <v>3397</v>
      </c>
      <c r="CC3557" t="s">
        <v>80</v>
      </c>
      <c r="CD3557">
        <v>7945</v>
      </c>
      <c r="CE3557" t="s">
        <v>145</v>
      </c>
      <c r="CF3557" s="3">
        <v>45866</v>
      </c>
      <c r="CI3557">
        <v>1</v>
      </c>
      <c r="CJ3557">
        <v>1</v>
      </c>
      <c r="CK3557">
        <v>21</v>
      </c>
      <c r="CL3557" t="s">
        <v>86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"080066761220"</f>
        <v>080066761220</v>
      </c>
      <c r="F3558" s="3">
        <v>45862</v>
      </c>
      <c r="G3558">
        <v>202604</v>
      </c>
      <c r="H3558" t="s">
        <v>75</v>
      </c>
      <c r="I3558" t="s">
        <v>76</v>
      </c>
      <c r="J3558" t="s">
        <v>77</v>
      </c>
      <c r="K3558" t="s">
        <v>78</v>
      </c>
      <c r="L3558" t="s">
        <v>252</v>
      </c>
      <c r="M3558" t="s">
        <v>253</v>
      </c>
      <c r="N3558" t="s">
        <v>254</v>
      </c>
      <c r="O3558" t="s">
        <v>82</v>
      </c>
      <c r="P3558" t="str">
        <f>"4170050664                    "</f>
        <v xml:space="preserve">4170050664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43.78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137.94</v>
      </c>
      <c r="BM3558">
        <v>20.69</v>
      </c>
      <c r="BN3558">
        <v>158.63</v>
      </c>
      <c r="BO3558">
        <v>158.63</v>
      </c>
      <c r="BQ3558" t="s">
        <v>255</v>
      </c>
      <c r="BR3558" t="s">
        <v>84</v>
      </c>
      <c r="BS3558" s="3">
        <v>45863</v>
      </c>
      <c r="BT3558" s="4">
        <v>0.35902777777777778</v>
      </c>
      <c r="BU3558" t="s">
        <v>2874</v>
      </c>
      <c r="BV3558" t="s">
        <v>98</v>
      </c>
      <c r="BY3558">
        <v>1200</v>
      </c>
      <c r="CA3558" t="s">
        <v>265</v>
      </c>
      <c r="CC3558" t="s">
        <v>253</v>
      </c>
      <c r="CD3558">
        <v>1947</v>
      </c>
      <c r="CE3558" t="s">
        <v>121</v>
      </c>
      <c r="CF3558" s="3">
        <v>45863</v>
      </c>
      <c r="CI3558">
        <v>1</v>
      </c>
      <c r="CJ3558">
        <v>1</v>
      </c>
      <c r="CK3558">
        <v>23</v>
      </c>
      <c r="CL3558" t="s">
        <v>86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"080066761233"</f>
        <v>080066761233</v>
      </c>
      <c r="F3559" s="3">
        <v>45862</v>
      </c>
      <c r="G3559">
        <v>202604</v>
      </c>
      <c r="H3559" t="s">
        <v>75</v>
      </c>
      <c r="I3559" t="s">
        <v>76</v>
      </c>
      <c r="J3559" t="s">
        <v>77</v>
      </c>
      <c r="K3559" t="s">
        <v>78</v>
      </c>
      <c r="L3559" t="s">
        <v>452</v>
      </c>
      <c r="M3559" t="s">
        <v>453</v>
      </c>
      <c r="N3559" t="s">
        <v>1321</v>
      </c>
      <c r="O3559" t="s">
        <v>82</v>
      </c>
      <c r="P3559" t="str">
        <f>"4170050611                    "</f>
        <v xml:space="preserve">4170050611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17.649999999999999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2</v>
      </c>
      <c r="BJ3559">
        <v>3.4</v>
      </c>
      <c r="BK3559">
        <v>4</v>
      </c>
      <c r="BL3559">
        <v>55.61</v>
      </c>
      <c r="BM3559">
        <v>8.34</v>
      </c>
      <c r="BN3559">
        <v>63.95</v>
      </c>
      <c r="BO3559">
        <v>63.95</v>
      </c>
      <c r="BQ3559" t="s">
        <v>1322</v>
      </c>
      <c r="BR3559" t="s">
        <v>84</v>
      </c>
      <c r="BS3559" s="3">
        <v>45863</v>
      </c>
      <c r="BT3559" s="4">
        <v>0.3888888888888889</v>
      </c>
      <c r="BU3559" t="s">
        <v>1601</v>
      </c>
      <c r="BV3559" t="s">
        <v>98</v>
      </c>
      <c r="BY3559">
        <v>16965</v>
      </c>
      <c r="CA3559" t="s">
        <v>1541</v>
      </c>
      <c r="CC3559" t="s">
        <v>453</v>
      </c>
      <c r="CD3559">
        <v>1559</v>
      </c>
      <c r="CE3559" t="s">
        <v>145</v>
      </c>
      <c r="CF3559" s="3">
        <v>45863</v>
      </c>
      <c r="CI3559">
        <v>1</v>
      </c>
      <c r="CJ3559">
        <v>1</v>
      </c>
      <c r="CK3559">
        <v>22</v>
      </c>
      <c r="CL3559" t="s">
        <v>86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"080066761239"</f>
        <v>080066761239</v>
      </c>
      <c r="F3560" s="3">
        <v>45862</v>
      </c>
      <c r="G3560">
        <v>202604</v>
      </c>
      <c r="H3560" t="s">
        <v>75</v>
      </c>
      <c r="I3560" t="s">
        <v>76</v>
      </c>
      <c r="J3560" t="s">
        <v>77</v>
      </c>
      <c r="K3560" t="s">
        <v>78</v>
      </c>
      <c r="L3560" t="s">
        <v>240</v>
      </c>
      <c r="M3560" t="s">
        <v>241</v>
      </c>
      <c r="N3560" t="s">
        <v>242</v>
      </c>
      <c r="O3560" t="s">
        <v>82</v>
      </c>
      <c r="P3560" t="str">
        <f>"4170050516                    "</f>
        <v xml:space="preserve">4170050516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17.649999999999999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55.61</v>
      </c>
      <c r="BM3560">
        <v>8.34</v>
      </c>
      <c r="BN3560">
        <v>63.95</v>
      </c>
      <c r="BO3560">
        <v>63.95</v>
      </c>
      <c r="BQ3560" t="s">
        <v>243</v>
      </c>
      <c r="BR3560" t="s">
        <v>84</v>
      </c>
      <c r="BS3560" s="3">
        <v>45863</v>
      </c>
      <c r="BT3560" s="4">
        <v>0.36805555555555558</v>
      </c>
      <c r="BU3560" t="s">
        <v>244</v>
      </c>
      <c r="BV3560" t="s">
        <v>98</v>
      </c>
      <c r="BY3560">
        <v>1200</v>
      </c>
      <c r="CA3560" t="s">
        <v>245</v>
      </c>
      <c r="CC3560" t="s">
        <v>241</v>
      </c>
      <c r="CD3560">
        <v>2091</v>
      </c>
      <c r="CE3560" t="s">
        <v>121</v>
      </c>
      <c r="CF3560" s="3">
        <v>45863</v>
      </c>
      <c r="CI3560">
        <v>1</v>
      </c>
      <c r="CJ3560">
        <v>1</v>
      </c>
      <c r="CK3560">
        <v>22</v>
      </c>
      <c r="CL3560" t="s">
        <v>86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"080066761273"</f>
        <v>080066761273</v>
      </c>
      <c r="F3561" s="3">
        <v>45862</v>
      </c>
      <c r="G3561">
        <v>202604</v>
      </c>
      <c r="H3561" t="s">
        <v>75</v>
      </c>
      <c r="I3561" t="s">
        <v>76</v>
      </c>
      <c r="J3561" t="s">
        <v>77</v>
      </c>
      <c r="K3561" t="s">
        <v>78</v>
      </c>
      <c r="L3561" t="s">
        <v>427</v>
      </c>
      <c r="M3561" t="s">
        <v>428</v>
      </c>
      <c r="N3561" t="s">
        <v>3398</v>
      </c>
      <c r="O3561" t="s">
        <v>82</v>
      </c>
      <c r="P3561" t="str">
        <f>"4170050681                    "</f>
        <v xml:space="preserve">4170050681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43.78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137.94</v>
      </c>
      <c r="BM3561">
        <v>20.69</v>
      </c>
      <c r="BN3561">
        <v>158.63</v>
      </c>
      <c r="BO3561">
        <v>158.63</v>
      </c>
      <c r="BQ3561" t="s">
        <v>3399</v>
      </c>
      <c r="BR3561" t="s">
        <v>84</v>
      </c>
      <c r="BS3561" s="3">
        <v>45866</v>
      </c>
      <c r="BT3561" s="4">
        <v>0.60624999999999996</v>
      </c>
      <c r="BU3561" t="s">
        <v>3400</v>
      </c>
      <c r="BV3561" t="s">
        <v>86</v>
      </c>
      <c r="BW3561" t="s">
        <v>395</v>
      </c>
      <c r="BX3561" t="s">
        <v>3401</v>
      </c>
      <c r="BY3561">
        <v>1200</v>
      </c>
      <c r="CA3561" t="s">
        <v>522</v>
      </c>
      <c r="CC3561" t="s">
        <v>428</v>
      </c>
      <c r="CD3561">
        <v>9880</v>
      </c>
      <c r="CE3561" t="s">
        <v>121</v>
      </c>
      <c r="CF3561" s="3">
        <v>45867</v>
      </c>
      <c r="CI3561">
        <v>1</v>
      </c>
      <c r="CJ3561">
        <v>2</v>
      </c>
      <c r="CK3561">
        <v>23</v>
      </c>
      <c r="CL3561" t="s">
        <v>86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"080066761291"</f>
        <v>080066761291</v>
      </c>
      <c r="F3562" s="3">
        <v>45862</v>
      </c>
      <c r="G3562">
        <v>202604</v>
      </c>
      <c r="H3562" t="s">
        <v>75</v>
      </c>
      <c r="I3562" t="s">
        <v>76</v>
      </c>
      <c r="J3562" t="s">
        <v>77</v>
      </c>
      <c r="K3562" t="s">
        <v>78</v>
      </c>
      <c r="L3562" t="s">
        <v>102</v>
      </c>
      <c r="M3562" t="s">
        <v>103</v>
      </c>
      <c r="N3562" t="s">
        <v>3402</v>
      </c>
      <c r="O3562" t="s">
        <v>82</v>
      </c>
      <c r="P3562" t="str">
        <f>"4170050417                    "</f>
        <v xml:space="preserve">4170050417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31.78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100.13</v>
      </c>
      <c r="BM3562">
        <v>15.02</v>
      </c>
      <c r="BN3562">
        <v>115.15</v>
      </c>
      <c r="BO3562">
        <v>115.15</v>
      </c>
      <c r="BQ3562" t="s">
        <v>3403</v>
      </c>
      <c r="BR3562" t="s">
        <v>84</v>
      </c>
      <c r="BS3562" s="3">
        <v>45863</v>
      </c>
      <c r="BT3562" s="4">
        <v>0.47499999999999998</v>
      </c>
      <c r="BU3562" t="s">
        <v>2248</v>
      </c>
      <c r="BV3562" t="s">
        <v>98</v>
      </c>
      <c r="BY3562">
        <v>1200</v>
      </c>
      <c r="CA3562" t="s">
        <v>2296</v>
      </c>
      <c r="CC3562" t="s">
        <v>103</v>
      </c>
      <c r="CD3562">
        <v>1739</v>
      </c>
      <c r="CE3562" t="s">
        <v>121</v>
      </c>
      <c r="CF3562" s="3">
        <v>45863</v>
      </c>
      <c r="CI3562">
        <v>1</v>
      </c>
      <c r="CJ3562">
        <v>1</v>
      </c>
      <c r="CK3562">
        <v>24</v>
      </c>
      <c r="CL3562" t="s">
        <v>86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"080066761296"</f>
        <v>080066761296</v>
      </c>
      <c r="F3563" s="3">
        <v>45862</v>
      </c>
      <c r="G3563">
        <v>202604</v>
      </c>
      <c r="H3563" t="s">
        <v>75</v>
      </c>
      <c r="I3563" t="s">
        <v>76</v>
      </c>
      <c r="J3563" t="s">
        <v>77</v>
      </c>
      <c r="K3563" t="s">
        <v>78</v>
      </c>
      <c r="L3563" t="s">
        <v>168</v>
      </c>
      <c r="M3563" t="s">
        <v>169</v>
      </c>
      <c r="N3563" t="s">
        <v>412</v>
      </c>
      <c r="O3563" t="s">
        <v>82</v>
      </c>
      <c r="P3563" t="str">
        <f>"4170050643                    "</f>
        <v xml:space="preserve">4170050643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22.6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1.1000000000000001</v>
      </c>
      <c r="BK3563">
        <v>2</v>
      </c>
      <c r="BL3563">
        <v>71.2</v>
      </c>
      <c r="BM3563">
        <v>10.68</v>
      </c>
      <c r="BN3563">
        <v>81.88</v>
      </c>
      <c r="BO3563">
        <v>81.88</v>
      </c>
      <c r="BQ3563" t="s">
        <v>413</v>
      </c>
      <c r="BR3563" t="s">
        <v>84</v>
      </c>
      <c r="BS3563" s="3">
        <v>45863</v>
      </c>
      <c r="BT3563" s="4">
        <v>0.37152777777777779</v>
      </c>
      <c r="BU3563" t="s">
        <v>414</v>
      </c>
      <c r="BV3563" t="s">
        <v>98</v>
      </c>
      <c r="BY3563">
        <v>5320</v>
      </c>
      <c r="CA3563" t="s">
        <v>415</v>
      </c>
      <c r="CC3563" t="s">
        <v>169</v>
      </c>
      <c r="CD3563">
        <v>6001</v>
      </c>
      <c r="CE3563" t="s">
        <v>145</v>
      </c>
      <c r="CF3563" s="3">
        <v>45863</v>
      </c>
      <c r="CI3563">
        <v>1</v>
      </c>
      <c r="CJ3563">
        <v>1</v>
      </c>
      <c r="CK3563">
        <v>21</v>
      </c>
      <c r="CL3563" t="s">
        <v>86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"080066761318"</f>
        <v>080066761318</v>
      </c>
      <c r="F3564" s="3">
        <v>45862</v>
      </c>
      <c r="G3564">
        <v>202604</v>
      </c>
      <c r="H3564" t="s">
        <v>75</v>
      </c>
      <c r="I3564" t="s">
        <v>76</v>
      </c>
      <c r="J3564" t="s">
        <v>77</v>
      </c>
      <c r="K3564" t="s">
        <v>78</v>
      </c>
      <c r="L3564" t="s">
        <v>398</v>
      </c>
      <c r="M3564" t="s">
        <v>399</v>
      </c>
      <c r="N3564" t="s">
        <v>1621</v>
      </c>
      <c r="O3564" t="s">
        <v>82</v>
      </c>
      <c r="P3564" t="str">
        <f>"4170050609                    "</f>
        <v xml:space="preserve">4170050609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17.649999999999999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55.61</v>
      </c>
      <c r="BM3564">
        <v>8.34</v>
      </c>
      <c r="BN3564">
        <v>63.95</v>
      </c>
      <c r="BO3564">
        <v>63.95</v>
      </c>
      <c r="BQ3564" t="s">
        <v>1622</v>
      </c>
      <c r="BR3564" t="s">
        <v>84</v>
      </c>
      <c r="BS3564" s="3">
        <v>45863</v>
      </c>
      <c r="BT3564" s="4">
        <v>0.38819444444444445</v>
      </c>
      <c r="BU3564" t="s">
        <v>1623</v>
      </c>
      <c r="BV3564" t="s">
        <v>98</v>
      </c>
      <c r="BY3564">
        <v>1200</v>
      </c>
      <c r="CA3564" t="s">
        <v>1624</v>
      </c>
      <c r="CC3564" t="s">
        <v>399</v>
      </c>
      <c r="CD3564">
        <v>1501</v>
      </c>
      <c r="CE3564" t="s">
        <v>121</v>
      </c>
      <c r="CF3564" s="3">
        <v>45863</v>
      </c>
      <c r="CI3564">
        <v>1</v>
      </c>
      <c r="CJ3564">
        <v>1</v>
      </c>
      <c r="CK3564">
        <v>22</v>
      </c>
      <c r="CL3564" t="s">
        <v>86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"080066761330"</f>
        <v>080066761330</v>
      </c>
      <c r="F3565" s="3">
        <v>45862</v>
      </c>
      <c r="G3565">
        <v>202604</v>
      </c>
      <c r="H3565" t="s">
        <v>75</v>
      </c>
      <c r="I3565" t="s">
        <v>76</v>
      </c>
      <c r="J3565" t="s">
        <v>77</v>
      </c>
      <c r="K3565" t="s">
        <v>78</v>
      </c>
      <c r="L3565" t="s">
        <v>1651</v>
      </c>
      <c r="M3565" t="s">
        <v>1652</v>
      </c>
      <c r="N3565" t="s">
        <v>1653</v>
      </c>
      <c r="O3565" t="s">
        <v>82</v>
      </c>
      <c r="P3565" t="str">
        <f>"4170050700                    "</f>
        <v xml:space="preserve">4170050700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43.78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0.9</v>
      </c>
      <c r="BK3565">
        <v>1</v>
      </c>
      <c r="BL3565">
        <v>137.94</v>
      </c>
      <c r="BM3565">
        <v>20.69</v>
      </c>
      <c r="BN3565">
        <v>158.63</v>
      </c>
      <c r="BO3565">
        <v>158.63</v>
      </c>
      <c r="BQ3565" t="s">
        <v>1654</v>
      </c>
      <c r="BR3565" t="s">
        <v>84</v>
      </c>
      <c r="BS3565" s="3">
        <v>45863</v>
      </c>
      <c r="BT3565" s="4">
        <v>0.44861111111111113</v>
      </c>
      <c r="BU3565" t="s">
        <v>1655</v>
      </c>
      <c r="BV3565" t="s">
        <v>98</v>
      </c>
      <c r="BY3565">
        <v>4275</v>
      </c>
      <c r="CA3565" t="s">
        <v>1656</v>
      </c>
      <c r="CC3565" t="s">
        <v>1652</v>
      </c>
      <c r="CD3565">
        <v>6715</v>
      </c>
      <c r="CE3565" t="s">
        <v>259</v>
      </c>
      <c r="CF3565" s="3">
        <v>45866</v>
      </c>
      <c r="CI3565">
        <v>2</v>
      </c>
      <c r="CJ3565">
        <v>1</v>
      </c>
      <c r="CK3565">
        <v>23</v>
      </c>
      <c r="CL3565" t="s">
        <v>86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"080066761338"</f>
        <v>080066761338</v>
      </c>
      <c r="F3566" s="3">
        <v>45862</v>
      </c>
      <c r="G3566">
        <v>202604</v>
      </c>
      <c r="H3566" t="s">
        <v>75</v>
      </c>
      <c r="I3566" t="s">
        <v>76</v>
      </c>
      <c r="J3566" t="s">
        <v>77</v>
      </c>
      <c r="K3566" t="s">
        <v>78</v>
      </c>
      <c r="L3566" t="s">
        <v>240</v>
      </c>
      <c r="M3566" t="s">
        <v>241</v>
      </c>
      <c r="N3566" t="s">
        <v>2575</v>
      </c>
      <c r="O3566" t="s">
        <v>82</v>
      </c>
      <c r="P3566" t="str">
        <f>"4170050695                    "</f>
        <v xml:space="preserve">4170050695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17.649999999999999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55.61</v>
      </c>
      <c r="BM3566">
        <v>8.34</v>
      </c>
      <c r="BN3566">
        <v>63.95</v>
      </c>
      <c r="BO3566">
        <v>63.95</v>
      </c>
      <c r="BQ3566" t="s">
        <v>2576</v>
      </c>
      <c r="BR3566" t="s">
        <v>84</v>
      </c>
      <c r="BS3566" s="3">
        <v>45863</v>
      </c>
      <c r="BT3566" s="4">
        <v>0.42430555555555555</v>
      </c>
      <c r="BU3566" t="s">
        <v>630</v>
      </c>
      <c r="BV3566" t="s">
        <v>98</v>
      </c>
      <c r="BY3566">
        <v>1200</v>
      </c>
      <c r="CA3566" t="s">
        <v>245</v>
      </c>
      <c r="CC3566" t="s">
        <v>241</v>
      </c>
      <c r="CD3566">
        <v>2190</v>
      </c>
      <c r="CE3566" t="s">
        <v>121</v>
      </c>
      <c r="CF3566" s="3">
        <v>45863</v>
      </c>
      <c r="CI3566">
        <v>1</v>
      </c>
      <c r="CJ3566">
        <v>1</v>
      </c>
      <c r="CK3566">
        <v>22</v>
      </c>
      <c r="CL3566" t="s">
        <v>86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"080066761353"</f>
        <v>080066761353</v>
      </c>
      <c r="F3567" s="3">
        <v>45862</v>
      </c>
      <c r="G3567">
        <v>202604</v>
      </c>
      <c r="H3567" t="s">
        <v>75</v>
      </c>
      <c r="I3567" t="s">
        <v>76</v>
      </c>
      <c r="J3567" t="s">
        <v>77</v>
      </c>
      <c r="K3567" t="s">
        <v>78</v>
      </c>
      <c r="L3567" t="s">
        <v>151</v>
      </c>
      <c r="M3567" t="s">
        <v>152</v>
      </c>
      <c r="N3567" t="s">
        <v>1759</v>
      </c>
      <c r="O3567" t="s">
        <v>82</v>
      </c>
      <c r="P3567" t="str">
        <f>"4170050402                    "</f>
        <v xml:space="preserve">4170050402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22.6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71.2</v>
      </c>
      <c r="BM3567">
        <v>10.68</v>
      </c>
      <c r="BN3567">
        <v>81.88</v>
      </c>
      <c r="BO3567">
        <v>81.88</v>
      </c>
      <c r="BQ3567" t="s">
        <v>1760</v>
      </c>
      <c r="BR3567" t="s">
        <v>84</v>
      </c>
      <c r="BS3567" s="3">
        <v>45863</v>
      </c>
      <c r="BT3567" s="4">
        <v>0.33541666666666664</v>
      </c>
      <c r="BU3567" t="s">
        <v>2393</v>
      </c>
      <c r="BV3567" t="s">
        <v>98</v>
      </c>
      <c r="BY3567">
        <v>1200</v>
      </c>
      <c r="CA3567" t="s">
        <v>3384</v>
      </c>
      <c r="CC3567" t="s">
        <v>152</v>
      </c>
      <c r="CD3567" s="5" t="s">
        <v>684</v>
      </c>
      <c r="CE3567" t="s">
        <v>121</v>
      </c>
      <c r="CF3567" s="3">
        <v>45863</v>
      </c>
      <c r="CI3567">
        <v>1</v>
      </c>
      <c r="CJ3567">
        <v>1</v>
      </c>
      <c r="CK3567">
        <v>21</v>
      </c>
      <c r="CL3567" t="s">
        <v>86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"080066761360"</f>
        <v>080066761360</v>
      </c>
      <c r="F3568" s="3">
        <v>45862</v>
      </c>
      <c r="G3568">
        <v>202604</v>
      </c>
      <c r="H3568" t="s">
        <v>75</v>
      </c>
      <c r="I3568" t="s">
        <v>76</v>
      </c>
      <c r="J3568" t="s">
        <v>77</v>
      </c>
      <c r="K3568" t="s">
        <v>78</v>
      </c>
      <c r="L3568" t="s">
        <v>79</v>
      </c>
      <c r="M3568" t="s">
        <v>80</v>
      </c>
      <c r="N3568" t="s">
        <v>1101</v>
      </c>
      <c r="O3568" t="s">
        <v>82</v>
      </c>
      <c r="P3568" t="str">
        <f>"4170050706                    "</f>
        <v xml:space="preserve">4170050706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22.6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0.9</v>
      </c>
      <c r="BK3568">
        <v>1</v>
      </c>
      <c r="BL3568">
        <v>71.2</v>
      </c>
      <c r="BM3568">
        <v>10.68</v>
      </c>
      <c r="BN3568">
        <v>81.88</v>
      </c>
      <c r="BO3568">
        <v>81.88</v>
      </c>
      <c r="BQ3568" t="s">
        <v>1102</v>
      </c>
      <c r="BR3568" t="s">
        <v>84</v>
      </c>
      <c r="BS3568" s="3">
        <v>45863</v>
      </c>
      <c r="BT3568" s="4">
        <v>0.3298611111111111</v>
      </c>
      <c r="BU3568" t="s">
        <v>3404</v>
      </c>
      <c r="BV3568" t="s">
        <v>98</v>
      </c>
      <c r="BY3568">
        <v>4275</v>
      </c>
      <c r="CA3568" t="s">
        <v>289</v>
      </c>
      <c r="CC3568" t="s">
        <v>80</v>
      </c>
      <c r="CD3568">
        <v>7530</v>
      </c>
      <c r="CE3568" t="s">
        <v>259</v>
      </c>
      <c r="CF3568" s="3">
        <v>45866</v>
      </c>
      <c r="CI3568">
        <v>1</v>
      </c>
      <c r="CJ3568">
        <v>1</v>
      </c>
      <c r="CK3568">
        <v>21</v>
      </c>
      <c r="CL3568" t="s">
        <v>86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"080066761376"</f>
        <v>080066761376</v>
      </c>
      <c r="F3569" s="3">
        <v>45862</v>
      </c>
      <c r="G3569">
        <v>202604</v>
      </c>
      <c r="H3569" t="s">
        <v>75</v>
      </c>
      <c r="I3569" t="s">
        <v>76</v>
      </c>
      <c r="J3569" t="s">
        <v>77</v>
      </c>
      <c r="K3569" t="s">
        <v>78</v>
      </c>
      <c r="L3569" t="s">
        <v>704</v>
      </c>
      <c r="M3569" t="s">
        <v>705</v>
      </c>
      <c r="N3569" t="s">
        <v>848</v>
      </c>
      <c r="O3569" t="s">
        <v>82</v>
      </c>
      <c r="P3569" t="str">
        <f>"4170050412                    "</f>
        <v xml:space="preserve">4170050412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43.78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137.94</v>
      </c>
      <c r="BM3569">
        <v>20.69</v>
      </c>
      <c r="BN3569">
        <v>158.63</v>
      </c>
      <c r="BO3569">
        <v>158.63</v>
      </c>
      <c r="BQ3569" t="s">
        <v>849</v>
      </c>
      <c r="BR3569" t="s">
        <v>84</v>
      </c>
      <c r="BS3569" s="3">
        <v>45863</v>
      </c>
      <c r="BT3569" s="4">
        <v>0.4777777777777778</v>
      </c>
      <c r="BU3569" t="s">
        <v>3405</v>
      </c>
      <c r="BV3569" t="s">
        <v>98</v>
      </c>
      <c r="BY3569">
        <v>1200</v>
      </c>
      <c r="CA3569" t="s">
        <v>1665</v>
      </c>
      <c r="CC3569" t="s">
        <v>705</v>
      </c>
      <c r="CD3569">
        <v>6850</v>
      </c>
      <c r="CE3569" t="s">
        <v>121</v>
      </c>
      <c r="CF3569" s="3">
        <v>45866</v>
      </c>
      <c r="CI3569">
        <v>2</v>
      </c>
      <c r="CJ3569">
        <v>1</v>
      </c>
      <c r="CK3569">
        <v>23</v>
      </c>
      <c r="CL3569" t="s">
        <v>86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"080066761385"</f>
        <v>080066761385</v>
      </c>
      <c r="F3570" s="3">
        <v>45862</v>
      </c>
      <c r="G3570">
        <v>202604</v>
      </c>
      <c r="H3570" t="s">
        <v>75</v>
      </c>
      <c r="I3570" t="s">
        <v>76</v>
      </c>
      <c r="J3570" t="s">
        <v>77</v>
      </c>
      <c r="K3570" t="s">
        <v>78</v>
      </c>
      <c r="L3570" t="s">
        <v>75</v>
      </c>
      <c r="M3570" t="s">
        <v>76</v>
      </c>
      <c r="N3570" t="s">
        <v>118</v>
      </c>
      <c r="O3570" t="s">
        <v>82</v>
      </c>
      <c r="P3570" t="str">
        <f>"4170050622                    "</f>
        <v xml:space="preserve">4170050622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17.649999999999999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</v>
      </c>
      <c r="BJ3570">
        <v>1.1000000000000001</v>
      </c>
      <c r="BK3570">
        <v>2</v>
      </c>
      <c r="BL3570">
        <v>55.61</v>
      </c>
      <c r="BM3570">
        <v>8.34</v>
      </c>
      <c r="BN3570">
        <v>63.95</v>
      </c>
      <c r="BO3570">
        <v>63.95</v>
      </c>
      <c r="BQ3570" t="s">
        <v>119</v>
      </c>
      <c r="BR3570" t="s">
        <v>84</v>
      </c>
      <c r="BS3570" s="3">
        <v>45863</v>
      </c>
      <c r="BT3570" s="4">
        <v>0.35138888888888886</v>
      </c>
      <c r="BU3570" t="s">
        <v>1363</v>
      </c>
      <c r="BV3570" t="s">
        <v>98</v>
      </c>
      <c r="BY3570">
        <v>5320</v>
      </c>
      <c r="CA3570" t="s">
        <v>213</v>
      </c>
      <c r="CC3570" t="s">
        <v>76</v>
      </c>
      <c r="CD3570">
        <v>1600</v>
      </c>
      <c r="CE3570" t="s">
        <v>145</v>
      </c>
      <c r="CF3570" s="3">
        <v>45863</v>
      </c>
      <c r="CI3570">
        <v>1</v>
      </c>
      <c r="CJ3570">
        <v>1</v>
      </c>
      <c r="CK3570">
        <v>22</v>
      </c>
      <c r="CL3570" t="s">
        <v>86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"080066761394"</f>
        <v>080066761394</v>
      </c>
      <c r="F3571" s="3">
        <v>45862</v>
      </c>
      <c r="G3571">
        <v>202604</v>
      </c>
      <c r="H3571" t="s">
        <v>75</v>
      </c>
      <c r="I3571" t="s">
        <v>76</v>
      </c>
      <c r="J3571" t="s">
        <v>77</v>
      </c>
      <c r="K3571" t="s">
        <v>78</v>
      </c>
      <c r="L3571" t="s">
        <v>151</v>
      </c>
      <c r="M3571" t="s">
        <v>152</v>
      </c>
      <c r="N3571" t="s">
        <v>153</v>
      </c>
      <c r="O3571" t="s">
        <v>82</v>
      </c>
      <c r="P3571" t="str">
        <f>"4170050641                    "</f>
        <v xml:space="preserve">4170050641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22.6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71.2</v>
      </c>
      <c r="BM3571">
        <v>10.68</v>
      </c>
      <c r="BN3571">
        <v>81.88</v>
      </c>
      <c r="BO3571">
        <v>81.88</v>
      </c>
      <c r="BQ3571" t="s">
        <v>154</v>
      </c>
      <c r="BR3571" t="s">
        <v>84</v>
      </c>
      <c r="BS3571" s="3">
        <v>45863</v>
      </c>
      <c r="BT3571" s="4">
        <v>0.35416666666666669</v>
      </c>
      <c r="BU3571" t="s">
        <v>3406</v>
      </c>
      <c r="BV3571" t="s">
        <v>98</v>
      </c>
      <c r="BY3571">
        <v>1200</v>
      </c>
      <c r="CA3571" t="s">
        <v>559</v>
      </c>
      <c r="CC3571" t="s">
        <v>152</v>
      </c>
      <c r="CD3571" s="5" t="s">
        <v>157</v>
      </c>
      <c r="CE3571" t="s">
        <v>121</v>
      </c>
      <c r="CF3571" s="3">
        <v>45863</v>
      </c>
      <c r="CI3571">
        <v>1</v>
      </c>
      <c r="CJ3571">
        <v>1</v>
      </c>
      <c r="CK3571">
        <v>21</v>
      </c>
      <c r="CL3571" t="s">
        <v>86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"080066761409"</f>
        <v>080066761409</v>
      </c>
      <c r="F3572" s="3">
        <v>45862</v>
      </c>
      <c r="G3572">
        <v>202604</v>
      </c>
      <c r="H3572" t="s">
        <v>75</v>
      </c>
      <c r="I3572" t="s">
        <v>76</v>
      </c>
      <c r="J3572" t="s">
        <v>77</v>
      </c>
      <c r="K3572" t="s">
        <v>78</v>
      </c>
      <c r="L3572" t="s">
        <v>128</v>
      </c>
      <c r="M3572" t="s">
        <v>129</v>
      </c>
      <c r="N3572" t="s">
        <v>2038</v>
      </c>
      <c r="O3572" t="s">
        <v>82</v>
      </c>
      <c r="P3572" t="str">
        <f>"4170050437                    "</f>
        <v xml:space="preserve">4170050437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43.78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0.9</v>
      </c>
      <c r="BK3572">
        <v>1</v>
      </c>
      <c r="BL3572">
        <v>137.94</v>
      </c>
      <c r="BM3572">
        <v>20.69</v>
      </c>
      <c r="BN3572">
        <v>158.63</v>
      </c>
      <c r="BO3572">
        <v>158.63</v>
      </c>
      <c r="BQ3572" t="s">
        <v>2039</v>
      </c>
      <c r="BR3572" t="s">
        <v>84</v>
      </c>
      <c r="BS3572" s="3">
        <v>45863</v>
      </c>
      <c r="BT3572" s="4">
        <v>0.43611111111111112</v>
      </c>
      <c r="BU3572" t="s">
        <v>2795</v>
      </c>
      <c r="BV3572" t="s">
        <v>98</v>
      </c>
      <c r="BY3572">
        <v>4275</v>
      </c>
      <c r="CA3572" t="s">
        <v>2284</v>
      </c>
      <c r="CC3572" t="s">
        <v>129</v>
      </c>
      <c r="CD3572" s="5" t="s">
        <v>134</v>
      </c>
      <c r="CE3572" t="s">
        <v>259</v>
      </c>
      <c r="CF3572" s="3">
        <v>45866</v>
      </c>
      <c r="CI3572">
        <v>1</v>
      </c>
      <c r="CJ3572">
        <v>1</v>
      </c>
      <c r="CK3572">
        <v>23</v>
      </c>
      <c r="CL3572" t="s">
        <v>86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"080066761412"</f>
        <v>080066761412</v>
      </c>
      <c r="F3573" s="3">
        <v>45862</v>
      </c>
      <c r="G3573">
        <v>202604</v>
      </c>
      <c r="H3573" t="s">
        <v>75</v>
      </c>
      <c r="I3573" t="s">
        <v>76</v>
      </c>
      <c r="J3573" t="s">
        <v>77</v>
      </c>
      <c r="K3573" t="s">
        <v>78</v>
      </c>
      <c r="L3573" t="s">
        <v>252</v>
      </c>
      <c r="M3573" t="s">
        <v>253</v>
      </c>
      <c r="N3573" t="s">
        <v>254</v>
      </c>
      <c r="O3573" t="s">
        <v>82</v>
      </c>
      <c r="P3573" t="str">
        <f>"4170050442                    "</f>
        <v xml:space="preserve">4170050442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43.78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137.94</v>
      </c>
      <c r="BM3573">
        <v>20.69</v>
      </c>
      <c r="BN3573">
        <v>158.63</v>
      </c>
      <c r="BO3573">
        <v>158.63</v>
      </c>
      <c r="BQ3573" t="s">
        <v>255</v>
      </c>
      <c r="BR3573" t="s">
        <v>84</v>
      </c>
      <c r="BS3573" s="3">
        <v>45863</v>
      </c>
      <c r="BT3573" s="4">
        <v>0.35833333333333334</v>
      </c>
      <c r="BU3573" t="s">
        <v>2874</v>
      </c>
      <c r="BV3573" t="s">
        <v>98</v>
      </c>
      <c r="BY3573">
        <v>1200</v>
      </c>
      <c r="CA3573" t="s">
        <v>265</v>
      </c>
      <c r="CC3573" t="s">
        <v>253</v>
      </c>
      <c r="CD3573">
        <v>1947</v>
      </c>
      <c r="CE3573" t="s">
        <v>121</v>
      </c>
      <c r="CF3573" s="3">
        <v>45863</v>
      </c>
      <c r="CI3573">
        <v>1</v>
      </c>
      <c r="CJ3573">
        <v>1</v>
      </c>
      <c r="CK3573">
        <v>23</v>
      </c>
      <c r="CL3573" t="s">
        <v>86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"080066761428"</f>
        <v>080066761428</v>
      </c>
      <c r="F3574" s="3">
        <v>45862</v>
      </c>
      <c r="G3574">
        <v>202604</v>
      </c>
      <c r="H3574" t="s">
        <v>75</v>
      </c>
      <c r="I3574" t="s">
        <v>76</v>
      </c>
      <c r="J3574" t="s">
        <v>77</v>
      </c>
      <c r="K3574" t="s">
        <v>78</v>
      </c>
      <c r="L3574" t="s">
        <v>168</v>
      </c>
      <c r="M3574" t="s">
        <v>169</v>
      </c>
      <c r="N3574" t="s">
        <v>170</v>
      </c>
      <c r="O3574" t="s">
        <v>82</v>
      </c>
      <c r="P3574" t="str">
        <f>"4170050617                    "</f>
        <v xml:space="preserve">4170050617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22.6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71.2</v>
      </c>
      <c r="BM3574">
        <v>10.68</v>
      </c>
      <c r="BN3574">
        <v>81.88</v>
      </c>
      <c r="BO3574">
        <v>81.88</v>
      </c>
      <c r="BQ3574" t="s">
        <v>171</v>
      </c>
      <c r="BR3574" t="s">
        <v>84</v>
      </c>
      <c r="BS3574" s="3">
        <v>45863</v>
      </c>
      <c r="BT3574" s="4">
        <v>0.38194444444444442</v>
      </c>
      <c r="BU3574" t="s">
        <v>3407</v>
      </c>
      <c r="BV3574" t="s">
        <v>98</v>
      </c>
      <c r="BY3574">
        <v>1200</v>
      </c>
      <c r="CA3574" t="s">
        <v>3373</v>
      </c>
      <c r="CC3574" t="s">
        <v>169</v>
      </c>
      <c r="CD3574">
        <v>6001</v>
      </c>
      <c r="CE3574" t="s">
        <v>121</v>
      </c>
      <c r="CF3574" s="3">
        <v>45863</v>
      </c>
      <c r="CI3574">
        <v>1</v>
      </c>
      <c r="CJ3574">
        <v>1</v>
      </c>
      <c r="CK3574">
        <v>21</v>
      </c>
      <c r="CL3574" t="s">
        <v>86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"080066761431"</f>
        <v>080066761431</v>
      </c>
      <c r="F3575" s="3">
        <v>45862</v>
      </c>
      <c r="G3575">
        <v>202604</v>
      </c>
      <c r="H3575" t="s">
        <v>75</v>
      </c>
      <c r="I3575" t="s">
        <v>76</v>
      </c>
      <c r="J3575" t="s">
        <v>77</v>
      </c>
      <c r="K3575" t="s">
        <v>78</v>
      </c>
      <c r="L3575" t="s">
        <v>79</v>
      </c>
      <c r="M3575" t="s">
        <v>80</v>
      </c>
      <c r="N3575" t="s">
        <v>594</v>
      </c>
      <c r="O3575" t="s">
        <v>82</v>
      </c>
      <c r="P3575" t="str">
        <f>"4170050393                    "</f>
        <v xml:space="preserve">4170050393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22.6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1.7</v>
      </c>
      <c r="BK3575">
        <v>2</v>
      </c>
      <c r="BL3575">
        <v>71.2</v>
      </c>
      <c r="BM3575">
        <v>10.68</v>
      </c>
      <c r="BN3575">
        <v>81.88</v>
      </c>
      <c r="BO3575">
        <v>81.88</v>
      </c>
      <c r="BQ3575" t="s">
        <v>595</v>
      </c>
      <c r="BR3575" t="s">
        <v>84</v>
      </c>
      <c r="BS3575" s="3">
        <v>45863</v>
      </c>
      <c r="BT3575" s="4">
        <v>0.37916666666666665</v>
      </c>
      <c r="BU3575" t="s">
        <v>596</v>
      </c>
      <c r="BV3575" t="s">
        <v>98</v>
      </c>
      <c r="BY3575">
        <v>8512</v>
      </c>
      <c r="CA3575" t="s">
        <v>579</v>
      </c>
      <c r="CC3575" t="s">
        <v>80</v>
      </c>
      <c r="CD3575">
        <v>7480</v>
      </c>
      <c r="CE3575" t="s">
        <v>145</v>
      </c>
      <c r="CF3575" s="3">
        <v>45866</v>
      </c>
      <c r="CI3575">
        <v>1</v>
      </c>
      <c r="CJ3575">
        <v>1</v>
      </c>
      <c r="CK3575">
        <v>21</v>
      </c>
      <c r="CL3575" t="s">
        <v>86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"080066761457"</f>
        <v>080066761457</v>
      </c>
      <c r="F3576" s="3">
        <v>45862</v>
      </c>
      <c r="G3576">
        <v>202604</v>
      </c>
      <c r="H3576" t="s">
        <v>75</v>
      </c>
      <c r="I3576" t="s">
        <v>76</v>
      </c>
      <c r="J3576" t="s">
        <v>77</v>
      </c>
      <c r="K3576" t="s">
        <v>78</v>
      </c>
      <c r="L3576" t="s">
        <v>79</v>
      </c>
      <c r="M3576" t="s">
        <v>80</v>
      </c>
      <c r="N3576" t="s">
        <v>286</v>
      </c>
      <c r="O3576" t="s">
        <v>82</v>
      </c>
      <c r="P3576" t="str">
        <f>"4170050362                    "</f>
        <v xml:space="preserve">4170050362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22.6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1.1000000000000001</v>
      </c>
      <c r="BK3576">
        <v>1.5</v>
      </c>
      <c r="BL3576">
        <v>71.2</v>
      </c>
      <c r="BM3576">
        <v>10.68</v>
      </c>
      <c r="BN3576">
        <v>81.88</v>
      </c>
      <c r="BO3576">
        <v>81.88</v>
      </c>
      <c r="BQ3576" t="s">
        <v>287</v>
      </c>
      <c r="BR3576" t="s">
        <v>84</v>
      </c>
      <c r="BS3576" s="3">
        <v>45863</v>
      </c>
      <c r="BT3576" s="4">
        <v>0.30972222222222223</v>
      </c>
      <c r="BU3576" t="s">
        <v>288</v>
      </c>
      <c r="BV3576" t="s">
        <v>98</v>
      </c>
      <c r="BY3576">
        <v>5320</v>
      </c>
      <c r="CA3576" t="s">
        <v>289</v>
      </c>
      <c r="CC3576" t="s">
        <v>80</v>
      </c>
      <c r="CD3576">
        <v>7530</v>
      </c>
      <c r="CE3576" t="s">
        <v>145</v>
      </c>
      <c r="CF3576" s="3">
        <v>45866</v>
      </c>
      <c r="CI3576">
        <v>1</v>
      </c>
      <c r="CJ3576">
        <v>1</v>
      </c>
      <c r="CK3576">
        <v>21</v>
      </c>
      <c r="CL3576" t="s">
        <v>86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"080066761447"</f>
        <v>080066761447</v>
      </c>
      <c r="F3577" s="3">
        <v>45862</v>
      </c>
      <c r="G3577">
        <v>202604</v>
      </c>
      <c r="H3577" t="s">
        <v>75</v>
      </c>
      <c r="I3577" t="s">
        <v>76</v>
      </c>
      <c r="J3577" t="s">
        <v>77</v>
      </c>
      <c r="K3577" t="s">
        <v>78</v>
      </c>
      <c r="L3577" t="s">
        <v>704</v>
      </c>
      <c r="M3577" t="s">
        <v>705</v>
      </c>
      <c r="N3577" t="s">
        <v>848</v>
      </c>
      <c r="O3577" t="s">
        <v>82</v>
      </c>
      <c r="P3577" t="str">
        <f>"4170050439                    "</f>
        <v xml:space="preserve">4170050439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43.78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137.94</v>
      </c>
      <c r="BM3577">
        <v>20.69</v>
      </c>
      <c r="BN3577">
        <v>158.63</v>
      </c>
      <c r="BO3577">
        <v>158.63</v>
      </c>
      <c r="BQ3577" t="s">
        <v>849</v>
      </c>
      <c r="BR3577" t="s">
        <v>84</v>
      </c>
      <c r="BS3577" s="3">
        <v>45863</v>
      </c>
      <c r="BT3577" s="4">
        <v>0.47708333333333336</v>
      </c>
      <c r="BU3577" t="s">
        <v>3405</v>
      </c>
      <c r="BV3577" t="s">
        <v>98</v>
      </c>
      <c r="BY3577">
        <v>1200</v>
      </c>
      <c r="CA3577" t="s">
        <v>1665</v>
      </c>
      <c r="CC3577" t="s">
        <v>705</v>
      </c>
      <c r="CD3577">
        <v>6850</v>
      </c>
      <c r="CE3577" t="s">
        <v>121</v>
      </c>
      <c r="CF3577" s="3">
        <v>45866</v>
      </c>
      <c r="CI3577">
        <v>2</v>
      </c>
      <c r="CJ3577">
        <v>1</v>
      </c>
      <c r="CK3577">
        <v>23</v>
      </c>
      <c r="CL3577" t="s">
        <v>86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"080066761482"</f>
        <v>080066761482</v>
      </c>
      <c r="F3578" s="3">
        <v>45862</v>
      </c>
      <c r="G3578">
        <v>202604</v>
      </c>
      <c r="H3578" t="s">
        <v>75</v>
      </c>
      <c r="I3578" t="s">
        <v>76</v>
      </c>
      <c r="J3578" t="s">
        <v>77</v>
      </c>
      <c r="K3578" t="s">
        <v>78</v>
      </c>
      <c r="L3578" t="s">
        <v>168</v>
      </c>
      <c r="M3578" t="s">
        <v>169</v>
      </c>
      <c r="N3578" t="s">
        <v>202</v>
      </c>
      <c r="O3578" t="s">
        <v>82</v>
      </c>
      <c r="P3578" t="str">
        <f>"4170050473                    "</f>
        <v xml:space="preserve">4170050473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50.82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2</v>
      </c>
      <c r="BJ3578">
        <v>4.5</v>
      </c>
      <c r="BK3578">
        <v>4.5</v>
      </c>
      <c r="BL3578">
        <v>160.12</v>
      </c>
      <c r="BM3578">
        <v>24.02</v>
      </c>
      <c r="BN3578">
        <v>184.14</v>
      </c>
      <c r="BO3578">
        <v>184.14</v>
      </c>
      <c r="BQ3578" t="s">
        <v>203</v>
      </c>
      <c r="BR3578" t="s">
        <v>84</v>
      </c>
      <c r="BS3578" s="3">
        <v>45863</v>
      </c>
      <c r="BT3578" s="4">
        <v>0.38194444444444442</v>
      </c>
      <c r="BU3578" t="s">
        <v>204</v>
      </c>
      <c r="BV3578" t="s">
        <v>98</v>
      </c>
      <c r="BY3578">
        <v>22400</v>
      </c>
      <c r="CA3578" t="s">
        <v>205</v>
      </c>
      <c r="CC3578" t="s">
        <v>169</v>
      </c>
      <c r="CD3578">
        <v>6001</v>
      </c>
      <c r="CE3578" t="s">
        <v>91</v>
      </c>
      <c r="CF3578" s="3">
        <v>45863</v>
      </c>
      <c r="CI3578">
        <v>1</v>
      </c>
      <c r="CJ3578">
        <v>1</v>
      </c>
      <c r="CK3578">
        <v>21</v>
      </c>
      <c r="CL3578" t="s">
        <v>86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"080066761840"</f>
        <v>080066761840</v>
      </c>
      <c r="F3579" s="3">
        <v>45862</v>
      </c>
      <c r="G3579">
        <v>202604</v>
      </c>
      <c r="H3579" t="s">
        <v>75</v>
      </c>
      <c r="I3579" t="s">
        <v>76</v>
      </c>
      <c r="J3579" t="s">
        <v>77</v>
      </c>
      <c r="K3579" t="s">
        <v>78</v>
      </c>
      <c r="L3579" t="s">
        <v>79</v>
      </c>
      <c r="M3579" t="s">
        <v>80</v>
      </c>
      <c r="N3579" t="s">
        <v>3408</v>
      </c>
      <c r="O3579" t="s">
        <v>82</v>
      </c>
      <c r="P3579" t="str">
        <f>"4170050600                    "</f>
        <v xml:space="preserve">4170050600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203.24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2</v>
      </c>
      <c r="BI3579">
        <v>18</v>
      </c>
      <c r="BJ3579">
        <v>8.8000000000000007</v>
      </c>
      <c r="BK3579">
        <v>18</v>
      </c>
      <c r="BL3579">
        <v>640.32000000000005</v>
      </c>
      <c r="BM3579">
        <v>96.05</v>
      </c>
      <c r="BN3579">
        <v>736.37</v>
      </c>
      <c r="BO3579">
        <v>736.37</v>
      </c>
      <c r="BQ3579" t="s">
        <v>3409</v>
      </c>
      <c r="BR3579" t="s">
        <v>84</v>
      </c>
      <c r="BS3579" s="3">
        <v>45863</v>
      </c>
      <c r="BT3579" s="4">
        <v>0.37013888888888891</v>
      </c>
      <c r="BU3579" t="s">
        <v>3410</v>
      </c>
      <c r="BV3579" t="s">
        <v>98</v>
      </c>
      <c r="BY3579">
        <v>22016</v>
      </c>
      <c r="CA3579" t="s">
        <v>289</v>
      </c>
      <c r="CC3579" t="s">
        <v>80</v>
      </c>
      <c r="CD3579">
        <v>7560</v>
      </c>
      <c r="CE3579" t="s">
        <v>2966</v>
      </c>
      <c r="CF3579" s="3">
        <v>45866</v>
      </c>
      <c r="CI3579">
        <v>1</v>
      </c>
      <c r="CJ3579">
        <v>1</v>
      </c>
      <c r="CK3579">
        <v>21</v>
      </c>
      <c r="CL3579" t="s">
        <v>86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"080066761871"</f>
        <v>080066761871</v>
      </c>
      <c r="F3580" s="3">
        <v>45862</v>
      </c>
      <c r="G3580">
        <v>202604</v>
      </c>
      <c r="H3580" t="s">
        <v>75</v>
      </c>
      <c r="I3580" t="s">
        <v>76</v>
      </c>
      <c r="J3580" t="s">
        <v>77</v>
      </c>
      <c r="K3580" t="s">
        <v>78</v>
      </c>
      <c r="L3580" t="s">
        <v>79</v>
      </c>
      <c r="M3580" t="s">
        <v>80</v>
      </c>
      <c r="N3580" t="s">
        <v>159</v>
      </c>
      <c r="O3580" t="s">
        <v>82</v>
      </c>
      <c r="P3580" t="str">
        <f>"4170050447                    "</f>
        <v xml:space="preserve">4170050447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22.6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71.2</v>
      </c>
      <c r="BM3580">
        <v>10.68</v>
      </c>
      <c r="BN3580">
        <v>81.88</v>
      </c>
      <c r="BO3580">
        <v>81.88</v>
      </c>
      <c r="BQ3580" t="s">
        <v>160</v>
      </c>
      <c r="BR3580" t="s">
        <v>84</v>
      </c>
      <c r="BS3580" s="3">
        <v>45863</v>
      </c>
      <c r="BT3580" s="4">
        <v>0.3972222222222222</v>
      </c>
      <c r="BU3580" t="s">
        <v>161</v>
      </c>
      <c r="BV3580" t="s">
        <v>98</v>
      </c>
      <c r="BY3580">
        <v>1200</v>
      </c>
      <c r="CA3580" t="s">
        <v>3411</v>
      </c>
      <c r="CC3580" t="s">
        <v>80</v>
      </c>
      <c r="CD3580">
        <v>7441</v>
      </c>
      <c r="CE3580" t="s">
        <v>121</v>
      </c>
      <c r="CF3580" s="3">
        <v>45866</v>
      </c>
      <c r="CI3580">
        <v>1</v>
      </c>
      <c r="CJ3580">
        <v>1</v>
      </c>
      <c r="CK3580">
        <v>21</v>
      </c>
      <c r="CL3580" t="s">
        <v>86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"080066761876"</f>
        <v>080066761876</v>
      </c>
      <c r="F3581" s="3">
        <v>45862</v>
      </c>
      <c r="G3581">
        <v>202604</v>
      </c>
      <c r="H3581" t="s">
        <v>75</v>
      </c>
      <c r="I3581" t="s">
        <v>76</v>
      </c>
      <c r="J3581" t="s">
        <v>77</v>
      </c>
      <c r="K3581" t="s">
        <v>78</v>
      </c>
      <c r="L3581" t="s">
        <v>329</v>
      </c>
      <c r="M3581" t="s">
        <v>330</v>
      </c>
      <c r="N3581" t="s">
        <v>331</v>
      </c>
      <c r="O3581" t="s">
        <v>82</v>
      </c>
      <c r="P3581" t="str">
        <f>"4170050454                    "</f>
        <v xml:space="preserve">4170050454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43.78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0.7</v>
      </c>
      <c r="BK3581">
        <v>1</v>
      </c>
      <c r="BL3581">
        <v>137.94</v>
      </c>
      <c r="BM3581">
        <v>20.69</v>
      </c>
      <c r="BN3581">
        <v>158.63</v>
      </c>
      <c r="BO3581">
        <v>158.63</v>
      </c>
      <c r="BQ3581" t="s">
        <v>332</v>
      </c>
      <c r="BR3581" t="s">
        <v>84</v>
      </c>
      <c r="BS3581" s="3">
        <v>45863</v>
      </c>
      <c r="BT3581" s="4">
        <v>0.49305555555555558</v>
      </c>
      <c r="BU3581" t="s">
        <v>333</v>
      </c>
      <c r="BV3581" t="s">
        <v>98</v>
      </c>
      <c r="BY3581">
        <v>3600</v>
      </c>
      <c r="CA3581" t="s">
        <v>1153</v>
      </c>
      <c r="CC3581" t="s">
        <v>330</v>
      </c>
      <c r="CD3581">
        <v>6300</v>
      </c>
      <c r="CE3581" t="s">
        <v>91</v>
      </c>
      <c r="CF3581" s="3">
        <v>45863</v>
      </c>
      <c r="CI3581">
        <v>2</v>
      </c>
      <c r="CJ3581">
        <v>1</v>
      </c>
      <c r="CK3581">
        <v>23</v>
      </c>
      <c r="CL3581" t="s">
        <v>86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"080066761883"</f>
        <v>080066761883</v>
      </c>
      <c r="F3582" s="3">
        <v>45862</v>
      </c>
      <c r="G3582">
        <v>202604</v>
      </c>
      <c r="H3582" t="s">
        <v>75</v>
      </c>
      <c r="I3582" t="s">
        <v>76</v>
      </c>
      <c r="J3582" t="s">
        <v>77</v>
      </c>
      <c r="K3582" t="s">
        <v>78</v>
      </c>
      <c r="L3582" t="s">
        <v>79</v>
      </c>
      <c r="M3582" t="s">
        <v>80</v>
      </c>
      <c r="N3582" t="s">
        <v>286</v>
      </c>
      <c r="O3582" t="s">
        <v>82</v>
      </c>
      <c r="P3582" t="str">
        <f>"4170050436                    "</f>
        <v xml:space="preserve">4170050436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22.6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71.2</v>
      </c>
      <c r="BM3582">
        <v>10.68</v>
      </c>
      <c r="BN3582">
        <v>81.88</v>
      </c>
      <c r="BO3582">
        <v>81.88</v>
      </c>
      <c r="BQ3582" t="s">
        <v>287</v>
      </c>
      <c r="BR3582" t="s">
        <v>84</v>
      </c>
      <c r="BS3582" s="3">
        <v>45863</v>
      </c>
      <c r="BT3582" s="4">
        <v>0.30972222222222223</v>
      </c>
      <c r="BU3582" t="s">
        <v>288</v>
      </c>
      <c r="BV3582" t="s">
        <v>98</v>
      </c>
      <c r="BY3582">
        <v>1200</v>
      </c>
      <c r="CA3582" t="s">
        <v>289</v>
      </c>
      <c r="CC3582" t="s">
        <v>80</v>
      </c>
      <c r="CD3582">
        <v>7530</v>
      </c>
      <c r="CE3582" t="s">
        <v>121</v>
      </c>
      <c r="CF3582" s="3">
        <v>45866</v>
      </c>
      <c r="CI3582">
        <v>1</v>
      </c>
      <c r="CJ3582">
        <v>1</v>
      </c>
      <c r="CK3582">
        <v>21</v>
      </c>
      <c r="CL3582" t="s">
        <v>86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"080066761904"</f>
        <v>080066761904</v>
      </c>
      <c r="F3583" s="3">
        <v>45862</v>
      </c>
      <c r="G3583">
        <v>202604</v>
      </c>
      <c r="H3583" t="s">
        <v>75</v>
      </c>
      <c r="I3583" t="s">
        <v>76</v>
      </c>
      <c r="J3583" t="s">
        <v>77</v>
      </c>
      <c r="K3583" t="s">
        <v>78</v>
      </c>
      <c r="L3583" t="s">
        <v>151</v>
      </c>
      <c r="M3583" t="s">
        <v>152</v>
      </c>
      <c r="N3583" t="s">
        <v>500</v>
      </c>
      <c r="O3583" t="s">
        <v>82</v>
      </c>
      <c r="P3583" t="str">
        <f>"4170050646                    "</f>
        <v xml:space="preserve">4170050646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22.6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2</v>
      </c>
      <c r="BJ3583">
        <v>0.8</v>
      </c>
      <c r="BK3583">
        <v>2</v>
      </c>
      <c r="BL3583">
        <v>71.2</v>
      </c>
      <c r="BM3583">
        <v>10.68</v>
      </c>
      <c r="BN3583">
        <v>81.88</v>
      </c>
      <c r="BO3583">
        <v>81.88</v>
      </c>
      <c r="BQ3583" t="s">
        <v>501</v>
      </c>
      <c r="BR3583" t="s">
        <v>84</v>
      </c>
      <c r="BS3583" s="3">
        <v>45863</v>
      </c>
      <c r="BT3583" s="4">
        <v>0.41319444444444442</v>
      </c>
      <c r="BU3583" t="s">
        <v>1722</v>
      </c>
      <c r="BV3583" t="s">
        <v>98</v>
      </c>
      <c r="BY3583">
        <v>4000</v>
      </c>
      <c r="CA3583" t="s">
        <v>388</v>
      </c>
      <c r="CC3583" t="s">
        <v>152</v>
      </c>
      <c r="CD3583" s="5" t="s">
        <v>157</v>
      </c>
      <c r="CE3583" t="s">
        <v>91</v>
      </c>
      <c r="CF3583" s="3">
        <v>45863</v>
      </c>
      <c r="CI3583">
        <v>1</v>
      </c>
      <c r="CJ3583">
        <v>1</v>
      </c>
      <c r="CK3583">
        <v>21</v>
      </c>
      <c r="CL3583" t="s">
        <v>86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"080066761915"</f>
        <v>080066761915</v>
      </c>
      <c r="F3584" s="3">
        <v>45862</v>
      </c>
      <c r="G3584">
        <v>202604</v>
      </c>
      <c r="H3584" t="s">
        <v>75</v>
      </c>
      <c r="I3584" t="s">
        <v>76</v>
      </c>
      <c r="J3584" t="s">
        <v>77</v>
      </c>
      <c r="K3584" t="s">
        <v>78</v>
      </c>
      <c r="L3584" t="s">
        <v>79</v>
      </c>
      <c r="M3584" t="s">
        <v>80</v>
      </c>
      <c r="N3584" t="s">
        <v>594</v>
      </c>
      <c r="O3584" t="s">
        <v>82</v>
      </c>
      <c r="P3584" t="str">
        <f>"4170050379                    "</f>
        <v xml:space="preserve">4170050379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22.6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71.2</v>
      </c>
      <c r="BM3584">
        <v>10.68</v>
      </c>
      <c r="BN3584">
        <v>81.88</v>
      </c>
      <c r="BO3584">
        <v>81.88</v>
      </c>
      <c r="BQ3584" t="s">
        <v>595</v>
      </c>
      <c r="BR3584" t="s">
        <v>84</v>
      </c>
      <c r="BS3584" s="3">
        <v>45863</v>
      </c>
      <c r="BT3584" s="4">
        <v>0.37916666666666665</v>
      </c>
      <c r="BU3584" t="s">
        <v>596</v>
      </c>
      <c r="BV3584" t="s">
        <v>98</v>
      </c>
      <c r="BY3584">
        <v>1200</v>
      </c>
      <c r="CA3584" t="s">
        <v>579</v>
      </c>
      <c r="CC3584" t="s">
        <v>80</v>
      </c>
      <c r="CD3584">
        <v>7480</v>
      </c>
      <c r="CE3584" t="s">
        <v>121</v>
      </c>
      <c r="CF3584" s="3">
        <v>45866</v>
      </c>
      <c r="CI3584">
        <v>1</v>
      </c>
      <c r="CJ3584">
        <v>1</v>
      </c>
      <c r="CK3584">
        <v>21</v>
      </c>
      <c r="CL3584" t="s">
        <v>86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"080066761929"</f>
        <v>080066761929</v>
      </c>
      <c r="F3585" s="3">
        <v>45862</v>
      </c>
      <c r="G3585">
        <v>202604</v>
      </c>
      <c r="H3585" t="s">
        <v>75</v>
      </c>
      <c r="I3585" t="s">
        <v>76</v>
      </c>
      <c r="J3585" t="s">
        <v>77</v>
      </c>
      <c r="K3585" t="s">
        <v>78</v>
      </c>
      <c r="L3585" t="s">
        <v>168</v>
      </c>
      <c r="M3585" t="s">
        <v>169</v>
      </c>
      <c r="N3585" t="s">
        <v>191</v>
      </c>
      <c r="O3585" t="s">
        <v>82</v>
      </c>
      <c r="P3585" t="str">
        <f>"4170050673                    "</f>
        <v xml:space="preserve">4170050673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22.6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0.9</v>
      </c>
      <c r="BK3585">
        <v>2</v>
      </c>
      <c r="BL3585">
        <v>71.2</v>
      </c>
      <c r="BM3585">
        <v>10.68</v>
      </c>
      <c r="BN3585">
        <v>81.88</v>
      </c>
      <c r="BO3585">
        <v>81.88</v>
      </c>
      <c r="BQ3585" t="s">
        <v>192</v>
      </c>
      <c r="BR3585" t="s">
        <v>84</v>
      </c>
      <c r="BS3585" s="3">
        <v>45863</v>
      </c>
      <c r="BT3585" s="4">
        <v>0.43194444444444446</v>
      </c>
      <c r="BU3585" t="s">
        <v>193</v>
      </c>
      <c r="BV3585" t="s">
        <v>98</v>
      </c>
      <c r="BY3585">
        <v>4256</v>
      </c>
      <c r="CA3585">
        <v>4170050674</v>
      </c>
      <c r="CC3585" t="s">
        <v>169</v>
      </c>
      <c r="CD3585">
        <v>6056</v>
      </c>
      <c r="CE3585" t="s">
        <v>259</v>
      </c>
      <c r="CF3585" s="3">
        <v>45863</v>
      </c>
      <c r="CI3585">
        <v>1</v>
      </c>
      <c r="CJ3585">
        <v>1</v>
      </c>
      <c r="CK3585">
        <v>21</v>
      </c>
      <c r="CL3585" t="s">
        <v>86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"080066761931"</f>
        <v>080066761931</v>
      </c>
      <c r="F3586" s="3">
        <v>45862</v>
      </c>
      <c r="G3586">
        <v>202604</v>
      </c>
      <c r="H3586" t="s">
        <v>75</v>
      </c>
      <c r="I3586" t="s">
        <v>76</v>
      </c>
      <c r="J3586" t="s">
        <v>77</v>
      </c>
      <c r="K3586" t="s">
        <v>78</v>
      </c>
      <c r="L3586" t="s">
        <v>151</v>
      </c>
      <c r="M3586" t="s">
        <v>152</v>
      </c>
      <c r="N3586" t="s">
        <v>153</v>
      </c>
      <c r="O3586" t="s">
        <v>82</v>
      </c>
      <c r="P3586" t="str">
        <f>"4170050652                    "</f>
        <v xml:space="preserve">4170050652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22.6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71.2</v>
      </c>
      <c r="BM3586">
        <v>10.68</v>
      </c>
      <c r="BN3586">
        <v>81.88</v>
      </c>
      <c r="BO3586">
        <v>81.88</v>
      </c>
      <c r="BQ3586" t="s">
        <v>154</v>
      </c>
      <c r="BR3586" t="s">
        <v>84</v>
      </c>
      <c r="BS3586" s="3">
        <v>45863</v>
      </c>
      <c r="BT3586" s="4">
        <v>0.35416666666666669</v>
      </c>
      <c r="BU3586" t="s">
        <v>3406</v>
      </c>
      <c r="BV3586" t="s">
        <v>98</v>
      </c>
      <c r="BY3586">
        <v>1200</v>
      </c>
      <c r="CA3586" t="s">
        <v>559</v>
      </c>
      <c r="CC3586" t="s">
        <v>152</v>
      </c>
      <c r="CD3586" s="5" t="s">
        <v>157</v>
      </c>
      <c r="CE3586" t="s">
        <v>121</v>
      </c>
      <c r="CF3586" s="3">
        <v>45863</v>
      </c>
      <c r="CI3586">
        <v>1</v>
      </c>
      <c r="CJ3586">
        <v>1</v>
      </c>
      <c r="CK3586">
        <v>21</v>
      </c>
      <c r="CL3586" t="s">
        <v>86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"080066761951"</f>
        <v>080066761951</v>
      </c>
      <c r="F3587" s="3">
        <v>45862</v>
      </c>
      <c r="G3587">
        <v>202604</v>
      </c>
      <c r="H3587" t="s">
        <v>75</v>
      </c>
      <c r="I3587" t="s">
        <v>76</v>
      </c>
      <c r="J3587" t="s">
        <v>77</v>
      </c>
      <c r="K3587" t="s">
        <v>78</v>
      </c>
      <c r="L3587" t="s">
        <v>92</v>
      </c>
      <c r="M3587" t="s">
        <v>93</v>
      </c>
      <c r="N3587" t="s">
        <v>1591</v>
      </c>
      <c r="O3587" t="s">
        <v>82</v>
      </c>
      <c r="P3587" t="str">
        <f>"4170050677                    "</f>
        <v xml:space="preserve">4170050677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22.6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71.2</v>
      </c>
      <c r="BM3587">
        <v>10.68</v>
      </c>
      <c r="BN3587">
        <v>81.88</v>
      </c>
      <c r="BO3587">
        <v>81.88</v>
      </c>
      <c r="BQ3587" t="s">
        <v>1592</v>
      </c>
      <c r="BR3587" t="s">
        <v>84</v>
      </c>
      <c r="BS3587" s="3">
        <v>45863</v>
      </c>
      <c r="BT3587" s="4">
        <v>0.43194444444444446</v>
      </c>
      <c r="BU3587" t="s">
        <v>1593</v>
      </c>
      <c r="BV3587" t="s">
        <v>98</v>
      </c>
      <c r="BY3587">
        <v>1200</v>
      </c>
      <c r="CA3587" t="s">
        <v>1594</v>
      </c>
      <c r="CC3587" t="s">
        <v>93</v>
      </c>
      <c r="CD3587">
        <v>4000</v>
      </c>
      <c r="CE3587" t="s">
        <v>121</v>
      </c>
      <c r="CF3587" s="3">
        <v>45863</v>
      </c>
      <c r="CI3587">
        <v>1</v>
      </c>
      <c r="CJ3587">
        <v>1</v>
      </c>
      <c r="CK3587">
        <v>21</v>
      </c>
      <c r="CL3587" t="s">
        <v>86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"080066761966"</f>
        <v>080066761966</v>
      </c>
      <c r="F3588" s="3">
        <v>45862</v>
      </c>
      <c r="G3588">
        <v>202604</v>
      </c>
      <c r="H3588" t="s">
        <v>75</v>
      </c>
      <c r="I3588" t="s">
        <v>76</v>
      </c>
      <c r="J3588" t="s">
        <v>77</v>
      </c>
      <c r="K3588" t="s">
        <v>78</v>
      </c>
      <c r="L3588" t="s">
        <v>980</v>
      </c>
      <c r="M3588" t="s">
        <v>981</v>
      </c>
      <c r="N3588" t="s">
        <v>982</v>
      </c>
      <c r="O3588" t="s">
        <v>95</v>
      </c>
      <c r="P3588" t="str">
        <f>"4170050689                    "</f>
        <v xml:space="preserve">4170050689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63.55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2</v>
      </c>
      <c r="BI3588">
        <v>26</v>
      </c>
      <c r="BJ3588">
        <v>11.2</v>
      </c>
      <c r="BK3588">
        <v>26</v>
      </c>
      <c r="BL3588">
        <v>206.08</v>
      </c>
      <c r="BM3588">
        <v>30.91</v>
      </c>
      <c r="BN3588">
        <v>236.99</v>
      </c>
      <c r="BO3588">
        <v>236.99</v>
      </c>
      <c r="BQ3588" t="s">
        <v>983</v>
      </c>
      <c r="BR3588" t="s">
        <v>84</v>
      </c>
      <c r="BS3588" s="3">
        <v>45866</v>
      </c>
      <c r="BT3588" s="4">
        <v>0.46250000000000002</v>
      </c>
      <c r="BU3588" t="s">
        <v>3412</v>
      </c>
      <c r="BV3588" t="s">
        <v>98</v>
      </c>
      <c r="BY3588">
        <v>55955</v>
      </c>
      <c r="CA3588" t="s">
        <v>3413</v>
      </c>
      <c r="CC3588" t="s">
        <v>981</v>
      </c>
      <c r="CD3588">
        <v>6529</v>
      </c>
      <c r="CE3588" t="s">
        <v>167</v>
      </c>
      <c r="CF3588" s="3">
        <v>45866</v>
      </c>
      <c r="CI3588">
        <v>3</v>
      </c>
      <c r="CJ3588">
        <v>2</v>
      </c>
      <c r="CK3588">
        <v>41</v>
      </c>
      <c r="CL3588" t="s">
        <v>86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"080066761969"</f>
        <v>080066761969</v>
      </c>
      <c r="F3589" s="3">
        <v>45862</v>
      </c>
      <c r="G3589">
        <v>202604</v>
      </c>
      <c r="H3589" t="s">
        <v>75</v>
      </c>
      <c r="I3589" t="s">
        <v>76</v>
      </c>
      <c r="J3589" t="s">
        <v>77</v>
      </c>
      <c r="K3589" t="s">
        <v>78</v>
      </c>
      <c r="L3589" t="s">
        <v>79</v>
      </c>
      <c r="M3589" t="s">
        <v>80</v>
      </c>
      <c r="N3589" t="s">
        <v>286</v>
      </c>
      <c r="O3589" t="s">
        <v>82</v>
      </c>
      <c r="P3589" t="str">
        <f>"4170050649                    "</f>
        <v xml:space="preserve">4170050649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22.6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71.2</v>
      </c>
      <c r="BM3589">
        <v>10.68</v>
      </c>
      <c r="BN3589">
        <v>81.88</v>
      </c>
      <c r="BO3589">
        <v>81.88</v>
      </c>
      <c r="BQ3589" t="s">
        <v>287</v>
      </c>
      <c r="BR3589" t="s">
        <v>84</v>
      </c>
      <c r="BS3589" s="3">
        <v>45863</v>
      </c>
      <c r="BT3589" s="4">
        <v>0.30972222222222223</v>
      </c>
      <c r="BU3589" t="s">
        <v>288</v>
      </c>
      <c r="BV3589" t="s">
        <v>98</v>
      </c>
      <c r="BY3589">
        <v>1200</v>
      </c>
      <c r="CA3589" t="s">
        <v>289</v>
      </c>
      <c r="CC3589" t="s">
        <v>80</v>
      </c>
      <c r="CD3589">
        <v>7530</v>
      </c>
      <c r="CE3589" t="s">
        <v>121</v>
      </c>
      <c r="CF3589" s="3">
        <v>45866</v>
      </c>
      <c r="CI3589">
        <v>1</v>
      </c>
      <c r="CJ3589">
        <v>1</v>
      </c>
      <c r="CK3589">
        <v>21</v>
      </c>
      <c r="CL3589" t="s">
        <v>86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"080066761988"</f>
        <v>080066761988</v>
      </c>
      <c r="F3590" s="3">
        <v>45862</v>
      </c>
      <c r="G3590">
        <v>202604</v>
      </c>
      <c r="H3590" t="s">
        <v>75</v>
      </c>
      <c r="I3590" t="s">
        <v>76</v>
      </c>
      <c r="J3590" t="s">
        <v>77</v>
      </c>
      <c r="K3590" t="s">
        <v>78</v>
      </c>
      <c r="L3590" t="s">
        <v>277</v>
      </c>
      <c r="M3590" t="s">
        <v>278</v>
      </c>
      <c r="N3590" t="s">
        <v>918</v>
      </c>
      <c r="O3590" t="s">
        <v>82</v>
      </c>
      <c r="P3590" t="str">
        <f>"4170050620                    "</f>
        <v xml:space="preserve">4170050620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22.6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71.2</v>
      </c>
      <c r="BM3590">
        <v>10.68</v>
      </c>
      <c r="BN3590">
        <v>81.88</v>
      </c>
      <c r="BO3590">
        <v>81.88</v>
      </c>
      <c r="BQ3590" t="s">
        <v>919</v>
      </c>
      <c r="BR3590" t="s">
        <v>84</v>
      </c>
      <c r="BS3590" s="3">
        <v>45863</v>
      </c>
      <c r="BT3590" s="4">
        <v>0.55694444444444446</v>
      </c>
      <c r="BU3590" t="s">
        <v>2766</v>
      </c>
      <c r="BV3590" t="s">
        <v>86</v>
      </c>
      <c r="BW3590" t="s">
        <v>194</v>
      </c>
      <c r="BX3590" t="s">
        <v>195</v>
      </c>
      <c r="BY3590">
        <v>1200</v>
      </c>
      <c r="CA3590" t="s">
        <v>282</v>
      </c>
      <c r="CC3590" t="s">
        <v>278</v>
      </c>
      <c r="CD3590">
        <v>6229</v>
      </c>
      <c r="CE3590" t="s">
        <v>121</v>
      </c>
      <c r="CF3590" s="3">
        <v>45863</v>
      </c>
      <c r="CI3590">
        <v>1</v>
      </c>
      <c r="CJ3590">
        <v>1</v>
      </c>
      <c r="CK3590">
        <v>21</v>
      </c>
      <c r="CL3590" t="s">
        <v>86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"080066762008"</f>
        <v>080066762008</v>
      </c>
      <c r="F3591" s="3">
        <v>45862</v>
      </c>
      <c r="G3591">
        <v>202604</v>
      </c>
      <c r="H3591" t="s">
        <v>75</v>
      </c>
      <c r="I3591" t="s">
        <v>76</v>
      </c>
      <c r="J3591" t="s">
        <v>77</v>
      </c>
      <c r="K3591" t="s">
        <v>78</v>
      </c>
      <c r="L3591" t="s">
        <v>79</v>
      </c>
      <c r="M3591" t="s">
        <v>80</v>
      </c>
      <c r="N3591" t="s">
        <v>576</v>
      </c>
      <c r="O3591" t="s">
        <v>82</v>
      </c>
      <c r="P3591" t="str">
        <f>"4170050615                    "</f>
        <v xml:space="preserve">4170050615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22.6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71.2</v>
      </c>
      <c r="BM3591">
        <v>10.68</v>
      </c>
      <c r="BN3591">
        <v>81.88</v>
      </c>
      <c r="BO3591">
        <v>81.88</v>
      </c>
      <c r="BQ3591" t="s">
        <v>577</v>
      </c>
      <c r="BR3591" t="s">
        <v>84</v>
      </c>
      <c r="BS3591" s="3">
        <v>45863</v>
      </c>
      <c r="BT3591" s="4">
        <v>0.45416666666666666</v>
      </c>
      <c r="BU3591" t="s">
        <v>3414</v>
      </c>
      <c r="BV3591" t="s">
        <v>86</v>
      </c>
      <c r="BW3591" t="s">
        <v>87</v>
      </c>
      <c r="BX3591" t="s">
        <v>2871</v>
      </c>
      <c r="BY3591">
        <v>1200</v>
      </c>
      <c r="CC3591" t="s">
        <v>80</v>
      </c>
      <c r="CD3591">
        <v>7480</v>
      </c>
      <c r="CE3591" t="s">
        <v>121</v>
      </c>
      <c r="CF3591" s="3">
        <v>45866</v>
      </c>
      <c r="CI3591">
        <v>1</v>
      </c>
      <c r="CJ3591">
        <v>1</v>
      </c>
      <c r="CK3591">
        <v>21</v>
      </c>
      <c r="CL3591" t="s">
        <v>86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"080066762039"</f>
        <v>080066762039</v>
      </c>
      <c r="F3592" s="3">
        <v>45862</v>
      </c>
      <c r="G3592">
        <v>202604</v>
      </c>
      <c r="H3592" t="s">
        <v>75</v>
      </c>
      <c r="I3592" t="s">
        <v>76</v>
      </c>
      <c r="J3592" t="s">
        <v>77</v>
      </c>
      <c r="K3592" t="s">
        <v>78</v>
      </c>
      <c r="L3592" t="s">
        <v>79</v>
      </c>
      <c r="M3592" t="s">
        <v>80</v>
      </c>
      <c r="N3592" t="s">
        <v>755</v>
      </c>
      <c r="O3592" t="s">
        <v>82</v>
      </c>
      <c r="P3592" t="str">
        <f>"4170050678                    "</f>
        <v xml:space="preserve">4170050678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22.6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71.2</v>
      </c>
      <c r="BM3592">
        <v>10.68</v>
      </c>
      <c r="BN3592">
        <v>81.88</v>
      </c>
      <c r="BO3592">
        <v>81.88</v>
      </c>
      <c r="BQ3592" t="s">
        <v>756</v>
      </c>
      <c r="BR3592" t="s">
        <v>84</v>
      </c>
      <c r="BS3592" s="3">
        <v>45863</v>
      </c>
      <c r="BT3592" s="4">
        <v>0.39097222222222222</v>
      </c>
      <c r="BU3592" t="s">
        <v>3396</v>
      </c>
      <c r="BV3592" t="s">
        <v>98</v>
      </c>
      <c r="BY3592">
        <v>1200</v>
      </c>
      <c r="CA3592" t="s">
        <v>3397</v>
      </c>
      <c r="CC3592" t="s">
        <v>80</v>
      </c>
      <c r="CD3592">
        <v>7945</v>
      </c>
      <c r="CE3592" t="s">
        <v>121</v>
      </c>
      <c r="CF3592" s="3">
        <v>45866</v>
      </c>
      <c r="CI3592">
        <v>1</v>
      </c>
      <c r="CJ3592">
        <v>1</v>
      </c>
      <c r="CK3592">
        <v>21</v>
      </c>
      <c r="CL3592" t="s">
        <v>86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"080066762038"</f>
        <v>080066762038</v>
      </c>
      <c r="F3593" s="3">
        <v>45862</v>
      </c>
      <c r="G3593">
        <v>202604</v>
      </c>
      <c r="H3593" t="s">
        <v>75</v>
      </c>
      <c r="I3593" t="s">
        <v>76</v>
      </c>
      <c r="J3593" t="s">
        <v>77</v>
      </c>
      <c r="K3593" t="s">
        <v>78</v>
      </c>
      <c r="L3593" t="s">
        <v>305</v>
      </c>
      <c r="M3593" t="s">
        <v>306</v>
      </c>
      <c r="N3593" t="s">
        <v>1320</v>
      </c>
      <c r="O3593" t="s">
        <v>95</v>
      </c>
      <c r="P3593" t="str">
        <f>"4170050644                    "</f>
        <v xml:space="preserve">4170050644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49.11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9</v>
      </c>
      <c r="BJ3593">
        <v>17.7</v>
      </c>
      <c r="BK3593">
        <v>18</v>
      </c>
      <c r="BL3593">
        <v>160.6</v>
      </c>
      <c r="BM3593">
        <v>24.09</v>
      </c>
      <c r="BN3593">
        <v>184.69</v>
      </c>
      <c r="BO3593">
        <v>184.69</v>
      </c>
      <c r="BQ3593" t="s">
        <v>308</v>
      </c>
      <c r="BR3593" t="s">
        <v>84</v>
      </c>
      <c r="BS3593" s="3">
        <v>45866</v>
      </c>
      <c r="BT3593" s="4">
        <v>0.40416666666666667</v>
      </c>
      <c r="BU3593" t="s">
        <v>3415</v>
      </c>
      <c r="BV3593" t="s">
        <v>98</v>
      </c>
      <c r="BY3593">
        <v>88320</v>
      </c>
      <c r="CA3593" t="s">
        <v>2174</v>
      </c>
      <c r="CC3593" t="s">
        <v>306</v>
      </c>
      <c r="CD3593">
        <v>5201</v>
      </c>
      <c r="CE3593" t="s">
        <v>145</v>
      </c>
      <c r="CF3593" s="3">
        <v>45867</v>
      </c>
      <c r="CI3593">
        <v>3</v>
      </c>
      <c r="CJ3593">
        <v>2</v>
      </c>
      <c r="CK3593">
        <v>41</v>
      </c>
      <c r="CL3593" t="s">
        <v>86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"080066762067"</f>
        <v>080066762067</v>
      </c>
      <c r="F3594" s="3">
        <v>45862</v>
      </c>
      <c r="G3594">
        <v>202604</v>
      </c>
      <c r="H3594" t="s">
        <v>75</v>
      </c>
      <c r="I3594" t="s">
        <v>76</v>
      </c>
      <c r="J3594" t="s">
        <v>77</v>
      </c>
      <c r="K3594" t="s">
        <v>78</v>
      </c>
      <c r="L3594" t="s">
        <v>75</v>
      </c>
      <c r="M3594" t="s">
        <v>76</v>
      </c>
      <c r="N3594" t="s">
        <v>1158</v>
      </c>
      <c r="O3594" t="s">
        <v>82</v>
      </c>
      <c r="P3594" t="str">
        <f>"4170049893                    "</f>
        <v xml:space="preserve">4170049893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17.649999999999999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55.61</v>
      </c>
      <c r="BM3594">
        <v>8.34</v>
      </c>
      <c r="BN3594">
        <v>63.95</v>
      </c>
      <c r="BO3594">
        <v>63.95</v>
      </c>
      <c r="BQ3594" t="s">
        <v>1159</v>
      </c>
      <c r="BR3594" t="s">
        <v>84</v>
      </c>
      <c r="BS3594" s="3">
        <v>45863</v>
      </c>
      <c r="BT3594" s="4">
        <v>0.43402777777777779</v>
      </c>
      <c r="BU3594" t="s">
        <v>1718</v>
      </c>
      <c r="BV3594" t="s">
        <v>98</v>
      </c>
      <c r="BY3594">
        <v>1200</v>
      </c>
      <c r="CA3594" t="s">
        <v>304</v>
      </c>
      <c r="CC3594" t="s">
        <v>76</v>
      </c>
      <c r="CD3594">
        <v>1619</v>
      </c>
      <c r="CE3594" t="s">
        <v>121</v>
      </c>
      <c r="CF3594" s="3">
        <v>45863</v>
      </c>
      <c r="CI3594">
        <v>1</v>
      </c>
      <c r="CJ3594">
        <v>1</v>
      </c>
      <c r="CK3594">
        <v>22</v>
      </c>
      <c r="CL3594" t="s">
        <v>86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"080066762096"</f>
        <v>080066762096</v>
      </c>
      <c r="F3595" s="3">
        <v>45862</v>
      </c>
      <c r="G3595">
        <v>202604</v>
      </c>
      <c r="H3595" t="s">
        <v>75</v>
      </c>
      <c r="I3595" t="s">
        <v>76</v>
      </c>
      <c r="J3595" t="s">
        <v>77</v>
      </c>
      <c r="K3595" t="s">
        <v>78</v>
      </c>
      <c r="L3595" t="s">
        <v>168</v>
      </c>
      <c r="M3595" t="s">
        <v>169</v>
      </c>
      <c r="N3595" t="s">
        <v>206</v>
      </c>
      <c r="O3595" t="s">
        <v>82</v>
      </c>
      <c r="P3595" t="str">
        <f>"4170050662                    "</f>
        <v xml:space="preserve">4170050662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22.6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71.2</v>
      </c>
      <c r="BM3595">
        <v>10.68</v>
      </c>
      <c r="BN3595">
        <v>81.88</v>
      </c>
      <c r="BO3595">
        <v>81.88</v>
      </c>
      <c r="BQ3595" t="s">
        <v>207</v>
      </c>
      <c r="BR3595" t="s">
        <v>84</v>
      </c>
      <c r="BS3595" s="3">
        <v>45863</v>
      </c>
      <c r="BT3595" s="4">
        <v>0.41041666666666665</v>
      </c>
      <c r="BU3595" t="s">
        <v>2957</v>
      </c>
      <c r="BV3595" t="s">
        <v>98</v>
      </c>
      <c r="BY3595">
        <v>1200</v>
      </c>
      <c r="CA3595" t="s">
        <v>196</v>
      </c>
      <c r="CC3595" t="s">
        <v>169</v>
      </c>
      <c r="CD3595">
        <v>6001</v>
      </c>
      <c r="CE3595" t="s">
        <v>121</v>
      </c>
      <c r="CF3595" s="3">
        <v>45863</v>
      </c>
      <c r="CI3595">
        <v>1</v>
      </c>
      <c r="CJ3595">
        <v>1</v>
      </c>
      <c r="CK3595">
        <v>21</v>
      </c>
      <c r="CL3595" t="s">
        <v>86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"080066762240"</f>
        <v>080066762240</v>
      </c>
      <c r="F3596" s="3">
        <v>45862</v>
      </c>
      <c r="G3596">
        <v>202604</v>
      </c>
      <c r="H3596" t="s">
        <v>75</v>
      </c>
      <c r="I3596" t="s">
        <v>76</v>
      </c>
      <c r="J3596" t="s">
        <v>77</v>
      </c>
      <c r="K3596" t="s">
        <v>78</v>
      </c>
      <c r="L3596" t="s">
        <v>168</v>
      </c>
      <c r="M3596" t="s">
        <v>169</v>
      </c>
      <c r="N3596" t="s">
        <v>420</v>
      </c>
      <c r="O3596" t="s">
        <v>82</v>
      </c>
      <c r="P3596" t="str">
        <f>"4170050670                    "</f>
        <v xml:space="preserve">4170050670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22.6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71.2</v>
      </c>
      <c r="BM3596">
        <v>10.68</v>
      </c>
      <c r="BN3596">
        <v>81.88</v>
      </c>
      <c r="BO3596">
        <v>81.88</v>
      </c>
      <c r="BQ3596" t="s">
        <v>421</v>
      </c>
      <c r="BR3596" t="s">
        <v>84</v>
      </c>
      <c r="BS3596" s="3">
        <v>45863</v>
      </c>
      <c r="BT3596" s="4">
        <v>0.42708333333333331</v>
      </c>
      <c r="BU3596" t="s">
        <v>238</v>
      </c>
      <c r="BV3596" t="s">
        <v>98</v>
      </c>
      <c r="BY3596">
        <v>1200</v>
      </c>
      <c r="CA3596" t="s">
        <v>423</v>
      </c>
      <c r="CC3596" t="s">
        <v>169</v>
      </c>
      <c r="CD3596">
        <v>6001</v>
      </c>
      <c r="CE3596" t="s">
        <v>121</v>
      </c>
      <c r="CF3596" s="3">
        <v>45866</v>
      </c>
      <c r="CI3596">
        <v>1</v>
      </c>
      <c r="CJ3596">
        <v>1</v>
      </c>
      <c r="CK3596">
        <v>21</v>
      </c>
      <c r="CL3596" t="s">
        <v>86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"080066762249"</f>
        <v>080066762249</v>
      </c>
      <c r="F3597" s="3">
        <v>45862</v>
      </c>
      <c r="G3597">
        <v>202604</v>
      </c>
      <c r="H3597" t="s">
        <v>75</v>
      </c>
      <c r="I3597" t="s">
        <v>76</v>
      </c>
      <c r="J3597" t="s">
        <v>77</v>
      </c>
      <c r="K3597" t="s">
        <v>78</v>
      </c>
      <c r="L3597" t="s">
        <v>122</v>
      </c>
      <c r="M3597" t="s">
        <v>123</v>
      </c>
      <c r="N3597" t="s">
        <v>283</v>
      </c>
      <c r="O3597" t="s">
        <v>82</v>
      </c>
      <c r="P3597" t="str">
        <f>"4170050480                    "</f>
        <v xml:space="preserve">4170050480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22.6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71.2</v>
      </c>
      <c r="BM3597">
        <v>10.68</v>
      </c>
      <c r="BN3597">
        <v>81.88</v>
      </c>
      <c r="BO3597">
        <v>81.88</v>
      </c>
      <c r="BQ3597" t="s">
        <v>284</v>
      </c>
      <c r="BR3597" t="s">
        <v>84</v>
      </c>
      <c r="BS3597" s="3">
        <v>45863</v>
      </c>
      <c r="BT3597" s="4">
        <v>0.38194444444444442</v>
      </c>
      <c r="BU3597" t="s">
        <v>3416</v>
      </c>
      <c r="BV3597" t="s">
        <v>98</v>
      </c>
      <c r="BY3597">
        <v>1200</v>
      </c>
      <c r="CC3597" t="s">
        <v>123</v>
      </c>
      <c r="CD3597">
        <v>3608</v>
      </c>
      <c r="CE3597" t="s">
        <v>121</v>
      </c>
      <c r="CF3597" s="3">
        <v>45864</v>
      </c>
      <c r="CI3597">
        <v>1</v>
      </c>
      <c r="CJ3597">
        <v>1</v>
      </c>
      <c r="CK3597">
        <v>21</v>
      </c>
      <c r="CL3597" t="s">
        <v>86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"080066762256"</f>
        <v>080066762256</v>
      </c>
      <c r="F3598" s="3">
        <v>45862</v>
      </c>
      <c r="G3598">
        <v>202604</v>
      </c>
      <c r="H3598" t="s">
        <v>75</v>
      </c>
      <c r="I3598" t="s">
        <v>76</v>
      </c>
      <c r="J3598" t="s">
        <v>77</v>
      </c>
      <c r="K3598" t="s">
        <v>78</v>
      </c>
      <c r="L3598" t="s">
        <v>174</v>
      </c>
      <c r="M3598" t="s">
        <v>175</v>
      </c>
      <c r="N3598" t="s">
        <v>176</v>
      </c>
      <c r="O3598" t="s">
        <v>82</v>
      </c>
      <c r="P3598" t="str">
        <f>"4170050389                    "</f>
        <v xml:space="preserve">4170050389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22.6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71.2</v>
      </c>
      <c r="BM3598">
        <v>10.68</v>
      </c>
      <c r="BN3598">
        <v>81.88</v>
      </c>
      <c r="BO3598">
        <v>81.88</v>
      </c>
      <c r="BQ3598" t="s">
        <v>177</v>
      </c>
      <c r="BR3598" t="s">
        <v>84</v>
      </c>
      <c r="BS3598" s="3">
        <v>45863</v>
      </c>
      <c r="BT3598" s="4">
        <v>0.4201388888888889</v>
      </c>
      <c r="BU3598" t="s">
        <v>3417</v>
      </c>
      <c r="BV3598" t="s">
        <v>98</v>
      </c>
      <c r="BY3598">
        <v>1200</v>
      </c>
      <c r="CA3598" t="s">
        <v>3373</v>
      </c>
      <c r="CC3598" t="s">
        <v>175</v>
      </c>
      <c r="CD3598">
        <v>6220</v>
      </c>
      <c r="CE3598" t="s">
        <v>121</v>
      </c>
      <c r="CF3598" s="3">
        <v>45863</v>
      </c>
      <c r="CI3598">
        <v>1</v>
      </c>
      <c r="CJ3598">
        <v>1</v>
      </c>
      <c r="CK3598">
        <v>21</v>
      </c>
      <c r="CL3598" t="s">
        <v>86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"080066762264"</f>
        <v>080066762264</v>
      </c>
      <c r="F3599" s="3">
        <v>45862</v>
      </c>
      <c r="G3599">
        <v>202604</v>
      </c>
      <c r="H3599" t="s">
        <v>75</v>
      </c>
      <c r="I3599" t="s">
        <v>76</v>
      </c>
      <c r="J3599" t="s">
        <v>77</v>
      </c>
      <c r="K3599" t="s">
        <v>78</v>
      </c>
      <c r="L3599" t="s">
        <v>92</v>
      </c>
      <c r="M3599" t="s">
        <v>93</v>
      </c>
      <c r="N3599" t="s">
        <v>291</v>
      </c>
      <c r="O3599" t="s">
        <v>82</v>
      </c>
      <c r="P3599" t="str">
        <f>"4170050672                    "</f>
        <v xml:space="preserve">4170050672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22.6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71.2</v>
      </c>
      <c r="BM3599">
        <v>10.68</v>
      </c>
      <c r="BN3599">
        <v>81.88</v>
      </c>
      <c r="BO3599">
        <v>81.88</v>
      </c>
      <c r="BQ3599" t="s">
        <v>292</v>
      </c>
      <c r="BR3599" t="s">
        <v>84</v>
      </c>
      <c r="BS3599" s="3">
        <v>45863</v>
      </c>
      <c r="BT3599" s="4">
        <v>0.31944444444444442</v>
      </c>
      <c r="BU3599" t="s">
        <v>971</v>
      </c>
      <c r="BV3599" t="s">
        <v>98</v>
      </c>
      <c r="BY3599">
        <v>1200</v>
      </c>
      <c r="CA3599" t="s">
        <v>294</v>
      </c>
      <c r="CC3599" t="s">
        <v>93</v>
      </c>
      <c r="CD3599">
        <v>4000</v>
      </c>
      <c r="CE3599" t="s">
        <v>121</v>
      </c>
      <c r="CF3599" s="3">
        <v>45863</v>
      </c>
      <c r="CI3599">
        <v>1</v>
      </c>
      <c r="CJ3599">
        <v>1</v>
      </c>
      <c r="CK3599">
        <v>21</v>
      </c>
      <c r="CL3599" t="s">
        <v>86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"080066762279"</f>
        <v>080066762279</v>
      </c>
      <c r="F3600" s="3">
        <v>45862</v>
      </c>
      <c r="G3600">
        <v>202604</v>
      </c>
      <c r="H3600" t="s">
        <v>75</v>
      </c>
      <c r="I3600" t="s">
        <v>76</v>
      </c>
      <c r="J3600" t="s">
        <v>77</v>
      </c>
      <c r="K3600" t="s">
        <v>78</v>
      </c>
      <c r="L3600" t="s">
        <v>503</v>
      </c>
      <c r="M3600" t="s">
        <v>504</v>
      </c>
      <c r="N3600" t="s">
        <v>505</v>
      </c>
      <c r="O3600" t="s">
        <v>82</v>
      </c>
      <c r="P3600" t="str">
        <f>"4170050410                    "</f>
        <v xml:space="preserve">4170050410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43.78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137.94</v>
      </c>
      <c r="BM3600">
        <v>20.69</v>
      </c>
      <c r="BN3600">
        <v>158.63</v>
      </c>
      <c r="BO3600">
        <v>158.63</v>
      </c>
      <c r="BQ3600" t="s">
        <v>506</v>
      </c>
      <c r="BR3600" t="s">
        <v>84</v>
      </c>
      <c r="BS3600" s="3">
        <v>45863</v>
      </c>
      <c r="BT3600" s="4">
        <v>0.47430555555555554</v>
      </c>
      <c r="BU3600" t="s">
        <v>1235</v>
      </c>
      <c r="BV3600" t="s">
        <v>98</v>
      </c>
      <c r="BY3600">
        <v>1200</v>
      </c>
      <c r="CA3600" t="s">
        <v>508</v>
      </c>
      <c r="CC3600" t="s">
        <v>504</v>
      </c>
      <c r="CD3600">
        <v>7130</v>
      </c>
      <c r="CE3600" t="s">
        <v>121</v>
      </c>
      <c r="CF3600" s="3">
        <v>45866</v>
      </c>
      <c r="CI3600">
        <v>1</v>
      </c>
      <c r="CJ3600">
        <v>1</v>
      </c>
      <c r="CK3600">
        <v>23</v>
      </c>
      <c r="CL3600" t="s">
        <v>86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"080066762284"</f>
        <v>080066762284</v>
      </c>
      <c r="F3601" s="3">
        <v>45862</v>
      </c>
      <c r="G3601">
        <v>202604</v>
      </c>
      <c r="H3601" t="s">
        <v>75</v>
      </c>
      <c r="I3601" t="s">
        <v>76</v>
      </c>
      <c r="J3601" t="s">
        <v>77</v>
      </c>
      <c r="K3601" t="s">
        <v>78</v>
      </c>
      <c r="L3601" t="s">
        <v>168</v>
      </c>
      <c r="M3601" t="s">
        <v>169</v>
      </c>
      <c r="N3601" t="s">
        <v>202</v>
      </c>
      <c r="O3601" t="s">
        <v>82</v>
      </c>
      <c r="P3601" t="str">
        <f>"4170050658                    "</f>
        <v xml:space="preserve">4170050658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22.6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71.2</v>
      </c>
      <c r="BM3601">
        <v>10.68</v>
      </c>
      <c r="BN3601">
        <v>81.88</v>
      </c>
      <c r="BO3601">
        <v>81.88</v>
      </c>
      <c r="BQ3601" t="s">
        <v>203</v>
      </c>
      <c r="BR3601" t="s">
        <v>84</v>
      </c>
      <c r="BS3601" s="3">
        <v>45863</v>
      </c>
      <c r="BT3601" s="4">
        <v>0.38263888888888886</v>
      </c>
      <c r="BU3601" t="s">
        <v>1127</v>
      </c>
      <c r="BV3601" t="s">
        <v>98</v>
      </c>
      <c r="BY3601">
        <v>1200</v>
      </c>
      <c r="CA3601" t="s">
        <v>205</v>
      </c>
      <c r="CC3601" t="s">
        <v>169</v>
      </c>
      <c r="CD3601">
        <v>6001</v>
      </c>
      <c r="CE3601" t="s">
        <v>121</v>
      </c>
      <c r="CF3601" s="3">
        <v>45863</v>
      </c>
      <c r="CI3601">
        <v>1</v>
      </c>
      <c r="CJ3601">
        <v>1</v>
      </c>
      <c r="CK3601">
        <v>21</v>
      </c>
      <c r="CL3601" t="s">
        <v>86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"080066762298"</f>
        <v>080066762298</v>
      </c>
      <c r="F3602" s="3">
        <v>45862</v>
      </c>
      <c r="G3602">
        <v>202604</v>
      </c>
      <c r="H3602" t="s">
        <v>75</v>
      </c>
      <c r="I3602" t="s">
        <v>76</v>
      </c>
      <c r="J3602" t="s">
        <v>77</v>
      </c>
      <c r="K3602" t="s">
        <v>78</v>
      </c>
      <c r="L3602" t="s">
        <v>240</v>
      </c>
      <c r="M3602" t="s">
        <v>241</v>
      </c>
      <c r="N3602" t="s">
        <v>686</v>
      </c>
      <c r="O3602" t="s">
        <v>82</v>
      </c>
      <c r="P3602" t="str">
        <f>"4170050518                    "</f>
        <v xml:space="preserve">4170050518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17.649999999999999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55.61</v>
      </c>
      <c r="BM3602">
        <v>8.34</v>
      </c>
      <c r="BN3602">
        <v>63.95</v>
      </c>
      <c r="BO3602">
        <v>63.95</v>
      </c>
      <c r="BQ3602" t="s">
        <v>687</v>
      </c>
      <c r="BR3602" t="s">
        <v>84</v>
      </c>
      <c r="BS3602" s="3">
        <v>45863</v>
      </c>
      <c r="BT3602" s="4">
        <v>0.3840277777777778</v>
      </c>
      <c r="BU3602" t="s">
        <v>3418</v>
      </c>
      <c r="BV3602" t="s">
        <v>98</v>
      </c>
      <c r="BY3602">
        <v>1200</v>
      </c>
      <c r="CA3602" t="s">
        <v>451</v>
      </c>
      <c r="CC3602" t="s">
        <v>241</v>
      </c>
      <c r="CD3602">
        <v>2094</v>
      </c>
      <c r="CE3602" t="s">
        <v>121</v>
      </c>
      <c r="CF3602" s="3">
        <v>45864</v>
      </c>
      <c r="CI3602">
        <v>1</v>
      </c>
      <c r="CJ3602">
        <v>1</v>
      </c>
      <c r="CK3602">
        <v>22</v>
      </c>
      <c r="CL3602" t="s">
        <v>86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"080066762305"</f>
        <v>080066762305</v>
      </c>
      <c r="F3603" s="3">
        <v>45862</v>
      </c>
      <c r="G3603">
        <v>202604</v>
      </c>
      <c r="H3603" t="s">
        <v>75</v>
      </c>
      <c r="I3603" t="s">
        <v>76</v>
      </c>
      <c r="J3603" t="s">
        <v>77</v>
      </c>
      <c r="K3603" t="s">
        <v>78</v>
      </c>
      <c r="L3603" t="s">
        <v>1861</v>
      </c>
      <c r="M3603" t="s">
        <v>1862</v>
      </c>
      <c r="N3603" t="s">
        <v>1863</v>
      </c>
      <c r="O3603" t="s">
        <v>82</v>
      </c>
      <c r="P3603" t="str">
        <f>"4170050651                    "</f>
        <v xml:space="preserve">4170050651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43.78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137.94</v>
      </c>
      <c r="BM3603">
        <v>20.69</v>
      </c>
      <c r="BN3603">
        <v>158.63</v>
      </c>
      <c r="BO3603">
        <v>158.63</v>
      </c>
      <c r="BQ3603" t="s">
        <v>1864</v>
      </c>
      <c r="BR3603" t="s">
        <v>84</v>
      </c>
      <c r="BS3603" s="3">
        <v>45863</v>
      </c>
      <c r="BT3603" s="4">
        <v>0.45763888888888887</v>
      </c>
      <c r="BU3603" t="s">
        <v>3419</v>
      </c>
      <c r="BV3603" t="s">
        <v>98</v>
      </c>
      <c r="BY3603">
        <v>1200</v>
      </c>
      <c r="CA3603" t="s">
        <v>1866</v>
      </c>
      <c r="CC3603" t="s">
        <v>1862</v>
      </c>
      <c r="CD3603">
        <v>6500</v>
      </c>
      <c r="CE3603" t="s">
        <v>121</v>
      </c>
      <c r="CF3603" s="3">
        <v>45863</v>
      </c>
      <c r="CI3603">
        <v>1</v>
      </c>
      <c r="CJ3603">
        <v>1</v>
      </c>
      <c r="CK3603">
        <v>23</v>
      </c>
      <c r="CL3603" t="s">
        <v>86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"080066762398"</f>
        <v>080066762398</v>
      </c>
      <c r="F3604" s="3">
        <v>45862</v>
      </c>
      <c r="G3604">
        <v>202604</v>
      </c>
      <c r="H3604" t="s">
        <v>75</v>
      </c>
      <c r="I3604" t="s">
        <v>76</v>
      </c>
      <c r="J3604" t="s">
        <v>77</v>
      </c>
      <c r="K3604" t="s">
        <v>78</v>
      </c>
      <c r="L3604" t="s">
        <v>174</v>
      </c>
      <c r="M3604" t="s">
        <v>175</v>
      </c>
      <c r="N3604" t="s">
        <v>2644</v>
      </c>
      <c r="O3604" t="s">
        <v>82</v>
      </c>
      <c r="P3604" t="str">
        <f>"4170050657                    "</f>
        <v xml:space="preserve">4170050657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22.6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71.2</v>
      </c>
      <c r="BM3604">
        <v>10.68</v>
      </c>
      <c r="BN3604">
        <v>81.88</v>
      </c>
      <c r="BO3604">
        <v>81.88</v>
      </c>
      <c r="BQ3604" t="s">
        <v>2645</v>
      </c>
      <c r="BR3604" t="s">
        <v>84</v>
      </c>
      <c r="BS3604" s="3">
        <v>45863</v>
      </c>
      <c r="BT3604" s="4">
        <v>0.4284722222222222</v>
      </c>
      <c r="BU3604" t="s">
        <v>3420</v>
      </c>
      <c r="BV3604" t="s">
        <v>98</v>
      </c>
      <c r="BY3604">
        <v>1200</v>
      </c>
      <c r="CA3604" t="s">
        <v>3373</v>
      </c>
      <c r="CC3604" t="s">
        <v>175</v>
      </c>
      <c r="CD3604">
        <v>6220</v>
      </c>
      <c r="CE3604" t="s">
        <v>121</v>
      </c>
      <c r="CF3604" s="3">
        <v>45863</v>
      </c>
      <c r="CI3604">
        <v>1</v>
      </c>
      <c r="CJ3604">
        <v>1</v>
      </c>
      <c r="CK3604">
        <v>21</v>
      </c>
      <c r="CL3604" t="s">
        <v>86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"080066762393"</f>
        <v>080066762393</v>
      </c>
      <c r="F3605" s="3">
        <v>45862</v>
      </c>
      <c r="G3605">
        <v>202604</v>
      </c>
      <c r="H3605" t="s">
        <v>75</v>
      </c>
      <c r="I3605" t="s">
        <v>76</v>
      </c>
      <c r="J3605" t="s">
        <v>77</v>
      </c>
      <c r="K3605" t="s">
        <v>78</v>
      </c>
      <c r="L3605" t="s">
        <v>79</v>
      </c>
      <c r="M3605" t="s">
        <v>80</v>
      </c>
      <c r="N3605" t="s">
        <v>141</v>
      </c>
      <c r="O3605" t="s">
        <v>82</v>
      </c>
      <c r="P3605" t="str">
        <f>"4170050684                    "</f>
        <v xml:space="preserve">4170050684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22.6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71.2</v>
      </c>
      <c r="BM3605">
        <v>10.68</v>
      </c>
      <c r="BN3605">
        <v>81.88</v>
      </c>
      <c r="BO3605">
        <v>81.88</v>
      </c>
      <c r="BQ3605" t="s">
        <v>142</v>
      </c>
      <c r="BR3605" t="s">
        <v>84</v>
      </c>
      <c r="BS3605" s="3">
        <v>45863</v>
      </c>
      <c r="BT3605" s="4">
        <v>0.4236111111111111</v>
      </c>
      <c r="BU3605" t="s">
        <v>2437</v>
      </c>
      <c r="BV3605" t="s">
        <v>98</v>
      </c>
      <c r="BY3605">
        <v>1200</v>
      </c>
      <c r="CA3605" t="s">
        <v>144</v>
      </c>
      <c r="CC3605" t="s">
        <v>80</v>
      </c>
      <c r="CD3605">
        <v>7441</v>
      </c>
      <c r="CE3605" t="s">
        <v>121</v>
      </c>
      <c r="CF3605" s="3">
        <v>45866</v>
      </c>
      <c r="CI3605">
        <v>1</v>
      </c>
      <c r="CJ3605">
        <v>1</v>
      </c>
      <c r="CK3605">
        <v>21</v>
      </c>
      <c r="CL3605" t="s">
        <v>86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"080066762421"</f>
        <v>080066762421</v>
      </c>
      <c r="F3606" s="3">
        <v>45862</v>
      </c>
      <c r="G3606">
        <v>202604</v>
      </c>
      <c r="H3606" t="s">
        <v>75</v>
      </c>
      <c r="I3606" t="s">
        <v>76</v>
      </c>
      <c r="J3606" t="s">
        <v>77</v>
      </c>
      <c r="K3606" t="s">
        <v>78</v>
      </c>
      <c r="L3606" t="s">
        <v>75</v>
      </c>
      <c r="M3606" t="s">
        <v>76</v>
      </c>
      <c r="N3606" t="s">
        <v>701</v>
      </c>
      <c r="O3606" t="s">
        <v>82</v>
      </c>
      <c r="P3606" t="str">
        <f>"4170050405                    "</f>
        <v xml:space="preserve">4170050405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17.649999999999999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55.61</v>
      </c>
      <c r="BM3606">
        <v>8.34</v>
      </c>
      <c r="BN3606">
        <v>63.95</v>
      </c>
      <c r="BO3606">
        <v>63.95</v>
      </c>
      <c r="BQ3606" t="s">
        <v>702</v>
      </c>
      <c r="BR3606" t="s">
        <v>84</v>
      </c>
      <c r="BS3606" s="3">
        <v>45863</v>
      </c>
      <c r="BT3606" s="4">
        <v>0.42222222222222222</v>
      </c>
      <c r="BU3606" t="s">
        <v>703</v>
      </c>
      <c r="BV3606" t="s">
        <v>98</v>
      </c>
      <c r="BY3606">
        <v>1200</v>
      </c>
      <c r="CA3606" t="s">
        <v>617</v>
      </c>
      <c r="CC3606" t="s">
        <v>76</v>
      </c>
      <c r="CD3606">
        <v>1645</v>
      </c>
      <c r="CE3606" t="s">
        <v>121</v>
      </c>
      <c r="CF3606" s="3">
        <v>45864</v>
      </c>
      <c r="CI3606">
        <v>1</v>
      </c>
      <c r="CJ3606">
        <v>1</v>
      </c>
      <c r="CK3606">
        <v>22</v>
      </c>
      <c r="CL3606" t="s">
        <v>86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"080066762424"</f>
        <v>080066762424</v>
      </c>
      <c r="F3607" s="3">
        <v>45862</v>
      </c>
      <c r="G3607">
        <v>202604</v>
      </c>
      <c r="H3607" t="s">
        <v>75</v>
      </c>
      <c r="I3607" t="s">
        <v>76</v>
      </c>
      <c r="J3607" t="s">
        <v>77</v>
      </c>
      <c r="K3607" t="s">
        <v>78</v>
      </c>
      <c r="L3607" t="s">
        <v>2347</v>
      </c>
      <c r="M3607" t="s">
        <v>2348</v>
      </c>
      <c r="N3607" t="s">
        <v>2349</v>
      </c>
      <c r="O3607" t="s">
        <v>82</v>
      </c>
      <c r="P3607" t="str">
        <f>"4170050656                    "</f>
        <v xml:space="preserve">4170050656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43.78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137.94</v>
      </c>
      <c r="BM3607">
        <v>20.69</v>
      </c>
      <c r="BN3607">
        <v>158.63</v>
      </c>
      <c r="BO3607">
        <v>158.63</v>
      </c>
      <c r="BQ3607" t="s">
        <v>3421</v>
      </c>
      <c r="BR3607" t="s">
        <v>84</v>
      </c>
      <c r="BS3607" s="3">
        <v>45866</v>
      </c>
      <c r="BT3607" s="4">
        <v>0.47222222222222221</v>
      </c>
      <c r="BU3607" t="s">
        <v>3422</v>
      </c>
      <c r="BV3607" t="s">
        <v>86</v>
      </c>
      <c r="BW3607" t="s">
        <v>194</v>
      </c>
      <c r="BX3607" t="s">
        <v>739</v>
      </c>
      <c r="BY3607">
        <v>1200</v>
      </c>
      <c r="CA3607" t="s">
        <v>411</v>
      </c>
      <c r="CC3607" t="s">
        <v>2348</v>
      </c>
      <c r="CD3607">
        <v>4170</v>
      </c>
      <c r="CE3607" t="s">
        <v>110</v>
      </c>
      <c r="CF3607" s="3">
        <v>45867</v>
      </c>
      <c r="CI3607">
        <v>1</v>
      </c>
      <c r="CJ3607">
        <v>2</v>
      </c>
      <c r="CK3607">
        <v>23</v>
      </c>
      <c r="CL3607" t="s">
        <v>86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"080066762447"</f>
        <v>080066762447</v>
      </c>
      <c r="F3608" s="3">
        <v>45862</v>
      </c>
      <c r="G3608">
        <v>202604</v>
      </c>
      <c r="H3608" t="s">
        <v>75</v>
      </c>
      <c r="I3608" t="s">
        <v>76</v>
      </c>
      <c r="J3608" t="s">
        <v>77</v>
      </c>
      <c r="K3608" t="s">
        <v>78</v>
      </c>
      <c r="L3608" t="s">
        <v>350</v>
      </c>
      <c r="M3608" t="s">
        <v>351</v>
      </c>
      <c r="N3608" t="s">
        <v>3034</v>
      </c>
      <c r="O3608" t="s">
        <v>82</v>
      </c>
      <c r="P3608" t="str">
        <f>"4170050702                    "</f>
        <v xml:space="preserve">4170050702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22.6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1.9</v>
      </c>
      <c r="BK3608">
        <v>2</v>
      </c>
      <c r="BL3608">
        <v>71.2</v>
      </c>
      <c r="BM3608">
        <v>10.68</v>
      </c>
      <c r="BN3608">
        <v>81.88</v>
      </c>
      <c r="BO3608">
        <v>81.88</v>
      </c>
      <c r="BQ3608" t="s">
        <v>3035</v>
      </c>
      <c r="BR3608" t="s">
        <v>84</v>
      </c>
      <c r="BS3608" s="3">
        <v>45863</v>
      </c>
      <c r="BT3608" s="4">
        <v>0.52152777777777781</v>
      </c>
      <c r="BU3608" t="s">
        <v>3036</v>
      </c>
      <c r="BV3608" t="s">
        <v>86</v>
      </c>
      <c r="BW3608" t="s">
        <v>194</v>
      </c>
      <c r="BX3608" t="s">
        <v>1174</v>
      </c>
      <c r="BY3608">
        <v>9600</v>
      </c>
      <c r="CA3608" t="s">
        <v>337</v>
      </c>
      <c r="CC3608" t="s">
        <v>351</v>
      </c>
      <c r="CD3608">
        <v>4113</v>
      </c>
      <c r="CE3608" t="s">
        <v>110</v>
      </c>
      <c r="CF3608" s="3">
        <v>45863</v>
      </c>
      <c r="CI3608">
        <v>1</v>
      </c>
      <c r="CJ3608">
        <v>1</v>
      </c>
      <c r="CK3608">
        <v>21</v>
      </c>
      <c r="CL3608" t="s">
        <v>86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"080066762450"</f>
        <v>080066762450</v>
      </c>
      <c r="F3609" s="3">
        <v>45862</v>
      </c>
      <c r="G3609">
        <v>202604</v>
      </c>
      <c r="H3609" t="s">
        <v>75</v>
      </c>
      <c r="I3609" t="s">
        <v>76</v>
      </c>
      <c r="J3609" t="s">
        <v>77</v>
      </c>
      <c r="K3609" t="s">
        <v>78</v>
      </c>
      <c r="L3609" t="s">
        <v>135</v>
      </c>
      <c r="M3609" t="s">
        <v>136</v>
      </c>
      <c r="N3609" t="s">
        <v>137</v>
      </c>
      <c r="O3609" t="s">
        <v>82</v>
      </c>
      <c r="P3609" t="str">
        <f>"4170050438                    "</f>
        <v xml:space="preserve">4170050438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22.6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16.739999999999998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87.94</v>
      </c>
      <c r="BM3609">
        <v>13.19</v>
      </c>
      <c r="BN3609">
        <v>101.13</v>
      </c>
      <c r="BO3609">
        <v>101.13</v>
      </c>
      <c r="BQ3609" t="s">
        <v>138</v>
      </c>
      <c r="BR3609" t="s">
        <v>84</v>
      </c>
      <c r="BS3609" s="3">
        <v>45863</v>
      </c>
      <c r="BT3609" s="4">
        <v>0.41666666666666669</v>
      </c>
      <c r="BU3609" t="s">
        <v>3423</v>
      </c>
      <c r="BV3609" t="s">
        <v>98</v>
      </c>
      <c r="BY3609">
        <v>1200</v>
      </c>
      <c r="BZ3609" t="s">
        <v>30</v>
      </c>
      <c r="CC3609" t="s">
        <v>136</v>
      </c>
      <c r="CD3609">
        <v>3699</v>
      </c>
      <c r="CE3609" t="s">
        <v>110</v>
      </c>
      <c r="CF3609" s="3">
        <v>45864</v>
      </c>
      <c r="CI3609">
        <v>1</v>
      </c>
      <c r="CJ3609">
        <v>1</v>
      </c>
      <c r="CK3609">
        <v>21</v>
      </c>
      <c r="CL3609" t="s">
        <v>86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"080066762473"</f>
        <v>080066762473</v>
      </c>
      <c r="F3610" s="3">
        <v>45862</v>
      </c>
      <c r="G3610">
        <v>202604</v>
      </c>
      <c r="H3610" t="s">
        <v>75</v>
      </c>
      <c r="I3610" t="s">
        <v>76</v>
      </c>
      <c r="J3610" t="s">
        <v>77</v>
      </c>
      <c r="K3610" t="s">
        <v>78</v>
      </c>
      <c r="L3610" t="s">
        <v>168</v>
      </c>
      <c r="M3610" t="s">
        <v>169</v>
      </c>
      <c r="N3610" t="s">
        <v>206</v>
      </c>
      <c r="O3610" t="s">
        <v>82</v>
      </c>
      <c r="P3610" t="str">
        <f>"4170050630                    "</f>
        <v xml:space="preserve">4170050630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67.760000000000005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6</v>
      </c>
      <c r="BJ3610">
        <v>1.9</v>
      </c>
      <c r="BK3610">
        <v>6</v>
      </c>
      <c r="BL3610">
        <v>213.48</v>
      </c>
      <c r="BM3610">
        <v>32.020000000000003</v>
      </c>
      <c r="BN3610">
        <v>245.5</v>
      </c>
      <c r="BO3610">
        <v>245.5</v>
      </c>
      <c r="BQ3610" t="s">
        <v>207</v>
      </c>
      <c r="BR3610" t="s">
        <v>84</v>
      </c>
      <c r="BS3610" s="3">
        <v>45863</v>
      </c>
      <c r="BT3610" s="4">
        <v>0.41041666666666665</v>
      </c>
      <c r="BU3610" t="s">
        <v>2957</v>
      </c>
      <c r="BV3610" t="s">
        <v>98</v>
      </c>
      <c r="BY3610">
        <v>9600</v>
      </c>
      <c r="CA3610" t="s">
        <v>196</v>
      </c>
      <c r="CC3610" t="s">
        <v>169</v>
      </c>
      <c r="CD3610">
        <v>6001</v>
      </c>
      <c r="CE3610" t="s">
        <v>110</v>
      </c>
      <c r="CF3610" s="3">
        <v>45863</v>
      </c>
      <c r="CI3610">
        <v>1</v>
      </c>
      <c r="CJ3610">
        <v>1</v>
      </c>
      <c r="CK3610">
        <v>21</v>
      </c>
      <c r="CL3610" t="s">
        <v>86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"080066762492"</f>
        <v>080066762492</v>
      </c>
      <c r="F3611" s="3">
        <v>45862</v>
      </c>
      <c r="G3611">
        <v>202604</v>
      </c>
      <c r="H3611" t="s">
        <v>75</v>
      </c>
      <c r="I3611" t="s">
        <v>76</v>
      </c>
      <c r="J3611" t="s">
        <v>77</v>
      </c>
      <c r="K3611" t="s">
        <v>78</v>
      </c>
      <c r="L3611" t="s">
        <v>221</v>
      </c>
      <c r="M3611" t="s">
        <v>222</v>
      </c>
      <c r="N3611" t="s">
        <v>223</v>
      </c>
      <c r="O3611" t="s">
        <v>82</v>
      </c>
      <c r="P3611" t="str">
        <f>"4170050654                    "</f>
        <v xml:space="preserve">4170050654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63.56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3</v>
      </c>
      <c r="BJ3611">
        <v>1.7</v>
      </c>
      <c r="BK3611">
        <v>3</v>
      </c>
      <c r="BL3611">
        <v>200.24</v>
      </c>
      <c r="BM3611">
        <v>30.04</v>
      </c>
      <c r="BN3611">
        <v>230.28</v>
      </c>
      <c r="BO3611">
        <v>230.28</v>
      </c>
      <c r="BQ3611" t="s">
        <v>224</v>
      </c>
      <c r="BR3611" t="s">
        <v>84</v>
      </c>
      <c r="BS3611" s="3">
        <v>45863</v>
      </c>
      <c r="BT3611" s="4">
        <v>0.41666666666666669</v>
      </c>
      <c r="BU3611" t="s">
        <v>1707</v>
      </c>
      <c r="BV3611" t="s">
        <v>98</v>
      </c>
      <c r="BY3611">
        <v>8550</v>
      </c>
      <c r="CC3611" t="s">
        <v>222</v>
      </c>
      <c r="CD3611">
        <v>2740</v>
      </c>
      <c r="CE3611" t="s">
        <v>145</v>
      </c>
      <c r="CF3611" s="3">
        <v>45866</v>
      </c>
      <c r="CI3611">
        <v>1</v>
      </c>
      <c r="CJ3611">
        <v>1</v>
      </c>
      <c r="CK3611">
        <v>23</v>
      </c>
      <c r="CL3611" t="s">
        <v>86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"080066762512"</f>
        <v>080066762512</v>
      </c>
      <c r="F3612" s="3">
        <v>45862</v>
      </c>
      <c r="G3612">
        <v>202604</v>
      </c>
      <c r="H3612" t="s">
        <v>75</v>
      </c>
      <c r="I3612" t="s">
        <v>76</v>
      </c>
      <c r="J3612" t="s">
        <v>77</v>
      </c>
      <c r="K3612" t="s">
        <v>78</v>
      </c>
      <c r="L3612" t="s">
        <v>135</v>
      </c>
      <c r="M3612" t="s">
        <v>136</v>
      </c>
      <c r="N3612" t="s">
        <v>416</v>
      </c>
      <c r="O3612" t="s">
        <v>82</v>
      </c>
      <c r="P3612" t="str">
        <f>"4170050671                    "</f>
        <v xml:space="preserve">4170050671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101.63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6</v>
      </c>
      <c r="BJ3612">
        <v>8.6</v>
      </c>
      <c r="BK3612">
        <v>9</v>
      </c>
      <c r="BL3612">
        <v>320.19</v>
      </c>
      <c r="BM3612">
        <v>48.03</v>
      </c>
      <c r="BN3612">
        <v>368.22</v>
      </c>
      <c r="BO3612">
        <v>368.22</v>
      </c>
      <c r="BQ3612" t="s">
        <v>417</v>
      </c>
      <c r="BR3612" t="s">
        <v>84</v>
      </c>
      <c r="BS3612" s="3">
        <v>45863</v>
      </c>
      <c r="BT3612" s="4">
        <v>0.41666666666666669</v>
      </c>
      <c r="BU3612" t="s">
        <v>3262</v>
      </c>
      <c r="BV3612" t="s">
        <v>98</v>
      </c>
      <c r="BY3612">
        <v>43008</v>
      </c>
      <c r="CC3612" t="s">
        <v>136</v>
      </c>
      <c r="CD3612">
        <v>3201</v>
      </c>
      <c r="CE3612" t="s">
        <v>91</v>
      </c>
      <c r="CF3612" s="3">
        <v>45864</v>
      </c>
      <c r="CI3612">
        <v>1</v>
      </c>
      <c r="CJ3612">
        <v>1</v>
      </c>
      <c r="CK3612">
        <v>21</v>
      </c>
      <c r="CL3612" t="s">
        <v>86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"080066762591"</f>
        <v>080066762591</v>
      </c>
      <c r="F3613" s="3">
        <v>45862</v>
      </c>
      <c r="G3613">
        <v>202604</v>
      </c>
      <c r="H3613" t="s">
        <v>75</v>
      </c>
      <c r="I3613" t="s">
        <v>76</v>
      </c>
      <c r="J3613" t="s">
        <v>77</v>
      </c>
      <c r="K3613" t="s">
        <v>78</v>
      </c>
      <c r="L3613" t="s">
        <v>122</v>
      </c>
      <c r="M3613" t="s">
        <v>123</v>
      </c>
      <c r="N3613" t="s">
        <v>357</v>
      </c>
      <c r="O3613" t="s">
        <v>82</v>
      </c>
      <c r="P3613" t="str">
        <f>"4170050840                    "</f>
        <v xml:space="preserve">4170050840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22.6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71.2</v>
      </c>
      <c r="BM3613">
        <v>10.68</v>
      </c>
      <c r="BN3613">
        <v>81.88</v>
      </c>
      <c r="BO3613">
        <v>81.88</v>
      </c>
      <c r="BQ3613" t="s">
        <v>358</v>
      </c>
      <c r="BR3613" t="s">
        <v>84</v>
      </c>
      <c r="BS3613" s="3">
        <v>45863</v>
      </c>
      <c r="BT3613" s="4">
        <v>0.41458333333333336</v>
      </c>
      <c r="BU3613" t="s">
        <v>3424</v>
      </c>
      <c r="BV3613" t="s">
        <v>98</v>
      </c>
      <c r="BY3613">
        <v>1200</v>
      </c>
      <c r="CA3613" t="s">
        <v>2974</v>
      </c>
      <c r="CC3613" t="s">
        <v>123</v>
      </c>
      <c r="CD3613">
        <v>3610</v>
      </c>
      <c r="CE3613" t="s">
        <v>121</v>
      </c>
      <c r="CF3613" s="3">
        <v>45863</v>
      </c>
      <c r="CI3613">
        <v>1</v>
      </c>
      <c r="CJ3613">
        <v>1</v>
      </c>
      <c r="CK3613">
        <v>21</v>
      </c>
      <c r="CL3613" t="s">
        <v>86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"080066762609"</f>
        <v>080066762609</v>
      </c>
      <c r="F3614" s="3">
        <v>45862</v>
      </c>
      <c r="G3614">
        <v>202604</v>
      </c>
      <c r="H3614" t="s">
        <v>75</v>
      </c>
      <c r="I3614" t="s">
        <v>76</v>
      </c>
      <c r="J3614" t="s">
        <v>77</v>
      </c>
      <c r="K3614" t="s">
        <v>78</v>
      </c>
      <c r="L3614" t="s">
        <v>168</v>
      </c>
      <c r="M3614" t="s">
        <v>169</v>
      </c>
      <c r="N3614" t="s">
        <v>420</v>
      </c>
      <c r="O3614" t="s">
        <v>82</v>
      </c>
      <c r="P3614" t="str">
        <f>"4170050642                    "</f>
        <v xml:space="preserve">4170050642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22.6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71.2</v>
      </c>
      <c r="BM3614">
        <v>10.68</v>
      </c>
      <c r="BN3614">
        <v>81.88</v>
      </c>
      <c r="BO3614">
        <v>81.88</v>
      </c>
      <c r="BQ3614" t="s">
        <v>421</v>
      </c>
      <c r="BR3614" t="s">
        <v>84</v>
      </c>
      <c r="BS3614" s="3">
        <v>45863</v>
      </c>
      <c r="BT3614" s="4">
        <v>0.43680555555555556</v>
      </c>
      <c r="BU3614" t="s">
        <v>238</v>
      </c>
      <c r="BV3614" t="s">
        <v>98</v>
      </c>
      <c r="BY3614">
        <v>1200</v>
      </c>
      <c r="CA3614" t="s">
        <v>423</v>
      </c>
      <c r="CC3614" t="s">
        <v>169</v>
      </c>
      <c r="CD3614">
        <v>6001</v>
      </c>
      <c r="CE3614" t="s">
        <v>121</v>
      </c>
      <c r="CF3614" s="3">
        <v>45863</v>
      </c>
      <c r="CI3614">
        <v>1</v>
      </c>
      <c r="CJ3614">
        <v>1</v>
      </c>
      <c r="CK3614">
        <v>21</v>
      </c>
      <c r="CL3614" t="s">
        <v>86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"080066762645"</f>
        <v>080066762645</v>
      </c>
      <c r="F3615" s="3">
        <v>45862</v>
      </c>
      <c r="G3615">
        <v>202604</v>
      </c>
      <c r="H3615" t="s">
        <v>75</v>
      </c>
      <c r="I3615" t="s">
        <v>76</v>
      </c>
      <c r="J3615" t="s">
        <v>77</v>
      </c>
      <c r="K3615" t="s">
        <v>78</v>
      </c>
      <c r="L3615" t="s">
        <v>102</v>
      </c>
      <c r="M3615" t="s">
        <v>103</v>
      </c>
      <c r="N3615" t="s">
        <v>1643</v>
      </c>
      <c r="O3615" t="s">
        <v>82</v>
      </c>
      <c r="P3615" t="str">
        <f>"4170050680                    "</f>
        <v xml:space="preserve">4170050680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31.78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100.13</v>
      </c>
      <c r="BM3615">
        <v>15.02</v>
      </c>
      <c r="BN3615">
        <v>115.15</v>
      </c>
      <c r="BO3615">
        <v>115.15</v>
      </c>
      <c r="BQ3615" t="s">
        <v>1644</v>
      </c>
      <c r="BR3615" t="s">
        <v>84</v>
      </c>
      <c r="BS3615" s="3">
        <v>45863</v>
      </c>
      <c r="BT3615" s="4">
        <v>0.39444444444444443</v>
      </c>
      <c r="BU3615" t="s">
        <v>1709</v>
      </c>
      <c r="BV3615" t="s">
        <v>98</v>
      </c>
      <c r="BY3615">
        <v>1200</v>
      </c>
      <c r="CA3615" t="s">
        <v>109</v>
      </c>
      <c r="CC3615" t="s">
        <v>103</v>
      </c>
      <c r="CD3615">
        <v>1748</v>
      </c>
      <c r="CE3615" t="s">
        <v>121</v>
      </c>
      <c r="CF3615" s="3">
        <v>45863</v>
      </c>
      <c r="CI3615">
        <v>1</v>
      </c>
      <c r="CJ3615">
        <v>1</v>
      </c>
      <c r="CK3615">
        <v>24</v>
      </c>
      <c r="CL3615" t="s">
        <v>86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"080066762679"</f>
        <v>080066762679</v>
      </c>
      <c r="F3616" s="3">
        <v>45862</v>
      </c>
      <c r="G3616">
        <v>202604</v>
      </c>
      <c r="H3616" t="s">
        <v>75</v>
      </c>
      <c r="I3616" t="s">
        <v>76</v>
      </c>
      <c r="J3616" t="s">
        <v>77</v>
      </c>
      <c r="K3616" t="s">
        <v>78</v>
      </c>
      <c r="L3616" t="s">
        <v>79</v>
      </c>
      <c r="M3616" t="s">
        <v>80</v>
      </c>
      <c r="N3616" t="s">
        <v>141</v>
      </c>
      <c r="O3616" t="s">
        <v>82</v>
      </c>
      <c r="P3616" t="str">
        <f>"4170050682                    "</f>
        <v xml:space="preserve">4170050682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22.6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71.2</v>
      </c>
      <c r="BM3616">
        <v>10.68</v>
      </c>
      <c r="BN3616">
        <v>81.88</v>
      </c>
      <c r="BO3616">
        <v>81.88</v>
      </c>
      <c r="BQ3616" t="s">
        <v>142</v>
      </c>
      <c r="BR3616" t="s">
        <v>84</v>
      </c>
      <c r="BS3616" s="3">
        <v>45863</v>
      </c>
      <c r="BT3616" s="4">
        <v>0.4236111111111111</v>
      </c>
      <c r="BU3616" t="s">
        <v>2437</v>
      </c>
      <c r="BV3616" t="s">
        <v>98</v>
      </c>
      <c r="BY3616">
        <v>1200</v>
      </c>
      <c r="CA3616" t="s">
        <v>144</v>
      </c>
      <c r="CC3616" t="s">
        <v>80</v>
      </c>
      <c r="CD3616">
        <v>7441</v>
      </c>
      <c r="CE3616" t="s">
        <v>121</v>
      </c>
      <c r="CF3616" s="3">
        <v>45866</v>
      </c>
      <c r="CI3616">
        <v>1</v>
      </c>
      <c r="CJ3616">
        <v>1</v>
      </c>
      <c r="CK3616">
        <v>21</v>
      </c>
      <c r="CL3616" t="s">
        <v>86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"080066762711"</f>
        <v>080066762711</v>
      </c>
      <c r="F3617" s="3">
        <v>45862</v>
      </c>
      <c r="G3617">
        <v>202604</v>
      </c>
      <c r="H3617" t="s">
        <v>75</v>
      </c>
      <c r="I3617" t="s">
        <v>76</v>
      </c>
      <c r="J3617" t="s">
        <v>77</v>
      </c>
      <c r="K3617" t="s">
        <v>78</v>
      </c>
      <c r="L3617" t="s">
        <v>79</v>
      </c>
      <c r="M3617" t="s">
        <v>80</v>
      </c>
      <c r="N3617" t="s">
        <v>141</v>
      </c>
      <c r="O3617" t="s">
        <v>82</v>
      </c>
      <c r="P3617" t="str">
        <f>"4170050585                    "</f>
        <v xml:space="preserve">4170050585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67.760000000000005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3</v>
      </c>
      <c r="BJ3617">
        <v>5.8</v>
      </c>
      <c r="BK3617">
        <v>6</v>
      </c>
      <c r="BL3617">
        <v>213.48</v>
      </c>
      <c r="BM3617">
        <v>32.020000000000003</v>
      </c>
      <c r="BN3617">
        <v>245.5</v>
      </c>
      <c r="BO3617">
        <v>245.5</v>
      </c>
      <c r="BQ3617" t="s">
        <v>142</v>
      </c>
      <c r="BR3617" t="s">
        <v>84</v>
      </c>
      <c r="BS3617" s="3">
        <v>45863</v>
      </c>
      <c r="BT3617" s="4">
        <v>0.4236111111111111</v>
      </c>
      <c r="BU3617" t="s">
        <v>2437</v>
      </c>
      <c r="BV3617" t="s">
        <v>98</v>
      </c>
      <c r="BY3617">
        <v>28800</v>
      </c>
      <c r="CA3617" t="s">
        <v>144</v>
      </c>
      <c r="CC3617" t="s">
        <v>80</v>
      </c>
      <c r="CD3617">
        <v>7441</v>
      </c>
      <c r="CE3617" t="s">
        <v>91</v>
      </c>
      <c r="CF3617" s="3">
        <v>45866</v>
      </c>
      <c r="CI3617">
        <v>1</v>
      </c>
      <c r="CJ3617">
        <v>1</v>
      </c>
      <c r="CK3617">
        <v>21</v>
      </c>
      <c r="CL3617" t="s">
        <v>86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"080066762749"</f>
        <v>080066762749</v>
      </c>
      <c r="F3618" s="3">
        <v>45862</v>
      </c>
      <c r="G3618">
        <v>202604</v>
      </c>
      <c r="H3618" t="s">
        <v>75</v>
      </c>
      <c r="I3618" t="s">
        <v>76</v>
      </c>
      <c r="J3618" t="s">
        <v>77</v>
      </c>
      <c r="K3618" t="s">
        <v>78</v>
      </c>
      <c r="L3618" t="s">
        <v>452</v>
      </c>
      <c r="M3618" t="s">
        <v>453</v>
      </c>
      <c r="N3618" t="s">
        <v>1192</v>
      </c>
      <c r="O3618" t="s">
        <v>311</v>
      </c>
      <c r="P3618" t="str">
        <f>"4170050589                    "</f>
        <v xml:space="preserve">4170050589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17.66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5</v>
      </c>
      <c r="BJ3618">
        <v>7.9</v>
      </c>
      <c r="BK3618">
        <v>8</v>
      </c>
      <c r="BL3618">
        <v>55.63</v>
      </c>
      <c r="BM3618">
        <v>8.34</v>
      </c>
      <c r="BN3618">
        <v>63.97</v>
      </c>
      <c r="BO3618">
        <v>63.97</v>
      </c>
      <c r="BQ3618" t="s">
        <v>1193</v>
      </c>
      <c r="BR3618" t="s">
        <v>84</v>
      </c>
      <c r="BS3618" s="3">
        <v>45863</v>
      </c>
      <c r="BT3618" s="4">
        <v>0.49722222222222223</v>
      </c>
      <c r="BU3618" t="s">
        <v>2979</v>
      </c>
      <c r="BV3618" t="s">
        <v>98</v>
      </c>
      <c r="BY3618">
        <v>39360</v>
      </c>
      <c r="CA3618" t="s">
        <v>1541</v>
      </c>
      <c r="CC3618" t="s">
        <v>453</v>
      </c>
      <c r="CD3618">
        <v>1559</v>
      </c>
      <c r="CE3618" t="s">
        <v>91</v>
      </c>
      <c r="CF3618" s="3">
        <v>45863</v>
      </c>
      <c r="CI3618">
        <v>1</v>
      </c>
      <c r="CJ3618">
        <v>1</v>
      </c>
      <c r="CK3618">
        <v>32</v>
      </c>
      <c r="CL3618" t="s">
        <v>86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"080066762763"</f>
        <v>080066762763</v>
      </c>
      <c r="F3619" s="3">
        <v>45862</v>
      </c>
      <c r="G3619">
        <v>202604</v>
      </c>
      <c r="H3619" t="s">
        <v>75</v>
      </c>
      <c r="I3619" t="s">
        <v>76</v>
      </c>
      <c r="J3619" t="s">
        <v>77</v>
      </c>
      <c r="K3619" t="s">
        <v>78</v>
      </c>
      <c r="L3619" t="s">
        <v>390</v>
      </c>
      <c r="M3619" t="s">
        <v>391</v>
      </c>
      <c r="N3619" t="s">
        <v>2805</v>
      </c>
      <c r="O3619" t="s">
        <v>95</v>
      </c>
      <c r="P3619" t="str">
        <f>"4170050590                    "</f>
        <v xml:space="preserve">4170050590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35.69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10</v>
      </c>
      <c r="BJ3619">
        <v>16.600000000000001</v>
      </c>
      <c r="BK3619">
        <v>17</v>
      </c>
      <c r="BL3619">
        <v>118.32</v>
      </c>
      <c r="BM3619">
        <v>17.75</v>
      </c>
      <c r="BN3619">
        <v>136.07</v>
      </c>
      <c r="BO3619">
        <v>136.07</v>
      </c>
      <c r="BQ3619" t="s">
        <v>2806</v>
      </c>
      <c r="BR3619" t="s">
        <v>84</v>
      </c>
      <c r="BS3619" s="3">
        <v>45863</v>
      </c>
      <c r="BT3619" s="4">
        <v>0.4375</v>
      </c>
      <c r="BU3619" t="s">
        <v>3425</v>
      </c>
      <c r="BV3619" t="s">
        <v>98</v>
      </c>
      <c r="BY3619">
        <v>83232</v>
      </c>
      <c r="CA3619" t="s">
        <v>1943</v>
      </c>
      <c r="CC3619" t="s">
        <v>391</v>
      </c>
      <c r="CD3619">
        <v>1724</v>
      </c>
      <c r="CE3619" t="s">
        <v>145</v>
      </c>
      <c r="CF3619" s="3">
        <v>45863</v>
      </c>
      <c r="CI3619">
        <v>1</v>
      </c>
      <c r="CJ3619">
        <v>1</v>
      </c>
      <c r="CK3619">
        <v>42</v>
      </c>
      <c r="CL3619" t="s">
        <v>86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"080066762781"</f>
        <v>080066762781</v>
      </c>
      <c r="F3620" s="3">
        <v>45862</v>
      </c>
      <c r="G3620">
        <v>202604</v>
      </c>
      <c r="H3620" t="s">
        <v>75</v>
      </c>
      <c r="I3620" t="s">
        <v>76</v>
      </c>
      <c r="J3620" t="s">
        <v>77</v>
      </c>
      <c r="K3620" t="s">
        <v>78</v>
      </c>
      <c r="L3620" t="s">
        <v>758</v>
      </c>
      <c r="M3620" t="s">
        <v>759</v>
      </c>
      <c r="N3620" t="s">
        <v>760</v>
      </c>
      <c r="O3620" t="s">
        <v>82</v>
      </c>
      <c r="P3620" t="str">
        <f>"4170050757                    "</f>
        <v xml:space="preserve">4170050757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43.78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137.94</v>
      </c>
      <c r="BM3620">
        <v>20.69</v>
      </c>
      <c r="BN3620">
        <v>158.63</v>
      </c>
      <c r="BO3620">
        <v>158.63</v>
      </c>
      <c r="BQ3620" t="s">
        <v>761</v>
      </c>
      <c r="BR3620" t="s">
        <v>84</v>
      </c>
      <c r="BS3620" s="3">
        <v>45863</v>
      </c>
      <c r="BT3620" s="4">
        <v>0.4826388888888889</v>
      </c>
      <c r="BU3620" t="s">
        <v>3426</v>
      </c>
      <c r="BV3620" t="s">
        <v>98</v>
      </c>
      <c r="BY3620">
        <v>1200</v>
      </c>
      <c r="CA3620" t="s">
        <v>3015</v>
      </c>
      <c r="CC3620" t="s">
        <v>759</v>
      </c>
      <c r="CD3620">
        <v>2531</v>
      </c>
      <c r="CE3620" t="s">
        <v>121</v>
      </c>
      <c r="CF3620" s="3">
        <v>45866</v>
      </c>
      <c r="CI3620">
        <v>1</v>
      </c>
      <c r="CJ3620">
        <v>1</v>
      </c>
      <c r="CK3620">
        <v>23</v>
      </c>
      <c r="CL3620" t="s">
        <v>86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"080066762799"</f>
        <v>080066762799</v>
      </c>
      <c r="F3621" s="3">
        <v>45862</v>
      </c>
      <c r="G3621">
        <v>202604</v>
      </c>
      <c r="H3621" t="s">
        <v>75</v>
      </c>
      <c r="I3621" t="s">
        <v>76</v>
      </c>
      <c r="J3621" t="s">
        <v>77</v>
      </c>
      <c r="K3621" t="s">
        <v>78</v>
      </c>
      <c r="L3621" t="s">
        <v>503</v>
      </c>
      <c r="M3621" t="s">
        <v>504</v>
      </c>
      <c r="N3621" t="s">
        <v>505</v>
      </c>
      <c r="O3621" t="s">
        <v>82</v>
      </c>
      <c r="P3621" t="str">
        <f>"4170050667                    "</f>
        <v xml:space="preserve">4170050667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43.78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1.1000000000000001</v>
      </c>
      <c r="BK3621">
        <v>1.5</v>
      </c>
      <c r="BL3621">
        <v>137.94</v>
      </c>
      <c r="BM3621">
        <v>20.69</v>
      </c>
      <c r="BN3621">
        <v>158.63</v>
      </c>
      <c r="BO3621">
        <v>158.63</v>
      </c>
      <c r="BQ3621" t="s">
        <v>506</v>
      </c>
      <c r="BR3621" t="s">
        <v>84</v>
      </c>
      <c r="BS3621" s="3">
        <v>45863</v>
      </c>
      <c r="BT3621" s="4">
        <v>0.47430555555555554</v>
      </c>
      <c r="BU3621" t="s">
        <v>1235</v>
      </c>
      <c r="BV3621" t="s">
        <v>98</v>
      </c>
      <c r="BY3621">
        <v>5320</v>
      </c>
      <c r="CA3621" t="s">
        <v>508</v>
      </c>
      <c r="CC3621" t="s">
        <v>504</v>
      </c>
      <c r="CD3621">
        <v>7130</v>
      </c>
      <c r="CE3621" t="s">
        <v>145</v>
      </c>
      <c r="CF3621" s="3">
        <v>45866</v>
      </c>
      <c r="CI3621">
        <v>1</v>
      </c>
      <c r="CJ3621">
        <v>1</v>
      </c>
      <c r="CK3621">
        <v>23</v>
      </c>
      <c r="CL3621" t="s">
        <v>86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"080066762809"</f>
        <v>080066762809</v>
      </c>
      <c r="F3622" s="3">
        <v>45862</v>
      </c>
      <c r="G3622">
        <v>202604</v>
      </c>
      <c r="H3622" t="s">
        <v>75</v>
      </c>
      <c r="I3622" t="s">
        <v>76</v>
      </c>
      <c r="J3622" t="s">
        <v>77</v>
      </c>
      <c r="K3622" t="s">
        <v>78</v>
      </c>
      <c r="L3622" t="s">
        <v>146</v>
      </c>
      <c r="M3622" t="s">
        <v>146</v>
      </c>
      <c r="N3622" t="s">
        <v>986</v>
      </c>
      <c r="O3622" t="s">
        <v>82</v>
      </c>
      <c r="P3622" t="str">
        <f>"4170050563                    "</f>
        <v xml:space="preserve">4170050563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43.78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137.94</v>
      </c>
      <c r="BM3622">
        <v>20.69</v>
      </c>
      <c r="BN3622">
        <v>158.63</v>
      </c>
      <c r="BO3622">
        <v>158.63</v>
      </c>
      <c r="BQ3622" t="s">
        <v>987</v>
      </c>
      <c r="BR3622" t="s">
        <v>84</v>
      </c>
      <c r="BS3622" s="3">
        <v>45863</v>
      </c>
      <c r="BT3622" s="4">
        <v>0.54166666666666663</v>
      </c>
      <c r="BU3622" t="s">
        <v>635</v>
      </c>
      <c r="BV3622" t="s">
        <v>98</v>
      </c>
      <c r="BY3622">
        <v>1200</v>
      </c>
      <c r="CA3622" t="s">
        <v>150</v>
      </c>
      <c r="CC3622" t="s">
        <v>146</v>
      </c>
      <c r="CD3622">
        <v>7646</v>
      </c>
      <c r="CE3622" t="s">
        <v>121</v>
      </c>
      <c r="CF3622" s="3">
        <v>45866</v>
      </c>
      <c r="CI3622">
        <v>1</v>
      </c>
      <c r="CJ3622">
        <v>1</v>
      </c>
      <c r="CK3622">
        <v>23</v>
      </c>
      <c r="CL3622" t="s">
        <v>86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"080066762971"</f>
        <v>080066762971</v>
      </c>
      <c r="F3623" s="3">
        <v>45862</v>
      </c>
      <c r="G3623">
        <v>202604</v>
      </c>
      <c r="H3623" t="s">
        <v>75</v>
      </c>
      <c r="I3623" t="s">
        <v>76</v>
      </c>
      <c r="J3623" t="s">
        <v>77</v>
      </c>
      <c r="K3623" t="s">
        <v>78</v>
      </c>
      <c r="L3623" t="s">
        <v>135</v>
      </c>
      <c r="M3623" t="s">
        <v>136</v>
      </c>
      <c r="N3623" t="s">
        <v>416</v>
      </c>
      <c r="O3623" t="s">
        <v>82</v>
      </c>
      <c r="P3623" t="str">
        <f>"4170050750                    "</f>
        <v xml:space="preserve">4170050750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22.6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71.2</v>
      </c>
      <c r="BM3623">
        <v>10.68</v>
      </c>
      <c r="BN3623">
        <v>81.88</v>
      </c>
      <c r="BO3623">
        <v>81.88</v>
      </c>
      <c r="BQ3623" t="s">
        <v>417</v>
      </c>
      <c r="BR3623" t="s">
        <v>84</v>
      </c>
      <c r="BS3623" s="3">
        <v>45863</v>
      </c>
      <c r="BT3623" s="4">
        <v>0.41666666666666669</v>
      </c>
      <c r="BU3623" t="s">
        <v>3262</v>
      </c>
      <c r="BV3623" t="s">
        <v>98</v>
      </c>
      <c r="BY3623">
        <v>1200</v>
      </c>
      <c r="CC3623" t="s">
        <v>136</v>
      </c>
      <c r="CD3623">
        <v>3201</v>
      </c>
      <c r="CE3623" t="s">
        <v>121</v>
      </c>
      <c r="CF3623" s="3">
        <v>45864</v>
      </c>
      <c r="CI3623">
        <v>1</v>
      </c>
      <c r="CJ3623">
        <v>1</v>
      </c>
      <c r="CK3623">
        <v>21</v>
      </c>
      <c r="CL3623" t="s">
        <v>86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"080066762990"</f>
        <v>080066762990</v>
      </c>
      <c r="F3624" s="3">
        <v>45862</v>
      </c>
      <c r="G3624">
        <v>202604</v>
      </c>
      <c r="H3624" t="s">
        <v>75</v>
      </c>
      <c r="I3624" t="s">
        <v>76</v>
      </c>
      <c r="J3624" t="s">
        <v>77</v>
      </c>
      <c r="K3624" t="s">
        <v>78</v>
      </c>
      <c r="L3624" t="s">
        <v>92</v>
      </c>
      <c r="M3624" t="s">
        <v>93</v>
      </c>
      <c r="N3624" t="s">
        <v>749</v>
      </c>
      <c r="O3624" t="s">
        <v>82</v>
      </c>
      <c r="P3624" t="str">
        <f>"4170050548                    "</f>
        <v xml:space="preserve">4170050548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22.6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71.2</v>
      </c>
      <c r="BM3624">
        <v>10.68</v>
      </c>
      <c r="BN3624">
        <v>81.88</v>
      </c>
      <c r="BO3624">
        <v>81.88</v>
      </c>
      <c r="BQ3624" t="s">
        <v>750</v>
      </c>
      <c r="BR3624" t="s">
        <v>84</v>
      </c>
      <c r="BS3624" s="3">
        <v>45863</v>
      </c>
      <c r="BT3624" s="4">
        <v>0.38611111111111113</v>
      </c>
      <c r="BU3624" t="s">
        <v>1329</v>
      </c>
      <c r="BV3624" t="s">
        <v>98</v>
      </c>
      <c r="BY3624">
        <v>1200</v>
      </c>
      <c r="CA3624" t="s">
        <v>491</v>
      </c>
      <c r="CC3624" t="s">
        <v>93</v>
      </c>
      <c r="CD3624">
        <v>4001</v>
      </c>
      <c r="CE3624" t="s">
        <v>121</v>
      </c>
      <c r="CF3624" s="3">
        <v>45864</v>
      </c>
      <c r="CI3624">
        <v>1</v>
      </c>
      <c r="CJ3624">
        <v>1</v>
      </c>
      <c r="CK3624">
        <v>21</v>
      </c>
      <c r="CL3624" t="s">
        <v>86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"080066763002"</f>
        <v>080066763002</v>
      </c>
      <c r="F3625" s="3">
        <v>45862</v>
      </c>
      <c r="G3625">
        <v>202604</v>
      </c>
      <c r="H3625" t="s">
        <v>75</v>
      </c>
      <c r="I3625" t="s">
        <v>76</v>
      </c>
      <c r="J3625" t="s">
        <v>77</v>
      </c>
      <c r="K3625" t="s">
        <v>78</v>
      </c>
      <c r="L3625" t="s">
        <v>1000</v>
      </c>
      <c r="M3625" t="s">
        <v>1001</v>
      </c>
      <c r="N3625" t="s">
        <v>1002</v>
      </c>
      <c r="O3625" t="s">
        <v>82</v>
      </c>
      <c r="P3625" t="str">
        <f>"4170050691                    "</f>
        <v xml:space="preserve">4170050691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47.26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3</v>
      </c>
      <c r="BJ3625">
        <v>1.7</v>
      </c>
      <c r="BK3625">
        <v>3</v>
      </c>
      <c r="BL3625">
        <v>148.88999999999999</v>
      </c>
      <c r="BM3625">
        <v>22.33</v>
      </c>
      <c r="BN3625">
        <v>171.22</v>
      </c>
      <c r="BO3625">
        <v>171.22</v>
      </c>
      <c r="BQ3625" t="s">
        <v>1003</v>
      </c>
      <c r="BR3625" t="s">
        <v>84</v>
      </c>
      <c r="BS3625" s="3">
        <v>45863</v>
      </c>
      <c r="BT3625" s="4">
        <v>0.36180555555555555</v>
      </c>
      <c r="BU3625" t="s">
        <v>1004</v>
      </c>
      <c r="BV3625" t="s">
        <v>98</v>
      </c>
      <c r="BY3625">
        <v>8550</v>
      </c>
      <c r="CA3625" t="s">
        <v>1005</v>
      </c>
      <c r="CC3625" t="s">
        <v>1001</v>
      </c>
      <c r="CD3625">
        <v>2410</v>
      </c>
      <c r="CE3625" t="s">
        <v>145</v>
      </c>
      <c r="CF3625" s="3">
        <v>45864</v>
      </c>
      <c r="CI3625">
        <v>1</v>
      </c>
      <c r="CJ3625">
        <v>1</v>
      </c>
      <c r="CK3625">
        <v>24</v>
      </c>
      <c r="CL3625" t="s">
        <v>86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"080066763015"</f>
        <v>080066763015</v>
      </c>
      <c r="F3626" s="3">
        <v>45862</v>
      </c>
      <c r="G3626">
        <v>202604</v>
      </c>
      <c r="H3626" t="s">
        <v>75</v>
      </c>
      <c r="I3626" t="s">
        <v>76</v>
      </c>
      <c r="J3626" t="s">
        <v>77</v>
      </c>
      <c r="K3626" t="s">
        <v>78</v>
      </c>
      <c r="L3626" t="s">
        <v>406</v>
      </c>
      <c r="M3626" t="s">
        <v>407</v>
      </c>
      <c r="N3626" t="s">
        <v>3245</v>
      </c>
      <c r="O3626" t="s">
        <v>82</v>
      </c>
      <c r="P3626" t="str">
        <f>"4170050688                    "</f>
        <v xml:space="preserve">4170050688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43.78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137.94</v>
      </c>
      <c r="BM3626">
        <v>20.69</v>
      </c>
      <c r="BN3626">
        <v>158.63</v>
      </c>
      <c r="BO3626">
        <v>158.63</v>
      </c>
      <c r="BQ3626" t="s">
        <v>3246</v>
      </c>
      <c r="BR3626" t="s">
        <v>84</v>
      </c>
      <c r="BS3626" s="3">
        <v>45863</v>
      </c>
      <c r="BT3626" s="4">
        <v>0.375</v>
      </c>
      <c r="BU3626" t="s">
        <v>618</v>
      </c>
      <c r="BV3626" t="s">
        <v>98</v>
      </c>
      <c r="BY3626">
        <v>1200</v>
      </c>
      <c r="CA3626" t="s">
        <v>1286</v>
      </c>
      <c r="CC3626" t="s">
        <v>407</v>
      </c>
      <c r="CD3626">
        <v>4399</v>
      </c>
      <c r="CE3626" t="s">
        <v>121</v>
      </c>
      <c r="CF3626" s="3">
        <v>45864</v>
      </c>
      <c r="CI3626">
        <v>1</v>
      </c>
      <c r="CJ3626">
        <v>1</v>
      </c>
      <c r="CK3626">
        <v>23</v>
      </c>
      <c r="CL3626" t="s">
        <v>86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"080066763059"</f>
        <v>080066763059</v>
      </c>
      <c r="F3627" s="3">
        <v>45862</v>
      </c>
      <c r="G3627">
        <v>202604</v>
      </c>
      <c r="H3627" t="s">
        <v>75</v>
      </c>
      <c r="I3627" t="s">
        <v>76</v>
      </c>
      <c r="J3627" t="s">
        <v>77</v>
      </c>
      <c r="K3627" t="s">
        <v>78</v>
      </c>
      <c r="L3627" t="s">
        <v>221</v>
      </c>
      <c r="M3627" t="s">
        <v>222</v>
      </c>
      <c r="N3627" t="s">
        <v>223</v>
      </c>
      <c r="O3627" t="s">
        <v>82</v>
      </c>
      <c r="P3627" t="str">
        <f>"4170050692                    "</f>
        <v xml:space="preserve">4170050692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43.78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137.94</v>
      </c>
      <c r="BM3627">
        <v>20.69</v>
      </c>
      <c r="BN3627">
        <v>158.63</v>
      </c>
      <c r="BO3627">
        <v>158.63</v>
      </c>
      <c r="BQ3627" t="s">
        <v>224</v>
      </c>
      <c r="BR3627" t="s">
        <v>84</v>
      </c>
      <c r="BS3627" s="3">
        <v>45863</v>
      </c>
      <c r="BT3627" s="4">
        <v>0.41666666666666669</v>
      </c>
      <c r="BU3627" t="s">
        <v>1707</v>
      </c>
      <c r="BV3627" t="s">
        <v>98</v>
      </c>
      <c r="BY3627">
        <v>1200</v>
      </c>
      <c r="CC3627" t="s">
        <v>222</v>
      </c>
      <c r="CD3627">
        <v>2740</v>
      </c>
      <c r="CE3627" t="s">
        <v>121</v>
      </c>
      <c r="CF3627" s="3">
        <v>45866</v>
      </c>
      <c r="CI3627">
        <v>1</v>
      </c>
      <c r="CJ3627">
        <v>1</v>
      </c>
      <c r="CK3627">
        <v>23</v>
      </c>
      <c r="CL3627" t="s">
        <v>86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"080066763063"</f>
        <v>080066763063</v>
      </c>
      <c r="F3628" s="3">
        <v>45862</v>
      </c>
      <c r="G3628">
        <v>202604</v>
      </c>
      <c r="H3628" t="s">
        <v>75</v>
      </c>
      <c r="I3628" t="s">
        <v>76</v>
      </c>
      <c r="J3628" t="s">
        <v>77</v>
      </c>
      <c r="K3628" t="s">
        <v>78</v>
      </c>
      <c r="L3628" t="s">
        <v>79</v>
      </c>
      <c r="M3628" t="s">
        <v>80</v>
      </c>
      <c r="N3628" t="s">
        <v>141</v>
      </c>
      <c r="O3628" t="s">
        <v>82</v>
      </c>
      <c r="P3628" t="str">
        <f>"4170050558                    "</f>
        <v xml:space="preserve">4170050558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22.6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1.9</v>
      </c>
      <c r="BK3628">
        <v>2</v>
      </c>
      <c r="BL3628">
        <v>71.2</v>
      </c>
      <c r="BM3628">
        <v>10.68</v>
      </c>
      <c r="BN3628">
        <v>81.88</v>
      </c>
      <c r="BO3628">
        <v>81.88</v>
      </c>
      <c r="BQ3628" t="s">
        <v>142</v>
      </c>
      <c r="BR3628" t="s">
        <v>84</v>
      </c>
      <c r="BS3628" s="3">
        <v>45863</v>
      </c>
      <c r="BT3628" s="4">
        <v>0.4236111111111111</v>
      </c>
      <c r="BU3628" t="s">
        <v>2437</v>
      </c>
      <c r="BV3628" t="s">
        <v>98</v>
      </c>
      <c r="BY3628">
        <v>9600</v>
      </c>
      <c r="CA3628" t="s">
        <v>144</v>
      </c>
      <c r="CC3628" t="s">
        <v>80</v>
      </c>
      <c r="CD3628">
        <v>7441</v>
      </c>
      <c r="CE3628" t="s">
        <v>145</v>
      </c>
      <c r="CF3628" s="3">
        <v>45866</v>
      </c>
      <c r="CI3628">
        <v>1</v>
      </c>
      <c r="CJ3628">
        <v>1</v>
      </c>
      <c r="CK3628">
        <v>21</v>
      </c>
      <c r="CL3628" t="s">
        <v>86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"080066763120"</f>
        <v>080066763120</v>
      </c>
      <c r="F3629" s="3">
        <v>45862</v>
      </c>
      <c r="G3629">
        <v>202604</v>
      </c>
      <c r="H3629" t="s">
        <v>75</v>
      </c>
      <c r="I3629" t="s">
        <v>76</v>
      </c>
      <c r="J3629" t="s">
        <v>77</v>
      </c>
      <c r="K3629" t="s">
        <v>78</v>
      </c>
      <c r="L3629" t="s">
        <v>295</v>
      </c>
      <c r="M3629" t="s">
        <v>296</v>
      </c>
      <c r="N3629" t="s">
        <v>1837</v>
      </c>
      <c r="O3629" t="s">
        <v>95</v>
      </c>
      <c r="P3629" t="str">
        <f>"4170050666                    "</f>
        <v xml:space="preserve">4170050666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74.14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3</v>
      </c>
      <c r="BI3629">
        <v>46</v>
      </c>
      <c r="BJ3629">
        <v>55.2</v>
      </c>
      <c r="BK3629">
        <v>56</v>
      </c>
      <c r="BL3629">
        <v>239.45</v>
      </c>
      <c r="BM3629">
        <v>35.92</v>
      </c>
      <c r="BN3629">
        <v>275.37</v>
      </c>
      <c r="BO3629">
        <v>275.37</v>
      </c>
      <c r="BQ3629" t="s">
        <v>1838</v>
      </c>
      <c r="BR3629" t="s">
        <v>84</v>
      </c>
      <c r="BS3629" s="3">
        <v>45863</v>
      </c>
      <c r="BT3629" s="4">
        <v>0.41666666666666669</v>
      </c>
      <c r="BU3629" t="s">
        <v>3427</v>
      </c>
      <c r="BV3629" t="s">
        <v>98</v>
      </c>
      <c r="BY3629">
        <v>276090</v>
      </c>
      <c r="CA3629" t="s">
        <v>1479</v>
      </c>
      <c r="CC3629" t="s">
        <v>296</v>
      </c>
      <c r="CD3629">
        <v>1459</v>
      </c>
      <c r="CE3629" t="s">
        <v>2742</v>
      </c>
      <c r="CF3629" s="3">
        <v>45864</v>
      </c>
      <c r="CI3629">
        <v>1</v>
      </c>
      <c r="CJ3629">
        <v>1</v>
      </c>
      <c r="CK3629">
        <v>42</v>
      </c>
      <c r="CL3629" t="s">
        <v>86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"080066763196"</f>
        <v>080066763196</v>
      </c>
      <c r="F3630" s="3">
        <v>45862</v>
      </c>
      <c r="G3630">
        <v>202604</v>
      </c>
      <c r="H3630" t="s">
        <v>75</v>
      </c>
      <c r="I3630" t="s">
        <v>76</v>
      </c>
      <c r="J3630" t="s">
        <v>77</v>
      </c>
      <c r="K3630" t="s">
        <v>78</v>
      </c>
      <c r="L3630" t="s">
        <v>79</v>
      </c>
      <c r="M3630" t="s">
        <v>80</v>
      </c>
      <c r="N3630" t="s">
        <v>1101</v>
      </c>
      <c r="O3630" t="s">
        <v>82</v>
      </c>
      <c r="P3630" t="str">
        <f>"4170050624                    "</f>
        <v xml:space="preserve">4170050624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22.6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71.2</v>
      </c>
      <c r="BM3630">
        <v>10.68</v>
      </c>
      <c r="BN3630">
        <v>81.88</v>
      </c>
      <c r="BO3630">
        <v>81.88</v>
      </c>
      <c r="BQ3630" t="s">
        <v>1102</v>
      </c>
      <c r="BR3630" t="s">
        <v>84</v>
      </c>
      <c r="BS3630" s="3">
        <v>45863</v>
      </c>
      <c r="BT3630" s="4">
        <v>0.3298611111111111</v>
      </c>
      <c r="BU3630" t="s">
        <v>3404</v>
      </c>
      <c r="BV3630" t="s">
        <v>98</v>
      </c>
      <c r="BY3630">
        <v>1200</v>
      </c>
      <c r="CA3630" t="s">
        <v>289</v>
      </c>
      <c r="CC3630" t="s">
        <v>80</v>
      </c>
      <c r="CD3630">
        <v>7530</v>
      </c>
      <c r="CE3630" t="s">
        <v>121</v>
      </c>
      <c r="CF3630" s="3">
        <v>45866</v>
      </c>
      <c r="CI3630">
        <v>1</v>
      </c>
      <c r="CJ3630">
        <v>1</v>
      </c>
      <c r="CK3630">
        <v>21</v>
      </c>
      <c r="CL3630" t="s">
        <v>86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"080066763222"</f>
        <v>080066763222</v>
      </c>
      <c r="F3631" s="3">
        <v>45862</v>
      </c>
      <c r="G3631">
        <v>202604</v>
      </c>
      <c r="H3631" t="s">
        <v>75</v>
      </c>
      <c r="I3631" t="s">
        <v>76</v>
      </c>
      <c r="J3631" t="s">
        <v>77</v>
      </c>
      <c r="K3631" t="s">
        <v>78</v>
      </c>
      <c r="L3631" t="s">
        <v>79</v>
      </c>
      <c r="M3631" t="s">
        <v>80</v>
      </c>
      <c r="N3631" t="s">
        <v>1050</v>
      </c>
      <c r="O3631" t="s">
        <v>82</v>
      </c>
      <c r="P3631" t="str">
        <f>"4170050714                    "</f>
        <v xml:space="preserve">4170050714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22.6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71.2</v>
      </c>
      <c r="BM3631">
        <v>10.68</v>
      </c>
      <c r="BN3631">
        <v>81.88</v>
      </c>
      <c r="BO3631">
        <v>81.88</v>
      </c>
      <c r="BQ3631" t="s">
        <v>1051</v>
      </c>
      <c r="BR3631" t="s">
        <v>84</v>
      </c>
      <c r="BS3631" s="3">
        <v>45863</v>
      </c>
      <c r="BT3631" s="4">
        <v>0.6069444444444444</v>
      </c>
      <c r="BU3631" t="s">
        <v>3428</v>
      </c>
      <c r="BV3631" t="s">
        <v>86</v>
      </c>
      <c r="BW3631" t="s">
        <v>1053</v>
      </c>
      <c r="BX3631" t="s">
        <v>88</v>
      </c>
      <c r="BY3631">
        <v>1200</v>
      </c>
      <c r="CC3631" t="s">
        <v>80</v>
      </c>
      <c r="CD3631">
        <v>7490</v>
      </c>
      <c r="CE3631" t="s">
        <v>121</v>
      </c>
      <c r="CF3631" s="3">
        <v>45866</v>
      </c>
      <c r="CI3631">
        <v>1</v>
      </c>
      <c r="CJ3631">
        <v>1</v>
      </c>
      <c r="CK3631">
        <v>21</v>
      </c>
      <c r="CL3631" t="s">
        <v>86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"080066763243"</f>
        <v>080066763243</v>
      </c>
      <c r="F3632" s="3">
        <v>45862</v>
      </c>
      <c r="G3632">
        <v>202604</v>
      </c>
      <c r="H3632" t="s">
        <v>75</v>
      </c>
      <c r="I3632" t="s">
        <v>76</v>
      </c>
      <c r="J3632" t="s">
        <v>77</v>
      </c>
      <c r="K3632" t="s">
        <v>78</v>
      </c>
      <c r="L3632" t="s">
        <v>135</v>
      </c>
      <c r="M3632" t="s">
        <v>136</v>
      </c>
      <c r="N3632" t="s">
        <v>416</v>
      </c>
      <c r="O3632" t="s">
        <v>82</v>
      </c>
      <c r="P3632" t="str">
        <f>"4170050736                    "</f>
        <v xml:space="preserve">4170050736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22.6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71.2</v>
      </c>
      <c r="BM3632">
        <v>10.68</v>
      </c>
      <c r="BN3632">
        <v>81.88</v>
      </c>
      <c r="BO3632">
        <v>81.88</v>
      </c>
      <c r="BQ3632" t="s">
        <v>417</v>
      </c>
      <c r="BR3632" t="s">
        <v>84</v>
      </c>
      <c r="BS3632" s="3">
        <v>45863</v>
      </c>
      <c r="BT3632" s="4">
        <v>0.41666666666666669</v>
      </c>
      <c r="BU3632" t="s">
        <v>3262</v>
      </c>
      <c r="BV3632" t="s">
        <v>98</v>
      </c>
      <c r="BY3632">
        <v>1200</v>
      </c>
      <c r="CC3632" t="s">
        <v>136</v>
      </c>
      <c r="CD3632">
        <v>3201</v>
      </c>
      <c r="CE3632" t="s">
        <v>121</v>
      </c>
      <c r="CF3632" s="3">
        <v>45864</v>
      </c>
      <c r="CI3632">
        <v>1</v>
      </c>
      <c r="CJ3632">
        <v>1</v>
      </c>
      <c r="CK3632">
        <v>21</v>
      </c>
      <c r="CL3632" t="s">
        <v>86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"080066763269"</f>
        <v>080066763269</v>
      </c>
      <c r="F3633" s="3">
        <v>45862</v>
      </c>
      <c r="G3633">
        <v>202604</v>
      </c>
      <c r="H3633" t="s">
        <v>75</v>
      </c>
      <c r="I3633" t="s">
        <v>76</v>
      </c>
      <c r="J3633" t="s">
        <v>77</v>
      </c>
      <c r="K3633" t="s">
        <v>78</v>
      </c>
      <c r="L3633" t="s">
        <v>122</v>
      </c>
      <c r="M3633" t="s">
        <v>123</v>
      </c>
      <c r="N3633" t="s">
        <v>972</v>
      </c>
      <c r="O3633" t="s">
        <v>82</v>
      </c>
      <c r="P3633" t="str">
        <f>"4170050583                    "</f>
        <v xml:space="preserve">4170050583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22.6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71.2</v>
      </c>
      <c r="BM3633">
        <v>10.68</v>
      </c>
      <c r="BN3633">
        <v>81.88</v>
      </c>
      <c r="BO3633">
        <v>81.88</v>
      </c>
      <c r="BQ3633" t="s">
        <v>973</v>
      </c>
      <c r="BR3633" t="s">
        <v>84</v>
      </c>
      <c r="BS3633" s="3">
        <v>45863</v>
      </c>
      <c r="BT3633" s="4">
        <v>0.41736111111111113</v>
      </c>
      <c r="BU3633" t="s">
        <v>3429</v>
      </c>
      <c r="BV3633" t="s">
        <v>98</v>
      </c>
      <c r="BY3633">
        <v>1200</v>
      </c>
      <c r="CC3633" t="s">
        <v>123</v>
      </c>
      <c r="CD3633">
        <v>3610</v>
      </c>
      <c r="CE3633" t="s">
        <v>121</v>
      </c>
      <c r="CF3633" s="3">
        <v>45863</v>
      </c>
      <c r="CI3633">
        <v>1</v>
      </c>
      <c r="CJ3633">
        <v>1</v>
      </c>
      <c r="CK3633">
        <v>21</v>
      </c>
      <c r="CL3633" t="s">
        <v>86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"080066763306"</f>
        <v>080066763306</v>
      </c>
      <c r="F3634" s="3">
        <v>45862</v>
      </c>
      <c r="G3634">
        <v>202604</v>
      </c>
      <c r="H3634" t="s">
        <v>75</v>
      </c>
      <c r="I3634" t="s">
        <v>76</v>
      </c>
      <c r="J3634" t="s">
        <v>77</v>
      </c>
      <c r="K3634" t="s">
        <v>78</v>
      </c>
      <c r="L3634" t="s">
        <v>75</v>
      </c>
      <c r="M3634" t="s">
        <v>76</v>
      </c>
      <c r="N3634" t="s">
        <v>1324</v>
      </c>
      <c r="O3634" t="s">
        <v>82</v>
      </c>
      <c r="P3634" t="str">
        <f>"4170050621                    "</f>
        <v xml:space="preserve">4170050621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17.649999999999999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55.61</v>
      </c>
      <c r="BM3634">
        <v>8.34</v>
      </c>
      <c r="BN3634">
        <v>63.95</v>
      </c>
      <c r="BO3634">
        <v>63.95</v>
      </c>
      <c r="BQ3634" t="s">
        <v>1325</v>
      </c>
      <c r="BR3634" t="s">
        <v>84</v>
      </c>
      <c r="BS3634" s="3">
        <v>45863</v>
      </c>
      <c r="BT3634" s="4">
        <v>0.29166666666666669</v>
      </c>
      <c r="BU3634" t="s">
        <v>1797</v>
      </c>
      <c r="BV3634" t="s">
        <v>98</v>
      </c>
      <c r="BY3634">
        <v>1200</v>
      </c>
      <c r="CA3634" t="s">
        <v>213</v>
      </c>
      <c r="CC3634" t="s">
        <v>76</v>
      </c>
      <c r="CD3634">
        <v>1600</v>
      </c>
      <c r="CE3634" t="s">
        <v>121</v>
      </c>
      <c r="CF3634" s="3">
        <v>45863</v>
      </c>
      <c r="CI3634">
        <v>1</v>
      </c>
      <c r="CJ3634">
        <v>1</v>
      </c>
      <c r="CK3634">
        <v>22</v>
      </c>
      <c r="CL3634" t="s">
        <v>86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"080066763343"</f>
        <v>080066763343</v>
      </c>
      <c r="F3635" s="3">
        <v>45862</v>
      </c>
      <c r="G3635">
        <v>202604</v>
      </c>
      <c r="H3635" t="s">
        <v>75</v>
      </c>
      <c r="I3635" t="s">
        <v>76</v>
      </c>
      <c r="J3635" t="s">
        <v>77</v>
      </c>
      <c r="K3635" t="s">
        <v>78</v>
      </c>
      <c r="L3635" t="s">
        <v>865</v>
      </c>
      <c r="M3635" t="s">
        <v>866</v>
      </c>
      <c r="N3635" t="s">
        <v>867</v>
      </c>
      <c r="O3635" t="s">
        <v>82</v>
      </c>
      <c r="P3635" t="str">
        <f>"4170050763                    "</f>
        <v xml:space="preserve">4170050763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162.41999999999999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8</v>
      </c>
      <c r="BJ3635">
        <v>4.5</v>
      </c>
      <c r="BK3635">
        <v>8</v>
      </c>
      <c r="BL3635">
        <v>511.7</v>
      </c>
      <c r="BM3635">
        <v>76.760000000000005</v>
      </c>
      <c r="BN3635">
        <v>588.46</v>
      </c>
      <c r="BO3635">
        <v>588.46</v>
      </c>
      <c r="BQ3635" t="s">
        <v>868</v>
      </c>
      <c r="BR3635" t="s">
        <v>84</v>
      </c>
      <c r="BS3635" t="s">
        <v>587</v>
      </c>
      <c r="BY3635">
        <v>22620</v>
      </c>
      <c r="CC3635" t="s">
        <v>866</v>
      </c>
      <c r="CD3635">
        <v>8446</v>
      </c>
      <c r="CE3635" t="s">
        <v>145</v>
      </c>
      <c r="CI3635">
        <v>1</v>
      </c>
      <c r="CJ3635" t="s">
        <v>587</v>
      </c>
      <c r="CK3635">
        <v>23</v>
      </c>
      <c r="CL3635" t="s">
        <v>86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"080066763355"</f>
        <v>080066763355</v>
      </c>
      <c r="F3636" s="3">
        <v>45862</v>
      </c>
      <c r="G3636">
        <v>202604</v>
      </c>
      <c r="H3636" t="s">
        <v>75</v>
      </c>
      <c r="I3636" t="s">
        <v>76</v>
      </c>
      <c r="J3636" t="s">
        <v>77</v>
      </c>
      <c r="K3636" t="s">
        <v>78</v>
      </c>
      <c r="L3636" t="s">
        <v>305</v>
      </c>
      <c r="M3636" t="s">
        <v>306</v>
      </c>
      <c r="N3636" t="s">
        <v>1320</v>
      </c>
      <c r="O3636" t="s">
        <v>82</v>
      </c>
      <c r="P3636" t="str">
        <f>"4170050801                    "</f>
        <v xml:space="preserve">4170050801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22.6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71.2</v>
      </c>
      <c r="BM3636">
        <v>10.68</v>
      </c>
      <c r="BN3636">
        <v>81.88</v>
      </c>
      <c r="BO3636">
        <v>81.88</v>
      </c>
      <c r="BQ3636" t="s">
        <v>308</v>
      </c>
      <c r="BR3636" t="s">
        <v>84</v>
      </c>
      <c r="BS3636" s="3">
        <v>45863</v>
      </c>
      <c r="BT3636" s="4">
        <v>0.4375</v>
      </c>
      <c r="BU3636" t="s">
        <v>1676</v>
      </c>
      <c r="BV3636" t="s">
        <v>98</v>
      </c>
      <c r="BY3636">
        <v>1200</v>
      </c>
      <c r="CA3636" t="s">
        <v>310</v>
      </c>
      <c r="CC3636" t="s">
        <v>306</v>
      </c>
      <c r="CD3636">
        <v>5200</v>
      </c>
      <c r="CE3636" t="s">
        <v>121</v>
      </c>
      <c r="CF3636" s="3">
        <v>45863</v>
      </c>
      <c r="CI3636">
        <v>1</v>
      </c>
      <c r="CJ3636">
        <v>1</v>
      </c>
      <c r="CK3636">
        <v>21</v>
      </c>
      <c r="CL3636" t="s">
        <v>86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"080066763404"</f>
        <v>080066763404</v>
      </c>
      <c r="F3637" s="3">
        <v>45862</v>
      </c>
      <c r="G3637">
        <v>202604</v>
      </c>
      <c r="H3637" t="s">
        <v>75</v>
      </c>
      <c r="I3637" t="s">
        <v>76</v>
      </c>
      <c r="J3637" t="s">
        <v>77</v>
      </c>
      <c r="K3637" t="s">
        <v>78</v>
      </c>
      <c r="L3637" t="s">
        <v>151</v>
      </c>
      <c r="M3637" t="s">
        <v>152</v>
      </c>
      <c r="N3637" t="s">
        <v>2124</v>
      </c>
      <c r="O3637" t="s">
        <v>82</v>
      </c>
      <c r="P3637" t="str">
        <f>"4170050434                    "</f>
        <v xml:space="preserve">4170050434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22.6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71.2</v>
      </c>
      <c r="BM3637">
        <v>10.68</v>
      </c>
      <c r="BN3637">
        <v>81.88</v>
      </c>
      <c r="BO3637">
        <v>81.88</v>
      </c>
      <c r="BQ3637" t="s">
        <v>2125</v>
      </c>
      <c r="BR3637" t="s">
        <v>84</v>
      </c>
      <c r="BS3637" s="3">
        <v>45863</v>
      </c>
      <c r="BT3637" s="4">
        <v>0.38958333333333334</v>
      </c>
      <c r="BU3637" t="s">
        <v>3430</v>
      </c>
      <c r="BV3637" t="s">
        <v>98</v>
      </c>
      <c r="BY3637">
        <v>1200</v>
      </c>
      <c r="CA3637" t="s">
        <v>3431</v>
      </c>
      <c r="CC3637" t="s">
        <v>152</v>
      </c>
      <c r="CD3637" s="5" t="s">
        <v>157</v>
      </c>
      <c r="CE3637" t="s">
        <v>121</v>
      </c>
      <c r="CF3637" s="3">
        <v>45863</v>
      </c>
      <c r="CI3637">
        <v>1</v>
      </c>
      <c r="CJ3637">
        <v>1</v>
      </c>
      <c r="CK3637">
        <v>21</v>
      </c>
      <c r="CL3637" t="s">
        <v>86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"080066764526"</f>
        <v>080066764526</v>
      </c>
      <c r="F3638" s="3">
        <v>45862</v>
      </c>
      <c r="G3638">
        <v>202604</v>
      </c>
      <c r="H3638" t="s">
        <v>75</v>
      </c>
      <c r="I3638" t="s">
        <v>76</v>
      </c>
      <c r="J3638" t="s">
        <v>77</v>
      </c>
      <c r="K3638" t="s">
        <v>78</v>
      </c>
      <c r="L3638" t="s">
        <v>758</v>
      </c>
      <c r="M3638" t="s">
        <v>759</v>
      </c>
      <c r="N3638" t="s">
        <v>760</v>
      </c>
      <c r="O3638" t="s">
        <v>82</v>
      </c>
      <c r="P3638" t="str">
        <f>"4170050872                    "</f>
        <v xml:space="preserve">4170050872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43.78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137.94</v>
      </c>
      <c r="BM3638">
        <v>20.69</v>
      </c>
      <c r="BN3638">
        <v>158.63</v>
      </c>
      <c r="BO3638">
        <v>158.63</v>
      </c>
      <c r="BQ3638" t="s">
        <v>761</v>
      </c>
      <c r="BR3638" t="s">
        <v>84</v>
      </c>
      <c r="BS3638" s="3">
        <v>45863</v>
      </c>
      <c r="BT3638" s="4">
        <v>0.45208333333333334</v>
      </c>
      <c r="BU3638" t="s">
        <v>2578</v>
      </c>
      <c r="BV3638" t="s">
        <v>98</v>
      </c>
      <c r="BY3638">
        <v>1240</v>
      </c>
      <c r="CA3638" t="s">
        <v>3015</v>
      </c>
      <c r="CC3638" t="s">
        <v>759</v>
      </c>
      <c r="CD3638">
        <v>2531</v>
      </c>
      <c r="CE3638" t="s">
        <v>121</v>
      </c>
      <c r="CF3638" s="3">
        <v>45866</v>
      </c>
      <c r="CI3638">
        <v>1</v>
      </c>
      <c r="CJ3638">
        <v>1</v>
      </c>
      <c r="CK3638">
        <v>23</v>
      </c>
      <c r="CL3638" t="s">
        <v>86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"080066764571"</f>
        <v>080066764571</v>
      </c>
      <c r="F3639" s="3">
        <v>45862</v>
      </c>
      <c r="G3639">
        <v>202604</v>
      </c>
      <c r="H3639" t="s">
        <v>75</v>
      </c>
      <c r="I3639" t="s">
        <v>76</v>
      </c>
      <c r="J3639" t="s">
        <v>77</v>
      </c>
      <c r="K3639" t="s">
        <v>78</v>
      </c>
      <c r="L3639" t="s">
        <v>295</v>
      </c>
      <c r="M3639" t="s">
        <v>296</v>
      </c>
      <c r="N3639" t="s">
        <v>1043</v>
      </c>
      <c r="O3639" t="s">
        <v>82</v>
      </c>
      <c r="P3639" t="str">
        <f>"4170050712                    "</f>
        <v xml:space="preserve">4170050712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17.649999999999999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55.61</v>
      </c>
      <c r="BM3639">
        <v>8.34</v>
      </c>
      <c r="BN3639">
        <v>63.95</v>
      </c>
      <c r="BO3639">
        <v>63.95</v>
      </c>
      <c r="BQ3639" t="s">
        <v>1044</v>
      </c>
      <c r="BR3639" t="s">
        <v>84</v>
      </c>
      <c r="BS3639" s="3">
        <v>45863</v>
      </c>
      <c r="BT3639" s="4">
        <v>0.33819444444444446</v>
      </c>
      <c r="BU3639" t="s">
        <v>3432</v>
      </c>
      <c r="BV3639" t="s">
        <v>98</v>
      </c>
      <c r="BY3639">
        <v>1200</v>
      </c>
      <c r="CA3639" t="s">
        <v>300</v>
      </c>
      <c r="CC3639" t="s">
        <v>296</v>
      </c>
      <c r="CD3639">
        <v>1459</v>
      </c>
      <c r="CE3639" t="s">
        <v>121</v>
      </c>
      <c r="CF3639" s="3">
        <v>45864</v>
      </c>
      <c r="CI3639">
        <v>1</v>
      </c>
      <c r="CJ3639">
        <v>1</v>
      </c>
      <c r="CK3639">
        <v>22</v>
      </c>
      <c r="CL3639" t="s">
        <v>86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"080066764609"</f>
        <v>080066764609</v>
      </c>
      <c r="F3640" s="3">
        <v>45862</v>
      </c>
      <c r="G3640">
        <v>202604</v>
      </c>
      <c r="H3640" t="s">
        <v>75</v>
      </c>
      <c r="I3640" t="s">
        <v>76</v>
      </c>
      <c r="J3640" t="s">
        <v>77</v>
      </c>
      <c r="K3640" t="s">
        <v>78</v>
      </c>
      <c r="L3640" t="s">
        <v>79</v>
      </c>
      <c r="M3640" t="s">
        <v>80</v>
      </c>
      <c r="N3640" t="s">
        <v>188</v>
      </c>
      <c r="O3640" t="s">
        <v>82</v>
      </c>
      <c r="P3640" t="str">
        <f>"4170050741                    "</f>
        <v xml:space="preserve">4170050741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22.6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71.2</v>
      </c>
      <c r="BM3640">
        <v>10.68</v>
      </c>
      <c r="BN3640">
        <v>81.88</v>
      </c>
      <c r="BO3640">
        <v>81.88</v>
      </c>
      <c r="BQ3640" t="s">
        <v>189</v>
      </c>
      <c r="BR3640" t="s">
        <v>84</v>
      </c>
      <c r="BS3640" s="3">
        <v>45863</v>
      </c>
      <c r="BT3640" s="4">
        <v>0.36805555555555558</v>
      </c>
      <c r="BU3640" t="s">
        <v>1216</v>
      </c>
      <c r="BV3640" t="s">
        <v>98</v>
      </c>
      <c r="BY3640">
        <v>1200</v>
      </c>
      <c r="CA3640" t="s">
        <v>144</v>
      </c>
      <c r="CC3640" t="s">
        <v>80</v>
      </c>
      <c r="CD3640">
        <v>7441</v>
      </c>
      <c r="CE3640" t="s">
        <v>110</v>
      </c>
      <c r="CF3640" s="3">
        <v>45866</v>
      </c>
      <c r="CI3640">
        <v>1</v>
      </c>
      <c r="CJ3640">
        <v>1</v>
      </c>
      <c r="CK3640">
        <v>21</v>
      </c>
      <c r="CL3640" t="s">
        <v>86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"080066764634"</f>
        <v>080066764634</v>
      </c>
      <c r="F3641" s="3">
        <v>45862</v>
      </c>
      <c r="G3641">
        <v>202604</v>
      </c>
      <c r="H3641" t="s">
        <v>75</v>
      </c>
      <c r="I3641" t="s">
        <v>76</v>
      </c>
      <c r="J3641" t="s">
        <v>77</v>
      </c>
      <c r="K3641" t="s">
        <v>78</v>
      </c>
      <c r="L3641" t="s">
        <v>151</v>
      </c>
      <c r="M3641" t="s">
        <v>152</v>
      </c>
      <c r="N3641" t="s">
        <v>153</v>
      </c>
      <c r="O3641" t="s">
        <v>82</v>
      </c>
      <c r="P3641" t="str">
        <f>"4170050813                    "</f>
        <v xml:space="preserve">4170050813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22.6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71.2</v>
      </c>
      <c r="BM3641">
        <v>10.68</v>
      </c>
      <c r="BN3641">
        <v>81.88</v>
      </c>
      <c r="BO3641">
        <v>81.88</v>
      </c>
      <c r="BQ3641" t="s">
        <v>154</v>
      </c>
      <c r="BR3641" t="s">
        <v>84</v>
      </c>
      <c r="BS3641" s="3">
        <v>45863</v>
      </c>
      <c r="BT3641" s="4">
        <v>0.35347222222222224</v>
      </c>
      <c r="BU3641" t="s">
        <v>3406</v>
      </c>
      <c r="BV3641" t="s">
        <v>98</v>
      </c>
      <c r="BY3641">
        <v>1200</v>
      </c>
      <c r="CA3641" t="s">
        <v>559</v>
      </c>
      <c r="CC3641" t="s">
        <v>152</v>
      </c>
      <c r="CD3641" s="5" t="s">
        <v>157</v>
      </c>
      <c r="CE3641" t="s">
        <v>110</v>
      </c>
      <c r="CF3641" s="3">
        <v>45863</v>
      </c>
      <c r="CI3641">
        <v>1</v>
      </c>
      <c r="CJ3641">
        <v>1</v>
      </c>
      <c r="CK3641">
        <v>21</v>
      </c>
      <c r="CL3641" t="s">
        <v>86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"080066764659"</f>
        <v>080066764659</v>
      </c>
      <c r="F3642" s="3">
        <v>45862</v>
      </c>
      <c r="G3642">
        <v>202604</v>
      </c>
      <c r="H3642" t="s">
        <v>75</v>
      </c>
      <c r="I3642" t="s">
        <v>76</v>
      </c>
      <c r="J3642" t="s">
        <v>77</v>
      </c>
      <c r="K3642" t="s">
        <v>78</v>
      </c>
      <c r="L3642" t="s">
        <v>75</v>
      </c>
      <c r="M3642" t="s">
        <v>76</v>
      </c>
      <c r="N3642" t="s">
        <v>562</v>
      </c>
      <c r="O3642" t="s">
        <v>82</v>
      </c>
      <c r="P3642" t="str">
        <f>"4170050729                    "</f>
        <v xml:space="preserve">4170050729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17.649999999999999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55.61</v>
      </c>
      <c r="BM3642">
        <v>8.34</v>
      </c>
      <c r="BN3642">
        <v>63.95</v>
      </c>
      <c r="BO3642">
        <v>63.95</v>
      </c>
      <c r="BQ3642" t="s">
        <v>563</v>
      </c>
      <c r="BR3642" t="s">
        <v>84</v>
      </c>
      <c r="BS3642" s="3">
        <v>45863</v>
      </c>
      <c r="BT3642" s="4">
        <v>0.40555555555555556</v>
      </c>
      <c r="BU3642" t="s">
        <v>2570</v>
      </c>
      <c r="BV3642" t="s">
        <v>98</v>
      </c>
      <c r="BY3642">
        <v>1200</v>
      </c>
      <c r="CA3642" t="s">
        <v>1613</v>
      </c>
      <c r="CC3642" t="s">
        <v>76</v>
      </c>
      <c r="CD3642">
        <v>1619</v>
      </c>
      <c r="CE3642" t="s">
        <v>121</v>
      </c>
      <c r="CF3642" s="3">
        <v>45864</v>
      </c>
      <c r="CI3642">
        <v>1</v>
      </c>
      <c r="CJ3642">
        <v>1</v>
      </c>
      <c r="CK3642">
        <v>22</v>
      </c>
      <c r="CL3642" t="s">
        <v>86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"080066764697"</f>
        <v>080066764697</v>
      </c>
      <c r="F3643" s="3">
        <v>45862</v>
      </c>
      <c r="G3643">
        <v>202604</v>
      </c>
      <c r="H3643" t="s">
        <v>75</v>
      </c>
      <c r="I3643" t="s">
        <v>76</v>
      </c>
      <c r="J3643" t="s">
        <v>77</v>
      </c>
      <c r="K3643" t="s">
        <v>78</v>
      </c>
      <c r="L3643" t="s">
        <v>79</v>
      </c>
      <c r="M3643" t="s">
        <v>80</v>
      </c>
      <c r="N3643" t="s">
        <v>1980</v>
      </c>
      <c r="O3643" t="s">
        <v>82</v>
      </c>
      <c r="P3643" t="str">
        <f>"4170050787                    "</f>
        <v xml:space="preserve">4170050787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22.6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16.739999999999998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87.94</v>
      </c>
      <c r="BM3643">
        <v>13.19</v>
      </c>
      <c r="BN3643">
        <v>101.13</v>
      </c>
      <c r="BO3643">
        <v>101.13</v>
      </c>
      <c r="BQ3643" t="s">
        <v>1981</v>
      </c>
      <c r="BR3643" t="s">
        <v>84</v>
      </c>
      <c r="BS3643" s="3">
        <v>45863</v>
      </c>
      <c r="BT3643" s="4">
        <v>0.3659722222222222</v>
      </c>
      <c r="BU3643" t="s">
        <v>1982</v>
      </c>
      <c r="BV3643" t="s">
        <v>98</v>
      </c>
      <c r="BY3643">
        <v>1200</v>
      </c>
      <c r="BZ3643" t="s">
        <v>30</v>
      </c>
      <c r="CA3643" t="s">
        <v>692</v>
      </c>
      <c r="CC3643" t="s">
        <v>80</v>
      </c>
      <c r="CD3643">
        <v>7781</v>
      </c>
      <c r="CE3643" t="s">
        <v>121</v>
      </c>
      <c r="CF3643" s="3">
        <v>45866</v>
      </c>
      <c r="CI3643">
        <v>1</v>
      </c>
      <c r="CJ3643">
        <v>1</v>
      </c>
      <c r="CK3643">
        <v>21</v>
      </c>
      <c r="CL3643" t="s">
        <v>86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"080066764728"</f>
        <v>080066764728</v>
      </c>
      <c r="F3644" s="3">
        <v>45862</v>
      </c>
      <c r="G3644">
        <v>202604</v>
      </c>
      <c r="H3644" t="s">
        <v>75</v>
      </c>
      <c r="I3644" t="s">
        <v>76</v>
      </c>
      <c r="J3644" t="s">
        <v>77</v>
      </c>
      <c r="K3644" t="s">
        <v>78</v>
      </c>
      <c r="L3644" t="s">
        <v>79</v>
      </c>
      <c r="M3644" t="s">
        <v>80</v>
      </c>
      <c r="N3644" t="s">
        <v>1218</v>
      </c>
      <c r="O3644" t="s">
        <v>82</v>
      </c>
      <c r="P3644" t="str">
        <f>"4170050870                    "</f>
        <v xml:space="preserve">4170050870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22.6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71.2</v>
      </c>
      <c r="BM3644">
        <v>10.68</v>
      </c>
      <c r="BN3644">
        <v>81.88</v>
      </c>
      <c r="BO3644">
        <v>81.88</v>
      </c>
      <c r="BQ3644" t="s">
        <v>1219</v>
      </c>
      <c r="BR3644" t="s">
        <v>84</v>
      </c>
      <c r="BS3644" s="3">
        <v>45863</v>
      </c>
      <c r="BT3644" s="4">
        <v>0.33402777777777776</v>
      </c>
      <c r="BU3644" t="s">
        <v>2275</v>
      </c>
      <c r="BV3644" t="s">
        <v>98</v>
      </c>
      <c r="BY3644">
        <v>1200</v>
      </c>
      <c r="CA3644" t="s">
        <v>3433</v>
      </c>
      <c r="CC3644" t="s">
        <v>80</v>
      </c>
      <c r="CD3644">
        <v>7764</v>
      </c>
      <c r="CE3644" t="s">
        <v>110</v>
      </c>
      <c r="CF3644" s="3">
        <v>45866</v>
      </c>
      <c r="CI3644">
        <v>1</v>
      </c>
      <c r="CJ3644">
        <v>1</v>
      </c>
      <c r="CK3644">
        <v>21</v>
      </c>
      <c r="CL3644" t="s">
        <v>86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"080066764751"</f>
        <v>080066764751</v>
      </c>
      <c r="F3645" s="3">
        <v>45862</v>
      </c>
      <c r="G3645">
        <v>202604</v>
      </c>
      <c r="H3645" t="s">
        <v>75</v>
      </c>
      <c r="I3645" t="s">
        <v>76</v>
      </c>
      <c r="J3645" t="s">
        <v>77</v>
      </c>
      <c r="K3645" t="s">
        <v>78</v>
      </c>
      <c r="L3645" t="s">
        <v>406</v>
      </c>
      <c r="M3645" t="s">
        <v>407</v>
      </c>
      <c r="N3645" t="s">
        <v>3245</v>
      </c>
      <c r="O3645" t="s">
        <v>82</v>
      </c>
      <c r="P3645" t="str">
        <f>"4170050365                    "</f>
        <v xml:space="preserve">4170050365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43.78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137.94</v>
      </c>
      <c r="BM3645">
        <v>20.69</v>
      </c>
      <c r="BN3645">
        <v>158.63</v>
      </c>
      <c r="BO3645">
        <v>158.63</v>
      </c>
      <c r="BQ3645" t="s">
        <v>3246</v>
      </c>
      <c r="BR3645" t="s">
        <v>84</v>
      </c>
      <c r="BS3645" s="3">
        <v>45863</v>
      </c>
      <c r="BT3645" s="4">
        <v>0.375</v>
      </c>
      <c r="BU3645" t="s">
        <v>618</v>
      </c>
      <c r="BV3645" t="s">
        <v>98</v>
      </c>
      <c r="BY3645">
        <v>1200</v>
      </c>
      <c r="CA3645" t="s">
        <v>1286</v>
      </c>
      <c r="CC3645" t="s">
        <v>407</v>
      </c>
      <c r="CD3645">
        <v>4399</v>
      </c>
      <c r="CE3645" t="s">
        <v>110</v>
      </c>
      <c r="CF3645" s="3">
        <v>45864</v>
      </c>
      <c r="CI3645">
        <v>1</v>
      </c>
      <c r="CJ3645">
        <v>1</v>
      </c>
      <c r="CK3645">
        <v>23</v>
      </c>
      <c r="CL3645" t="s">
        <v>86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"080066764780"</f>
        <v>080066764780</v>
      </c>
      <c r="F3646" s="3">
        <v>45862</v>
      </c>
      <c r="G3646">
        <v>202604</v>
      </c>
      <c r="H3646" t="s">
        <v>75</v>
      </c>
      <c r="I3646" t="s">
        <v>76</v>
      </c>
      <c r="J3646" t="s">
        <v>77</v>
      </c>
      <c r="K3646" t="s">
        <v>78</v>
      </c>
      <c r="L3646" t="s">
        <v>92</v>
      </c>
      <c r="M3646" t="s">
        <v>93</v>
      </c>
      <c r="N3646" t="s">
        <v>723</v>
      </c>
      <c r="O3646" t="s">
        <v>82</v>
      </c>
      <c r="P3646" t="str">
        <f>"4170050822                    "</f>
        <v xml:space="preserve">4170050822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22.6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71.2</v>
      </c>
      <c r="BM3646">
        <v>10.68</v>
      </c>
      <c r="BN3646">
        <v>81.88</v>
      </c>
      <c r="BO3646">
        <v>81.88</v>
      </c>
      <c r="BQ3646" t="s">
        <v>724</v>
      </c>
      <c r="BR3646" t="s">
        <v>84</v>
      </c>
      <c r="BS3646" s="3">
        <v>45863</v>
      </c>
      <c r="BT3646" s="4">
        <v>0.43194444444444446</v>
      </c>
      <c r="BU3646" t="s">
        <v>3434</v>
      </c>
      <c r="BV3646" t="s">
        <v>98</v>
      </c>
      <c r="BY3646">
        <v>1200</v>
      </c>
      <c r="CA3646" t="s">
        <v>2974</v>
      </c>
      <c r="CC3646" t="s">
        <v>93</v>
      </c>
      <c r="CD3646">
        <v>4000</v>
      </c>
      <c r="CE3646" t="s">
        <v>110</v>
      </c>
      <c r="CF3646" s="3">
        <v>45863</v>
      </c>
      <c r="CI3646">
        <v>1</v>
      </c>
      <c r="CJ3646">
        <v>1</v>
      </c>
      <c r="CK3646">
        <v>21</v>
      </c>
      <c r="CL3646" t="s">
        <v>86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"080066764803"</f>
        <v>080066764803</v>
      </c>
      <c r="F3647" s="3">
        <v>45862</v>
      </c>
      <c r="G3647">
        <v>202604</v>
      </c>
      <c r="H3647" t="s">
        <v>75</v>
      </c>
      <c r="I3647" t="s">
        <v>76</v>
      </c>
      <c r="J3647" t="s">
        <v>77</v>
      </c>
      <c r="K3647" t="s">
        <v>78</v>
      </c>
      <c r="L3647" t="s">
        <v>452</v>
      </c>
      <c r="M3647" t="s">
        <v>453</v>
      </c>
      <c r="N3647" t="s">
        <v>968</v>
      </c>
      <c r="O3647" t="s">
        <v>82</v>
      </c>
      <c r="P3647" t="str">
        <f>"4170050528                    "</f>
        <v xml:space="preserve">4170050528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17.649999999999999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2</v>
      </c>
      <c r="BJ3647">
        <v>0.9</v>
      </c>
      <c r="BK3647">
        <v>2</v>
      </c>
      <c r="BL3647">
        <v>55.61</v>
      </c>
      <c r="BM3647">
        <v>8.34</v>
      </c>
      <c r="BN3647">
        <v>63.95</v>
      </c>
      <c r="BO3647">
        <v>63.95</v>
      </c>
      <c r="BQ3647" t="s">
        <v>1098</v>
      </c>
      <c r="BR3647" t="s">
        <v>84</v>
      </c>
      <c r="BS3647" s="3">
        <v>45863</v>
      </c>
      <c r="BT3647" s="4">
        <v>0.51736111111111116</v>
      </c>
      <c r="BU3647" t="s">
        <v>781</v>
      </c>
      <c r="BV3647" t="s">
        <v>98</v>
      </c>
      <c r="BY3647">
        <v>4560</v>
      </c>
      <c r="CA3647" t="s">
        <v>1541</v>
      </c>
      <c r="CC3647" t="s">
        <v>453</v>
      </c>
      <c r="CD3647">
        <v>1559</v>
      </c>
      <c r="CE3647" t="s">
        <v>110</v>
      </c>
      <c r="CF3647" s="3">
        <v>45863</v>
      </c>
      <c r="CI3647">
        <v>1</v>
      </c>
      <c r="CJ3647">
        <v>1</v>
      </c>
      <c r="CK3647">
        <v>22</v>
      </c>
      <c r="CL3647" t="s">
        <v>86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"R080066698051"</f>
        <v>R080066698051</v>
      </c>
      <c r="F3648" s="3">
        <v>45862</v>
      </c>
      <c r="G3648">
        <v>202604</v>
      </c>
      <c r="H3648" t="s">
        <v>75</v>
      </c>
      <c r="I3648" t="s">
        <v>76</v>
      </c>
      <c r="J3648" t="s">
        <v>3070</v>
      </c>
      <c r="K3648" t="s">
        <v>78</v>
      </c>
      <c r="L3648" t="s">
        <v>151</v>
      </c>
      <c r="M3648" t="s">
        <v>152</v>
      </c>
      <c r="N3648" t="s">
        <v>3070</v>
      </c>
      <c r="O3648" t="s">
        <v>95</v>
      </c>
      <c r="P3648" t="str">
        <f>"4170048935                    "</f>
        <v xml:space="preserve">4170048935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43.7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1.3</v>
      </c>
      <c r="BK3648">
        <v>2</v>
      </c>
      <c r="BL3648">
        <v>143.55000000000001</v>
      </c>
      <c r="BM3648">
        <v>21.53</v>
      </c>
      <c r="BN3648">
        <v>165.08</v>
      </c>
      <c r="BO3648">
        <v>165.08</v>
      </c>
      <c r="BQ3648" t="s">
        <v>3435</v>
      </c>
      <c r="BR3648" t="s">
        <v>3071</v>
      </c>
      <c r="BS3648" s="3">
        <v>45863</v>
      </c>
      <c r="BT3648" s="4">
        <v>0.44236111111111109</v>
      </c>
      <c r="BU3648" t="s">
        <v>3436</v>
      </c>
      <c r="BV3648" t="s">
        <v>98</v>
      </c>
      <c r="BY3648">
        <v>6384</v>
      </c>
      <c r="CA3648" t="s">
        <v>518</v>
      </c>
      <c r="CC3648" t="s">
        <v>152</v>
      </c>
      <c r="CD3648" s="5" t="s">
        <v>1141</v>
      </c>
      <c r="CE3648" t="s">
        <v>145</v>
      </c>
      <c r="CF3648" s="3">
        <v>45863</v>
      </c>
      <c r="CI3648">
        <v>1</v>
      </c>
      <c r="CJ3648">
        <v>1</v>
      </c>
      <c r="CK3648">
        <v>41</v>
      </c>
      <c r="CL3648" t="s">
        <v>86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"080066764840"</f>
        <v>080066764840</v>
      </c>
      <c r="F3649" s="3">
        <v>45862</v>
      </c>
      <c r="G3649">
        <v>202604</v>
      </c>
      <c r="H3649" t="s">
        <v>75</v>
      </c>
      <c r="I3649" t="s">
        <v>76</v>
      </c>
      <c r="J3649" t="s">
        <v>77</v>
      </c>
      <c r="K3649" t="s">
        <v>78</v>
      </c>
      <c r="L3649" t="s">
        <v>135</v>
      </c>
      <c r="M3649" t="s">
        <v>136</v>
      </c>
      <c r="N3649" t="s">
        <v>2213</v>
      </c>
      <c r="O3649" t="s">
        <v>82</v>
      </c>
      <c r="P3649" t="str">
        <f>"4170050726                    "</f>
        <v xml:space="preserve">4170050726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33.89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3</v>
      </c>
      <c r="BJ3649">
        <v>1.7</v>
      </c>
      <c r="BK3649">
        <v>3</v>
      </c>
      <c r="BL3649">
        <v>106.77</v>
      </c>
      <c r="BM3649">
        <v>16.02</v>
      </c>
      <c r="BN3649">
        <v>122.79</v>
      </c>
      <c r="BO3649">
        <v>122.79</v>
      </c>
      <c r="BQ3649" t="s">
        <v>2214</v>
      </c>
      <c r="BR3649" t="s">
        <v>84</v>
      </c>
      <c r="BS3649" s="3">
        <v>45863</v>
      </c>
      <c r="BT3649" s="4">
        <v>0.41666666666666669</v>
      </c>
      <c r="BU3649" t="s">
        <v>3437</v>
      </c>
      <c r="BV3649" t="s">
        <v>98</v>
      </c>
      <c r="BY3649">
        <v>8512</v>
      </c>
      <c r="CA3649" t="s">
        <v>349</v>
      </c>
      <c r="CC3649" t="s">
        <v>136</v>
      </c>
      <c r="CD3649">
        <v>3200</v>
      </c>
      <c r="CE3649" t="s">
        <v>110</v>
      </c>
      <c r="CF3649" s="3">
        <v>45864</v>
      </c>
      <c r="CI3649">
        <v>1</v>
      </c>
      <c r="CJ3649">
        <v>1</v>
      </c>
      <c r="CK3649">
        <v>21</v>
      </c>
      <c r="CL3649" t="s">
        <v>86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"080066764873"</f>
        <v>080066764873</v>
      </c>
      <c r="F3650" s="3">
        <v>45862</v>
      </c>
      <c r="G3650">
        <v>202604</v>
      </c>
      <c r="H3650" t="s">
        <v>75</v>
      </c>
      <c r="I3650" t="s">
        <v>76</v>
      </c>
      <c r="J3650" t="s">
        <v>77</v>
      </c>
      <c r="K3650" t="s">
        <v>78</v>
      </c>
      <c r="L3650" t="s">
        <v>79</v>
      </c>
      <c r="M3650" t="s">
        <v>80</v>
      </c>
      <c r="N3650" t="s">
        <v>755</v>
      </c>
      <c r="O3650" t="s">
        <v>82</v>
      </c>
      <c r="P3650" t="str">
        <f>"4170050398                    "</f>
        <v xml:space="preserve">4170050398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22.6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1.9</v>
      </c>
      <c r="BK3650">
        <v>2</v>
      </c>
      <c r="BL3650">
        <v>71.2</v>
      </c>
      <c r="BM3650">
        <v>10.68</v>
      </c>
      <c r="BN3650">
        <v>81.88</v>
      </c>
      <c r="BO3650">
        <v>81.88</v>
      </c>
      <c r="BQ3650" t="s">
        <v>756</v>
      </c>
      <c r="BR3650" t="s">
        <v>84</v>
      </c>
      <c r="BS3650" s="3">
        <v>45863</v>
      </c>
      <c r="BT3650" s="4">
        <v>0.39097222222222222</v>
      </c>
      <c r="BU3650" t="s">
        <v>3396</v>
      </c>
      <c r="BV3650" t="s">
        <v>98</v>
      </c>
      <c r="BY3650">
        <v>9600</v>
      </c>
      <c r="CA3650" t="s">
        <v>3397</v>
      </c>
      <c r="CC3650" t="s">
        <v>80</v>
      </c>
      <c r="CD3650">
        <v>7945</v>
      </c>
      <c r="CE3650" t="s">
        <v>110</v>
      </c>
      <c r="CF3650" s="3">
        <v>45866</v>
      </c>
      <c r="CI3650">
        <v>1</v>
      </c>
      <c r="CJ3650">
        <v>1</v>
      </c>
      <c r="CK3650">
        <v>21</v>
      </c>
      <c r="CL3650" t="s">
        <v>86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"080066764904"</f>
        <v>080066764904</v>
      </c>
      <c r="F3651" s="3">
        <v>45862</v>
      </c>
      <c r="G3651">
        <v>202604</v>
      </c>
      <c r="H3651" t="s">
        <v>75</v>
      </c>
      <c r="I3651" t="s">
        <v>76</v>
      </c>
      <c r="J3651" t="s">
        <v>77</v>
      </c>
      <c r="K3651" t="s">
        <v>78</v>
      </c>
      <c r="L3651" t="s">
        <v>240</v>
      </c>
      <c r="M3651" t="s">
        <v>241</v>
      </c>
      <c r="N3651" t="s">
        <v>1341</v>
      </c>
      <c r="O3651" t="s">
        <v>82</v>
      </c>
      <c r="P3651" t="str">
        <f>"4170050487                    "</f>
        <v xml:space="preserve">4170050487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17.649999999999999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1.9</v>
      </c>
      <c r="BK3651">
        <v>2</v>
      </c>
      <c r="BL3651">
        <v>55.61</v>
      </c>
      <c r="BM3651">
        <v>8.34</v>
      </c>
      <c r="BN3651">
        <v>63.95</v>
      </c>
      <c r="BO3651">
        <v>63.95</v>
      </c>
      <c r="BQ3651" t="s">
        <v>1342</v>
      </c>
      <c r="BR3651" t="s">
        <v>84</v>
      </c>
      <c r="BS3651" s="3">
        <v>45863</v>
      </c>
      <c r="BT3651" s="4">
        <v>0.3923611111111111</v>
      </c>
      <c r="BU3651" t="s">
        <v>1343</v>
      </c>
      <c r="BV3651" t="s">
        <v>98</v>
      </c>
      <c r="BY3651">
        <v>9600</v>
      </c>
      <c r="CA3651" t="s">
        <v>1344</v>
      </c>
      <c r="CC3651" t="s">
        <v>241</v>
      </c>
      <c r="CD3651">
        <v>2169</v>
      </c>
      <c r="CE3651" t="s">
        <v>145</v>
      </c>
      <c r="CF3651" s="3">
        <v>45864</v>
      </c>
      <c r="CI3651">
        <v>1</v>
      </c>
      <c r="CJ3651">
        <v>1</v>
      </c>
      <c r="CK3651">
        <v>22</v>
      </c>
      <c r="CL3651" t="s">
        <v>86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"080066764943"</f>
        <v>080066764943</v>
      </c>
      <c r="F3652" s="3">
        <v>45862</v>
      </c>
      <c r="G3652">
        <v>202604</v>
      </c>
      <c r="H3652" t="s">
        <v>75</v>
      </c>
      <c r="I3652" t="s">
        <v>76</v>
      </c>
      <c r="J3652" t="s">
        <v>77</v>
      </c>
      <c r="K3652" t="s">
        <v>78</v>
      </c>
      <c r="L3652" t="s">
        <v>168</v>
      </c>
      <c r="M3652" t="s">
        <v>169</v>
      </c>
      <c r="N3652" t="s">
        <v>191</v>
      </c>
      <c r="O3652" t="s">
        <v>82</v>
      </c>
      <c r="P3652" t="str">
        <f>"4170050674                    "</f>
        <v xml:space="preserve">4170050674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22.6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</v>
      </c>
      <c r="BJ3652">
        <v>0.9</v>
      </c>
      <c r="BK3652">
        <v>2</v>
      </c>
      <c r="BL3652">
        <v>71.2</v>
      </c>
      <c r="BM3652">
        <v>10.68</v>
      </c>
      <c r="BN3652">
        <v>81.88</v>
      </c>
      <c r="BO3652">
        <v>81.88</v>
      </c>
      <c r="BQ3652" t="s">
        <v>192</v>
      </c>
      <c r="BR3652" t="s">
        <v>84</v>
      </c>
      <c r="BS3652" s="3">
        <v>45863</v>
      </c>
      <c r="BT3652" s="4">
        <v>0.43194444444444446</v>
      </c>
      <c r="BU3652" t="s">
        <v>193</v>
      </c>
      <c r="BV3652" t="s">
        <v>98</v>
      </c>
      <c r="BY3652">
        <v>4275</v>
      </c>
      <c r="CA3652" t="s">
        <v>196</v>
      </c>
      <c r="CC3652" t="s">
        <v>169</v>
      </c>
      <c r="CD3652">
        <v>6056</v>
      </c>
      <c r="CE3652" t="s">
        <v>259</v>
      </c>
      <c r="CF3652" s="3">
        <v>45863</v>
      </c>
      <c r="CI3652">
        <v>1</v>
      </c>
      <c r="CJ3652">
        <v>1</v>
      </c>
      <c r="CK3652">
        <v>21</v>
      </c>
      <c r="CL3652" t="s">
        <v>86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"080066764966"</f>
        <v>080066764966</v>
      </c>
      <c r="F3653" s="3">
        <v>45862</v>
      </c>
      <c r="G3653">
        <v>202604</v>
      </c>
      <c r="H3653" t="s">
        <v>75</v>
      </c>
      <c r="I3653" t="s">
        <v>76</v>
      </c>
      <c r="J3653" t="s">
        <v>77</v>
      </c>
      <c r="K3653" t="s">
        <v>78</v>
      </c>
      <c r="L3653" t="s">
        <v>452</v>
      </c>
      <c r="M3653" t="s">
        <v>453</v>
      </c>
      <c r="N3653" t="s">
        <v>968</v>
      </c>
      <c r="O3653" t="s">
        <v>82</v>
      </c>
      <c r="P3653" t="str">
        <f>"4170050734                    "</f>
        <v xml:space="preserve">4170050734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17.649999999999999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2</v>
      </c>
      <c r="BJ3653">
        <v>3.4</v>
      </c>
      <c r="BK3653">
        <v>4</v>
      </c>
      <c r="BL3653">
        <v>55.61</v>
      </c>
      <c r="BM3653">
        <v>8.34</v>
      </c>
      <c r="BN3653">
        <v>63.95</v>
      </c>
      <c r="BO3653">
        <v>63.95</v>
      </c>
      <c r="BQ3653" t="s">
        <v>969</v>
      </c>
      <c r="BR3653" t="s">
        <v>84</v>
      </c>
      <c r="BS3653" s="3">
        <v>45863</v>
      </c>
      <c r="BT3653" s="4">
        <v>0.51875000000000004</v>
      </c>
      <c r="BU3653" t="s">
        <v>3438</v>
      </c>
      <c r="BV3653" t="s">
        <v>98</v>
      </c>
      <c r="BY3653">
        <v>16965</v>
      </c>
      <c r="CA3653" t="s">
        <v>1541</v>
      </c>
      <c r="CC3653" t="s">
        <v>453</v>
      </c>
      <c r="CD3653">
        <v>1559</v>
      </c>
      <c r="CE3653" t="s">
        <v>145</v>
      </c>
      <c r="CF3653" s="3">
        <v>45863</v>
      </c>
      <c r="CI3653">
        <v>1</v>
      </c>
      <c r="CJ3653">
        <v>1</v>
      </c>
      <c r="CK3653">
        <v>22</v>
      </c>
      <c r="CL3653" t="s">
        <v>86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"080066765352"</f>
        <v>080066765352</v>
      </c>
      <c r="F3654" s="3">
        <v>45862</v>
      </c>
      <c r="G3654">
        <v>202604</v>
      </c>
      <c r="H3654" t="s">
        <v>75</v>
      </c>
      <c r="I3654" t="s">
        <v>76</v>
      </c>
      <c r="J3654" t="s">
        <v>77</v>
      </c>
      <c r="K3654" t="s">
        <v>78</v>
      </c>
      <c r="L3654" t="s">
        <v>135</v>
      </c>
      <c r="M3654" t="s">
        <v>136</v>
      </c>
      <c r="N3654" t="s">
        <v>416</v>
      </c>
      <c r="O3654" t="s">
        <v>82</v>
      </c>
      <c r="P3654" t="str">
        <f>"4170050807                    "</f>
        <v xml:space="preserve">4170050807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22.6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71.2</v>
      </c>
      <c r="BM3654">
        <v>10.68</v>
      </c>
      <c r="BN3654">
        <v>81.88</v>
      </c>
      <c r="BO3654">
        <v>81.88</v>
      </c>
      <c r="BQ3654" t="s">
        <v>417</v>
      </c>
      <c r="BR3654" t="s">
        <v>84</v>
      </c>
      <c r="BS3654" s="3">
        <v>45863</v>
      </c>
      <c r="BT3654" s="4">
        <v>0.41666666666666669</v>
      </c>
      <c r="BU3654" t="s">
        <v>3262</v>
      </c>
      <c r="BV3654" t="s">
        <v>98</v>
      </c>
      <c r="BY3654">
        <v>1200</v>
      </c>
      <c r="BZ3654" t="s">
        <v>89</v>
      </c>
      <c r="CC3654" t="s">
        <v>136</v>
      </c>
      <c r="CD3654">
        <v>3201</v>
      </c>
      <c r="CE3654" t="s">
        <v>121</v>
      </c>
      <c r="CF3654" s="3">
        <v>45864</v>
      </c>
      <c r="CI3654">
        <v>1</v>
      </c>
      <c r="CJ3654">
        <v>1</v>
      </c>
      <c r="CK3654">
        <v>21</v>
      </c>
      <c r="CL3654" t="s">
        <v>86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"080066765578"</f>
        <v>080066765578</v>
      </c>
      <c r="F3655" s="3">
        <v>45862</v>
      </c>
      <c r="G3655">
        <v>202604</v>
      </c>
      <c r="H3655" t="s">
        <v>75</v>
      </c>
      <c r="I3655" t="s">
        <v>76</v>
      </c>
      <c r="J3655" t="s">
        <v>77</v>
      </c>
      <c r="K3655" t="s">
        <v>78</v>
      </c>
      <c r="L3655" t="s">
        <v>295</v>
      </c>
      <c r="M3655" t="s">
        <v>296</v>
      </c>
      <c r="N3655" t="s">
        <v>2507</v>
      </c>
      <c r="O3655" t="s">
        <v>82</v>
      </c>
      <c r="P3655" t="str">
        <f>"4170050791                    "</f>
        <v xml:space="preserve">4170050791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17.649999999999999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55.61</v>
      </c>
      <c r="BM3655">
        <v>8.34</v>
      </c>
      <c r="BN3655">
        <v>63.95</v>
      </c>
      <c r="BO3655">
        <v>63.95</v>
      </c>
      <c r="BQ3655" t="s">
        <v>2508</v>
      </c>
      <c r="BR3655" t="s">
        <v>84</v>
      </c>
      <c r="BS3655" s="3">
        <v>45863</v>
      </c>
      <c r="BT3655" s="4">
        <v>0.38680555555555557</v>
      </c>
      <c r="BU3655" t="s">
        <v>2896</v>
      </c>
      <c r="BV3655" t="s">
        <v>98</v>
      </c>
      <c r="BY3655">
        <v>1200</v>
      </c>
      <c r="CA3655" t="s">
        <v>300</v>
      </c>
      <c r="CC3655" t="s">
        <v>296</v>
      </c>
      <c r="CD3655">
        <v>1459</v>
      </c>
      <c r="CE3655" t="s">
        <v>121</v>
      </c>
      <c r="CF3655" s="3">
        <v>45864</v>
      </c>
      <c r="CI3655">
        <v>1</v>
      </c>
      <c r="CJ3655">
        <v>1</v>
      </c>
      <c r="CK3655">
        <v>22</v>
      </c>
      <c r="CL3655" t="s">
        <v>86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"080066765608"</f>
        <v>080066765608</v>
      </c>
      <c r="F3656" s="3">
        <v>45862</v>
      </c>
      <c r="G3656">
        <v>202604</v>
      </c>
      <c r="H3656" t="s">
        <v>75</v>
      </c>
      <c r="I3656" t="s">
        <v>76</v>
      </c>
      <c r="J3656" t="s">
        <v>77</v>
      </c>
      <c r="K3656" t="s">
        <v>78</v>
      </c>
      <c r="L3656" t="s">
        <v>670</v>
      </c>
      <c r="M3656" t="s">
        <v>671</v>
      </c>
      <c r="N3656" t="s">
        <v>1609</v>
      </c>
      <c r="O3656" t="s">
        <v>82</v>
      </c>
      <c r="P3656" t="str">
        <f>"4170050782                    "</f>
        <v xml:space="preserve">4170050782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17.649999999999999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55.61</v>
      </c>
      <c r="BM3656">
        <v>8.34</v>
      </c>
      <c r="BN3656">
        <v>63.95</v>
      </c>
      <c r="BO3656">
        <v>63.95</v>
      </c>
      <c r="BQ3656" t="s">
        <v>1610</v>
      </c>
      <c r="BR3656" t="s">
        <v>84</v>
      </c>
      <c r="BS3656" s="3">
        <v>45863</v>
      </c>
      <c r="BT3656" s="4">
        <v>0.39791666666666664</v>
      </c>
      <c r="BU3656" t="s">
        <v>3439</v>
      </c>
      <c r="BV3656" t="s">
        <v>98</v>
      </c>
      <c r="BY3656">
        <v>1200</v>
      </c>
      <c r="CA3656" t="s">
        <v>676</v>
      </c>
      <c r="CC3656" t="s">
        <v>671</v>
      </c>
      <c r="CD3656">
        <v>2163</v>
      </c>
      <c r="CE3656" t="s">
        <v>121</v>
      </c>
      <c r="CF3656" s="3">
        <v>45864</v>
      </c>
      <c r="CI3656">
        <v>1</v>
      </c>
      <c r="CJ3656">
        <v>1</v>
      </c>
      <c r="CK3656">
        <v>22</v>
      </c>
      <c r="CL3656" t="s">
        <v>86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"080066765636"</f>
        <v>080066765636</v>
      </c>
      <c r="F3657" s="3">
        <v>45862</v>
      </c>
      <c r="G3657">
        <v>202604</v>
      </c>
      <c r="H3657" t="s">
        <v>75</v>
      </c>
      <c r="I3657" t="s">
        <v>76</v>
      </c>
      <c r="J3657" t="s">
        <v>77</v>
      </c>
      <c r="K3657" t="s">
        <v>78</v>
      </c>
      <c r="L3657" t="s">
        <v>168</v>
      </c>
      <c r="M3657" t="s">
        <v>169</v>
      </c>
      <c r="N3657" t="s">
        <v>360</v>
      </c>
      <c r="O3657" t="s">
        <v>82</v>
      </c>
      <c r="P3657" t="str">
        <f>"4170050517                    "</f>
        <v xml:space="preserve">4170050517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22.6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71.2</v>
      </c>
      <c r="BM3657">
        <v>10.68</v>
      </c>
      <c r="BN3657">
        <v>81.88</v>
      </c>
      <c r="BO3657">
        <v>81.88</v>
      </c>
      <c r="BQ3657" t="s">
        <v>361</v>
      </c>
      <c r="BR3657" t="s">
        <v>84</v>
      </c>
      <c r="BS3657" s="3">
        <v>45863</v>
      </c>
      <c r="BT3657" s="4">
        <v>0.37430555555555556</v>
      </c>
      <c r="BU3657" t="s">
        <v>3440</v>
      </c>
      <c r="BV3657" t="s">
        <v>98</v>
      </c>
      <c r="BY3657">
        <v>1200</v>
      </c>
      <c r="CA3657" t="s">
        <v>423</v>
      </c>
      <c r="CC3657" t="s">
        <v>169</v>
      </c>
      <c r="CD3657">
        <v>6001</v>
      </c>
      <c r="CE3657" t="s">
        <v>121</v>
      </c>
      <c r="CF3657" s="3">
        <v>45863</v>
      </c>
      <c r="CI3657">
        <v>1</v>
      </c>
      <c r="CJ3657">
        <v>1</v>
      </c>
      <c r="CK3657">
        <v>21</v>
      </c>
      <c r="CL3657" t="s">
        <v>86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"080066765656"</f>
        <v>080066765656</v>
      </c>
      <c r="F3658" s="3">
        <v>45862</v>
      </c>
      <c r="G3658">
        <v>202604</v>
      </c>
      <c r="H3658" t="s">
        <v>75</v>
      </c>
      <c r="I3658" t="s">
        <v>76</v>
      </c>
      <c r="J3658" t="s">
        <v>77</v>
      </c>
      <c r="K3658" t="s">
        <v>78</v>
      </c>
      <c r="L3658" t="s">
        <v>135</v>
      </c>
      <c r="M3658" t="s">
        <v>136</v>
      </c>
      <c r="N3658" t="s">
        <v>2717</v>
      </c>
      <c r="O3658" t="s">
        <v>82</v>
      </c>
      <c r="P3658" t="str">
        <f>"4170050846                    "</f>
        <v xml:space="preserve">4170050846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22.6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71.2</v>
      </c>
      <c r="BM3658">
        <v>10.68</v>
      </c>
      <c r="BN3658">
        <v>81.88</v>
      </c>
      <c r="BO3658">
        <v>81.88</v>
      </c>
      <c r="BQ3658" t="s">
        <v>2718</v>
      </c>
      <c r="BR3658" t="s">
        <v>84</v>
      </c>
      <c r="BS3658" s="3">
        <v>45863</v>
      </c>
      <c r="BT3658" s="4">
        <v>0.41666666666666669</v>
      </c>
      <c r="BU3658" t="s">
        <v>3441</v>
      </c>
      <c r="BV3658" t="s">
        <v>98</v>
      </c>
      <c r="BY3658">
        <v>1200</v>
      </c>
      <c r="CA3658" t="s">
        <v>349</v>
      </c>
      <c r="CC3658" t="s">
        <v>136</v>
      </c>
      <c r="CD3658">
        <v>3200</v>
      </c>
      <c r="CE3658" t="s">
        <v>121</v>
      </c>
      <c r="CF3658" s="3">
        <v>45864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"080066765689"</f>
        <v>080066765689</v>
      </c>
      <c r="F3659" s="3">
        <v>45862</v>
      </c>
      <c r="G3659">
        <v>202604</v>
      </c>
      <c r="H3659" t="s">
        <v>75</v>
      </c>
      <c r="I3659" t="s">
        <v>76</v>
      </c>
      <c r="J3659" t="s">
        <v>77</v>
      </c>
      <c r="K3659" t="s">
        <v>78</v>
      </c>
      <c r="L3659" t="s">
        <v>92</v>
      </c>
      <c r="M3659" t="s">
        <v>93</v>
      </c>
      <c r="N3659" t="s">
        <v>291</v>
      </c>
      <c r="O3659" t="s">
        <v>82</v>
      </c>
      <c r="P3659" t="str">
        <f>"4170050720                    "</f>
        <v xml:space="preserve">4170050720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22.6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71.2</v>
      </c>
      <c r="BM3659">
        <v>10.68</v>
      </c>
      <c r="BN3659">
        <v>81.88</v>
      </c>
      <c r="BO3659">
        <v>81.88</v>
      </c>
      <c r="BQ3659" t="s">
        <v>292</v>
      </c>
      <c r="BR3659" t="s">
        <v>84</v>
      </c>
      <c r="BS3659" s="3">
        <v>45863</v>
      </c>
      <c r="BT3659" s="4">
        <v>0.31944444444444442</v>
      </c>
      <c r="BU3659" t="s">
        <v>971</v>
      </c>
      <c r="BV3659" t="s">
        <v>98</v>
      </c>
      <c r="BY3659">
        <v>1200</v>
      </c>
      <c r="CA3659" t="s">
        <v>294</v>
      </c>
      <c r="CC3659" t="s">
        <v>93</v>
      </c>
      <c r="CD3659">
        <v>4000</v>
      </c>
      <c r="CE3659" t="s">
        <v>121</v>
      </c>
      <c r="CF3659" s="3">
        <v>45863</v>
      </c>
      <c r="CI3659">
        <v>1</v>
      </c>
      <c r="CJ3659">
        <v>1</v>
      </c>
      <c r="CK3659">
        <v>21</v>
      </c>
      <c r="CL3659" t="s">
        <v>86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"080066765746"</f>
        <v>080066765746</v>
      </c>
      <c r="F3660" s="3">
        <v>45862</v>
      </c>
      <c r="G3660">
        <v>202604</v>
      </c>
      <c r="H3660" t="s">
        <v>75</v>
      </c>
      <c r="I3660" t="s">
        <v>76</v>
      </c>
      <c r="J3660" t="s">
        <v>77</v>
      </c>
      <c r="K3660" t="s">
        <v>78</v>
      </c>
      <c r="L3660" t="s">
        <v>580</v>
      </c>
      <c r="M3660" t="s">
        <v>581</v>
      </c>
      <c r="N3660" t="s">
        <v>3442</v>
      </c>
      <c r="O3660" t="s">
        <v>82</v>
      </c>
      <c r="P3660" t="str">
        <f>"4170050777                    "</f>
        <v xml:space="preserve">4170050777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22.6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71.2</v>
      </c>
      <c r="BM3660">
        <v>10.68</v>
      </c>
      <c r="BN3660">
        <v>81.88</v>
      </c>
      <c r="BO3660">
        <v>81.88</v>
      </c>
      <c r="BQ3660" t="s">
        <v>3443</v>
      </c>
      <c r="BR3660" t="s">
        <v>84</v>
      </c>
      <c r="BS3660" s="3">
        <v>45863</v>
      </c>
      <c r="BT3660" s="4">
        <v>0.34027777777777779</v>
      </c>
      <c r="BU3660" t="s">
        <v>3444</v>
      </c>
      <c r="BV3660" t="s">
        <v>98</v>
      </c>
      <c r="BY3660">
        <v>1200</v>
      </c>
      <c r="CA3660" t="s">
        <v>3445</v>
      </c>
      <c r="CC3660" t="s">
        <v>581</v>
      </c>
      <c r="CD3660">
        <v>4319</v>
      </c>
      <c r="CE3660" t="s">
        <v>121</v>
      </c>
      <c r="CF3660" s="3">
        <v>45863</v>
      </c>
      <c r="CI3660">
        <v>1</v>
      </c>
      <c r="CJ3660">
        <v>1</v>
      </c>
      <c r="CK3660">
        <v>21</v>
      </c>
      <c r="CL3660" t="s">
        <v>86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"080066765775"</f>
        <v>080066765775</v>
      </c>
      <c r="F3661" s="3">
        <v>45862</v>
      </c>
      <c r="G3661">
        <v>202604</v>
      </c>
      <c r="H3661" t="s">
        <v>75</v>
      </c>
      <c r="I3661" t="s">
        <v>76</v>
      </c>
      <c r="J3661" t="s">
        <v>77</v>
      </c>
      <c r="K3661" t="s">
        <v>78</v>
      </c>
      <c r="L3661" t="s">
        <v>168</v>
      </c>
      <c r="M3661" t="s">
        <v>169</v>
      </c>
      <c r="N3661" t="s">
        <v>2157</v>
      </c>
      <c r="O3661" t="s">
        <v>82</v>
      </c>
      <c r="P3661" t="str">
        <f>"4170050586                    "</f>
        <v xml:space="preserve">4170050586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22.6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71.2</v>
      </c>
      <c r="BM3661">
        <v>10.68</v>
      </c>
      <c r="BN3661">
        <v>81.88</v>
      </c>
      <c r="BO3661">
        <v>81.88</v>
      </c>
      <c r="BQ3661" t="s">
        <v>2158</v>
      </c>
      <c r="BR3661" t="s">
        <v>84</v>
      </c>
      <c r="BS3661" s="3">
        <v>45863</v>
      </c>
      <c r="BT3661" s="4">
        <v>0.37430555555555556</v>
      </c>
      <c r="BU3661" t="s">
        <v>414</v>
      </c>
      <c r="BV3661" t="s">
        <v>98</v>
      </c>
      <c r="BY3661">
        <v>1200</v>
      </c>
      <c r="CA3661" t="s">
        <v>415</v>
      </c>
      <c r="CC3661" t="s">
        <v>169</v>
      </c>
      <c r="CD3661">
        <v>6001</v>
      </c>
      <c r="CE3661" t="s">
        <v>121</v>
      </c>
      <c r="CF3661" s="3">
        <v>45863</v>
      </c>
      <c r="CI3661">
        <v>1</v>
      </c>
      <c r="CJ3661">
        <v>1</v>
      </c>
      <c r="CK3661">
        <v>21</v>
      </c>
      <c r="CL3661" t="s">
        <v>86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"080066765849"</f>
        <v>080066765849</v>
      </c>
      <c r="F3662" s="3">
        <v>45862</v>
      </c>
      <c r="G3662">
        <v>202604</v>
      </c>
      <c r="H3662" t="s">
        <v>75</v>
      </c>
      <c r="I3662" t="s">
        <v>76</v>
      </c>
      <c r="J3662" t="s">
        <v>77</v>
      </c>
      <c r="K3662" t="s">
        <v>78</v>
      </c>
      <c r="L3662" t="s">
        <v>305</v>
      </c>
      <c r="M3662" t="s">
        <v>306</v>
      </c>
      <c r="N3662" t="s">
        <v>1320</v>
      </c>
      <c r="O3662" t="s">
        <v>82</v>
      </c>
      <c r="P3662" t="str">
        <f>"4170050717                    "</f>
        <v xml:space="preserve">4170050717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22.6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71.2</v>
      </c>
      <c r="BM3662">
        <v>10.68</v>
      </c>
      <c r="BN3662">
        <v>81.88</v>
      </c>
      <c r="BO3662">
        <v>81.88</v>
      </c>
      <c r="BQ3662" t="s">
        <v>308</v>
      </c>
      <c r="BR3662" t="s">
        <v>84</v>
      </c>
      <c r="BS3662" s="3">
        <v>45863</v>
      </c>
      <c r="BT3662" s="4">
        <v>0.4375</v>
      </c>
      <c r="BU3662" t="s">
        <v>338</v>
      </c>
      <c r="BV3662" t="s">
        <v>98</v>
      </c>
      <c r="BY3662">
        <v>1200</v>
      </c>
      <c r="CA3662" t="s">
        <v>310</v>
      </c>
      <c r="CC3662" t="s">
        <v>306</v>
      </c>
      <c r="CD3662">
        <v>5200</v>
      </c>
      <c r="CE3662" t="s">
        <v>121</v>
      </c>
      <c r="CF3662" s="3">
        <v>45863</v>
      </c>
      <c r="CI3662">
        <v>1</v>
      </c>
      <c r="CJ3662">
        <v>1</v>
      </c>
      <c r="CK3662">
        <v>21</v>
      </c>
      <c r="CL3662" t="s">
        <v>86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"080066765872"</f>
        <v>080066765872</v>
      </c>
      <c r="F3663" s="3">
        <v>45862</v>
      </c>
      <c r="G3663">
        <v>202604</v>
      </c>
      <c r="H3663" t="s">
        <v>75</v>
      </c>
      <c r="I3663" t="s">
        <v>76</v>
      </c>
      <c r="J3663" t="s">
        <v>77</v>
      </c>
      <c r="K3663" t="s">
        <v>78</v>
      </c>
      <c r="L3663" t="s">
        <v>135</v>
      </c>
      <c r="M3663" t="s">
        <v>136</v>
      </c>
      <c r="N3663" t="s">
        <v>1093</v>
      </c>
      <c r="O3663" t="s">
        <v>82</v>
      </c>
      <c r="P3663" t="str">
        <f>"4170050543                    "</f>
        <v xml:space="preserve">4170050543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22.6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71.2</v>
      </c>
      <c r="BM3663">
        <v>10.68</v>
      </c>
      <c r="BN3663">
        <v>81.88</v>
      </c>
      <c r="BO3663">
        <v>81.88</v>
      </c>
      <c r="BQ3663" t="s">
        <v>1094</v>
      </c>
      <c r="BR3663" t="s">
        <v>84</v>
      </c>
      <c r="BS3663" s="3">
        <v>45863</v>
      </c>
      <c r="BT3663" s="4">
        <v>0.41666666666666669</v>
      </c>
      <c r="BU3663" t="s">
        <v>2630</v>
      </c>
      <c r="BV3663" t="s">
        <v>98</v>
      </c>
      <c r="BY3663">
        <v>1200</v>
      </c>
      <c r="CA3663" t="s">
        <v>1602</v>
      </c>
      <c r="CC3663" t="s">
        <v>136</v>
      </c>
      <c r="CD3663">
        <v>3201</v>
      </c>
      <c r="CE3663" t="s">
        <v>121</v>
      </c>
      <c r="CF3663" s="3">
        <v>45864</v>
      </c>
      <c r="CI3663">
        <v>1</v>
      </c>
      <c r="CJ3663">
        <v>1</v>
      </c>
      <c r="CK3663">
        <v>21</v>
      </c>
      <c r="CL3663" t="s">
        <v>86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"080066765903"</f>
        <v>080066765903</v>
      </c>
      <c r="F3664" s="3">
        <v>45862</v>
      </c>
      <c r="G3664">
        <v>202604</v>
      </c>
      <c r="H3664" t="s">
        <v>75</v>
      </c>
      <c r="I3664" t="s">
        <v>76</v>
      </c>
      <c r="J3664" t="s">
        <v>77</v>
      </c>
      <c r="K3664" t="s">
        <v>78</v>
      </c>
      <c r="L3664" t="s">
        <v>79</v>
      </c>
      <c r="M3664" t="s">
        <v>80</v>
      </c>
      <c r="N3664" t="s">
        <v>286</v>
      </c>
      <c r="O3664" t="s">
        <v>82</v>
      </c>
      <c r="P3664" t="str">
        <f>"4170050809                    "</f>
        <v xml:space="preserve">4170050809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22.6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71.2</v>
      </c>
      <c r="BM3664">
        <v>10.68</v>
      </c>
      <c r="BN3664">
        <v>81.88</v>
      </c>
      <c r="BO3664">
        <v>81.88</v>
      </c>
      <c r="BQ3664" t="s">
        <v>287</v>
      </c>
      <c r="BR3664" t="s">
        <v>84</v>
      </c>
      <c r="BS3664" s="3">
        <v>45863</v>
      </c>
      <c r="BT3664" s="4">
        <v>0.30972222222222223</v>
      </c>
      <c r="BU3664" t="s">
        <v>288</v>
      </c>
      <c r="BV3664" t="s">
        <v>98</v>
      </c>
      <c r="BY3664">
        <v>1200</v>
      </c>
      <c r="CA3664" t="s">
        <v>289</v>
      </c>
      <c r="CC3664" t="s">
        <v>80</v>
      </c>
      <c r="CD3664">
        <v>7530</v>
      </c>
      <c r="CE3664" t="s">
        <v>121</v>
      </c>
      <c r="CF3664" s="3">
        <v>45866</v>
      </c>
      <c r="CI3664">
        <v>1</v>
      </c>
      <c r="CJ3664">
        <v>1</v>
      </c>
      <c r="CK3664">
        <v>21</v>
      </c>
      <c r="CL3664" t="s">
        <v>86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"080066765935"</f>
        <v>080066765935</v>
      </c>
      <c r="F3665" s="3">
        <v>45862</v>
      </c>
      <c r="G3665">
        <v>202604</v>
      </c>
      <c r="H3665" t="s">
        <v>75</v>
      </c>
      <c r="I3665" t="s">
        <v>76</v>
      </c>
      <c r="J3665" t="s">
        <v>77</v>
      </c>
      <c r="K3665" t="s">
        <v>78</v>
      </c>
      <c r="L3665" t="s">
        <v>168</v>
      </c>
      <c r="M3665" t="s">
        <v>169</v>
      </c>
      <c r="N3665" t="s">
        <v>487</v>
      </c>
      <c r="O3665" t="s">
        <v>82</v>
      </c>
      <c r="P3665" t="str">
        <f>"4170050880                    "</f>
        <v xml:space="preserve">4170050880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22.6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71.2</v>
      </c>
      <c r="BM3665">
        <v>10.68</v>
      </c>
      <c r="BN3665">
        <v>81.88</v>
      </c>
      <c r="BO3665">
        <v>81.88</v>
      </c>
      <c r="BQ3665" t="s">
        <v>488</v>
      </c>
      <c r="BR3665" t="s">
        <v>84</v>
      </c>
      <c r="BS3665" s="3">
        <v>45863</v>
      </c>
      <c r="BT3665" s="4">
        <v>0.42083333333333334</v>
      </c>
      <c r="BU3665" t="s">
        <v>3446</v>
      </c>
      <c r="BV3665" t="s">
        <v>98</v>
      </c>
      <c r="BY3665">
        <v>1200</v>
      </c>
      <c r="CA3665" t="s">
        <v>415</v>
      </c>
      <c r="CC3665" t="s">
        <v>169</v>
      </c>
      <c r="CD3665">
        <v>6012</v>
      </c>
      <c r="CE3665" t="s">
        <v>121</v>
      </c>
      <c r="CF3665" s="3">
        <v>45863</v>
      </c>
      <c r="CI3665">
        <v>1</v>
      </c>
      <c r="CJ3665">
        <v>1</v>
      </c>
      <c r="CK3665">
        <v>21</v>
      </c>
      <c r="CL3665" t="s">
        <v>86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"080066765961"</f>
        <v>080066765961</v>
      </c>
      <c r="F3666" s="3">
        <v>45862</v>
      </c>
      <c r="G3666">
        <v>202604</v>
      </c>
      <c r="H3666" t="s">
        <v>75</v>
      </c>
      <c r="I3666" t="s">
        <v>76</v>
      </c>
      <c r="J3666" t="s">
        <v>77</v>
      </c>
      <c r="K3666" t="s">
        <v>78</v>
      </c>
      <c r="L3666" t="s">
        <v>75</v>
      </c>
      <c r="M3666" t="s">
        <v>76</v>
      </c>
      <c r="N3666" t="s">
        <v>118</v>
      </c>
      <c r="O3666" t="s">
        <v>82</v>
      </c>
      <c r="P3666" t="str">
        <f>"4170050828                    "</f>
        <v xml:space="preserve">4170050828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17.649999999999999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55.61</v>
      </c>
      <c r="BM3666">
        <v>8.34</v>
      </c>
      <c r="BN3666">
        <v>63.95</v>
      </c>
      <c r="BO3666">
        <v>63.95</v>
      </c>
      <c r="BQ3666" t="s">
        <v>119</v>
      </c>
      <c r="BR3666" t="s">
        <v>84</v>
      </c>
      <c r="BS3666" s="3">
        <v>45863</v>
      </c>
      <c r="BT3666" s="4">
        <v>0.35069444444444442</v>
      </c>
      <c r="BU3666" t="s">
        <v>1363</v>
      </c>
      <c r="BV3666" t="s">
        <v>98</v>
      </c>
      <c r="BY3666">
        <v>1200</v>
      </c>
      <c r="CA3666" t="s">
        <v>213</v>
      </c>
      <c r="CC3666" t="s">
        <v>76</v>
      </c>
      <c r="CD3666">
        <v>1600</v>
      </c>
      <c r="CE3666" t="s">
        <v>121</v>
      </c>
      <c r="CF3666" s="3">
        <v>45863</v>
      </c>
      <c r="CI3666">
        <v>1</v>
      </c>
      <c r="CJ3666">
        <v>1</v>
      </c>
      <c r="CK3666">
        <v>22</v>
      </c>
      <c r="CL3666" t="s">
        <v>86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"080066765986"</f>
        <v>080066765986</v>
      </c>
      <c r="F3667" s="3">
        <v>45862</v>
      </c>
      <c r="G3667">
        <v>202604</v>
      </c>
      <c r="H3667" t="s">
        <v>75</v>
      </c>
      <c r="I3667" t="s">
        <v>76</v>
      </c>
      <c r="J3667" t="s">
        <v>77</v>
      </c>
      <c r="K3667" t="s">
        <v>78</v>
      </c>
      <c r="L3667" t="s">
        <v>240</v>
      </c>
      <c r="M3667" t="s">
        <v>241</v>
      </c>
      <c r="N3667" t="s">
        <v>1204</v>
      </c>
      <c r="O3667" t="s">
        <v>82</v>
      </c>
      <c r="P3667" t="str">
        <f>"4170050728                    "</f>
        <v xml:space="preserve">4170050728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17.649999999999999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55.61</v>
      </c>
      <c r="BM3667">
        <v>8.34</v>
      </c>
      <c r="BN3667">
        <v>63.95</v>
      </c>
      <c r="BO3667">
        <v>63.95</v>
      </c>
      <c r="BQ3667" t="s">
        <v>1205</v>
      </c>
      <c r="BR3667" t="s">
        <v>84</v>
      </c>
      <c r="BS3667" s="3">
        <v>45868</v>
      </c>
      <c r="BT3667" s="4">
        <v>0.4375</v>
      </c>
      <c r="BU3667" t="s">
        <v>1601</v>
      </c>
      <c r="BV3667" t="s">
        <v>86</v>
      </c>
      <c r="BW3667" t="s">
        <v>395</v>
      </c>
      <c r="BX3667" t="s">
        <v>3447</v>
      </c>
      <c r="BY3667">
        <v>1200</v>
      </c>
      <c r="CC3667" t="s">
        <v>241</v>
      </c>
      <c r="CD3667">
        <v>2157</v>
      </c>
      <c r="CE3667" t="s">
        <v>121</v>
      </c>
      <c r="CF3667" s="3">
        <v>45869</v>
      </c>
      <c r="CI3667">
        <v>1</v>
      </c>
      <c r="CJ3667">
        <v>4</v>
      </c>
      <c r="CK3667">
        <v>22</v>
      </c>
      <c r="CL3667" t="s">
        <v>86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"080066766010"</f>
        <v>080066766010</v>
      </c>
      <c r="F3668" s="3">
        <v>45862</v>
      </c>
      <c r="G3668">
        <v>202604</v>
      </c>
      <c r="H3668" t="s">
        <v>75</v>
      </c>
      <c r="I3668" t="s">
        <v>76</v>
      </c>
      <c r="J3668" t="s">
        <v>77</v>
      </c>
      <c r="K3668" t="s">
        <v>78</v>
      </c>
      <c r="L3668" t="s">
        <v>146</v>
      </c>
      <c r="M3668" t="s">
        <v>146</v>
      </c>
      <c r="N3668" t="s">
        <v>633</v>
      </c>
      <c r="O3668" t="s">
        <v>82</v>
      </c>
      <c r="P3668" t="str">
        <f>"4170050738                    "</f>
        <v xml:space="preserve">4170050738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43.78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137.94</v>
      </c>
      <c r="BM3668">
        <v>20.69</v>
      </c>
      <c r="BN3668">
        <v>158.63</v>
      </c>
      <c r="BO3668">
        <v>158.63</v>
      </c>
      <c r="BQ3668" t="s">
        <v>634</v>
      </c>
      <c r="BR3668" t="s">
        <v>84</v>
      </c>
      <c r="BS3668" s="3">
        <v>45863</v>
      </c>
      <c r="BT3668" s="4">
        <v>0.54166666666666663</v>
      </c>
      <c r="BU3668" t="s">
        <v>635</v>
      </c>
      <c r="BV3668" t="s">
        <v>98</v>
      </c>
      <c r="BY3668">
        <v>1200</v>
      </c>
      <c r="CA3668" t="s">
        <v>150</v>
      </c>
      <c r="CC3668" t="s">
        <v>146</v>
      </c>
      <c r="CD3668">
        <v>7646</v>
      </c>
      <c r="CE3668" t="s">
        <v>121</v>
      </c>
      <c r="CF3668" s="3">
        <v>45866</v>
      </c>
      <c r="CI3668">
        <v>1</v>
      </c>
      <c r="CJ3668">
        <v>1</v>
      </c>
      <c r="CK3668">
        <v>23</v>
      </c>
      <c r="CL3668" t="s">
        <v>86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"080066766026"</f>
        <v>080066766026</v>
      </c>
      <c r="F3669" s="3">
        <v>45862</v>
      </c>
      <c r="G3669">
        <v>202604</v>
      </c>
      <c r="H3669" t="s">
        <v>75</v>
      </c>
      <c r="I3669" t="s">
        <v>76</v>
      </c>
      <c r="J3669" t="s">
        <v>77</v>
      </c>
      <c r="K3669" t="s">
        <v>78</v>
      </c>
      <c r="L3669" t="s">
        <v>122</v>
      </c>
      <c r="M3669" t="s">
        <v>123</v>
      </c>
      <c r="N3669" t="s">
        <v>267</v>
      </c>
      <c r="O3669" t="s">
        <v>82</v>
      </c>
      <c r="P3669" t="str">
        <f>"4170050733                    "</f>
        <v xml:space="preserve">4170050733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22.6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71.2</v>
      </c>
      <c r="BM3669">
        <v>10.68</v>
      </c>
      <c r="BN3669">
        <v>81.88</v>
      </c>
      <c r="BO3669">
        <v>81.88</v>
      </c>
      <c r="BQ3669" t="s">
        <v>268</v>
      </c>
      <c r="BR3669" t="s">
        <v>84</v>
      </c>
      <c r="BS3669" s="3">
        <v>45863</v>
      </c>
      <c r="BT3669" s="4">
        <v>0.42499999999999999</v>
      </c>
      <c r="BU3669" t="s">
        <v>939</v>
      </c>
      <c r="BV3669" t="s">
        <v>98</v>
      </c>
      <c r="BY3669">
        <v>1200</v>
      </c>
      <c r="CA3669" t="s">
        <v>2974</v>
      </c>
      <c r="CC3669" t="s">
        <v>123</v>
      </c>
      <c r="CD3669">
        <v>3610</v>
      </c>
      <c r="CE3669" t="s">
        <v>121</v>
      </c>
      <c r="CF3669" s="3">
        <v>45863</v>
      </c>
      <c r="CI3669">
        <v>1</v>
      </c>
      <c r="CJ3669">
        <v>1</v>
      </c>
      <c r="CK3669">
        <v>21</v>
      </c>
      <c r="CL3669" t="s">
        <v>86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"080066766090"</f>
        <v>080066766090</v>
      </c>
      <c r="F3670" s="3">
        <v>45862</v>
      </c>
      <c r="G3670">
        <v>202604</v>
      </c>
      <c r="H3670" t="s">
        <v>75</v>
      </c>
      <c r="I3670" t="s">
        <v>76</v>
      </c>
      <c r="J3670" t="s">
        <v>77</v>
      </c>
      <c r="K3670" t="s">
        <v>78</v>
      </c>
      <c r="L3670" t="s">
        <v>168</v>
      </c>
      <c r="M3670" t="s">
        <v>169</v>
      </c>
      <c r="N3670" t="s">
        <v>2157</v>
      </c>
      <c r="O3670" t="s">
        <v>95</v>
      </c>
      <c r="P3670" t="str">
        <f>"4170050856                    "</f>
        <v xml:space="preserve">4170050856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74.37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15</v>
      </c>
      <c r="BJ3670">
        <v>31.6</v>
      </c>
      <c r="BK3670">
        <v>32</v>
      </c>
      <c r="BL3670">
        <v>240.18</v>
      </c>
      <c r="BM3670">
        <v>36.03</v>
      </c>
      <c r="BN3670">
        <v>276.20999999999998</v>
      </c>
      <c r="BO3670">
        <v>276.20999999999998</v>
      </c>
      <c r="BQ3670" t="s">
        <v>2158</v>
      </c>
      <c r="BR3670" t="s">
        <v>84</v>
      </c>
      <c r="BS3670" s="3">
        <v>45866</v>
      </c>
      <c r="BT3670" s="4">
        <v>0.37847222222222221</v>
      </c>
      <c r="BU3670" t="s">
        <v>1167</v>
      </c>
      <c r="BV3670" t="s">
        <v>98</v>
      </c>
      <c r="BY3670">
        <v>157920</v>
      </c>
      <c r="CA3670" t="s">
        <v>415</v>
      </c>
      <c r="CC3670" t="s">
        <v>169</v>
      </c>
      <c r="CD3670">
        <v>6001</v>
      </c>
      <c r="CE3670" t="s">
        <v>145</v>
      </c>
      <c r="CF3670" s="3">
        <v>45866</v>
      </c>
      <c r="CI3670">
        <v>3</v>
      </c>
      <c r="CJ3670">
        <v>2</v>
      </c>
      <c r="CK3670">
        <v>41</v>
      </c>
      <c r="CL3670" t="s">
        <v>86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"080066766098"</f>
        <v>080066766098</v>
      </c>
      <c r="F3671" s="3">
        <v>45862</v>
      </c>
      <c r="G3671">
        <v>202604</v>
      </c>
      <c r="H3671" t="s">
        <v>75</v>
      </c>
      <c r="I3671" t="s">
        <v>76</v>
      </c>
      <c r="J3671" t="s">
        <v>77</v>
      </c>
      <c r="K3671" t="s">
        <v>78</v>
      </c>
      <c r="L3671" t="s">
        <v>197</v>
      </c>
      <c r="M3671" t="s">
        <v>198</v>
      </c>
      <c r="N3671" t="s">
        <v>3448</v>
      </c>
      <c r="O3671" t="s">
        <v>82</v>
      </c>
      <c r="P3671" t="str">
        <f>"4170050866                    "</f>
        <v xml:space="preserve">4170050866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17.649999999999999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55.61</v>
      </c>
      <c r="BM3671">
        <v>8.34</v>
      </c>
      <c r="BN3671">
        <v>63.95</v>
      </c>
      <c r="BO3671">
        <v>63.95</v>
      </c>
      <c r="BQ3671" t="s">
        <v>3449</v>
      </c>
      <c r="BR3671" t="s">
        <v>84</v>
      </c>
      <c r="BS3671" s="3">
        <v>45863</v>
      </c>
      <c r="BT3671" s="4">
        <v>0.36319444444444443</v>
      </c>
      <c r="BU3671" t="s">
        <v>3450</v>
      </c>
      <c r="BV3671" t="s">
        <v>98</v>
      </c>
      <c r="BY3671">
        <v>1200</v>
      </c>
      <c r="CA3671" t="s">
        <v>318</v>
      </c>
      <c r="CC3671" t="s">
        <v>198</v>
      </c>
      <c r="CD3671">
        <v>1428</v>
      </c>
      <c r="CE3671" t="s">
        <v>121</v>
      </c>
      <c r="CF3671" s="3">
        <v>45864</v>
      </c>
      <c r="CI3671">
        <v>1</v>
      </c>
      <c r="CJ3671">
        <v>1</v>
      </c>
      <c r="CK3671">
        <v>22</v>
      </c>
      <c r="CL3671" t="s">
        <v>86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"080066766158"</f>
        <v>080066766158</v>
      </c>
      <c r="F3672" s="3">
        <v>45862</v>
      </c>
      <c r="G3672">
        <v>202604</v>
      </c>
      <c r="H3672" t="s">
        <v>75</v>
      </c>
      <c r="I3672" t="s">
        <v>76</v>
      </c>
      <c r="J3672" t="s">
        <v>77</v>
      </c>
      <c r="K3672" t="s">
        <v>78</v>
      </c>
      <c r="L3672" t="s">
        <v>168</v>
      </c>
      <c r="M3672" t="s">
        <v>169</v>
      </c>
      <c r="N3672" t="s">
        <v>1111</v>
      </c>
      <c r="O3672" t="s">
        <v>82</v>
      </c>
      <c r="P3672" t="str">
        <f>"4170050874                    "</f>
        <v xml:space="preserve">4170050874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22.6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71.2</v>
      </c>
      <c r="BM3672">
        <v>10.68</v>
      </c>
      <c r="BN3672">
        <v>81.88</v>
      </c>
      <c r="BO3672">
        <v>81.88</v>
      </c>
      <c r="BQ3672" t="s">
        <v>1112</v>
      </c>
      <c r="BR3672" t="s">
        <v>84</v>
      </c>
      <c r="BS3672" s="3">
        <v>45863</v>
      </c>
      <c r="BT3672" s="4">
        <v>0.54166666666666663</v>
      </c>
      <c r="BU3672" t="s">
        <v>3451</v>
      </c>
      <c r="BV3672" t="s">
        <v>86</v>
      </c>
      <c r="BW3672" t="s">
        <v>194</v>
      </c>
      <c r="BX3672" t="s">
        <v>1382</v>
      </c>
      <c r="BY3672">
        <v>1200</v>
      </c>
      <c r="CA3672" t="s">
        <v>3452</v>
      </c>
      <c r="CC3672" t="s">
        <v>169</v>
      </c>
      <c r="CD3672">
        <v>6001</v>
      </c>
      <c r="CE3672" t="s">
        <v>121</v>
      </c>
      <c r="CF3672" s="3">
        <v>45863</v>
      </c>
      <c r="CI3672">
        <v>1</v>
      </c>
      <c r="CJ3672">
        <v>1</v>
      </c>
      <c r="CK3672">
        <v>21</v>
      </c>
      <c r="CL3672" t="s">
        <v>86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"080066766186"</f>
        <v>080066766186</v>
      </c>
      <c r="F3673" s="3">
        <v>45862</v>
      </c>
      <c r="G3673">
        <v>202604</v>
      </c>
      <c r="H3673" t="s">
        <v>75</v>
      </c>
      <c r="I3673" t="s">
        <v>76</v>
      </c>
      <c r="J3673" t="s">
        <v>77</v>
      </c>
      <c r="K3673" t="s">
        <v>78</v>
      </c>
      <c r="L3673" t="s">
        <v>1128</v>
      </c>
      <c r="M3673" t="s">
        <v>1129</v>
      </c>
      <c r="N3673" t="s">
        <v>1130</v>
      </c>
      <c r="O3673" t="s">
        <v>82</v>
      </c>
      <c r="P3673" t="str">
        <f>"4170050868                    "</f>
        <v xml:space="preserve">4170050868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33.89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3</v>
      </c>
      <c r="BJ3673">
        <v>2</v>
      </c>
      <c r="BK3673">
        <v>3</v>
      </c>
      <c r="BL3673">
        <v>106.77</v>
      </c>
      <c r="BM3673">
        <v>16.02</v>
      </c>
      <c r="BN3673">
        <v>122.79</v>
      </c>
      <c r="BO3673">
        <v>122.79</v>
      </c>
      <c r="BQ3673" t="s">
        <v>1131</v>
      </c>
      <c r="BR3673" t="s">
        <v>84</v>
      </c>
      <c r="BS3673" s="3">
        <v>45867</v>
      </c>
      <c r="BT3673" s="4">
        <v>0.58402777777777781</v>
      </c>
      <c r="BU3673" t="s">
        <v>3453</v>
      </c>
      <c r="BV3673" t="s">
        <v>86</v>
      </c>
      <c r="BW3673" t="s">
        <v>1620</v>
      </c>
      <c r="BX3673" t="s">
        <v>2610</v>
      </c>
      <c r="BY3673">
        <v>9900</v>
      </c>
      <c r="CC3673" t="s">
        <v>1129</v>
      </c>
      <c r="CD3673">
        <v>7600</v>
      </c>
      <c r="CE3673" t="s">
        <v>145</v>
      </c>
      <c r="CF3673" s="3">
        <v>45868</v>
      </c>
      <c r="CI3673">
        <v>1</v>
      </c>
      <c r="CJ3673">
        <v>3</v>
      </c>
      <c r="CK3673">
        <v>21</v>
      </c>
      <c r="CL3673" t="s">
        <v>86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"080066766202"</f>
        <v>080066766202</v>
      </c>
      <c r="F3674" s="3">
        <v>45862</v>
      </c>
      <c r="G3674">
        <v>202604</v>
      </c>
      <c r="H3674" t="s">
        <v>75</v>
      </c>
      <c r="I3674" t="s">
        <v>76</v>
      </c>
      <c r="J3674" t="s">
        <v>77</v>
      </c>
      <c r="K3674" t="s">
        <v>78</v>
      </c>
      <c r="L3674" t="s">
        <v>79</v>
      </c>
      <c r="M3674" t="s">
        <v>80</v>
      </c>
      <c r="N3674" t="s">
        <v>286</v>
      </c>
      <c r="O3674" t="s">
        <v>82</v>
      </c>
      <c r="P3674" t="str">
        <f>"4170050850                    "</f>
        <v xml:space="preserve">4170050850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22.6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71.2</v>
      </c>
      <c r="BM3674">
        <v>10.68</v>
      </c>
      <c r="BN3674">
        <v>81.88</v>
      </c>
      <c r="BO3674">
        <v>81.88</v>
      </c>
      <c r="BQ3674" t="s">
        <v>287</v>
      </c>
      <c r="BR3674" t="s">
        <v>84</v>
      </c>
      <c r="BS3674" s="3">
        <v>45863</v>
      </c>
      <c r="BT3674" s="4">
        <v>0.30972222222222223</v>
      </c>
      <c r="BU3674" t="s">
        <v>288</v>
      </c>
      <c r="BV3674" t="s">
        <v>98</v>
      </c>
      <c r="BY3674">
        <v>1200</v>
      </c>
      <c r="CA3674" t="s">
        <v>289</v>
      </c>
      <c r="CC3674" t="s">
        <v>80</v>
      </c>
      <c r="CD3674">
        <v>7530</v>
      </c>
      <c r="CE3674" t="s">
        <v>121</v>
      </c>
      <c r="CF3674" s="3">
        <v>45866</v>
      </c>
      <c r="CI3674">
        <v>1</v>
      </c>
      <c r="CJ3674">
        <v>1</v>
      </c>
      <c r="CK3674">
        <v>21</v>
      </c>
      <c r="CL3674" t="s">
        <v>86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"080066766246"</f>
        <v>080066766246</v>
      </c>
      <c r="F3675" s="3">
        <v>45862</v>
      </c>
      <c r="G3675">
        <v>202604</v>
      </c>
      <c r="H3675" t="s">
        <v>75</v>
      </c>
      <c r="I3675" t="s">
        <v>76</v>
      </c>
      <c r="J3675" t="s">
        <v>77</v>
      </c>
      <c r="K3675" t="s">
        <v>78</v>
      </c>
      <c r="L3675" t="s">
        <v>168</v>
      </c>
      <c r="M3675" t="s">
        <v>169</v>
      </c>
      <c r="N3675" t="s">
        <v>191</v>
      </c>
      <c r="O3675" t="s">
        <v>82</v>
      </c>
      <c r="P3675" t="str">
        <f>"4170050675                    "</f>
        <v xml:space="preserve">4170050675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22.6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2</v>
      </c>
      <c r="BJ3675">
        <v>2</v>
      </c>
      <c r="BK3675">
        <v>2</v>
      </c>
      <c r="BL3675">
        <v>71.2</v>
      </c>
      <c r="BM3675">
        <v>10.68</v>
      </c>
      <c r="BN3675">
        <v>81.88</v>
      </c>
      <c r="BO3675">
        <v>81.88</v>
      </c>
      <c r="BQ3675" t="s">
        <v>192</v>
      </c>
      <c r="BR3675" t="s">
        <v>84</v>
      </c>
      <c r="BS3675" s="3">
        <v>45863</v>
      </c>
      <c r="BT3675" s="4">
        <v>0.43194444444444446</v>
      </c>
      <c r="BU3675" t="s">
        <v>193</v>
      </c>
      <c r="BV3675" t="s">
        <v>98</v>
      </c>
      <c r="BY3675">
        <v>9918</v>
      </c>
      <c r="CA3675" t="s">
        <v>196</v>
      </c>
      <c r="CC3675" t="s">
        <v>169</v>
      </c>
      <c r="CD3675">
        <v>6056</v>
      </c>
      <c r="CE3675" t="s">
        <v>145</v>
      </c>
      <c r="CF3675" s="3">
        <v>45863</v>
      </c>
      <c r="CI3675">
        <v>1</v>
      </c>
      <c r="CJ3675">
        <v>1</v>
      </c>
      <c r="CK3675">
        <v>21</v>
      </c>
      <c r="CL3675" t="s">
        <v>86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"080066766258"</f>
        <v>080066766258</v>
      </c>
      <c r="F3676" s="3">
        <v>45862</v>
      </c>
      <c r="G3676">
        <v>202604</v>
      </c>
      <c r="H3676" t="s">
        <v>75</v>
      </c>
      <c r="I3676" t="s">
        <v>76</v>
      </c>
      <c r="J3676" t="s">
        <v>77</v>
      </c>
      <c r="K3676" t="s">
        <v>78</v>
      </c>
      <c r="L3676" t="s">
        <v>503</v>
      </c>
      <c r="M3676" t="s">
        <v>504</v>
      </c>
      <c r="N3676" t="s">
        <v>505</v>
      </c>
      <c r="O3676" t="s">
        <v>82</v>
      </c>
      <c r="P3676" t="str">
        <f>"4170050800                    "</f>
        <v xml:space="preserve">4170050800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43.78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137.94</v>
      </c>
      <c r="BM3676">
        <v>20.69</v>
      </c>
      <c r="BN3676">
        <v>158.63</v>
      </c>
      <c r="BO3676">
        <v>158.63</v>
      </c>
      <c r="BQ3676" t="s">
        <v>506</v>
      </c>
      <c r="BR3676" t="s">
        <v>84</v>
      </c>
      <c r="BS3676" s="3">
        <v>45863</v>
      </c>
      <c r="BT3676" s="4">
        <v>0.47430555555555554</v>
      </c>
      <c r="BU3676" t="s">
        <v>1235</v>
      </c>
      <c r="BV3676" t="s">
        <v>98</v>
      </c>
      <c r="BY3676">
        <v>1200</v>
      </c>
      <c r="CA3676" t="s">
        <v>508</v>
      </c>
      <c r="CC3676" t="s">
        <v>504</v>
      </c>
      <c r="CD3676">
        <v>7130</v>
      </c>
      <c r="CE3676" t="s">
        <v>121</v>
      </c>
      <c r="CF3676" s="3">
        <v>45866</v>
      </c>
      <c r="CI3676">
        <v>1</v>
      </c>
      <c r="CJ3676">
        <v>1</v>
      </c>
      <c r="CK3676">
        <v>23</v>
      </c>
      <c r="CL3676" t="s">
        <v>86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"080066766322"</f>
        <v>080066766322</v>
      </c>
      <c r="F3677" s="3">
        <v>45862</v>
      </c>
      <c r="G3677">
        <v>202604</v>
      </c>
      <c r="H3677" t="s">
        <v>75</v>
      </c>
      <c r="I3677" t="s">
        <v>76</v>
      </c>
      <c r="J3677" t="s">
        <v>77</v>
      </c>
      <c r="K3677" t="s">
        <v>78</v>
      </c>
      <c r="L3677" t="s">
        <v>240</v>
      </c>
      <c r="M3677" t="s">
        <v>241</v>
      </c>
      <c r="N3677" t="s">
        <v>242</v>
      </c>
      <c r="O3677" t="s">
        <v>82</v>
      </c>
      <c r="P3677" t="str">
        <f>"4170050773                    "</f>
        <v xml:space="preserve">4170050773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17.649999999999999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55.61</v>
      </c>
      <c r="BM3677">
        <v>8.34</v>
      </c>
      <c r="BN3677">
        <v>63.95</v>
      </c>
      <c r="BO3677">
        <v>63.95</v>
      </c>
      <c r="BQ3677" t="s">
        <v>243</v>
      </c>
      <c r="BR3677" t="s">
        <v>84</v>
      </c>
      <c r="BS3677" s="3">
        <v>45863</v>
      </c>
      <c r="BT3677" s="4">
        <v>0.35416666666666669</v>
      </c>
      <c r="BU3677" t="s">
        <v>244</v>
      </c>
      <c r="BV3677" t="s">
        <v>98</v>
      </c>
      <c r="BY3677">
        <v>1200</v>
      </c>
      <c r="CA3677" t="s">
        <v>245</v>
      </c>
      <c r="CC3677" t="s">
        <v>241</v>
      </c>
      <c r="CD3677">
        <v>2091</v>
      </c>
      <c r="CE3677" t="s">
        <v>121</v>
      </c>
      <c r="CF3677" s="3">
        <v>45863</v>
      </c>
      <c r="CI3677">
        <v>1</v>
      </c>
      <c r="CJ3677">
        <v>1</v>
      </c>
      <c r="CK3677">
        <v>22</v>
      </c>
      <c r="CL3677" t="s">
        <v>86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"080066766410"</f>
        <v>080066766410</v>
      </c>
      <c r="F3678" s="3">
        <v>45862</v>
      </c>
      <c r="G3678">
        <v>202604</v>
      </c>
      <c r="H3678" t="s">
        <v>75</v>
      </c>
      <c r="I3678" t="s">
        <v>76</v>
      </c>
      <c r="J3678" t="s">
        <v>77</v>
      </c>
      <c r="K3678" t="s">
        <v>78</v>
      </c>
      <c r="L3678" t="s">
        <v>240</v>
      </c>
      <c r="M3678" t="s">
        <v>241</v>
      </c>
      <c r="N3678" t="s">
        <v>457</v>
      </c>
      <c r="O3678" t="s">
        <v>95</v>
      </c>
      <c r="P3678" t="str">
        <f>"4170050983                    "</f>
        <v xml:space="preserve">4170050983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54.42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16.739999999999998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36</v>
      </c>
      <c r="BJ3678">
        <v>22.5</v>
      </c>
      <c r="BK3678">
        <v>36</v>
      </c>
      <c r="BL3678">
        <v>194.07</v>
      </c>
      <c r="BM3678">
        <v>29.11</v>
      </c>
      <c r="BN3678">
        <v>223.18</v>
      </c>
      <c r="BO3678">
        <v>223.18</v>
      </c>
      <c r="BQ3678" t="s">
        <v>458</v>
      </c>
      <c r="BR3678" t="s">
        <v>84</v>
      </c>
      <c r="BS3678" s="3">
        <v>45863</v>
      </c>
      <c r="BT3678" s="4">
        <v>0.45833333333333331</v>
      </c>
      <c r="BU3678" t="s">
        <v>3454</v>
      </c>
      <c r="BV3678" t="s">
        <v>98</v>
      </c>
      <c r="BY3678">
        <v>112320</v>
      </c>
      <c r="BZ3678" t="s">
        <v>30</v>
      </c>
      <c r="CC3678" t="s">
        <v>241</v>
      </c>
      <c r="CD3678">
        <v>2188</v>
      </c>
      <c r="CE3678" t="s">
        <v>2858</v>
      </c>
      <c r="CF3678" s="3">
        <v>45863</v>
      </c>
      <c r="CI3678">
        <v>1</v>
      </c>
      <c r="CJ3678">
        <v>1</v>
      </c>
      <c r="CK3678">
        <v>42</v>
      </c>
      <c r="CL3678" t="s">
        <v>86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"080066766456"</f>
        <v>080066766456</v>
      </c>
      <c r="F3679" s="3">
        <v>45862</v>
      </c>
      <c r="G3679">
        <v>202604</v>
      </c>
      <c r="H3679" t="s">
        <v>75</v>
      </c>
      <c r="I3679" t="s">
        <v>76</v>
      </c>
      <c r="J3679" t="s">
        <v>77</v>
      </c>
      <c r="K3679" t="s">
        <v>78</v>
      </c>
      <c r="L3679" t="s">
        <v>363</v>
      </c>
      <c r="M3679" t="s">
        <v>364</v>
      </c>
      <c r="N3679" t="s">
        <v>365</v>
      </c>
      <c r="O3679" t="s">
        <v>82</v>
      </c>
      <c r="P3679" t="str">
        <f>"4170050797                    "</f>
        <v xml:space="preserve">4170050797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43.78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137.94</v>
      </c>
      <c r="BM3679">
        <v>20.69</v>
      </c>
      <c r="BN3679">
        <v>158.63</v>
      </c>
      <c r="BO3679">
        <v>158.63</v>
      </c>
      <c r="BQ3679" t="s">
        <v>1118</v>
      </c>
      <c r="BR3679" t="s">
        <v>84</v>
      </c>
      <c r="BS3679" s="3">
        <v>45863</v>
      </c>
      <c r="BT3679" s="4">
        <v>0.54166666666666663</v>
      </c>
      <c r="BU3679" t="s">
        <v>367</v>
      </c>
      <c r="BV3679" t="s">
        <v>98</v>
      </c>
      <c r="BY3679">
        <v>1200</v>
      </c>
      <c r="CC3679" t="s">
        <v>364</v>
      </c>
      <c r="CD3679">
        <v>7300</v>
      </c>
      <c r="CE3679" t="s">
        <v>121</v>
      </c>
      <c r="CF3679" s="3">
        <v>45867</v>
      </c>
      <c r="CI3679">
        <v>1</v>
      </c>
      <c r="CJ3679">
        <v>1</v>
      </c>
      <c r="CK3679">
        <v>23</v>
      </c>
      <c r="CL3679" t="s">
        <v>86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"080066766513"</f>
        <v>080066766513</v>
      </c>
      <c r="F3680" s="3">
        <v>45862</v>
      </c>
      <c r="G3680">
        <v>202604</v>
      </c>
      <c r="H3680" t="s">
        <v>75</v>
      </c>
      <c r="I3680" t="s">
        <v>76</v>
      </c>
      <c r="J3680" t="s">
        <v>77</v>
      </c>
      <c r="K3680" t="s">
        <v>78</v>
      </c>
      <c r="L3680" t="s">
        <v>75</v>
      </c>
      <c r="M3680" t="s">
        <v>76</v>
      </c>
      <c r="N3680" t="s">
        <v>614</v>
      </c>
      <c r="O3680" t="s">
        <v>82</v>
      </c>
      <c r="P3680" t="str">
        <f>"4170050851                    "</f>
        <v xml:space="preserve">4170050851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17.649999999999999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55.61</v>
      </c>
      <c r="BM3680">
        <v>8.34</v>
      </c>
      <c r="BN3680">
        <v>63.95</v>
      </c>
      <c r="BO3680">
        <v>63.95</v>
      </c>
      <c r="BQ3680" t="s">
        <v>615</v>
      </c>
      <c r="BR3680" t="s">
        <v>84</v>
      </c>
      <c r="BS3680" s="3">
        <v>45863</v>
      </c>
      <c r="BT3680" s="4">
        <v>0.40625</v>
      </c>
      <c r="BU3680" t="s">
        <v>3455</v>
      </c>
      <c r="BV3680" t="s">
        <v>98</v>
      </c>
      <c r="BY3680">
        <v>1200</v>
      </c>
      <c r="CA3680" t="s">
        <v>617</v>
      </c>
      <c r="CC3680" t="s">
        <v>76</v>
      </c>
      <c r="CD3680">
        <v>1609</v>
      </c>
      <c r="CE3680" t="s">
        <v>121</v>
      </c>
      <c r="CF3680" s="3">
        <v>45864</v>
      </c>
      <c r="CI3680">
        <v>1</v>
      </c>
      <c r="CJ3680">
        <v>1</v>
      </c>
      <c r="CK3680">
        <v>22</v>
      </c>
      <c r="CL3680" t="s">
        <v>86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"080066766550"</f>
        <v>080066766550</v>
      </c>
      <c r="F3681" s="3">
        <v>45862</v>
      </c>
      <c r="G3681">
        <v>202604</v>
      </c>
      <c r="H3681" t="s">
        <v>75</v>
      </c>
      <c r="I3681" t="s">
        <v>76</v>
      </c>
      <c r="J3681" t="s">
        <v>77</v>
      </c>
      <c r="K3681" t="s">
        <v>78</v>
      </c>
      <c r="L3681" t="s">
        <v>566</v>
      </c>
      <c r="M3681" t="s">
        <v>567</v>
      </c>
      <c r="N3681" t="s">
        <v>568</v>
      </c>
      <c r="O3681" t="s">
        <v>82</v>
      </c>
      <c r="P3681" t="str">
        <f>"4170050774                    "</f>
        <v xml:space="preserve">4170050774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31.78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100.13</v>
      </c>
      <c r="BM3681">
        <v>15.02</v>
      </c>
      <c r="BN3681">
        <v>115.15</v>
      </c>
      <c r="BO3681">
        <v>115.15</v>
      </c>
      <c r="BQ3681" t="s">
        <v>569</v>
      </c>
      <c r="BR3681" t="s">
        <v>84</v>
      </c>
      <c r="BS3681" s="3">
        <v>45863</v>
      </c>
      <c r="BT3681" s="4">
        <v>0.33750000000000002</v>
      </c>
      <c r="BU3681" t="s">
        <v>570</v>
      </c>
      <c r="BV3681" t="s">
        <v>98</v>
      </c>
      <c r="BY3681">
        <v>1200</v>
      </c>
      <c r="CA3681" t="s">
        <v>571</v>
      </c>
      <c r="CC3681" t="s">
        <v>567</v>
      </c>
      <c r="CD3681">
        <v>2210</v>
      </c>
      <c r="CE3681" t="s">
        <v>121</v>
      </c>
      <c r="CF3681" s="3">
        <v>45863</v>
      </c>
      <c r="CI3681">
        <v>1</v>
      </c>
      <c r="CJ3681">
        <v>1</v>
      </c>
      <c r="CK3681">
        <v>24</v>
      </c>
      <c r="CL3681" t="s">
        <v>86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"080066766609"</f>
        <v>080066766609</v>
      </c>
      <c r="F3682" s="3">
        <v>45862</v>
      </c>
      <c r="G3682">
        <v>202604</v>
      </c>
      <c r="H3682" t="s">
        <v>75</v>
      </c>
      <c r="I3682" t="s">
        <v>76</v>
      </c>
      <c r="J3682" t="s">
        <v>77</v>
      </c>
      <c r="K3682" t="s">
        <v>78</v>
      </c>
      <c r="L3682" t="s">
        <v>168</v>
      </c>
      <c r="M3682" t="s">
        <v>169</v>
      </c>
      <c r="N3682" t="s">
        <v>1422</v>
      </c>
      <c r="O3682" t="s">
        <v>82</v>
      </c>
      <c r="P3682" t="str">
        <f>"4170050841                    "</f>
        <v xml:space="preserve">4170050841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22.6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71.2</v>
      </c>
      <c r="BM3682">
        <v>10.68</v>
      </c>
      <c r="BN3682">
        <v>81.88</v>
      </c>
      <c r="BO3682">
        <v>81.88</v>
      </c>
      <c r="BQ3682" t="s">
        <v>1423</v>
      </c>
      <c r="BR3682" t="s">
        <v>84</v>
      </c>
      <c r="BS3682" s="3">
        <v>45863</v>
      </c>
      <c r="BT3682" s="4">
        <v>0.55486111111111114</v>
      </c>
      <c r="BU3682" t="s">
        <v>3456</v>
      </c>
      <c r="BV3682" t="s">
        <v>86</v>
      </c>
      <c r="BW3682" t="s">
        <v>194</v>
      </c>
      <c r="BX3682" t="s">
        <v>195</v>
      </c>
      <c r="BY3682">
        <v>1200</v>
      </c>
      <c r="CA3682" t="s">
        <v>196</v>
      </c>
      <c r="CC3682" t="s">
        <v>169</v>
      </c>
      <c r="CD3682">
        <v>6001</v>
      </c>
      <c r="CE3682" t="s">
        <v>121</v>
      </c>
      <c r="CF3682" s="3">
        <v>45863</v>
      </c>
      <c r="CI3682">
        <v>1</v>
      </c>
      <c r="CJ3682">
        <v>1</v>
      </c>
      <c r="CK3682">
        <v>21</v>
      </c>
      <c r="CL3682" t="s">
        <v>86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"080066766676"</f>
        <v>080066766676</v>
      </c>
      <c r="F3683" s="3">
        <v>45862</v>
      </c>
      <c r="G3683">
        <v>202604</v>
      </c>
      <c r="H3683" t="s">
        <v>75</v>
      </c>
      <c r="I3683" t="s">
        <v>76</v>
      </c>
      <c r="J3683" t="s">
        <v>77</v>
      </c>
      <c r="K3683" t="s">
        <v>78</v>
      </c>
      <c r="L3683" t="s">
        <v>305</v>
      </c>
      <c r="M3683" t="s">
        <v>306</v>
      </c>
      <c r="N3683" t="s">
        <v>640</v>
      </c>
      <c r="O3683" t="s">
        <v>82</v>
      </c>
      <c r="P3683" t="str">
        <f>"4170050764                    "</f>
        <v xml:space="preserve">4170050764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22.6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71.2</v>
      </c>
      <c r="BM3683">
        <v>10.68</v>
      </c>
      <c r="BN3683">
        <v>81.88</v>
      </c>
      <c r="BO3683">
        <v>81.88</v>
      </c>
      <c r="BQ3683" t="s">
        <v>641</v>
      </c>
      <c r="BR3683" t="s">
        <v>84</v>
      </c>
      <c r="BS3683" s="3">
        <v>45863</v>
      </c>
      <c r="BT3683" s="4">
        <v>0.4861111111111111</v>
      </c>
      <c r="BU3683" t="s">
        <v>2984</v>
      </c>
      <c r="BV3683" t="s">
        <v>86</v>
      </c>
      <c r="BY3683">
        <v>1200</v>
      </c>
      <c r="CA3683" t="s">
        <v>310</v>
      </c>
      <c r="CC3683" t="s">
        <v>306</v>
      </c>
      <c r="CD3683">
        <v>5201</v>
      </c>
      <c r="CE3683" t="s">
        <v>121</v>
      </c>
      <c r="CF3683" s="3">
        <v>45863</v>
      </c>
      <c r="CI3683">
        <v>1</v>
      </c>
      <c r="CJ3683">
        <v>1</v>
      </c>
      <c r="CK3683">
        <v>21</v>
      </c>
      <c r="CL3683" t="s">
        <v>86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"080066766735"</f>
        <v>080066766735</v>
      </c>
      <c r="F3684" s="3">
        <v>45862</v>
      </c>
      <c r="G3684">
        <v>202604</v>
      </c>
      <c r="H3684" t="s">
        <v>75</v>
      </c>
      <c r="I3684" t="s">
        <v>76</v>
      </c>
      <c r="J3684" t="s">
        <v>77</v>
      </c>
      <c r="K3684" t="s">
        <v>78</v>
      </c>
      <c r="L3684" t="s">
        <v>135</v>
      </c>
      <c r="M3684" t="s">
        <v>136</v>
      </c>
      <c r="N3684" t="s">
        <v>379</v>
      </c>
      <c r="O3684" t="s">
        <v>95</v>
      </c>
      <c r="P3684" t="str">
        <f>"4170050816                    "</f>
        <v xml:space="preserve">4170050816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72.569999999999993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12</v>
      </c>
      <c r="BJ3684">
        <v>30.9</v>
      </c>
      <c r="BK3684">
        <v>31</v>
      </c>
      <c r="BL3684">
        <v>234.5</v>
      </c>
      <c r="BM3684">
        <v>35.18</v>
      </c>
      <c r="BN3684">
        <v>269.68</v>
      </c>
      <c r="BO3684">
        <v>269.68</v>
      </c>
      <c r="BQ3684" t="s">
        <v>380</v>
      </c>
      <c r="BR3684" t="s">
        <v>84</v>
      </c>
      <c r="BS3684" s="3">
        <v>45863</v>
      </c>
      <c r="BT3684" s="4">
        <v>0.48541666666666666</v>
      </c>
      <c r="BU3684" t="s">
        <v>1318</v>
      </c>
      <c r="BV3684" t="s">
        <v>98</v>
      </c>
      <c r="BY3684">
        <v>154560</v>
      </c>
      <c r="CA3684" t="s">
        <v>1319</v>
      </c>
      <c r="CC3684" t="s">
        <v>136</v>
      </c>
      <c r="CD3684">
        <v>3212</v>
      </c>
      <c r="CE3684" t="s">
        <v>145</v>
      </c>
      <c r="CF3684" s="3">
        <v>45864</v>
      </c>
      <c r="CI3684">
        <v>3</v>
      </c>
      <c r="CJ3684">
        <v>1</v>
      </c>
      <c r="CK3684">
        <v>41</v>
      </c>
      <c r="CL3684" t="s">
        <v>86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"080066766842"</f>
        <v>080066766842</v>
      </c>
      <c r="F3685" s="3">
        <v>45862</v>
      </c>
      <c r="G3685">
        <v>202604</v>
      </c>
      <c r="H3685" t="s">
        <v>75</v>
      </c>
      <c r="I3685" t="s">
        <v>76</v>
      </c>
      <c r="J3685" t="s">
        <v>77</v>
      </c>
      <c r="K3685" t="s">
        <v>78</v>
      </c>
      <c r="L3685" t="s">
        <v>305</v>
      </c>
      <c r="M3685" t="s">
        <v>306</v>
      </c>
      <c r="N3685" t="s">
        <v>1154</v>
      </c>
      <c r="O3685" t="s">
        <v>82</v>
      </c>
      <c r="P3685" t="str">
        <f>"4170050878                    "</f>
        <v xml:space="preserve">4170050878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45.18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4</v>
      </c>
      <c r="BJ3685">
        <v>1.9</v>
      </c>
      <c r="BK3685">
        <v>4</v>
      </c>
      <c r="BL3685">
        <v>142.34</v>
      </c>
      <c r="BM3685">
        <v>21.35</v>
      </c>
      <c r="BN3685">
        <v>163.69</v>
      </c>
      <c r="BO3685">
        <v>163.69</v>
      </c>
      <c r="BQ3685" t="s">
        <v>1155</v>
      </c>
      <c r="BR3685" t="s">
        <v>84</v>
      </c>
      <c r="BS3685" s="3">
        <v>45863</v>
      </c>
      <c r="BT3685" s="4">
        <v>0.61736111111111114</v>
      </c>
      <c r="BU3685" t="s">
        <v>1156</v>
      </c>
      <c r="BV3685" t="s">
        <v>86</v>
      </c>
      <c r="BY3685">
        <v>9600</v>
      </c>
      <c r="BZ3685" t="s">
        <v>89</v>
      </c>
      <c r="CA3685" t="s">
        <v>1157</v>
      </c>
      <c r="CC3685" t="s">
        <v>306</v>
      </c>
      <c r="CD3685">
        <v>5201</v>
      </c>
      <c r="CE3685" t="s">
        <v>117</v>
      </c>
      <c r="CF3685" s="3">
        <v>45863</v>
      </c>
      <c r="CI3685">
        <v>1</v>
      </c>
      <c r="CJ3685">
        <v>1</v>
      </c>
      <c r="CK3685">
        <v>21</v>
      </c>
      <c r="CL3685" t="s">
        <v>86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"080066766902"</f>
        <v>080066766902</v>
      </c>
      <c r="F3686" s="3">
        <v>45862</v>
      </c>
      <c r="G3686">
        <v>202604</v>
      </c>
      <c r="H3686" t="s">
        <v>75</v>
      </c>
      <c r="I3686" t="s">
        <v>76</v>
      </c>
      <c r="J3686" t="s">
        <v>77</v>
      </c>
      <c r="K3686" t="s">
        <v>78</v>
      </c>
      <c r="L3686" t="s">
        <v>75</v>
      </c>
      <c r="M3686" t="s">
        <v>76</v>
      </c>
      <c r="N3686" t="s">
        <v>1158</v>
      </c>
      <c r="O3686" t="s">
        <v>82</v>
      </c>
      <c r="P3686" t="str">
        <f>"4170050838                    "</f>
        <v xml:space="preserve">4170050838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17.649999999999999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0.6</v>
      </c>
      <c r="BK3686">
        <v>1</v>
      </c>
      <c r="BL3686">
        <v>55.61</v>
      </c>
      <c r="BM3686">
        <v>8.34</v>
      </c>
      <c r="BN3686">
        <v>63.95</v>
      </c>
      <c r="BO3686">
        <v>63.95</v>
      </c>
      <c r="BQ3686" t="s">
        <v>1159</v>
      </c>
      <c r="BR3686" t="s">
        <v>84</v>
      </c>
      <c r="BS3686" s="3">
        <v>45863</v>
      </c>
      <c r="BT3686" s="4">
        <v>0.43402777777777779</v>
      </c>
      <c r="BU3686" t="s">
        <v>1718</v>
      </c>
      <c r="BV3686" t="s">
        <v>98</v>
      </c>
      <c r="BY3686">
        <v>3192</v>
      </c>
      <c r="BZ3686" t="s">
        <v>89</v>
      </c>
      <c r="CA3686" t="s">
        <v>304</v>
      </c>
      <c r="CC3686" t="s">
        <v>76</v>
      </c>
      <c r="CD3686">
        <v>1619</v>
      </c>
      <c r="CE3686" t="s">
        <v>117</v>
      </c>
      <c r="CF3686" s="3">
        <v>45863</v>
      </c>
      <c r="CI3686">
        <v>1</v>
      </c>
      <c r="CJ3686">
        <v>1</v>
      </c>
      <c r="CK3686">
        <v>22</v>
      </c>
      <c r="CL3686" t="s">
        <v>86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"080066767382"</f>
        <v>080066767382</v>
      </c>
      <c r="F3687" s="3">
        <v>45862</v>
      </c>
      <c r="G3687">
        <v>202604</v>
      </c>
      <c r="H3687" t="s">
        <v>75</v>
      </c>
      <c r="I3687" t="s">
        <v>76</v>
      </c>
      <c r="J3687" t="s">
        <v>77</v>
      </c>
      <c r="K3687" t="s">
        <v>78</v>
      </c>
      <c r="L3687" t="s">
        <v>79</v>
      </c>
      <c r="M3687" t="s">
        <v>80</v>
      </c>
      <c r="N3687" t="s">
        <v>286</v>
      </c>
      <c r="O3687" t="s">
        <v>82</v>
      </c>
      <c r="P3687" t="str">
        <f>"4170050775                    "</f>
        <v xml:space="preserve">4170050775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22.6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1.9</v>
      </c>
      <c r="BK3687">
        <v>2</v>
      </c>
      <c r="BL3687">
        <v>71.2</v>
      </c>
      <c r="BM3687">
        <v>10.68</v>
      </c>
      <c r="BN3687">
        <v>81.88</v>
      </c>
      <c r="BO3687">
        <v>81.88</v>
      </c>
      <c r="BQ3687" t="s">
        <v>287</v>
      </c>
      <c r="BR3687" t="s">
        <v>84</v>
      </c>
      <c r="BS3687" s="3">
        <v>45863</v>
      </c>
      <c r="BT3687" s="4">
        <v>0.30972222222222223</v>
      </c>
      <c r="BU3687" t="s">
        <v>288</v>
      </c>
      <c r="BV3687" t="s">
        <v>98</v>
      </c>
      <c r="BY3687">
        <v>9600</v>
      </c>
      <c r="CA3687" t="s">
        <v>289</v>
      </c>
      <c r="CC3687" t="s">
        <v>80</v>
      </c>
      <c r="CD3687">
        <v>7530</v>
      </c>
      <c r="CE3687" t="s">
        <v>145</v>
      </c>
      <c r="CF3687" s="3">
        <v>45866</v>
      </c>
      <c r="CI3687">
        <v>1</v>
      </c>
      <c r="CJ3687">
        <v>1</v>
      </c>
      <c r="CK3687">
        <v>21</v>
      </c>
      <c r="CL3687" t="s">
        <v>86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"080066767415"</f>
        <v>080066767415</v>
      </c>
      <c r="F3688" s="3">
        <v>45862</v>
      </c>
      <c r="G3688">
        <v>202604</v>
      </c>
      <c r="H3688" t="s">
        <v>75</v>
      </c>
      <c r="I3688" t="s">
        <v>76</v>
      </c>
      <c r="J3688" t="s">
        <v>77</v>
      </c>
      <c r="K3688" t="s">
        <v>78</v>
      </c>
      <c r="L3688" t="s">
        <v>79</v>
      </c>
      <c r="M3688" t="s">
        <v>80</v>
      </c>
      <c r="N3688" t="s">
        <v>159</v>
      </c>
      <c r="O3688" t="s">
        <v>82</v>
      </c>
      <c r="P3688" t="str">
        <f>"4170050795                    "</f>
        <v xml:space="preserve">4170050795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22.6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1.9</v>
      </c>
      <c r="BK3688">
        <v>2</v>
      </c>
      <c r="BL3688">
        <v>71.2</v>
      </c>
      <c r="BM3688">
        <v>10.68</v>
      </c>
      <c r="BN3688">
        <v>81.88</v>
      </c>
      <c r="BO3688">
        <v>81.88</v>
      </c>
      <c r="BQ3688" t="s">
        <v>160</v>
      </c>
      <c r="BR3688" t="s">
        <v>84</v>
      </c>
      <c r="BS3688" s="3">
        <v>45863</v>
      </c>
      <c r="BT3688" s="4">
        <v>0.3972222222222222</v>
      </c>
      <c r="BU3688" t="s">
        <v>161</v>
      </c>
      <c r="BV3688" t="s">
        <v>98</v>
      </c>
      <c r="BY3688">
        <v>9600</v>
      </c>
      <c r="CA3688" t="s">
        <v>3411</v>
      </c>
      <c r="CC3688" t="s">
        <v>80</v>
      </c>
      <c r="CD3688">
        <v>7441</v>
      </c>
      <c r="CE3688" t="s">
        <v>3457</v>
      </c>
      <c r="CF3688" s="3">
        <v>45866</v>
      </c>
      <c r="CI3688">
        <v>1</v>
      </c>
      <c r="CJ3688">
        <v>1</v>
      </c>
      <c r="CK3688">
        <v>21</v>
      </c>
      <c r="CL3688" t="s">
        <v>86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"080066767425"</f>
        <v>080066767425</v>
      </c>
      <c r="F3689" s="3">
        <v>45862</v>
      </c>
      <c r="G3689">
        <v>202604</v>
      </c>
      <c r="H3689" t="s">
        <v>75</v>
      </c>
      <c r="I3689" t="s">
        <v>76</v>
      </c>
      <c r="J3689" t="s">
        <v>77</v>
      </c>
      <c r="K3689" t="s">
        <v>78</v>
      </c>
      <c r="L3689" t="s">
        <v>151</v>
      </c>
      <c r="M3689" t="s">
        <v>152</v>
      </c>
      <c r="N3689" t="s">
        <v>902</v>
      </c>
      <c r="O3689" t="s">
        <v>82</v>
      </c>
      <c r="P3689" t="str">
        <f>"4170050784                    "</f>
        <v xml:space="preserve">4170050784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22.6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71.2</v>
      </c>
      <c r="BM3689">
        <v>10.68</v>
      </c>
      <c r="BN3689">
        <v>81.88</v>
      </c>
      <c r="BO3689">
        <v>81.88</v>
      </c>
      <c r="BQ3689" t="s">
        <v>903</v>
      </c>
      <c r="BR3689" t="s">
        <v>84</v>
      </c>
      <c r="BS3689" s="3">
        <v>45863</v>
      </c>
      <c r="BT3689" s="4">
        <v>0.43055555555555558</v>
      </c>
      <c r="BU3689" t="s">
        <v>1119</v>
      </c>
      <c r="BV3689" t="s">
        <v>98</v>
      </c>
      <c r="BY3689">
        <v>1200</v>
      </c>
      <c r="CA3689" t="s">
        <v>906</v>
      </c>
      <c r="CC3689" t="s">
        <v>152</v>
      </c>
      <c r="CD3689" s="5" t="s">
        <v>907</v>
      </c>
      <c r="CE3689" t="s">
        <v>121</v>
      </c>
      <c r="CF3689" s="3">
        <v>45863</v>
      </c>
      <c r="CI3689">
        <v>1</v>
      </c>
      <c r="CJ3689">
        <v>1</v>
      </c>
      <c r="CK3689">
        <v>21</v>
      </c>
      <c r="CL3689" t="s">
        <v>86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"080066767439"</f>
        <v>080066767439</v>
      </c>
      <c r="F3690" s="3">
        <v>45862</v>
      </c>
      <c r="G3690">
        <v>202604</v>
      </c>
      <c r="H3690" t="s">
        <v>75</v>
      </c>
      <c r="I3690" t="s">
        <v>76</v>
      </c>
      <c r="J3690" t="s">
        <v>77</v>
      </c>
      <c r="K3690" t="s">
        <v>78</v>
      </c>
      <c r="L3690" t="s">
        <v>146</v>
      </c>
      <c r="M3690" t="s">
        <v>146</v>
      </c>
      <c r="N3690" t="s">
        <v>147</v>
      </c>
      <c r="O3690" t="s">
        <v>82</v>
      </c>
      <c r="P3690" t="str">
        <f>"4170050869                    "</f>
        <v xml:space="preserve">4170050869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43.78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1.9</v>
      </c>
      <c r="BK3690">
        <v>2</v>
      </c>
      <c r="BL3690">
        <v>137.94</v>
      </c>
      <c r="BM3690">
        <v>20.69</v>
      </c>
      <c r="BN3690">
        <v>158.63</v>
      </c>
      <c r="BO3690">
        <v>158.63</v>
      </c>
      <c r="BQ3690" t="s">
        <v>148</v>
      </c>
      <c r="BR3690" t="s">
        <v>84</v>
      </c>
      <c r="BS3690" s="3">
        <v>45863</v>
      </c>
      <c r="BT3690" s="4">
        <v>0.52708333333333335</v>
      </c>
      <c r="BU3690" t="s">
        <v>149</v>
      </c>
      <c r="BV3690" t="s">
        <v>98</v>
      </c>
      <c r="BY3690">
        <v>9600</v>
      </c>
      <c r="CA3690" t="s">
        <v>150</v>
      </c>
      <c r="CC3690" t="s">
        <v>146</v>
      </c>
      <c r="CD3690">
        <v>7646</v>
      </c>
      <c r="CE3690" t="s">
        <v>145</v>
      </c>
      <c r="CF3690" s="3">
        <v>45866</v>
      </c>
      <c r="CI3690">
        <v>1</v>
      </c>
      <c r="CJ3690">
        <v>1</v>
      </c>
      <c r="CK3690">
        <v>23</v>
      </c>
      <c r="CL3690" t="s">
        <v>86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"080066767444"</f>
        <v>080066767444</v>
      </c>
      <c r="F3691" s="3">
        <v>45862</v>
      </c>
      <c r="G3691">
        <v>202604</v>
      </c>
      <c r="H3691" t="s">
        <v>75</v>
      </c>
      <c r="I3691" t="s">
        <v>76</v>
      </c>
      <c r="J3691" t="s">
        <v>77</v>
      </c>
      <c r="K3691" t="s">
        <v>78</v>
      </c>
      <c r="L3691" t="s">
        <v>92</v>
      </c>
      <c r="M3691" t="s">
        <v>93</v>
      </c>
      <c r="N3691" t="s">
        <v>334</v>
      </c>
      <c r="O3691" t="s">
        <v>82</v>
      </c>
      <c r="P3691" t="str">
        <f>"4170050815                    "</f>
        <v xml:space="preserve">4170050815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22.6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71.2</v>
      </c>
      <c r="BM3691">
        <v>10.68</v>
      </c>
      <c r="BN3691">
        <v>81.88</v>
      </c>
      <c r="BO3691">
        <v>81.88</v>
      </c>
      <c r="BQ3691" t="s">
        <v>335</v>
      </c>
      <c r="BR3691" t="s">
        <v>84</v>
      </c>
      <c r="BS3691" s="3">
        <v>45863</v>
      </c>
      <c r="BT3691" s="4">
        <v>0.41458333333333336</v>
      </c>
      <c r="BU3691" t="s">
        <v>1365</v>
      </c>
      <c r="BV3691" t="s">
        <v>98</v>
      </c>
      <c r="BY3691">
        <v>1200</v>
      </c>
      <c r="CA3691" t="s">
        <v>337</v>
      </c>
      <c r="CC3691" t="s">
        <v>93</v>
      </c>
      <c r="CD3691">
        <v>4052</v>
      </c>
      <c r="CE3691" t="s">
        <v>121</v>
      </c>
      <c r="CF3691" s="3">
        <v>45863</v>
      </c>
      <c r="CI3691">
        <v>1</v>
      </c>
      <c r="CJ3691">
        <v>1</v>
      </c>
      <c r="CK3691">
        <v>21</v>
      </c>
      <c r="CL3691" t="s">
        <v>86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"080066767471"</f>
        <v>080066767471</v>
      </c>
      <c r="F3692" s="3">
        <v>45862</v>
      </c>
      <c r="G3692">
        <v>202604</v>
      </c>
      <c r="H3692" t="s">
        <v>75</v>
      </c>
      <c r="I3692" t="s">
        <v>76</v>
      </c>
      <c r="J3692" t="s">
        <v>77</v>
      </c>
      <c r="K3692" t="s">
        <v>78</v>
      </c>
      <c r="L3692" t="s">
        <v>295</v>
      </c>
      <c r="M3692" t="s">
        <v>296</v>
      </c>
      <c r="N3692" t="s">
        <v>1074</v>
      </c>
      <c r="O3692" t="s">
        <v>82</v>
      </c>
      <c r="P3692" t="str">
        <f>"4170050845                    "</f>
        <v xml:space="preserve">4170050845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17.649999999999999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55.61</v>
      </c>
      <c r="BM3692">
        <v>8.34</v>
      </c>
      <c r="BN3692">
        <v>63.95</v>
      </c>
      <c r="BO3692">
        <v>63.95</v>
      </c>
      <c r="BQ3692" t="s">
        <v>1075</v>
      </c>
      <c r="BR3692" t="s">
        <v>84</v>
      </c>
      <c r="BS3692" s="3">
        <v>45863</v>
      </c>
      <c r="BT3692" s="4">
        <v>0.33402777777777776</v>
      </c>
      <c r="BU3692" t="s">
        <v>3458</v>
      </c>
      <c r="BV3692" t="s">
        <v>98</v>
      </c>
      <c r="BY3692">
        <v>1200</v>
      </c>
      <c r="CA3692" t="s">
        <v>529</v>
      </c>
      <c r="CC3692" t="s">
        <v>296</v>
      </c>
      <c r="CD3692">
        <v>1459</v>
      </c>
      <c r="CE3692" t="s">
        <v>121</v>
      </c>
      <c r="CF3692" s="3">
        <v>45863</v>
      </c>
      <c r="CI3692">
        <v>1</v>
      </c>
      <c r="CJ3692">
        <v>1</v>
      </c>
      <c r="CK3692">
        <v>22</v>
      </c>
      <c r="CL3692" t="s">
        <v>86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"080066767473"</f>
        <v>080066767473</v>
      </c>
      <c r="F3693" s="3">
        <v>45862</v>
      </c>
      <c r="G3693">
        <v>202604</v>
      </c>
      <c r="H3693" t="s">
        <v>75</v>
      </c>
      <c r="I3693" t="s">
        <v>76</v>
      </c>
      <c r="J3693" t="s">
        <v>77</v>
      </c>
      <c r="K3693" t="s">
        <v>78</v>
      </c>
      <c r="L3693" t="s">
        <v>252</v>
      </c>
      <c r="M3693" t="s">
        <v>253</v>
      </c>
      <c r="N3693" t="s">
        <v>254</v>
      </c>
      <c r="O3693" t="s">
        <v>82</v>
      </c>
      <c r="P3693" t="str">
        <f>"4170050848                    "</f>
        <v xml:space="preserve">4170050848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43.78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2</v>
      </c>
      <c r="BJ3693">
        <v>1.9</v>
      </c>
      <c r="BK3693">
        <v>2</v>
      </c>
      <c r="BL3693">
        <v>137.94</v>
      </c>
      <c r="BM3693">
        <v>20.69</v>
      </c>
      <c r="BN3693">
        <v>158.63</v>
      </c>
      <c r="BO3693">
        <v>158.63</v>
      </c>
      <c r="BQ3693" t="s">
        <v>255</v>
      </c>
      <c r="BR3693" t="s">
        <v>84</v>
      </c>
      <c r="BS3693" s="3">
        <v>45863</v>
      </c>
      <c r="BT3693" s="4">
        <v>0.35972222222222222</v>
      </c>
      <c r="BU3693" t="s">
        <v>2874</v>
      </c>
      <c r="BV3693" t="s">
        <v>98</v>
      </c>
      <c r="BY3693">
        <v>9600</v>
      </c>
      <c r="CA3693" t="s">
        <v>265</v>
      </c>
      <c r="CC3693" t="s">
        <v>253</v>
      </c>
      <c r="CD3693">
        <v>1947</v>
      </c>
      <c r="CE3693" t="s">
        <v>145</v>
      </c>
      <c r="CF3693" s="3">
        <v>45863</v>
      </c>
      <c r="CI3693">
        <v>1</v>
      </c>
      <c r="CJ3693">
        <v>1</v>
      </c>
      <c r="CK3693">
        <v>23</v>
      </c>
      <c r="CL3693" t="s">
        <v>86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"080066767492"</f>
        <v>080066767492</v>
      </c>
      <c r="F3694" s="3">
        <v>45862</v>
      </c>
      <c r="G3694">
        <v>202604</v>
      </c>
      <c r="H3694" t="s">
        <v>75</v>
      </c>
      <c r="I3694" t="s">
        <v>76</v>
      </c>
      <c r="J3694" t="s">
        <v>77</v>
      </c>
      <c r="K3694" t="s">
        <v>78</v>
      </c>
      <c r="L3694" t="s">
        <v>329</v>
      </c>
      <c r="M3694" t="s">
        <v>330</v>
      </c>
      <c r="N3694" t="s">
        <v>331</v>
      </c>
      <c r="O3694" t="s">
        <v>82</v>
      </c>
      <c r="P3694" t="str">
        <f>"4170050857                    "</f>
        <v xml:space="preserve">4170050857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43.78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137.94</v>
      </c>
      <c r="BM3694">
        <v>20.69</v>
      </c>
      <c r="BN3694">
        <v>158.63</v>
      </c>
      <c r="BO3694">
        <v>158.63</v>
      </c>
      <c r="BQ3694" t="s">
        <v>332</v>
      </c>
      <c r="BR3694" t="s">
        <v>84</v>
      </c>
      <c r="BS3694" s="3">
        <v>45863</v>
      </c>
      <c r="BT3694" s="4">
        <v>0.49305555555555558</v>
      </c>
      <c r="BU3694" t="s">
        <v>333</v>
      </c>
      <c r="BV3694" t="s">
        <v>98</v>
      </c>
      <c r="BY3694">
        <v>1200</v>
      </c>
      <c r="CA3694">
        <v>4170050899</v>
      </c>
      <c r="CC3694" t="s">
        <v>330</v>
      </c>
      <c r="CD3694">
        <v>6300</v>
      </c>
      <c r="CE3694" t="s">
        <v>121</v>
      </c>
      <c r="CF3694" s="3">
        <v>45863</v>
      </c>
      <c r="CI3694">
        <v>2</v>
      </c>
      <c r="CJ3694">
        <v>1</v>
      </c>
      <c r="CK3694">
        <v>23</v>
      </c>
      <c r="CL3694" t="s">
        <v>86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"080066767498"</f>
        <v>080066767498</v>
      </c>
      <c r="F3695" s="3">
        <v>45862</v>
      </c>
      <c r="G3695">
        <v>202604</v>
      </c>
      <c r="H3695" t="s">
        <v>75</v>
      </c>
      <c r="I3695" t="s">
        <v>76</v>
      </c>
      <c r="J3695" t="s">
        <v>77</v>
      </c>
      <c r="K3695" t="s">
        <v>78</v>
      </c>
      <c r="L3695" t="s">
        <v>79</v>
      </c>
      <c r="M3695" t="s">
        <v>80</v>
      </c>
      <c r="N3695" t="s">
        <v>141</v>
      </c>
      <c r="O3695" t="s">
        <v>82</v>
      </c>
      <c r="P3695" t="str">
        <f>"4170050863                    "</f>
        <v xml:space="preserve">4170050863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22.6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1.1000000000000001</v>
      </c>
      <c r="BK3695">
        <v>1.5</v>
      </c>
      <c r="BL3695">
        <v>71.2</v>
      </c>
      <c r="BM3695">
        <v>10.68</v>
      </c>
      <c r="BN3695">
        <v>81.88</v>
      </c>
      <c r="BO3695">
        <v>81.88</v>
      </c>
      <c r="BQ3695" t="s">
        <v>142</v>
      </c>
      <c r="BR3695" t="s">
        <v>84</v>
      </c>
      <c r="BS3695" s="3">
        <v>45863</v>
      </c>
      <c r="BT3695" s="4">
        <v>0.4236111111111111</v>
      </c>
      <c r="BU3695" t="s">
        <v>2437</v>
      </c>
      <c r="BV3695" t="s">
        <v>98</v>
      </c>
      <c r="BY3695">
        <v>5320</v>
      </c>
      <c r="CA3695" t="s">
        <v>144</v>
      </c>
      <c r="CC3695" t="s">
        <v>80</v>
      </c>
      <c r="CD3695">
        <v>7441</v>
      </c>
      <c r="CE3695" t="s">
        <v>145</v>
      </c>
      <c r="CF3695" s="3">
        <v>45866</v>
      </c>
      <c r="CI3695">
        <v>1</v>
      </c>
      <c r="CJ3695">
        <v>1</v>
      </c>
      <c r="CK3695">
        <v>21</v>
      </c>
      <c r="CL3695" t="s">
        <v>86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"080066767509"</f>
        <v>080066767509</v>
      </c>
      <c r="F3696" s="3">
        <v>45862</v>
      </c>
      <c r="G3696">
        <v>202604</v>
      </c>
      <c r="H3696" t="s">
        <v>75</v>
      </c>
      <c r="I3696" t="s">
        <v>76</v>
      </c>
      <c r="J3696" t="s">
        <v>77</v>
      </c>
      <c r="K3696" t="s">
        <v>78</v>
      </c>
      <c r="L3696" t="s">
        <v>240</v>
      </c>
      <c r="M3696" t="s">
        <v>241</v>
      </c>
      <c r="N3696" t="s">
        <v>242</v>
      </c>
      <c r="O3696" t="s">
        <v>82</v>
      </c>
      <c r="P3696" t="str">
        <f>"4170050790                    "</f>
        <v xml:space="preserve">4170050790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17.649999999999999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55.61</v>
      </c>
      <c r="BM3696">
        <v>8.34</v>
      </c>
      <c r="BN3696">
        <v>63.95</v>
      </c>
      <c r="BO3696">
        <v>63.95</v>
      </c>
      <c r="BQ3696" t="s">
        <v>243</v>
      </c>
      <c r="BR3696" t="s">
        <v>84</v>
      </c>
      <c r="BS3696" s="3">
        <v>45863</v>
      </c>
      <c r="BT3696" s="4">
        <v>0.36805555555555558</v>
      </c>
      <c r="BU3696" t="s">
        <v>244</v>
      </c>
      <c r="BV3696" t="s">
        <v>98</v>
      </c>
      <c r="BY3696">
        <v>1200</v>
      </c>
      <c r="CA3696" t="s">
        <v>245</v>
      </c>
      <c r="CC3696" t="s">
        <v>241</v>
      </c>
      <c r="CD3696">
        <v>2091</v>
      </c>
      <c r="CE3696" t="s">
        <v>121</v>
      </c>
      <c r="CF3696" s="3">
        <v>45863</v>
      </c>
      <c r="CI3696">
        <v>1</v>
      </c>
      <c r="CJ3696">
        <v>1</v>
      </c>
      <c r="CK3696">
        <v>22</v>
      </c>
      <c r="CL3696" t="s">
        <v>86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"080066767530"</f>
        <v>080066767530</v>
      </c>
      <c r="F3697" s="3">
        <v>45862</v>
      </c>
      <c r="G3697">
        <v>202604</v>
      </c>
      <c r="H3697" t="s">
        <v>75</v>
      </c>
      <c r="I3697" t="s">
        <v>76</v>
      </c>
      <c r="J3697" t="s">
        <v>77</v>
      </c>
      <c r="K3697" t="s">
        <v>78</v>
      </c>
      <c r="L3697" t="s">
        <v>329</v>
      </c>
      <c r="M3697" t="s">
        <v>330</v>
      </c>
      <c r="N3697" t="s">
        <v>331</v>
      </c>
      <c r="O3697" t="s">
        <v>82</v>
      </c>
      <c r="P3697" t="str">
        <f>"4170050793                    "</f>
        <v xml:space="preserve">4170050793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43.78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137.94</v>
      </c>
      <c r="BM3697">
        <v>20.69</v>
      </c>
      <c r="BN3697">
        <v>158.63</v>
      </c>
      <c r="BO3697">
        <v>158.63</v>
      </c>
      <c r="BQ3697" t="s">
        <v>332</v>
      </c>
      <c r="BR3697" t="s">
        <v>84</v>
      </c>
      <c r="BS3697" s="3">
        <v>45863</v>
      </c>
      <c r="BT3697" s="4">
        <v>0.49305555555555558</v>
      </c>
      <c r="BU3697" t="s">
        <v>333</v>
      </c>
      <c r="BV3697" t="s">
        <v>98</v>
      </c>
      <c r="BY3697">
        <v>1200</v>
      </c>
      <c r="CA3697" t="s">
        <v>1153</v>
      </c>
      <c r="CC3697" t="s">
        <v>330</v>
      </c>
      <c r="CD3697">
        <v>6300</v>
      </c>
      <c r="CE3697" t="s">
        <v>121</v>
      </c>
      <c r="CF3697" s="3">
        <v>45863</v>
      </c>
      <c r="CI3697">
        <v>2</v>
      </c>
      <c r="CJ3697">
        <v>1</v>
      </c>
      <c r="CK3697">
        <v>23</v>
      </c>
      <c r="CL3697" t="s">
        <v>86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"080066767555"</f>
        <v>080066767555</v>
      </c>
      <c r="F3698" s="3">
        <v>45862</v>
      </c>
      <c r="G3698">
        <v>202604</v>
      </c>
      <c r="H3698" t="s">
        <v>75</v>
      </c>
      <c r="I3698" t="s">
        <v>76</v>
      </c>
      <c r="J3698" t="s">
        <v>77</v>
      </c>
      <c r="K3698" t="s">
        <v>78</v>
      </c>
      <c r="L3698" t="s">
        <v>79</v>
      </c>
      <c r="M3698" t="s">
        <v>80</v>
      </c>
      <c r="N3698" t="s">
        <v>594</v>
      </c>
      <c r="O3698" t="s">
        <v>82</v>
      </c>
      <c r="P3698" t="str">
        <f>"4170050781                    "</f>
        <v xml:space="preserve">4170050781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22.6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71.2</v>
      </c>
      <c r="BM3698">
        <v>10.68</v>
      </c>
      <c r="BN3698">
        <v>81.88</v>
      </c>
      <c r="BO3698">
        <v>81.88</v>
      </c>
      <c r="BQ3698" t="s">
        <v>595</v>
      </c>
      <c r="BR3698" t="s">
        <v>84</v>
      </c>
      <c r="BS3698" s="3">
        <v>45863</v>
      </c>
      <c r="BT3698" s="4">
        <v>0.37916666666666665</v>
      </c>
      <c r="BU3698" t="s">
        <v>596</v>
      </c>
      <c r="BV3698" t="s">
        <v>98</v>
      </c>
      <c r="BY3698">
        <v>1200</v>
      </c>
      <c r="CA3698" t="s">
        <v>579</v>
      </c>
      <c r="CC3698" t="s">
        <v>80</v>
      </c>
      <c r="CD3698">
        <v>7480</v>
      </c>
      <c r="CE3698" t="s">
        <v>110</v>
      </c>
      <c r="CF3698" s="3">
        <v>45866</v>
      </c>
      <c r="CI3698">
        <v>1</v>
      </c>
      <c r="CJ3698">
        <v>1</v>
      </c>
      <c r="CK3698">
        <v>21</v>
      </c>
      <c r="CL3698" t="s">
        <v>86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"080066767569"</f>
        <v>080066767569</v>
      </c>
      <c r="F3699" s="3">
        <v>45862</v>
      </c>
      <c r="G3699">
        <v>202604</v>
      </c>
      <c r="H3699" t="s">
        <v>75</v>
      </c>
      <c r="I3699" t="s">
        <v>76</v>
      </c>
      <c r="J3699" t="s">
        <v>77</v>
      </c>
      <c r="K3699" t="s">
        <v>78</v>
      </c>
      <c r="L3699" t="s">
        <v>240</v>
      </c>
      <c r="M3699" t="s">
        <v>241</v>
      </c>
      <c r="N3699" t="s">
        <v>272</v>
      </c>
      <c r="O3699" t="s">
        <v>82</v>
      </c>
      <c r="P3699" t="str">
        <f>"4170050843                    "</f>
        <v xml:space="preserve">4170050843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22.6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16.739999999999998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0.6</v>
      </c>
      <c r="BK3699">
        <v>1</v>
      </c>
      <c r="BL3699">
        <v>87.94</v>
      </c>
      <c r="BM3699">
        <v>13.19</v>
      </c>
      <c r="BN3699">
        <v>101.13</v>
      </c>
      <c r="BO3699">
        <v>101.13</v>
      </c>
      <c r="BQ3699" t="s">
        <v>273</v>
      </c>
      <c r="BR3699" t="s">
        <v>84</v>
      </c>
      <c r="BS3699" s="3">
        <v>45863</v>
      </c>
      <c r="BT3699" s="4">
        <v>0.50138888888888888</v>
      </c>
      <c r="BU3699" t="s">
        <v>3459</v>
      </c>
      <c r="BV3699" t="s">
        <v>98</v>
      </c>
      <c r="BY3699">
        <v>3192</v>
      </c>
      <c r="BZ3699" t="s">
        <v>30</v>
      </c>
      <c r="CA3699" t="s">
        <v>3460</v>
      </c>
      <c r="CC3699" t="s">
        <v>241</v>
      </c>
      <c r="CD3699">
        <v>1832</v>
      </c>
      <c r="CE3699" t="s">
        <v>110</v>
      </c>
      <c r="CF3699" s="3">
        <v>45866</v>
      </c>
      <c r="CI3699">
        <v>0</v>
      </c>
      <c r="CJ3699">
        <v>0</v>
      </c>
      <c r="CK3699">
        <v>21</v>
      </c>
      <c r="CL3699" t="s">
        <v>86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"080066767570"</f>
        <v>080066767570</v>
      </c>
      <c r="F3700" s="3">
        <v>45862</v>
      </c>
      <c r="G3700">
        <v>202604</v>
      </c>
      <c r="H3700" t="s">
        <v>75</v>
      </c>
      <c r="I3700" t="s">
        <v>76</v>
      </c>
      <c r="J3700" t="s">
        <v>77</v>
      </c>
      <c r="K3700" t="s">
        <v>78</v>
      </c>
      <c r="L3700" t="s">
        <v>168</v>
      </c>
      <c r="M3700" t="s">
        <v>169</v>
      </c>
      <c r="N3700" t="s">
        <v>487</v>
      </c>
      <c r="O3700" t="s">
        <v>82</v>
      </c>
      <c r="P3700" t="str">
        <f>"4170050879                    "</f>
        <v xml:space="preserve">4170050879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22.6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71.2</v>
      </c>
      <c r="BM3700">
        <v>10.68</v>
      </c>
      <c r="BN3700">
        <v>81.88</v>
      </c>
      <c r="BO3700">
        <v>81.88</v>
      </c>
      <c r="BQ3700" t="s">
        <v>488</v>
      </c>
      <c r="BR3700" t="s">
        <v>84</v>
      </c>
      <c r="BS3700" t="s">
        <v>587</v>
      </c>
      <c r="BY3700">
        <v>1200</v>
      </c>
      <c r="CC3700" t="s">
        <v>169</v>
      </c>
      <c r="CD3700">
        <v>6012</v>
      </c>
      <c r="CE3700" t="s">
        <v>110</v>
      </c>
      <c r="CI3700">
        <v>1</v>
      </c>
      <c r="CJ3700" t="s">
        <v>587</v>
      </c>
      <c r="CK3700">
        <v>21</v>
      </c>
      <c r="CL3700" t="s">
        <v>86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"080066767601"</f>
        <v>080066767601</v>
      </c>
      <c r="F3701" s="3">
        <v>45862</v>
      </c>
      <c r="G3701">
        <v>202604</v>
      </c>
      <c r="H3701" t="s">
        <v>75</v>
      </c>
      <c r="I3701" t="s">
        <v>76</v>
      </c>
      <c r="J3701" t="s">
        <v>77</v>
      </c>
      <c r="K3701" t="s">
        <v>78</v>
      </c>
      <c r="L3701" t="s">
        <v>319</v>
      </c>
      <c r="M3701" t="s">
        <v>320</v>
      </c>
      <c r="N3701" t="s">
        <v>785</v>
      </c>
      <c r="O3701" t="s">
        <v>82</v>
      </c>
      <c r="P3701" t="str">
        <f>"4170050723                    "</f>
        <v xml:space="preserve">4170050723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43.78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137.94</v>
      </c>
      <c r="BM3701">
        <v>20.69</v>
      </c>
      <c r="BN3701">
        <v>158.63</v>
      </c>
      <c r="BO3701">
        <v>158.63</v>
      </c>
      <c r="BQ3701" t="s">
        <v>786</v>
      </c>
      <c r="BR3701" t="s">
        <v>84</v>
      </c>
      <c r="BS3701" s="3">
        <v>45866</v>
      </c>
      <c r="BT3701" s="4">
        <v>0.52083333333333337</v>
      </c>
      <c r="BU3701" t="s">
        <v>3461</v>
      </c>
      <c r="BV3701" t="s">
        <v>86</v>
      </c>
      <c r="BW3701" t="s">
        <v>395</v>
      </c>
      <c r="BX3701" t="s">
        <v>2943</v>
      </c>
      <c r="BY3701">
        <v>1200</v>
      </c>
      <c r="CC3701" t="s">
        <v>320</v>
      </c>
      <c r="CD3701">
        <v>1028</v>
      </c>
      <c r="CE3701" t="s">
        <v>110</v>
      </c>
      <c r="CF3701" s="3">
        <v>45866</v>
      </c>
      <c r="CI3701">
        <v>1</v>
      </c>
      <c r="CJ3701">
        <v>2</v>
      </c>
      <c r="CK3701">
        <v>23</v>
      </c>
      <c r="CL3701" t="s">
        <v>86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"080066767630"</f>
        <v>080066767630</v>
      </c>
      <c r="F3702" s="3">
        <v>45862</v>
      </c>
      <c r="G3702">
        <v>202604</v>
      </c>
      <c r="H3702" t="s">
        <v>75</v>
      </c>
      <c r="I3702" t="s">
        <v>76</v>
      </c>
      <c r="J3702" t="s">
        <v>77</v>
      </c>
      <c r="K3702" t="s">
        <v>78</v>
      </c>
      <c r="L3702" t="s">
        <v>79</v>
      </c>
      <c r="M3702" t="s">
        <v>80</v>
      </c>
      <c r="N3702" t="s">
        <v>1775</v>
      </c>
      <c r="O3702" t="s">
        <v>82</v>
      </c>
      <c r="P3702" t="str">
        <f>"4170050698                    "</f>
        <v xml:space="preserve">4170050698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101.63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7</v>
      </c>
      <c r="BJ3702">
        <v>8.9</v>
      </c>
      <c r="BK3702">
        <v>9</v>
      </c>
      <c r="BL3702">
        <v>320.19</v>
      </c>
      <c r="BM3702">
        <v>48.03</v>
      </c>
      <c r="BN3702">
        <v>368.22</v>
      </c>
      <c r="BO3702">
        <v>368.22</v>
      </c>
      <c r="BQ3702" t="s">
        <v>1776</v>
      </c>
      <c r="BR3702" t="s">
        <v>84</v>
      </c>
      <c r="BS3702" s="3">
        <v>45863</v>
      </c>
      <c r="BT3702" s="4">
        <v>0.41180555555555554</v>
      </c>
      <c r="BU3702" t="s">
        <v>933</v>
      </c>
      <c r="BV3702" t="s">
        <v>98</v>
      </c>
      <c r="BY3702">
        <v>44640</v>
      </c>
      <c r="CA3702" t="s">
        <v>934</v>
      </c>
      <c r="CC3702" t="s">
        <v>80</v>
      </c>
      <c r="CD3702">
        <v>7530</v>
      </c>
      <c r="CE3702" t="s">
        <v>110</v>
      </c>
      <c r="CF3702" s="3">
        <v>45866</v>
      </c>
      <c r="CI3702">
        <v>1</v>
      </c>
      <c r="CJ3702">
        <v>1</v>
      </c>
      <c r="CK3702">
        <v>21</v>
      </c>
      <c r="CL3702" t="s">
        <v>86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"080066767634"</f>
        <v>080066767634</v>
      </c>
      <c r="F3703" s="3">
        <v>45862</v>
      </c>
      <c r="G3703">
        <v>202604</v>
      </c>
      <c r="H3703" t="s">
        <v>75</v>
      </c>
      <c r="I3703" t="s">
        <v>76</v>
      </c>
      <c r="J3703" t="s">
        <v>77</v>
      </c>
      <c r="K3703" t="s">
        <v>78</v>
      </c>
      <c r="L3703" t="s">
        <v>305</v>
      </c>
      <c r="M3703" t="s">
        <v>306</v>
      </c>
      <c r="N3703" t="s">
        <v>1320</v>
      </c>
      <c r="O3703" t="s">
        <v>82</v>
      </c>
      <c r="P3703" t="str">
        <f>"4170050826                    "</f>
        <v xml:space="preserve">4170050826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22.6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71.2</v>
      </c>
      <c r="BM3703">
        <v>10.68</v>
      </c>
      <c r="BN3703">
        <v>81.88</v>
      </c>
      <c r="BO3703">
        <v>81.88</v>
      </c>
      <c r="BQ3703" t="s">
        <v>308</v>
      </c>
      <c r="BR3703" t="s">
        <v>84</v>
      </c>
      <c r="BS3703" s="3">
        <v>45863</v>
      </c>
      <c r="BT3703" s="4">
        <v>0.4375</v>
      </c>
      <c r="BU3703" t="s">
        <v>338</v>
      </c>
      <c r="BV3703" t="s">
        <v>98</v>
      </c>
      <c r="BY3703">
        <v>1200</v>
      </c>
      <c r="CA3703" t="s">
        <v>310</v>
      </c>
      <c r="CC3703" t="s">
        <v>306</v>
      </c>
      <c r="CD3703">
        <v>5200</v>
      </c>
      <c r="CE3703" t="s">
        <v>110</v>
      </c>
      <c r="CF3703" s="3">
        <v>45863</v>
      </c>
      <c r="CI3703">
        <v>1</v>
      </c>
      <c r="CJ3703">
        <v>1</v>
      </c>
      <c r="CK3703">
        <v>21</v>
      </c>
      <c r="CL3703" t="s">
        <v>86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"080066767657"</f>
        <v>080066767657</v>
      </c>
      <c r="F3704" s="3">
        <v>45862</v>
      </c>
      <c r="G3704">
        <v>202604</v>
      </c>
      <c r="H3704" t="s">
        <v>75</v>
      </c>
      <c r="I3704" t="s">
        <v>76</v>
      </c>
      <c r="J3704" t="s">
        <v>77</v>
      </c>
      <c r="K3704" t="s">
        <v>78</v>
      </c>
      <c r="L3704" t="s">
        <v>168</v>
      </c>
      <c r="M3704" t="s">
        <v>169</v>
      </c>
      <c r="N3704" t="s">
        <v>202</v>
      </c>
      <c r="O3704" t="s">
        <v>82</v>
      </c>
      <c r="P3704" t="str">
        <f>"4170050827                    "</f>
        <v xml:space="preserve">4170050827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22.6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71.2</v>
      </c>
      <c r="BM3704">
        <v>10.68</v>
      </c>
      <c r="BN3704">
        <v>81.88</v>
      </c>
      <c r="BO3704">
        <v>81.88</v>
      </c>
      <c r="BQ3704" t="s">
        <v>203</v>
      </c>
      <c r="BR3704" t="s">
        <v>84</v>
      </c>
      <c r="BS3704" s="3">
        <v>45863</v>
      </c>
      <c r="BT3704" s="4">
        <v>0.38333333333333336</v>
      </c>
      <c r="BU3704" t="s">
        <v>1127</v>
      </c>
      <c r="BV3704" t="s">
        <v>98</v>
      </c>
      <c r="BY3704">
        <v>1200</v>
      </c>
      <c r="CA3704" t="s">
        <v>205</v>
      </c>
      <c r="CC3704" t="s">
        <v>169</v>
      </c>
      <c r="CD3704">
        <v>6001</v>
      </c>
      <c r="CE3704" t="s">
        <v>121</v>
      </c>
      <c r="CF3704" s="3">
        <v>45863</v>
      </c>
      <c r="CI3704">
        <v>1</v>
      </c>
      <c r="CJ3704">
        <v>1</v>
      </c>
      <c r="CK3704">
        <v>21</v>
      </c>
      <c r="CL3704" t="s">
        <v>86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"080066767692"</f>
        <v>080066767692</v>
      </c>
      <c r="F3705" s="3">
        <v>45862</v>
      </c>
      <c r="G3705">
        <v>202604</v>
      </c>
      <c r="H3705" t="s">
        <v>75</v>
      </c>
      <c r="I3705" t="s">
        <v>76</v>
      </c>
      <c r="J3705" t="s">
        <v>77</v>
      </c>
      <c r="K3705" t="s">
        <v>78</v>
      </c>
      <c r="L3705" t="s">
        <v>75</v>
      </c>
      <c r="M3705" t="s">
        <v>76</v>
      </c>
      <c r="N3705" t="s">
        <v>1469</v>
      </c>
      <c r="O3705" t="s">
        <v>82</v>
      </c>
      <c r="P3705" t="str">
        <f>"4170050881                    "</f>
        <v xml:space="preserve">4170050881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17.649999999999999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55.61</v>
      </c>
      <c r="BM3705">
        <v>8.34</v>
      </c>
      <c r="BN3705">
        <v>63.95</v>
      </c>
      <c r="BO3705">
        <v>63.95</v>
      </c>
      <c r="BQ3705" t="s">
        <v>1470</v>
      </c>
      <c r="BR3705" t="s">
        <v>84</v>
      </c>
      <c r="BS3705" s="3">
        <v>45863</v>
      </c>
      <c r="BT3705" s="4">
        <v>0.37361111111111112</v>
      </c>
      <c r="BU3705" t="s">
        <v>3462</v>
      </c>
      <c r="BV3705" t="s">
        <v>98</v>
      </c>
      <c r="BY3705">
        <v>1200</v>
      </c>
      <c r="CA3705" t="s">
        <v>471</v>
      </c>
      <c r="CC3705" t="s">
        <v>76</v>
      </c>
      <c r="CD3705">
        <v>1609</v>
      </c>
      <c r="CE3705" t="s">
        <v>121</v>
      </c>
      <c r="CF3705" s="3">
        <v>45863</v>
      </c>
      <c r="CI3705">
        <v>1</v>
      </c>
      <c r="CJ3705">
        <v>1</v>
      </c>
      <c r="CK3705">
        <v>22</v>
      </c>
      <c r="CL3705" t="s">
        <v>86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"080066767707"</f>
        <v>080066767707</v>
      </c>
      <c r="F3706" s="3">
        <v>45862</v>
      </c>
      <c r="G3706">
        <v>202604</v>
      </c>
      <c r="H3706" t="s">
        <v>75</v>
      </c>
      <c r="I3706" t="s">
        <v>76</v>
      </c>
      <c r="J3706" t="s">
        <v>77</v>
      </c>
      <c r="K3706" t="s">
        <v>78</v>
      </c>
      <c r="L3706" t="s">
        <v>350</v>
      </c>
      <c r="M3706" t="s">
        <v>351</v>
      </c>
      <c r="N3706" t="s">
        <v>3463</v>
      </c>
      <c r="O3706" t="s">
        <v>82</v>
      </c>
      <c r="P3706" t="str">
        <f>"4170050732                    "</f>
        <v xml:space="preserve">4170050732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22.6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71.2</v>
      </c>
      <c r="BM3706">
        <v>10.68</v>
      </c>
      <c r="BN3706">
        <v>81.88</v>
      </c>
      <c r="BO3706">
        <v>81.88</v>
      </c>
      <c r="BQ3706" t="s">
        <v>3464</v>
      </c>
      <c r="BR3706" t="s">
        <v>84</v>
      </c>
      <c r="BS3706" s="3">
        <v>45863</v>
      </c>
      <c r="BT3706" s="4">
        <v>0.54305555555555551</v>
      </c>
      <c r="BU3706" t="s">
        <v>3465</v>
      </c>
      <c r="BV3706" t="s">
        <v>86</v>
      </c>
      <c r="BW3706" t="s">
        <v>194</v>
      </c>
      <c r="BX3706" t="s">
        <v>1174</v>
      </c>
      <c r="BY3706">
        <v>1200</v>
      </c>
      <c r="CA3706" t="s">
        <v>337</v>
      </c>
      <c r="CC3706" t="s">
        <v>351</v>
      </c>
      <c r="CD3706">
        <v>4113</v>
      </c>
      <c r="CE3706" t="s">
        <v>121</v>
      </c>
      <c r="CF3706" s="3">
        <v>45863</v>
      </c>
      <c r="CI3706">
        <v>1</v>
      </c>
      <c r="CJ3706">
        <v>1</v>
      </c>
      <c r="CK3706">
        <v>21</v>
      </c>
      <c r="CL3706" t="s">
        <v>86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"080066767732"</f>
        <v>080066767732</v>
      </c>
      <c r="F3707" s="3">
        <v>45862</v>
      </c>
      <c r="G3707">
        <v>202604</v>
      </c>
      <c r="H3707" t="s">
        <v>75</v>
      </c>
      <c r="I3707" t="s">
        <v>76</v>
      </c>
      <c r="J3707" t="s">
        <v>77</v>
      </c>
      <c r="K3707" t="s">
        <v>78</v>
      </c>
      <c r="L3707" t="s">
        <v>554</v>
      </c>
      <c r="M3707" t="s">
        <v>555</v>
      </c>
      <c r="N3707" t="s">
        <v>556</v>
      </c>
      <c r="O3707" t="s">
        <v>82</v>
      </c>
      <c r="P3707" t="str">
        <f>"4170050769                    "</f>
        <v xml:space="preserve">4170050769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22.6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71.2</v>
      </c>
      <c r="BM3707">
        <v>10.68</v>
      </c>
      <c r="BN3707">
        <v>81.88</v>
      </c>
      <c r="BO3707">
        <v>81.88</v>
      </c>
      <c r="BQ3707" t="s">
        <v>557</v>
      </c>
      <c r="BR3707" t="s">
        <v>84</v>
      </c>
      <c r="BS3707" s="3">
        <v>45863</v>
      </c>
      <c r="BT3707" s="4">
        <v>0.3347222222222222</v>
      </c>
      <c r="BU3707" t="s">
        <v>558</v>
      </c>
      <c r="BV3707" t="s">
        <v>98</v>
      </c>
      <c r="BY3707">
        <v>1200</v>
      </c>
      <c r="CA3707" t="s">
        <v>559</v>
      </c>
      <c r="CC3707" t="s">
        <v>555</v>
      </c>
      <c r="CD3707" s="5" t="s">
        <v>560</v>
      </c>
      <c r="CE3707" t="s">
        <v>121</v>
      </c>
      <c r="CF3707" s="3">
        <v>45863</v>
      </c>
      <c r="CI3707">
        <v>1</v>
      </c>
      <c r="CJ3707">
        <v>1</v>
      </c>
      <c r="CK3707">
        <v>21</v>
      </c>
      <c r="CL3707" t="s">
        <v>86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"080066767750"</f>
        <v>080066767750</v>
      </c>
      <c r="F3708" s="3">
        <v>45862</v>
      </c>
      <c r="G3708">
        <v>202604</v>
      </c>
      <c r="H3708" t="s">
        <v>75</v>
      </c>
      <c r="I3708" t="s">
        <v>76</v>
      </c>
      <c r="J3708" t="s">
        <v>77</v>
      </c>
      <c r="K3708" t="s">
        <v>78</v>
      </c>
      <c r="L3708" t="s">
        <v>79</v>
      </c>
      <c r="M3708" t="s">
        <v>80</v>
      </c>
      <c r="N3708" t="s">
        <v>594</v>
      </c>
      <c r="O3708" t="s">
        <v>82</v>
      </c>
      <c r="P3708" t="str">
        <f>"4170050779                    "</f>
        <v xml:space="preserve">4170050779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22.6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71.2</v>
      </c>
      <c r="BM3708">
        <v>10.68</v>
      </c>
      <c r="BN3708">
        <v>81.88</v>
      </c>
      <c r="BO3708">
        <v>81.88</v>
      </c>
      <c r="BQ3708" t="s">
        <v>595</v>
      </c>
      <c r="BR3708" t="s">
        <v>84</v>
      </c>
      <c r="BS3708" s="3">
        <v>45863</v>
      </c>
      <c r="BT3708" s="4">
        <v>0.36458333333333331</v>
      </c>
      <c r="BU3708" t="s">
        <v>3466</v>
      </c>
      <c r="BV3708" t="s">
        <v>98</v>
      </c>
      <c r="BY3708">
        <v>1200</v>
      </c>
      <c r="CC3708" t="s">
        <v>80</v>
      </c>
      <c r="CD3708">
        <v>7480</v>
      </c>
      <c r="CE3708" t="s">
        <v>121</v>
      </c>
      <c r="CF3708" s="3">
        <v>45867</v>
      </c>
      <c r="CI3708">
        <v>1</v>
      </c>
      <c r="CJ3708">
        <v>1</v>
      </c>
      <c r="CK3708">
        <v>21</v>
      </c>
      <c r="CL3708" t="s">
        <v>86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"080066767782"</f>
        <v>080066767782</v>
      </c>
      <c r="F3709" s="3">
        <v>45862</v>
      </c>
      <c r="G3709">
        <v>202604</v>
      </c>
      <c r="H3709" t="s">
        <v>75</v>
      </c>
      <c r="I3709" t="s">
        <v>76</v>
      </c>
      <c r="J3709" t="s">
        <v>77</v>
      </c>
      <c r="K3709" t="s">
        <v>78</v>
      </c>
      <c r="L3709" t="s">
        <v>111</v>
      </c>
      <c r="M3709" t="s">
        <v>112</v>
      </c>
      <c r="N3709" t="s">
        <v>3467</v>
      </c>
      <c r="O3709" t="s">
        <v>82</v>
      </c>
      <c r="P3709" t="str">
        <f>"4170050731                    "</f>
        <v xml:space="preserve">4170050731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43.78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137.94</v>
      </c>
      <c r="BM3709">
        <v>20.69</v>
      </c>
      <c r="BN3709">
        <v>158.63</v>
      </c>
      <c r="BO3709">
        <v>158.63</v>
      </c>
      <c r="BQ3709" t="s">
        <v>3468</v>
      </c>
      <c r="BR3709" t="s">
        <v>84</v>
      </c>
      <c r="BS3709" s="3">
        <v>45863</v>
      </c>
      <c r="BT3709" s="4">
        <v>0.4375</v>
      </c>
      <c r="BU3709" t="s">
        <v>3220</v>
      </c>
      <c r="BV3709" t="s">
        <v>98</v>
      </c>
      <c r="BY3709">
        <v>1200</v>
      </c>
      <c r="CA3709" t="s">
        <v>116</v>
      </c>
      <c r="CC3709" t="s">
        <v>112</v>
      </c>
      <c r="CD3709">
        <v>1961</v>
      </c>
      <c r="CE3709" t="s">
        <v>121</v>
      </c>
      <c r="CF3709" s="3">
        <v>45866</v>
      </c>
      <c r="CI3709">
        <v>1</v>
      </c>
      <c r="CJ3709">
        <v>1</v>
      </c>
      <c r="CK3709">
        <v>23</v>
      </c>
      <c r="CL3709" t="s">
        <v>86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"080066767801"</f>
        <v>080066767801</v>
      </c>
      <c r="F3710" s="3">
        <v>45862</v>
      </c>
      <c r="G3710">
        <v>202604</v>
      </c>
      <c r="H3710" t="s">
        <v>75</v>
      </c>
      <c r="I3710" t="s">
        <v>76</v>
      </c>
      <c r="J3710" t="s">
        <v>77</v>
      </c>
      <c r="K3710" t="s">
        <v>78</v>
      </c>
      <c r="L3710" t="s">
        <v>79</v>
      </c>
      <c r="M3710" t="s">
        <v>80</v>
      </c>
      <c r="N3710" t="s">
        <v>931</v>
      </c>
      <c r="O3710" t="s">
        <v>82</v>
      </c>
      <c r="P3710" t="str">
        <f>"4170050844                    "</f>
        <v xml:space="preserve">4170050844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22.6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71.2</v>
      </c>
      <c r="BM3710">
        <v>10.68</v>
      </c>
      <c r="BN3710">
        <v>81.88</v>
      </c>
      <c r="BO3710">
        <v>81.88</v>
      </c>
      <c r="BQ3710" t="s">
        <v>932</v>
      </c>
      <c r="BR3710" t="s">
        <v>84</v>
      </c>
      <c r="BS3710" s="3">
        <v>45863</v>
      </c>
      <c r="BT3710" s="4">
        <v>0.41180555555555554</v>
      </c>
      <c r="BU3710" t="s">
        <v>933</v>
      </c>
      <c r="BV3710" t="s">
        <v>98</v>
      </c>
      <c r="BY3710">
        <v>1200</v>
      </c>
      <c r="CA3710" t="s">
        <v>934</v>
      </c>
      <c r="CC3710" t="s">
        <v>80</v>
      </c>
      <c r="CD3710">
        <v>7535</v>
      </c>
      <c r="CE3710" t="s">
        <v>121</v>
      </c>
      <c r="CF3710" s="3">
        <v>45866</v>
      </c>
      <c r="CI3710">
        <v>1</v>
      </c>
      <c r="CJ3710">
        <v>1</v>
      </c>
      <c r="CK3710">
        <v>21</v>
      </c>
      <c r="CL3710" t="s">
        <v>86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"080066767818"</f>
        <v>080066767818</v>
      </c>
      <c r="F3711" s="3">
        <v>45862</v>
      </c>
      <c r="G3711">
        <v>202604</v>
      </c>
      <c r="H3711" t="s">
        <v>75</v>
      </c>
      <c r="I3711" t="s">
        <v>76</v>
      </c>
      <c r="J3711" t="s">
        <v>77</v>
      </c>
      <c r="K3711" t="s">
        <v>78</v>
      </c>
      <c r="L3711" t="s">
        <v>92</v>
      </c>
      <c r="M3711" t="s">
        <v>93</v>
      </c>
      <c r="N3711" t="s">
        <v>291</v>
      </c>
      <c r="O3711" t="s">
        <v>82</v>
      </c>
      <c r="P3711" t="str">
        <f>"4170050864                    "</f>
        <v xml:space="preserve">4170050864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22.6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71.2</v>
      </c>
      <c r="BM3711">
        <v>10.68</v>
      </c>
      <c r="BN3711">
        <v>81.88</v>
      </c>
      <c r="BO3711">
        <v>81.88</v>
      </c>
      <c r="BQ3711" t="s">
        <v>292</v>
      </c>
      <c r="BR3711" t="s">
        <v>84</v>
      </c>
      <c r="BS3711" s="3">
        <v>45863</v>
      </c>
      <c r="BT3711" s="4">
        <v>0.31944444444444442</v>
      </c>
      <c r="BU3711" t="s">
        <v>971</v>
      </c>
      <c r="BV3711" t="s">
        <v>98</v>
      </c>
      <c r="BY3711">
        <v>1200</v>
      </c>
      <c r="CA3711" t="s">
        <v>294</v>
      </c>
      <c r="CC3711" t="s">
        <v>93</v>
      </c>
      <c r="CD3711">
        <v>4051</v>
      </c>
      <c r="CE3711" t="s">
        <v>121</v>
      </c>
      <c r="CF3711" s="3">
        <v>45863</v>
      </c>
      <c r="CI3711">
        <v>1</v>
      </c>
      <c r="CJ3711">
        <v>1</v>
      </c>
      <c r="CK3711">
        <v>21</v>
      </c>
      <c r="CL3711" t="s">
        <v>86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"080066767851"</f>
        <v>080066767851</v>
      </c>
      <c r="F3712" s="3">
        <v>45862</v>
      </c>
      <c r="G3712">
        <v>202604</v>
      </c>
      <c r="H3712" t="s">
        <v>75</v>
      </c>
      <c r="I3712" t="s">
        <v>76</v>
      </c>
      <c r="J3712" t="s">
        <v>77</v>
      </c>
      <c r="K3712" t="s">
        <v>78</v>
      </c>
      <c r="L3712" t="s">
        <v>295</v>
      </c>
      <c r="M3712" t="s">
        <v>296</v>
      </c>
      <c r="N3712" t="s">
        <v>297</v>
      </c>
      <c r="O3712" t="s">
        <v>82</v>
      </c>
      <c r="P3712" t="str">
        <f>"4170050746                    "</f>
        <v xml:space="preserve">4170050746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17.649999999999999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55.61</v>
      </c>
      <c r="BM3712">
        <v>8.34</v>
      </c>
      <c r="BN3712">
        <v>63.95</v>
      </c>
      <c r="BO3712">
        <v>63.95</v>
      </c>
      <c r="BQ3712" t="s">
        <v>298</v>
      </c>
      <c r="BR3712" t="s">
        <v>84</v>
      </c>
      <c r="BS3712" s="3">
        <v>45863</v>
      </c>
      <c r="BT3712" s="4">
        <v>0.32777777777777778</v>
      </c>
      <c r="BU3712" t="s">
        <v>1726</v>
      </c>
      <c r="BV3712" t="s">
        <v>98</v>
      </c>
      <c r="BY3712">
        <v>1200</v>
      </c>
      <c r="CA3712" t="s">
        <v>300</v>
      </c>
      <c r="CC3712" t="s">
        <v>296</v>
      </c>
      <c r="CD3712">
        <v>1459</v>
      </c>
      <c r="CE3712" t="s">
        <v>121</v>
      </c>
      <c r="CF3712" s="3">
        <v>45864</v>
      </c>
      <c r="CI3712">
        <v>1</v>
      </c>
      <c r="CJ3712">
        <v>1</v>
      </c>
      <c r="CK3712">
        <v>22</v>
      </c>
      <c r="CL3712" t="s">
        <v>86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"080066767877"</f>
        <v>080066767877</v>
      </c>
      <c r="F3713" s="3">
        <v>45862</v>
      </c>
      <c r="G3713">
        <v>202604</v>
      </c>
      <c r="H3713" t="s">
        <v>75</v>
      </c>
      <c r="I3713" t="s">
        <v>76</v>
      </c>
      <c r="J3713" t="s">
        <v>77</v>
      </c>
      <c r="K3713" t="s">
        <v>78</v>
      </c>
      <c r="L3713" t="s">
        <v>277</v>
      </c>
      <c r="M3713" t="s">
        <v>278</v>
      </c>
      <c r="N3713" t="s">
        <v>918</v>
      </c>
      <c r="O3713" t="s">
        <v>82</v>
      </c>
      <c r="P3713" t="str">
        <f>"4170050859                    "</f>
        <v xml:space="preserve">4170050859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22.6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71.2</v>
      </c>
      <c r="BM3713">
        <v>10.68</v>
      </c>
      <c r="BN3713">
        <v>81.88</v>
      </c>
      <c r="BO3713">
        <v>81.88</v>
      </c>
      <c r="BQ3713" t="s">
        <v>919</v>
      </c>
      <c r="BR3713" t="s">
        <v>84</v>
      </c>
      <c r="BS3713" s="3">
        <v>45866</v>
      </c>
      <c r="BT3713" s="4">
        <v>0.43194444444444446</v>
      </c>
      <c r="BU3713" t="s">
        <v>3469</v>
      </c>
      <c r="BV3713" t="s">
        <v>86</v>
      </c>
      <c r="BW3713" t="s">
        <v>194</v>
      </c>
      <c r="BX3713" t="s">
        <v>195</v>
      </c>
      <c r="BY3713">
        <v>1200</v>
      </c>
      <c r="CC3713" t="s">
        <v>278</v>
      </c>
      <c r="CD3713">
        <v>6229</v>
      </c>
      <c r="CE3713" t="s">
        <v>121</v>
      </c>
      <c r="CF3713" s="3">
        <v>45866</v>
      </c>
      <c r="CI3713">
        <v>1</v>
      </c>
      <c r="CJ3713">
        <v>2</v>
      </c>
      <c r="CK3713">
        <v>21</v>
      </c>
      <c r="CL3713" t="s">
        <v>86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"080066767885"</f>
        <v>080066767885</v>
      </c>
      <c r="F3714" s="3">
        <v>45862</v>
      </c>
      <c r="G3714">
        <v>202604</v>
      </c>
      <c r="H3714" t="s">
        <v>75</v>
      </c>
      <c r="I3714" t="s">
        <v>76</v>
      </c>
      <c r="J3714" t="s">
        <v>77</v>
      </c>
      <c r="K3714" t="s">
        <v>78</v>
      </c>
      <c r="L3714" t="s">
        <v>79</v>
      </c>
      <c r="M3714" t="s">
        <v>80</v>
      </c>
      <c r="N3714" t="s">
        <v>141</v>
      </c>
      <c r="O3714" t="s">
        <v>82</v>
      </c>
      <c r="P3714" t="str">
        <f>"4170050867                    "</f>
        <v xml:space="preserve">4170050867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22.6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71.2</v>
      </c>
      <c r="BM3714">
        <v>10.68</v>
      </c>
      <c r="BN3714">
        <v>81.88</v>
      </c>
      <c r="BO3714">
        <v>81.88</v>
      </c>
      <c r="BQ3714" t="s">
        <v>142</v>
      </c>
      <c r="BR3714" t="s">
        <v>84</v>
      </c>
      <c r="BS3714" s="3">
        <v>45863</v>
      </c>
      <c r="BT3714" s="4">
        <v>0.4236111111111111</v>
      </c>
      <c r="BU3714" t="s">
        <v>2437</v>
      </c>
      <c r="BV3714" t="s">
        <v>98</v>
      </c>
      <c r="BY3714">
        <v>1200</v>
      </c>
      <c r="CA3714" t="s">
        <v>144</v>
      </c>
      <c r="CC3714" t="s">
        <v>80</v>
      </c>
      <c r="CD3714">
        <v>7441</v>
      </c>
      <c r="CE3714" t="s">
        <v>121</v>
      </c>
      <c r="CF3714" s="3">
        <v>45866</v>
      </c>
      <c r="CI3714">
        <v>1</v>
      </c>
      <c r="CJ3714">
        <v>1</v>
      </c>
      <c r="CK3714">
        <v>21</v>
      </c>
      <c r="CL3714" t="s">
        <v>86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"080066767919"</f>
        <v>080066767919</v>
      </c>
      <c r="F3715" s="3">
        <v>45862</v>
      </c>
      <c r="G3715">
        <v>202604</v>
      </c>
      <c r="H3715" t="s">
        <v>75</v>
      </c>
      <c r="I3715" t="s">
        <v>76</v>
      </c>
      <c r="J3715" t="s">
        <v>77</v>
      </c>
      <c r="K3715" t="s">
        <v>78</v>
      </c>
      <c r="L3715" t="s">
        <v>305</v>
      </c>
      <c r="M3715" t="s">
        <v>306</v>
      </c>
      <c r="N3715" t="s">
        <v>1320</v>
      </c>
      <c r="O3715" t="s">
        <v>82</v>
      </c>
      <c r="P3715" t="str">
        <f>"4170050835                    "</f>
        <v xml:space="preserve">4170050835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22.6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71.2</v>
      </c>
      <c r="BM3715">
        <v>10.68</v>
      </c>
      <c r="BN3715">
        <v>81.88</v>
      </c>
      <c r="BO3715">
        <v>81.88</v>
      </c>
      <c r="BQ3715" t="s">
        <v>308</v>
      </c>
      <c r="BR3715" t="s">
        <v>84</v>
      </c>
      <c r="BS3715" s="3">
        <v>45863</v>
      </c>
      <c r="BT3715" s="4">
        <v>0.50763888888888886</v>
      </c>
      <c r="BU3715" t="s">
        <v>338</v>
      </c>
      <c r="BV3715" t="s">
        <v>86</v>
      </c>
      <c r="BY3715">
        <v>1200</v>
      </c>
      <c r="CA3715" t="s">
        <v>310</v>
      </c>
      <c r="CC3715" t="s">
        <v>306</v>
      </c>
      <c r="CD3715">
        <v>5201</v>
      </c>
      <c r="CE3715" t="s">
        <v>121</v>
      </c>
      <c r="CF3715" s="3">
        <v>45863</v>
      </c>
      <c r="CI3715">
        <v>1</v>
      </c>
      <c r="CJ3715">
        <v>1</v>
      </c>
      <c r="CK3715">
        <v>21</v>
      </c>
      <c r="CL3715" t="s">
        <v>86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"080066767967"</f>
        <v>080066767967</v>
      </c>
      <c r="F3716" s="3">
        <v>45862</v>
      </c>
      <c r="G3716">
        <v>202604</v>
      </c>
      <c r="H3716" t="s">
        <v>75</v>
      </c>
      <c r="I3716" t="s">
        <v>76</v>
      </c>
      <c r="J3716" t="s">
        <v>77</v>
      </c>
      <c r="K3716" t="s">
        <v>78</v>
      </c>
      <c r="L3716" t="s">
        <v>135</v>
      </c>
      <c r="M3716" t="s">
        <v>136</v>
      </c>
      <c r="N3716" t="s">
        <v>2729</v>
      </c>
      <c r="O3716" t="s">
        <v>82</v>
      </c>
      <c r="P3716" t="str">
        <f>"4170050767                    "</f>
        <v xml:space="preserve">4170050767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22.6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71.2</v>
      </c>
      <c r="BM3716">
        <v>10.68</v>
      </c>
      <c r="BN3716">
        <v>81.88</v>
      </c>
      <c r="BO3716">
        <v>81.88</v>
      </c>
      <c r="BQ3716" t="s">
        <v>2730</v>
      </c>
      <c r="BR3716" t="s">
        <v>84</v>
      </c>
      <c r="BS3716" s="3">
        <v>45864</v>
      </c>
      <c r="BT3716" s="4">
        <v>0.38194444444444442</v>
      </c>
      <c r="BU3716" t="s">
        <v>3470</v>
      </c>
      <c r="BV3716" t="s">
        <v>86</v>
      </c>
      <c r="BY3716">
        <v>1200</v>
      </c>
      <c r="CC3716" t="s">
        <v>136</v>
      </c>
      <c r="CD3716">
        <v>3201</v>
      </c>
      <c r="CE3716" t="s">
        <v>121</v>
      </c>
      <c r="CF3716" s="3">
        <v>45864</v>
      </c>
      <c r="CI3716">
        <v>1</v>
      </c>
      <c r="CJ3716">
        <v>1</v>
      </c>
      <c r="CK3716">
        <v>21</v>
      </c>
      <c r="CL3716" t="s">
        <v>86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"080066768017"</f>
        <v>080066768017</v>
      </c>
      <c r="F3717" s="3">
        <v>45862</v>
      </c>
      <c r="G3717">
        <v>202604</v>
      </c>
      <c r="H3717" t="s">
        <v>75</v>
      </c>
      <c r="I3717" t="s">
        <v>76</v>
      </c>
      <c r="J3717" t="s">
        <v>77</v>
      </c>
      <c r="K3717" t="s">
        <v>78</v>
      </c>
      <c r="L3717" t="s">
        <v>240</v>
      </c>
      <c r="M3717" t="s">
        <v>241</v>
      </c>
      <c r="N3717" t="s">
        <v>779</v>
      </c>
      <c r="O3717" t="s">
        <v>82</v>
      </c>
      <c r="P3717" t="str">
        <f>"4170050785                    "</f>
        <v xml:space="preserve">4170050785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17.649999999999999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55.61</v>
      </c>
      <c r="BM3717">
        <v>8.34</v>
      </c>
      <c r="BN3717">
        <v>63.95</v>
      </c>
      <c r="BO3717">
        <v>63.95</v>
      </c>
      <c r="BQ3717" t="s">
        <v>780</v>
      </c>
      <c r="BR3717" t="s">
        <v>84</v>
      </c>
      <c r="BS3717" s="3">
        <v>45863</v>
      </c>
      <c r="BT3717" s="4">
        <v>0.36458333333333331</v>
      </c>
      <c r="BU3717" t="s">
        <v>3471</v>
      </c>
      <c r="BV3717" t="s">
        <v>98</v>
      </c>
      <c r="BY3717">
        <v>1200</v>
      </c>
      <c r="CC3717" t="s">
        <v>241</v>
      </c>
      <c r="CD3717">
        <v>2092</v>
      </c>
      <c r="CE3717" t="s">
        <v>121</v>
      </c>
      <c r="CF3717" s="3">
        <v>45864</v>
      </c>
      <c r="CI3717">
        <v>1</v>
      </c>
      <c r="CJ3717">
        <v>1</v>
      </c>
      <c r="CK3717">
        <v>22</v>
      </c>
      <c r="CL3717" t="s">
        <v>86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"080066768056"</f>
        <v>080066768056</v>
      </c>
      <c r="F3718" s="3">
        <v>45862</v>
      </c>
      <c r="G3718">
        <v>202604</v>
      </c>
      <c r="H3718" t="s">
        <v>75</v>
      </c>
      <c r="I3718" t="s">
        <v>76</v>
      </c>
      <c r="J3718" t="s">
        <v>77</v>
      </c>
      <c r="K3718" t="s">
        <v>78</v>
      </c>
      <c r="L3718" t="s">
        <v>554</v>
      </c>
      <c r="M3718" t="s">
        <v>555</v>
      </c>
      <c r="N3718" t="s">
        <v>556</v>
      </c>
      <c r="O3718" t="s">
        <v>82</v>
      </c>
      <c r="P3718" t="str">
        <f>"4170050788                    "</f>
        <v xml:space="preserve">4170050788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22.6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71.2</v>
      </c>
      <c r="BM3718">
        <v>10.68</v>
      </c>
      <c r="BN3718">
        <v>81.88</v>
      </c>
      <c r="BO3718">
        <v>81.88</v>
      </c>
      <c r="BQ3718" t="s">
        <v>557</v>
      </c>
      <c r="BR3718" t="s">
        <v>84</v>
      </c>
      <c r="BS3718" s="3">
        <v>45863</v>
      </c>
      <c r="BT3718" s="4">
        <v>0.3347222222222222</v>
      </c>
      <c r="BU3718" t="s">
        <v>558</v>
      </c>
      <c r="BV3718" t="s">
        <v>98</v>
      </c>
      <c r="BY3718">
        <v>1200</v>
      </c>
      <c r="CA3718" t="s">
        <v>559</v>
      </c>
      <c r="CC3718" t="s">
        <v>555</v>
      </c>
      <c r="CD3718" s="5" t="s">
        <v>560</v>
      </c>
      <c r="CE3718" t="s">
        <v>121</v>
      </c>
      <c r="CF3718" s="3">
        <v>45863</v>
      </c>
      <c r="CI3718">
        <v>1</v>
      </c>
      <c r="CJ3718">
        <v>1</v>
      </c>
      <c r="CK3718">
        <v>21</v>
      </c>
      <c r="CL3718" t="s">
        <v>86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"080066768075"</f>
        <v>080066768075</v>
      </c>
      <c r="F3719" s="3">
        <v>45862</v>
      </c>
      <c r="G3719">
        <v>202604</v>
      </c>
      <c r="H3719" t="s">
        <v>75</v>
      </c>
      <c r="I3719" t="s">
        <v>76</v>
      </c>
      <c r="J3719" t="s">
        <v>77</v>
      </c>
      <c r="K3719" t="s">
        <v>78</v>
      </c>
      <c r="L3719" t="s">
        <v>75</v>
      </c>
      <c r="M3719" t="s">
        <v>76</v>
      </c>
      <c r="N3719" t="s">
        <v>3472</v>
      </c>
      <c r="O3719" t="s">
        <v>82</v>
      </c>
      <c r="P3719" t="str">
        <f>"4170050768                    "</f>
        <v xml:space="preserve">4170050768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17.649999999999999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55.61</v>
      </c>
      <c r="BM3719">
        <v>8.34</v>
      </c>
      <c r="BN3719">
        <v>63.95</v>
      </c>
      <c r="BO3719">
        <v>63.95</v>
      </c>
      <c r="BQ3719" t="s">
        <v>3473</v>
      </c>
      <c r="BR3719" t="s">
        <v>84</v>
      </c>
      <c r="BS3719" s="3">
        <v>45863</v>
      </c>
      <c r="BT3719" s="4">
        <v>0.30486111111111114</v>
      </c>
      <c r="BU3719" t="s">
        <v>3474</v>
      </c>
      <c r="BV3719" t="s">
        <v>98</v>
      </c>
      <c r="BY3719">
        <v>1200</v>
      </c>
      <c r="CA3719" t="s">
        <v>213</v>
      </c>
      <c r="CC3719" t="s">
        <v>76</v>
      </c>
      <c r="CD3719">
        <v>1600</v>
      </c>
      <c r="CE3719" t="s">
        <v>121</v>
      </c>
      <c r="CF3719" s="3">
        <v>45863</v>
      </c>
      <c r="CI3719">
        <v>1</v>
      </c>
      <c r="CJ3719">
        <v>1</v>
      </c>
      <c r="CK3719">
        <v>22</v>
      </c>
      <c r="CL3719" t="s">
        <v>86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"080066768090"</f>
        <v>080066768090</v>
      </c>
      <c r="F3720" s="3">
        <v>45862</v>
      </c>
      <c r="G3720">
        <v>202604</v>
      </c>
      <c r="H3720" t="s">
        <v>75</v>
      </c>
      <c r="I3720" t="s">
        <v>76</v>
      </c>
      <c r="J3720" t="s">
        <v>77</v>
      </c>
      <c r="K3720" t="s">
        <v>78</v>
      </c>
      <c r="L3720" t="s">
        <v>363</v>
      </c>
      <c r="M3720" t="s">
        <v>364</v>
      </c>
      <c r="N3720" t="s">
        <v>365</v>
      </c>
      <c r="O3720" t="s">
        <v>82</v>
      </c>
      <c r="P3720" t="str">
        <f>"4170050742                    "</f>
        <v xml:space="preserve">4170050742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43.78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137.94</v>
      </c>
      <c r="BM3720">
        <v>20.69</v>
      </c>
      <c r="BN3720">
        <v>158.63</v>
      </c>
      <c r="BO3720">
        <v>158.63</v>
      </c>
      <c r="BQ3720" t="s">
        <v>1118</v>
      </c>
      <c r="BR3720" t="s">
        <v>84</v>
      </c>
      <c r="BS3720" s="3">
        <v>45863</v>
      </c>
      <c r="BT3720" s="4">
        <v>0.54166666666666663</v>
      </c>
      <c r="BU3720" t="s">
        <v>367</v>
      </c>
      <c r="BV3720" t="s">
        <v>98</v>
      </c>
      <c r="BY3720">
        <v>1200</v>
      </c>
      <c r="CC3720" t="s">
        <v>364</v>
      </c>
      <c r="CD3720">
        <v>7300</v>
      </c>
      <c r="CE3720" t="s">
        <v>121</v>
      </c>
      <c r="CF3720" s="3">
        <v>45867</v>
      </c>
      <c r="CI3720">
        <v>1</v>
      </c>
      <c r="CJ3720">
        <v>1</v>
      </c>
      <c r="CK3720">
        <v>23</v>
      </c>
      <c r="CL3720" t="s">
        <v>86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"080066768123"</f>
        <v>080066768123</v>
      </c>
      <c r="F3721" s="3">
        <v>45862</v>
      </c>
      <c r="G3721">
        <v>202604</v>
      </c>
      <c r="H3721" t="s">
        <v>75</v>
      </c>
      <c r="I3721" t="s">
        <v>76</v>
      </c>
      <c r="J3721" t="s">
        <v>77</v>
      </c>
      <c r="K3721" t="s">
        <v>78</v>
      </c>
      <c r="L3721" t="s">
        <v>168</v>
      </c>
      <c r="M3721" t="s">
        <v>169</v>
      </c>
      <c r="N3721" t="s">
        <v>202</v>
      </c>
      <c r="O3721" t="s">
        <v>82</v>
      </c>
      <c r="P3721" t="str">
        <f>"4170050766                    "</f>
        <v xml:space="preserve">4170050766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22.6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71.2</v>
      </c>
      <c r="BM3721">
        <v>10.68</v>
      </c>
      <c r="BN3721">
        <v>81.88</v>
      </c>
      <c r="BO3721">
        <v>81.88</v>
      </c>
      <c r="BQ3721" t="s">
        <v>203</v>
      </c>
      <c r="BR3721" t="s">
        <v>84</v>
      </c>
      <c r="BS3721" s="3">
        <v>45863</v>
      </c>
      <c r="BT3721" s="4">
        <v>0.38333333333333336</v>
      </c>
      <c r="BU3721" t="s">
        <v>1127</v>
      </c>
      <c r="BV3721" t="s">
        <v>98</v>
      </c>
      <c r="BY3721">
        <v>1200</v>
      </c>
      <c r="CA3721" t="s">
        <v>205</v>
      </c>
      <c r="CC3721" t="s">
        <v>169</v>
      </c>
      <c r="CD3721">
        <v>6001</v>
      </c>
      <c r="CE3721" t="s">
        <v>121</v>
      </c>
      <c r="CF3721" s="3">
        <v>45863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"080066768160"</f>
        <v>080066768160</v>
      </c>
      <c r="F3722" s="3">
        <v>45862</v>
      </c>
      <c r="G3722">
        <v>202604</v>
      </c>
      <c r="H3722" t="s">
        <v>75</v>
      </c>
      <c r="I3722" t="s">
        <v>76</v>
      </c>
      <c r="J3722" t="s">
        <v>77</v>
      </c>
      <c r="K3722" t="s">
        <v>78</v>
      </c>
      <c r="L3722" t="s">
        <v>79</v>
      </c>
      <c r="M3722" t="s">
        <v>80</v>
      </c>
      <c r="N3722" t="s">
        <v>594</v>
      </c>
      <c r="O3722" t="s">
        <v>82</v>
      </c>
      <c r="P3722" t="str">
        <f>"4170050818                    "</f>
        <v xml:space="preserve">4170050818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22.6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71.2</v>
      </c>
      <c r="BM3722">
        <v>10.68</v>
      </c>
      <c r="BN3722">
        <v>81.88</v>
      </c>
      <c r="BO3722">
        <v>81.88</v>
      </c>
      <c r="BQ3722" t="s">
        <v>595</v>
      </c>
      <c r="BR3722" t="s">
        <v>84</v>
      </c>
      <c r="BS3722" s="3">
        <v>45863</v>
      </c>
      <c r="BT3722" s="4">
        <v>0.37916666666666665</v>
      </c>
      <c r="BU3722" t="s">
        <v>596</v>
      </c>
      <c r="BV3722" t="s">
        <v>98</v>
      </c>
      <c r="BY3722">
        <v>1200</v>
      </c>
      <c r="CA3722" t="s">
        <v>579</v>
      </c>
      <c r="CC3722" t="s">
        <v>80</v>
      </c>
      <c r="CD3722">
        <v>7480</v>
      </c>
      <c r="CE3722" t="s">
        <v>121</v>
      </c>
      <c r="CF3722" s="3">
        <v>45866</v>
      </c>
      <c r="CI3722">
        <v>1</v>
      </c>
      <c r="CJ3722">
        <v>1</v>
      </c>
      <c r="CK3722">
        <v>21</v>
      </c>
      <c r="CL3722" t="s">
        <v>86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"080066768233"</f>
        <v>080066768233</v>
      </c>
      <c r="F3723" s="3">
        <v>45862</v>
      </c>
      <c r="G3723">
        <v>202604</v>
      </c>
      <c r="H3723" t="s">
        <v>75</v>
      </c>
      <c r="I3723" t="s">
        <v>76</v>
      </c>
      <c r="J3723" t="s">
        <v>77</v>
      </c>
      <c r="K3723" t="s">
        <v>78</v>
      </c>
      <c r="L3723" t="s">
        <v>146</v>
      </c>
      <c r="M3723" t="s">
        <v>146</v>
      </c>
      <c r="N3723" t="s">
        <v>986</v>
      </c>
      <c r="O3723" t="s">
        <v>82</v>
      </c>
      <c r="P3723" t="str">
        <f>"4170050743                    "</f>
        <v xml:space="preserve">4170050743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43.78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137.94</v>
      </c>
      <c r="BM3723">
        <v>20.69</v>
      </c>
      <c r="BN3723">
        <v>158.63</v>
      </c>
      <c r="BO3723">
        <v>158.63</v>
      </c>
      <c r="BQ3723" t="s">
        <v>987</v>
      </c>
      <c r="BR3723" t="s">
        <v>84</v>
      </c>
      <c r="BS3723" s="3">
        <v>45863</v>
      </c>
      <c r="BT3723" s="4">
        <v>0.54166666666666663</v>
      </c>
      <c r="BU3723" t="s">
        <v>635</v>
      </c>
      <c r="BV3723" t="s">
        <v>98</v>
      </c>
      <c r="BY3723">
        <v>1200</v>
      </c>
      <c r="CA3723" t="s">
        <v>150</v>
      </c>
      <c r="CC3723" t="s">
        <v>146</v>
      </c>
      <c r="CD3723">
        <v>7646</v>
      </c>
      <c r="CE3723" t="s">
        <v>121</v>
      </c>
      <c r="CF3723" s="3">
        <v>45866</v>
      </c>
      <c r="CI3723">
        <v>1</v>
      </c>
      <c r="CJ3723">
        <v>1</v>
      </c>
      <c r="CK3723">
        <v>23</v>
      </c>
      <c r="CL3723" t="s">
        <v>86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"080066768268"</f>
        <v>080066768268</v>
      </c>
      <c r="F3724" s="3">
        <v>45862</v>
      </c>
      <c r="G3724">
        <v>202604</v>
      </c>
      <c r="H3724" t="s">
        <v>75</v>
      </c>
      <c r="I3724" t="s">
        <v>76</v>
      </c>
      <c r="J3724" t="s">
        <v>77</v>
      </c>
      <c r="K3724" t="s">
        <v>78</v>
      </c>
      <c r="L3724" t="s">
        <v>240</v>
      </c>
      <c r="M3724" t="s">
        <v>241</v>
      </c>
      <c r="N3724" t="s">
        <v>686</v>
      </c>
      <c r="O3724" t="s">
        <v>82</v>
      </c>
      <c r="P3724" t="str">
        <f>"4170050821                    "</f>
        <v xml:space="preserve">4170050821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17.649999999999999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55.61</v>
      </c>
      <c r="BM3724">
        <v>8.34</v>
      </c>
      <c r="BN3724">
        <v>63.95</v>
      </c>
      <c r="BO3724">
        <v>63.95</v>
      </c>
      <c r="BQ3724" t="s">
        <v>687</v>
      </c>
      <c r="BR3724" t="s">
        <v>84</v>
      </c>
      <c r="BS3724" s="3">
        <v>45863</v>
      </c>
      <c r="BT3724" s="4">
        <v>0.3840277777777778</v>
      </c>
      <c r="BU3724" t="s">
        <v>3418</v>
      </c>
      <c r="BV3724" t="s">
        <v>98</v>
      </c>
      <c r="BY3724">
        <v>1200</v>
      </c>
      <c r="CA3724" t="s">
        <v>451</v>
      </c>
      <c r="CC3724" t="s">
        <v>241</v>
      </c>
      <c r="CD3724">
        <v>2094</v>
      </c>
      <c r="CE3724" t="s">
        <v>121</v>
      </c>
      <c r="CF3724" s="3">
        <v>45864</v>
      </c>
      <c r="CI3724">
        <v>1</v>
      </c>
      <c r="CJ3724">
        <v>1</v>
      </c>
      <c r="CK3724">
        <v>22</v>
      </c>
      <c r="CL3724" t="s">
        <v>86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"080066768282"</f>
        <v>080066768282</v>
      </c>
      <c r="F3725" s="3">
        <v>45862</v>
      </c>
      <c r="G3725">
        <v>202604</v>
      </c>
      <c r="H3725" t="s">
        <v>75</v>
      </c>
      <c r="I3725" t="s">
        <v>76</v>
      </c>
      <c r="J3725" t="s">
        <v>77</v>
      </c>
      <c r="K3725" t="s">
        <v>78</v>
      </c>
      <c r="L3725" t="s">
        <v>168</v>
      </c>
      <c r="M3725" t="s">
        <v>169</v>
      </c>
      <c r="N3725" t="s">
        <v>202</v>
      </c>
      <c r="O3725" t="s">
        <v>82</v>
      </c>
      <c r="P3725" t="str">
        <f>"4170050861                    "</f>
        <v xml:space="preserve">4170050861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22.6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71.2</v>
      </c>
      <c r="BM3725">
        <v>10.68</v>
      </c>
      <c r="BN3725">
        <v>81.88</v>
      </c>
      <c r="BO3725">
        <v>81.88</v>
      </c>
      <c r="BQ3725" t="s">
        <v>203</v>
      </c>
      <c r="BR3725" t="s">
        <v>84</v>
      </c>
      <c r="BS3725" s="3">
        <v>45863</v>
      </c>
      <c r="BT3725" s="4">
        <v>0.3840277777777778</v>
      </c>
      <c r="BU3725" t="s">
        <v>204</v>
      </c>
      <c r="BV3725" t="s">
        <v>98</v>
      </c>
      <c r="BY3725">
        <v>1200</v>
      </c>
      <c r="CA3725" t="s">
        <v>205</v>
      </c>
      <c r="CC3725" t="s">
        <v>169</v>
      </c>
      <c r="CD3725">
        <v>6001</v>
      </c>
      <c r="CE3725" t="s">
        <v>121</v>
      </c>
      <c r="CF3725" s="3">
        <v>45863</v>
      </c>
      <c r="CI3725">
        <v>1</v>
      </c>
      <c r="CJ3725">
        <v>1</v>
      </c>
      <c r="CK3725">
        <v>21</v>
      </c>
      <c r="CL3725" t="s">
        <v>86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"080066768300"</f>
        <v>080066768300</v>
      </c>
      <c r="F3726" s="3">
        <v>45862</v>
      </c>
      <c r="G3726">
        <v>202604</v>
      </c>
      <c r="H3726" t="s">
        <v>75</v>
      </c>
      <c r="I3726" t="s">
        <v>76</v>
      </c>
      <c r="J3726" t="s">
        <v>77</v>
      </c>
      <c r="K3726" t="s">
        <v>78</v>
      </c>
      <c r="L3726" t="s">
        <v>277</v>
      </c>
      <c r="M3726" t="s">
        <v>278</v>
      </c>
      <c r="N3726" t="s">
        <v>279</v>
      </c>
      <c r="O3726" t="s">
        <v>82</v>
      </c>
      <c r="P3726" t="str">
        <f>"4170050819                    "</f>
        <v xml:space="preserve">4170050819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22.6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71.2</v>
      </c>
      <c r="BM3726">
        <v>10.68</v>
      </c>
      <c r="BN3726">
        <v>81.88</v>
      </c>
      <c r="BO3726">
        <v>81.88</v>
      </c>
      <c r="BQ3726" t="s">
        <v>280</v>
      </c>
      <c r="BR3726" t="s">
        <v>84</v>
      </c>
      <c r="BS3726" s="3">
        <v>45863</v>
      </c>
      <c r="BT3726" s="4">
        <v>0.40555555555555556</v>
      </c>
      <c r="BU3726" t="s">
        <v>3475</v>
      </c>
      <c r="BV3726" t="s">
        <v>98</v>
      </c>
      <c r="BY3726">
        <v>1200</v>
      </c>
      <c r="CA3726" t="s">
        <v>282</v>
      </c>
      <c r="CC3726" t="s">
        <v>278</v>
      </c>
      <c r="CD3726">
        <v>6230</v>
      </c>
      <c r="CE3726" t="s">
        <v>121</v>
      </c>
      <c r="CF3726" s="3">
        <v>45863</v>
      </c>
      <c r="CI3726">
        <v>1</v>
      </c>
      <c r="CJ3726">
        <v>1</v>
      </c>
      <c r="CK3726">
        <v>21</v>
      </c>
      <c r="CL3726" t="s">
        <v>86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"080066768318"</f>
        <v>080066768318</v>
      </c>
      <c r="F3727" s="3">
        <v>45862</v>
      </c>
      <c r="G3727">
        <v>202604</v>
      </c>
      <c r="H3727" t="s">
        <v>75</v>
      </c>
      <c r="I3727" t="s">
        <v>76</v>
      </c>
      <c r="J3727" t="s">
        <v>77</v>
      </c>
      <c r="K3727" t="s">
        <v>78</v>
      </c>
      <c r="L3727" t="s">
        <v>75</v>
      </c>
      <c r="M3727" t="s">
        <v>76</v>
      </c>
      <c r="N3727" t="s">
        <v>1324</v>
      </c>
      <c r="O3727" t="s">
        <v>82</v>
      </c>
      <c r="P3727" t="str">
        <f>"4170050770                    "</f>
        <v xml:space="preserve">4170050770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17.649999999999999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55.61</v>
      </c>
      <c r="BM3727">
        <v>8.34</v>
      </c>
      <c r="BN3727">
        <v>63.95</v>
      </c>
      <c r="BO3727">
        <v>63.95</v>
      </c>
      <c r="BQ3727" t="s">
        <v>1325</v>
      </c>
      <c r="BR3727" t="s">
        <v>84</v>
      </c>
      <c r="BS3727" s="3">
        <v>45863</v>
      </c>
      <c r="BT3727" s="4">
        <v>0.29166666666666669</v>
      </c>
      <c r="BU3727" t="s">
        <v>1797</v>
      </c>
      <c r="BV3727" t="s">
        <v>98</v>
      </c>
      <c r="BY3727">
        <v>1200</v>
      </c>
      <c r="CA3727" t="s">
        <v>213</v>
      </c>
      <c r="CC3727" t="s">
        <v>76</v>
      </c>
      <c r="CD3727">
        <v>1600</v>
      </c>
      <c r="CE3727" t="s">
        <v>121</v>
      </c>
      <c r="CF3727" s="3">
        <v>45863</v>
      </c>
      <c r="CI3727">
        <v>1</v>
      </c>
      <c r="CJ3727">
        <v>1</v>
      </c>
      <c r="CK3727">
        <v>22</v>
      </c>
      <c r="CL3727" t="s">
        <v>86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"080066768338"</f>
        <v>080066768338</v>
      </c>
      <c r="F3728" s="3">
        <v>45862</v>
      </c>
      <c r="G3728">
        <v>202604</v>
      </c>
      <c r="H3728" t="s">
        <v>75</v>
      </c>
      <c r="I3728" t="s">
        <v>76</v>
      </c>
      <c r="J3728" t="s">
        <v>77</v>
      </c>
      <c r="K3728" t="s">
        <v>78</v>
      </c>
      <c r="L3728" t="s">
        <v>240</v>
      </c>
      <c r="M3728" t="s">
        <v>241</v>
      </c>
      <c r="N3728" t="s">
        <v>242</v>
      </c>
      <c r="O3728" t="s">
        <v>82</v>
      </c>
      <c r="P3728" t="str">
        <f>"4170050771                    "</f>
        <v xml:space="preserve">4170050771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17.649999999999999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55.61</v>
      </c>
      <c r="BM3728">
        <v>8.34</v>
      </c>
      <c r="BN3728">
        <v>63.95</v>
      </c>
      <c r="BO3728">
        <v>63.95</v>
      </c>
      <c r="BQ3728" t="s">
        <v>243</v>
      </c>
      <c r="BR3728" t="s">
        <v>84</v>
      </c>
      <c r="BS3728" s="3">
        <v>45863</v>
      </c>
      <c r="BT3728" s="4">
        <v>0.36805555555555558</v>
      </c>
      <c r="BU3728" t="s">
        <v>244</v>
      </c>
      <c r="BV3728" t="s">
        <v>98</v>
      </c>
      <c r="BY3728">
        <v>1200</v>
      </c>
      <c r="CA3728" t="s">
        <v>245</v>
      </c>
      <c r="CC3728" t="s">
        <v>241</v>
      </c>
      <c r="CD3728">
        <v>2091</v>
      </c>
      <c r="CE3728" t="s">
        <v>121</v>
      </c>
      <c r="CF3728" s="3">
        <v>45863</v>
      </c>
      <c r="CI3728">
        <v>1</v>
      </c>
      <c r="CJ3728">
        <v>1</v>
      </c>
      <c r="CK3728">
        <v>22</v>
      </c>
      <c r="CL3728" t="s">
        <v>86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"080066768356"</f>
        <v>080066768356</v>
      </c>
      <c r="F3729" s="3">
        <v>45862</v>
      </c>
      <c r="G3729">
        <v>202604</v>
      </c>
      <c r="H3729" t="s">
        <v>75</v>
      </c>
      <c r="I3729" t="s">
        <v>76</v>
      </c>
      <c r="J3729" t="s">
        <v>77</v>
      </c>
      <c r="K3729" t="s">
        <v>78</v>
      </c>
      <c r="L3729" t="s">
        <v>122</v>
      </c>
      <c r="M3729" t="s">
        <v>123</v>
      </c>
      <c r="N3729" t="s">
        <v>283</v>
      </c>
      <c r="O3729" t="s">
        <v>82</v>
      </c>
      <c r="P3729" t="str">
        <f>"4170050831                    "</f>
        <v xml:space="preserve">4170050831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22.6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71.2</v>
      </c>
      <c r="BM3729">
        <v>10.68</v>
      </c>
      <c r="BN3729">
        <v>81.88</v>
      </c>
      <c r="BO3729">
        <v>81.88</v>
      </c>
      <c r="BQ3729" t="s">
        <v>284</v>
      </c>
      <c r="BR3729" t="s">
        <v>84</v>
      </c>
      <c r="BS3729" s="3">
        <v>45863</v>
      </c>
      <c r="BT3729" s="4">
        <v>0.38194444444444442</v>
      </c>
      <c r="BU3729" t="s">
        <v>285</v>
      </c>
      <c r="BV3729" t="s">
        <v>98</v>
      </c>
      <c r="BY3729">
        <v>1200</v>
      </c>
      <c r="CA3729" t="s">
        <v>187</v>
      </c>
      <c r="CC3729" t="s">
        <v>123</v>
      </c>
      <c r="CD3729">
        <v>3608</v>
      </c>
      <c r="CE3729" t="s">
        <v>121</v>
      </c>
      <c r="CF3729" s="3">
        <v>45864</v>
      </c>
      <c r="CI3729">
        <v>1</v>
      </c>
      <c r="CJ3729">
        <v>1</v>
      </c>
      <c r="CK3729">
        <v>21</v>
      </c>
      <c r="CL3729" t="s">
        <v>86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"080066768383"</f>
        <v>080066768383</v>
      </c>
      <c r="F3730" s="3">
        <v>45862</v>
      </c>
      <c r="G3730">
        <v>202604</v>
      </c>
      <c r="H3730" t="s">
        <v>75</v>
      </c>
      <c r="I3730" t="s">
        <v>76</v>
      </c>
      <c r="J3730" t="s">
        <v>77</v>
      </c>
      <c r="K3730" t="s">
        <v>78</v>
      </c>
      <c r="L3730" t="s">
        <v>151</v>
      </c>
      <c r="M3730" t="s">
        <v>152</v>
      </c>
      <c r="N3730" t="s">
        <v>838</v>
      </c>
      <c r="O3730" t="s">
        <v>82</v>
      </c>
      <c r="P3730" t="str">
        <f>"4170050707                    "</f>
        <v xml:space="preserve">4170050707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22.6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1.7</v>
      </c>
      <c r="BK3730">
        <v>2</v>
      </c>
      <c r="BL3730">
        <v>71.2</v>
      </c>
      <c r="BM3730">
        <v>10.68</v>
      </c>
      <c r="BN3730">
        <v>81.88</v>
      </c>
      <c r="BO3730">
        <v>81.88</v>
      </c>
      <c r="BQ3730" t="s">
        <v>839</v>
      </c>
      <c r="BR3730" t="s">
        <v>84</v>
      </c>
      <c r="BS3730" s="3">
        <v>45863</v>
      </c>
      <c r="BT3730" s="4">
        <v>0.38541666666666669</v>
      </c>
      <c r="BU3730" t="s">
        <v>840</v>
      </c>
      <c r="BV3730" t="s">
        <v>98</v>
      </c>
      <c r="BY3730">
        <v>8512</v>
      </c>
      <c r="CA3730" t="s">
        <v>716</v>
      </c>
      <c r="CC3730" t="s">
        <v>152</v>
      </c>
      <c r="CD3730" s="5" t="s">
        <v>717</v>
      </c>
      <c r="CE3730" t="s">
        <v>145</v>
      </c>
      <c r="CF3730" s="3">
        <v>45863</v>
      </c>
      <c r="CI3730">
        <v>1</v>
      </c>
      <c r="CJ3730">
        <v>1</v>
      </c>
      <c r="CK3730">
        <v>21</v>
      </c>
      <c r="CL3730" t="s">
        <v>86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"080066768407"</f>
        <v>080066768407</v>
      </c>
      <c r="F3731" s="3">
        <v>45862</v>
      </c>
      <c r="G3731">
        <v>202604</v>
      </c>
      <c r="H3731" t="s">
        <v>75</v>
      </c>
      <c r="I3731" t="s">
        <v>76</v>
      </c>
      <c r="J3731" t="s">
        <v>77</v>
      </c>
      <c r="K3731" t="s">
        <v>78</v>
      </c>
      <c r="L3731" t="s">
        <v>79</v>
      </c>
      <c r="M3731" t="s">
        <v>80</v>
      </c>
      <c r="N3731" t="s">
        <v>931</v>
      </c>
      <c r="O3731" t="s">
        <v>82</v>
      </c>
      <c r="P3731" t="str">
        <f>"4170050697                    "</f>
        <v xml:space="preserve">4170050697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101.63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9</v>
      </c>
      <c r="BJ3731">
        <v>3.4</v>
      </c>
      <c r="BK3731">
        <v>9</v>
      </c>
      <c r="BL3731">
        <v>320.19</v>
      </c>
      <c r="BM3731">
        <v>48.03</v>
      </c>
      <c r="BN3731">
        <v>368.22</v>
      </c>
      <c r="BO3731">
        <v>368.22</v>
      </c>
      <c r="BQ3731" t="s">
        <v>932</v>
      </c>
      <c r="BR3731" t="s">
        <v>84</v>
      </c>
      <c r="BS3731" s="3">
        <v>45863</v>
      </c>
      <c r="BT3731" s="4">
        <v>0.41180555555555554</v>
      </c>
      <c r="BU3731" t="s">
        <v>933</v>
      </c>
      <c r="BV3731" t="s">
        <v>98</v>
      </c>
      <c r="BY3731">
        <v>16965</v>
      </c>
      <c r="CA3731" t="s">
        <v>934</v>
      </c>
      <c r="CC3731" t="s">
        <v>80</v>
      </c>
      <c r="CD3731">
        <v>7535</v>
      </c>
      <c r="CE3731" t="s">
        <v>145</v>
      </c>
      <c r="CF3731" s="3">
        <v>45866</v>
      </c>
      <c r="CI3731">
        <v>1</v>
      </c>
      <c r="CJ3731">
        <v>1</v>
      </c>
      <c r="CK3731">
        <v>21</v>
      </c>
      <c r="CL3731" t="s">
        <v>86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"080066768630"</f>
        <v>080066768630</v>
      </c>
      <c r="F3732" s="3">
        <v>45862</v>
      </c>
      <c r="G3732">
        <v>202604</v>
      </c>
      <c r="H3732" t="s">
        <v>75</v>
      </c>
      <c r="I3732" t="s">
        <v>76</v>
      </c>
      <c r="J3732" t="s">
        <v>77</v>
      </c>
      <c r="K3732" t="s">
        <v>78</v>
      </c>
      <c r="L3732" t="s">
        <v>168</v>
      </c>
      <c r="M3732" t="s">
        <v>169</v>
      </c>
      <c r="N3732" t="s">
        <v>202</v>
      </c>
      <c r="O3732" t="s">
        <v>82</v>
      </c>
      <c r="P3732" t="str">
        <f>"4170050952                    "</f>
        <v xml:space="preserve">4170050952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28.24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2.2999999999999998</v>
      </c>
      <c r="BK3732">
        <v>2.5</v>
      </c>
      <c r="BL3732">
        <v>88.98</v>
      </c>
      <c r="BM3732">
        <v>13.35</v>
      </c>
      <c r="BN3732">
        <v>102.33</v>
      </c>
      <c r="BO3732">
        <v>102.33</v>
      </c>
      <c r="BQ3732" t="s">
        <v>203</v>
      </c>
      <c r="BR3732" t="s">
        <v>84</v>
      </c>
      <c r="BS3732" s="3">
        <v>45863</v>
      </c>
      <c r="BT3732" s="4">
        <v>0.38194444444444442</v>
      </c>
      <c r="BU3732" t="s">
        <v>204</v>
      </c>
      <c r="BV3732" t="s">
        <v>98</v>
      </c>
      <c r="BY3732">
        <v>11310</v>
      </c>
      <c r="CA3732" t="s">
        <v>205</v>
      </c>
      <c r="CC3732" t="s">
        <v>169</v>
      </c>
      <c r="CD3732">
        <v>6001</v>
      </c>
      <c r="CE3732" t="s">
        <v>145</v>
      </c>
      <c r="CF3732" s="3">
        <v>45863</v>
      </c>
      <c r="CI3732">
        <v>1</v>
      </c>
      <c r="CJ3732">
        <v>1</v>
      </c>
      <c r="CK3732">
        <v>21</v>
      </c>
      <c r="CL3732" t="s">
        <v>86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"080066768653"</f>
        <v>080066768653</v>
      </c>
      <c r="F3733" s="3">
        <v>45862</v>
      </c>
      <c r="G3733">
        <v>202604</v>
      </c>
      <c r="H3733" t="s">
        <v>75</v>
      </c>
      <c r="I3733" t="s">
        <v>76</v>
      </c>
      <c r="J3733" t="s">
        <v>77</v>
      </c>
      <c r="K3733" t="s">
        <v>78</v>
      </c>
      <c r="L3733" t="s">
        <v>146</v>
      </c>
      <c r="M3733" t="s">
        <v>146</v>
      </c>
      <c r="N3733" t="s">
        <v>986</v>
      </c>
      <c r="O3733" t="s">
        <v>82</v>
      </c>
      <c r="P3733" t="str">
        <f>"4170050944                    "</f>
        <v xml:space="preserve">4170050944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122.87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6</v>
      </c>
      <c r="BJ3733">
        <v>3.1</v>
      </c>
      <c r="BK3733">
        <v>6</v>
      </c>
      <c r="BL3733">
        <v>387.11</v>
      </c>
      <c r="BM3733">
        <v>58.07</v>
      </c>
      <c r="BN3733">
        <v>445.18</v>
      </c>
      <c r="BO3733">
        <v>445.18</v>
      </c>
      <c r="BQ3733" t="s">
        <v>987</v>
      </c>
      <c r="BR3733" t="s">
        <v>84</v>
      </c>
      <c r="BS3733" s="3">
        <v>45863</v>
      </c>
      <c r="BT3733" s="4">
        <v>0.54166666666666663</v>
      </c>
      <c r="BU3733" t="s">
        <v>635</v>
      </c>
      <c r="BV3733" t="s">
        <v>98</v>
      </c>
      <c r="BY3733">
        <v>15360</v>
      </c>
      <c r="CA3733" t="s">
        <v>150</v>
      </c>
      <c r="CC3733" t="s">
        <v>146</v>
      </c>
      <c r="CD3733">
        <v>7646</v>
      </c>
      <c r="CE3733" t="s">
        <v>145</v>
      </c>
      <c r="CF3733" s="3">
        <v>45866</v>
      </c>
      <c r="CI3733">
        <v>1</v>
      </c>
      <c r="CJ3733">
        <v>1</v>
      </c>
      <c r="CK3733">
        <v>23</v>
      </c>
      <c r="CL3733" t="s">
        <v>86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"080066768676"</f>
        <v>080066768676</v>
      </c>
      <c r="F3734" s="3">
        <v>45862</v>
      </c>
      <c r="G3734">
        <v>202604</v>
      </c>
      <c r="H3734" t="s">
        <v>75</v>
      </c>
      <c r="I3734" t="s">
        <v>76</v>
      </c>
      <c r="J3734" t="s">
        <v>77</v>
      </c>
      <c r="K3734" t="s">
        <v>78</v>
      </c>
      <c r="L3734" t="s">
        <v>295</v>
      </c>
      <c r="M3734" t="s">
        <v>296</v>
      </c>
      <c r="N3734" t="s">
        <v>1262</v>
      </c>
      <c r="O3734" t="s">
        <v>82</v>
      </c>
      <c r="P3734" t="str">
        <f>"4170050935                    "</f>
        <v xml:space="preserve">4170050935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17.649999999999999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5</v>
      </c>
      <c r="BJ3734">
        <v>3.1</v>
      </c>
      <c r="BK3734">
        <v>5</v>
      </c>
      <c r="BL3734">
        <v>55.61</v>
      </c>
      <c r="BM3734">
        <v>8.34</v>
      </c>
      <c r="BN3734">
        <v>63.95</v>
      </c>
      <c r="BO3734">
        <v>63.95</v>
      </c>
      <c r="BQ3734" t="s">
        <v>1263</v>
      </c>
      <c r="BR3734" t="s">
        <v>84</v>
      </c>
      <c r="BS3734" s="3">
        <v>45863</v>
      </c>
      <c r="BT3734" s="4">
        <v>0.36041666666666666</v>
      </c>
      <c r="BU3734" t="s">
        <v>3476</v>
      </c>
      <c r="BV3734" t="s">
        <v>98</v>
      </c>
      <c r="BY3734">
        <v>15360</v>
      </c>
      <c r="CA3734" t="s">
        <v>2782</v>
      </c>
      <c r="CC3734" t="s">
        <v>296</v>
      </c>
      <c r="CD3734">
        <v>1459</v>
      </c>
      <c r="CE3734" t="s">
        <v>145</v>
      </c>
      <c r="CF3734" s="3">
        <v>45863</v>
      </c>
      <c r="CI3734">
        <v>1</v>
      </c>
      <c r="CJ3734">
        <v>1</v>
      </c>
      <c r="CK3734">
        <v>22</v>
      </c>
      <c r="CL3734" t="s">
        <v>86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"080066768710"</f>
        <v>080066768710</v>
      </c>
      <c r="F3735" s="3">
        <v>45862</v>
      </c>
      <c r="G3735">
        <v>202604</v>
      </c>
      <c r="H3735" t="s">
        <v>75</v>
      </c>
      <c r="I3735" t="s">
        <v>76</v>
      </c>
      <c r="J3735" t="s">
        <v>77</v>
      </c>
      <c r="K3735" t="s">
        <v>78</v>
      </c>
      <c r="L3735" t="s">
        <v>277</v>
      </c>
      <c r="M3735" t="s">
        <v>278</v>
      </c>
      <c r="N3735" t="s">
        <v>3477</v>
      </c>
      <c r="O3735" t="s">
        <v>82</v>
      </c>
      <c r="P3735" t="str">
        <f>"4170050737                    "</f>
        <v xml:space="preserve">4170050737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101.63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2</v>
      </c>
      <c r="BI3735">
        <v>9</v>
      </c>
      <c r="BJ3735">
        <v>7.2</v>
      </c>
      <c r="BK3735">
        <v>9</v>
      </c>
      <c r="BL3735">
        <v>320.19</v>
      </c>
      <c r="BM3735">
        <v>48.03</v>
      </c>
      <c r="BN3735">
        <v>368.22</v>
      </c>
      <c r="BO3735">
        <v>368.22</v>
      </c>
      <c r="BQ3735" t="s">
        <v>3478</v>
      </c>
      <c r="BR3735" t="s">
        <v>84</v>
      </c>
      <c r="BS3735" s="3">
        <v>45863</v>
      </c>
      <c r="BT3735" s="4">
        <v>0.55972222222222223</v>
      </c>
      <c r="BU3735" t="s">
        <v>3479</v>
      </c>
      <c r="BV3735" t="s">
        <v>86</v>
      </c>
      <c r="BW3735" t="s">
        <v>194</v>
      </c>
      <c r="BX3735" t="s">
        <v>195</v>
      </c>
      <c r="BY3735">
        <v>36005</v>
      </c>
      <c r="CA3735" t="s">
        <v>282</v>
      </c>
      <c r="CC3735" t="s">
        <v>278</v>
      </c>
      <c r="CD3735">
        <v>6230</v>
      </c>
      <c r="CE3735" t="s">
        <v>91</v>
      </c>
      <c r="CF3735" s="3">
        <v>45863</v>
      </c>
      <c r="CI3735">
        <v>1</v>
      </c>
      <c r="CJ3735">
        <v>1</v>
      </c>
      <c r="CK3735">
        <v>21</v>
      </c>
      <c r="CL3735" t="s">
        <v>86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"080066768732"</f>
        <v>080066768732</v>
      </c>
      <c r="F3736" s="3">
        <v>45862</v>
      </c>
      <c r="G3736">
        <v>202604</v>
      </c>
      <c r="H3736" t="s">
        <v>75</v>
      </c>
      <c r="I3736" t="s">
        <v>76</v>
      </c>
      <c r="J3736" t="s">
        <v>77</v>
      </c>
      <c r="K3736" t="s">
        <v>78</v>
      </c>
      <c r="L3736" t="s">
        <v>135</v>
      </c>
      <c r="M3736" t="s">
        <v>136</v>
      </c>
      <c r="N3736" t="s">
        <v>416</v>
      </c>
      <c r="O3736" t="s">
        <v>82</v>
      </c>
      <c r="P3736" t="str">
        <f>"4170050792                    "</f>
        <v xml:space="preserve">4170050792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56.47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5</v>
      </c>
      <c r="BJ3736">
        <v>1.5</v>
      </c>
      <c r="BK3736">
        <v>5</v>
      </c>
      <c r="BL3736">
        <v>177.91</v>
      </c>
      <c r="BM3736">
        <v>26.69</v>
      </c>
      <c r="BN3736">
        <v>204.6</v>
      </c>
      <c r="BO3736">
        <v>204.6</v>
      </c>
      <c r="BQ3736" t="s">
        <v>417</v>
      </c>
      <c r="BR3736" t="s">
        <v>84</v>
      </c>
      <c r="BS3736" s="3">
        <v>45863</v>
      </c>
      <c r="BT3736" s="4">
        <v>0.41666666666666669</v>
      </c>
      <c r="BU3736" t="s">
        <v>3262</v>
      </c>
      <c r="BV3736" t="s">
        <v>98</v>
      </c>
      <c r="BY3736">
        <v>7644</v>
      </c>
      <c r="CC3736" t="s">
        <v>136</v>
      </c>
      <c r="CD3736">
        <v>3201</v>
      </c>
      <c r="CE3736" t="s">
        <v>91</v>
      </c>
      <c r="CF3736" s="3">
        <v>45864</v>
      </c>
      <c r="CI3736">
        <v>1</v>
      </c>
      <c r="CJ3736">
        <v>1</v>
      </c>
      <c r="CK3736">
        <v>21</v>
      </c>
      <c r="CL3736" t="s">
        <v>86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"080066768736"</f>
        <v>080066768736</v>
      </c>
      <c r="F3737" s="3">
        <v>45862</v>
      </c>
      <c r="G3737">
        <v>202604</v>
      </c>
      <c r="H3737" t="s">
        <v>75</v>
      </c>
      <c r="I3737" t="s">
        <v>76</v>
      </c>
      <c r="J3737" t="s">
        <v>77</v>
      </c>
      <c r="K3737" t="s">
        <v>78</v>
      </c>
      <c r="L3737" t="s">
        <v>151</v>
      </c>
      <c r="M3737" t="s">
        <v>152</v>
      </c>
      <c r="N3737" t="s">
        <v>272</v>
      </c>
      <c r="O3737" t="s">
        <v>82</v>
      </c>
      <c r="P3737" t="str">
        <f>"4170050749                    "</f>
        <v xml:space="preserve">4170050749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22.6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71.2</v>
      </c>
      <c r="BM3737">
        <v>10.68</v>
      </c>
      <c r="BN3737">
        <v>81.88</v>
      </c>
      <c r="BO3737">
        <v>81.88</v>
      </c>
      <c r="BQ3737" t="s">
        <v>273</v>
      </c>
      <c r="BR3737" t="s">
        <v>84</v>
      </c>
      <c r="BS3737" s="3">
        <v>45863</v>
      </c>
      <c r="BT3737" s="4">
        <v>0.42083333333333334</v>
      </c>
      <c r="BU3737" t="s">
        <v>2625</v>
      </c>
      <c r="BV3737" t="s">
        <v>98</v>
      </c>
      <c r="BY3737">
        <v>1200</v>
      </c>
      <c r="CA3737" t="s">
        <v>275</v>
      </c>
      <c r="CC3737" t="s">
        <v>152</v>
      </c>
      <c r="CD3737" s="5" t="s">
        <v>276</v>
      </c>
      <c r="CE3737" t="s">
        <v>121</v>
      </c>
      <c r="CF3737" s="3">
        <v>45863</v>
      </c>
      <c r="CI3737">
        <v>1</v>
      </c>
      <c r="CJ3737">
        <v>1</v>
      </c>
      <c r="CK3737">
        <v>21</v>
      </c>
      <c r="CL3737" t="s">
        <v>86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"080066768759"</f>
        <v>080066768759</v>
      </c>
      <c r="F3738" s="3">
        <v>45862</v>
      </c>
      <c r="G3738">
        <v>202604</v>
      </c>
      <c r="H3738" t="s">
        <v>75</v>
      </c>
      <c r="I3738" t="s">
        <v>76</v>
      </c>
      <c r="J3738" t="s">
        <v>77</v>
      </c>
      <c r="K3738" t="s">
        <v>78</v>
      </c>
      <c r="L3738" t="s">
        <v>168</v>
      </c>
      <c r="M3738" t="s">
        <v>169</v>
      </c>
      <c r="N3738" t="s">
        <v>2157</v>
      </c>
      <c r="O3738" t="s">
        <v>82</v>
      </c>
      <c r="P3738" t="str">
        <f>"4170050772                    "</f>
        <v xml:space="preserve">4170050772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22.6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71.2</v>
      </c>
      <c r="BM3738">
        <v>10.68</v>
      </c>
      <c r="BN3738">
        <v>81.88</v>
      </c>
      <c r="BO3738">
        <v>81.88</v>
      </c>
      <c r="BQ3738" t="s">
        <v>2158</v>
      </c>
      <c r="BR3738" t="s">
        <v>84</v>
      </c>
      <c r="BS3738" s="3">
        <v>45863</v>
      </c>
      <c r="BT3738" s="4">
        <v>0.375</v>
      </c>
      <c r="BU3738" t="s">
        <v>414</v>
      </c>
      <c r="BV3738" t="s">
        <v>98</v>
      </c>
      <c r="BY3738">
        <v>1200</v>
      </c>
      <c r="CA3738" t="s">
        <v>415</v>
      </c>
      <c r="CC3738" t="s">
        <v>169</v>
      </c>
      <c r="CD3738">
        <v>6001</v>
      </c>
      <c r="CE3738" t="s">
        <v>121</v>
      </c>
      <c r="CF3738" s="3">
        <v>45863</v>
      </c>
      <c r="CI3738">
        <v>1</v>
      </c>
      <c r="CJ3738">
        <v>1</v>
      </c>
      <c r="CK3738">
        <v>21</v>
      </c>
      <c r="CL3738" t="s">
        <v>86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"080066768760"</f>
        <v>080066768760</v>
      </c>
      <c r="F3739" s="3">
        <v>45862</v>
      </c>
      <c r="G3739">
        <v>202604</v>
      </c>
      <c r="H3739" t="s">
        <v>75</v>
      </c>
      <c r="I3739" t="s">
        <v>76</v>
      </c>
      <c r="J3739" t="s">
        <v>77</v>
      </c>
      <c r="K3739" t="s">
        <v>78</v>
      </c>
      <c r="L3739" t="s">
        <v>295</v>
      </c>
      <c r="M3739" t="s">
        <v>296</v>
      </c>
      <c r="N3739" t="s">
        <v>2507</v>
      </c>
      <c r="O3739" t="s">
        <v>82</v>
      </c>
      <c r="P3739" t="str">
        <f>"4170050980                    "</f>
        <v xml:space="preserve">4170050980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17.649999999999999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2</v>
      </c>
      <c r="BJ3739">
        <v>4.0999999999999996</v>
      </c>
      <c r="BK3739">
        <v>5</v>
      </c>
      <c r="BL3739">
        <v>55.61</v>
      </c>
      <c r="BM3739">
        <v>8.34</v>
      </c>
      <c r="BN3739">
        <v>63.95</v>
      </c>
      <c r="BO3739">
        <v>63.95</v>
      </c>
      <c r="BQ3739" t="s">
        <v>2508</v>
      </c>
      <c r="BR3739" t="s">
        <v>84</v>
      </c>
      <c r="BS3739" s="3">
        <v>45863</v>
      </c>
      <c r="BT3739" s="4">
        <v>0.38680555555555557</v>
      </c>
      <c r="BU3739" t="s">
        <v>2896</v>
      </c>
      <c r="BV3739" t="s">
        <v>98</v>
      </c>
      <c r="BY3739">
        <v>20358</v>
      </c>
      <c r="CA3739" t="s">
        <v>300</v>
      </c>
      <c r="CC3739" t="s">
        <v>296</v>
      </c>
      <c r="CD3739">
        <v>1459</v>
      </c>
      <c r="CE3739" t="s">
        <v>145</v>
      </c>
      <c r="CF3739" s="3">
        <v>45864</v>
      </c>
      <c r="CI3739">
        <v>1</v>
      </c>
      <c r="CJ3739">
        <v>1</v>
      </c>
      <c r="CK3739">
        <v>22</v>
      </c>
      <c r="CL3739" t="s">
        <v>86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"080066768782"</f>
        <v>080066768782</v>
      </c>
      <c r="F3740" s="3">
        <v>45862</v>
      </c>
      <c r="G3740">
        <v>202604</v>
      </c>
      <c r="H3740" t="s">
        <v>75</v>
      </c>
      <c r="I3740" t="s">
        <v>76</v>
      </c>
      <c r="J3740" t="s">
        <v>77</v>
      </c>
      <c r="K3740" t="s">
        <v>78</v>
      </c>
      <c r="L3740" t="s">
        <v>92</v>
      </c>
      <c r="M3740" t="s">
        <v>93</v>
      </c>
      <c r="N3740" t="s">
        <v>334</v>
      </c>
      <c r="O3740" t="s">
        <v>82</v>
      </c>
      <c r="P3740" t="str">
        <f>"4170050812                    "</f>
        <v xml:space="preserve">4170050812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22.6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71.2</v>
      </c>
      <c r="BM3740">
        <v>10.68</v>
      </c>
      <c r="BN3740">
        <v>81.88</v>
      </c>
      <c r="BO3740">
        <v>81.88</v>
      </c>
      <c r="BQ3740" t="s">
        <v>335</v>
      </c>
      <c r="BR3740" t="s">
        <v>84</v>
      </c>
      <c r="BS3740" s="3">
        <v>45863</v>
      </c>
      <c r="BT3740" s="4">
        <v>0.41458333333333336</v>
      </c>
      <c r="BU3740" t="s">
        <v>1365</v>
      </c>
      <c r="BV3740" t="s">
        <v>98</v>
      </c>
      <c r="BY3740">
        <v>1200</v>
      </c>
      <c r="CA3740" t="s">
        <v>337</v>
      </c>
      <c r="CC3740" t="s">
        <v>93</v>
      </c>
      <c r="CD3740">
        <v>4052</v>
      </c>
      <c r="CE3740" t="s">
        <v>121</v>
      </c>
      <c r="CF3740" s="3">
        <v>45863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"080066768790"</f>
        <v>080066768790</v>
      </c>
      <c r="F3741" s="3">
        <v>45862</v>
      </c>
      <c r="G3741">
        <v>202604</v>
      </c>
      <c r="H3741" t="s">
        <v>75</v>
      </c>
      <c r="I3741" t="s">
        <v>76</v>
      </c>
      <c r="J3741" t="s">
        <v>77</v>
      </c>
      <c r="K3741" t="s">
        <v>78</v>
      </c>
      <c r="L3741" t="s">
        <v>135</v>
      </c>
      <c r="M3741" t="s">
        <v>136</v>
      </c>
      <c r="N3741" t="s">
        <v>379</v>
      </c>
      <c r="O3741" t="s">
        <v>82</v>
      </c>
      <c r="P3741" t="str">
        <f>"4170050817                    "</f>
        <v xml:space="preserve">4170050817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22.6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2</v>
      </c>
      <c r="BJ3741">
        <v>1.1000000000000001</v>
      </c>
      <c r="BK3741">
        <v>2</v>
      </c>
      <c r="BL3741">
        <v>71.2</v>
      </c>
      <c r="BM3741">
        <v>10.68</v>
      </c>
      <c r="BN3741">
        <v>81.88</v>
      </c>
      <c r="BO3741">
        <v>81.88</v>
      </c>
      <c r="BQ3741" t="s">
        <v>380</v>
      </c>
      <c r="BR3741" t="s">
        <v>84</v>
      </c>
      <c r="BS3741" s="3">
        <v>45863</v>
      </c>
      <c r="BT3741" s="4">
        <v>0.41666666666666669</v>
      </c>
      <c r="BU3741" t="s">
        <v>1318</v>
      </c>
      <c r="BV3741" t="s">
        <v>98</v>
      </c>
      <c r="BY3741">
        <v>5320</v>
      </c>
      <c r="CA3741" t="s">
        <v>1319</v>
      </c>
      <c r="CC3741" t="s">
        <v>136</v>
      </c>
      <c r="CD3741">
        <v>3212</v>
      </c>
      <c r="CE3741" t="s">
        <v>145</v>
      </c>
      <c r="CF3741" s="3">
        <v>45864</v>
      </c>
      <c r="CI3741">
        <v>2</v>
      </c>
      <c r="CJ3741">
        <v>1</v>
      </c>
      <c r="CK3741">
        <v>21</v>
      </c>
      <c r="CL3741" t="s">
        <v>86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"080066768795"</f>
        <v>080066768795</v>
      </c>
      <c r="F3742" s="3">
        <v>45862</v>
      </c>
      <c r="G3742">
        <v>202604</v>
      </c>
      <c r="H3742" t="s">
        <v>75</v>
      </c>
      <c r="I3742" t="s">
        <v>76</v>
      </c>
      <c r="J3742" t="s">
        <v>77</v>
      </c>
      <c r="K3742" t="s">
        <v>78</v>
      </c>
      <c r="L3742" t="s">
        <v>92</v>
      </c>
      <c r="M3742" t="s">
        <v>93</v>
      </c>
      <c r="N3742" t="s">
        <v>334</v>
      </c>
      <c r="O3742" t="s">
        <v>82</v>
      </c>
      <c r="P3742" t="str">
        <f>"4170050811                    "</f>
        <v xml:space="preserve">4170050811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22.6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71.2</v>
      </c>
      <c r="BM3742">
        <v>10.68</v>
      </c>
      <c r="BN3742">
        <v>81.88</v>
      </c>
      <c r="BO3742">
        <v>81.88</v>
      </c>
      <c r="BQ3742" t="s">
        <v>335</v>
      </c>
      <c r="BR3742" t="s">
        <v>84</v>
      </c>
      <c r="BS3742" s="3">
        <v>45863</v>
      </c>
      <c r="BT3742" s="4">
        <v>0.41458333333333336</v>
      </c>
      <c r="BU3742" t="s">
        <v>1365</v>
      </c>
      <c r="BV3742" t="s">
        <v>98</v>
      </c>
      <c r="BY3742">
        <v>1200</v>
      </c>
      <c r="CA3742" t="s">
        <v>337</v>
      </c>
      <c r="CC3742" t="s">
        <v>93</v>
      </c>
      <c r="CD3742">
        <v>4052</v>
      </c>
      <c r="CE3742" t="s">
        <v>121</v>
      </c>
      <c r="CF3742" s="3">
        <v>45863</v>
      </c>
      <c r="CI3742">
        <v>1</v>
      </c>
      <c r="CJ3742">
        <v>1</v>
      </c>
      <c r="CK3742">
        <v>21</v>
      </c>
      <c r="CL3742" t="s">
        <v>86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"080066768809"</f>
        <v>080066768809</v>
      </c>
      <c r="F3743" s="3">
        <v>45862</v>
      </c>
      <c r="G3743">
        <v>202604</v>
      </c>
      <c r="H3743" t="s">
        <v>75</v>
      </c>
      <c r="I3743" t="s">
        <v>76</v>
      </c>
      <c r="J3743" t="s">
        <v>77</v>
      </c>
      <c r="K3743" t="s">
        <v>78</v>
      </c>
      <c r="L3743" t="s">
        <v>452</v>
      </c>
      <c r="M3743" t="s">
        <v>453</v>
      </c>
      <c r="N3743" t="s">
        <v>968</v>
      </c>
      <c r="O3743" t="s">
        <v>82</v>
      </c>
      <c r="P3743" t="str">
        <f>"4170050940                    "</f>
        <v xml:space="preserve">4170050940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17.649999999999999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3</v>
      </c>
      <c r="BJ3743">
        <v>3.1</v>
      </c>
      <c r="BK3743">
        <v>4</v>
      </c>
      <c r="BL3743">
        <v>55.61</v>
      </c>
      <c r="BM3743">
        <v>8.34</v>
      </c>
      <c r="BN3743">
        <v>63.95</v>
      </c>
      <c r="BO3743">
        <v>63.95</v>
      </c>
      <c r="BQ3743" t="s">
        <v>969</v>
      </c>
      <c r="BR3743" t="s">
        <v>84</v>
      </c>
      <c r="BS3743" s="3">
        <v>45863</v>
      </c>
      <c r="BT3743" s="4">
        <v>0.51736111111111116</v>
      </c>
      <c r="BU3743" t="s">
        <v>781</v>
      </c>
      <c r="BV3743" t="s">
        <v>98</v>
      </c>
      <c r="BY3743">
        <v>15360</v>
      </c>
      <c r="CA3743" t="s">
        <v>1541</v>
      </c>
      <c r="CC3743" t="s">
        <v>453</v>
      </c>
      <c r="CD3743">
        <v>1559</v>
      </c>
      <c r="CE3743" t="s">
        <v>145</v>
      </c>
      <c r="CF3743" s="3">
        <v>45863</v>
      </c>
      <c r="CI3743">
        <v>1</v>
      </c>
      <c r="CJ3743">
        <v>1</v>
      </c>
      <c r="CK3743">
        <v>22</v>
      </c>
      <c r="CL3743" t="s">
        <v>86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"080066768814"</f>
        <v>080066768814</v>
      </c>
      <c r="F3744" s="3">
        <v>45862</v>
      </c>
      <c r="G3744">
        <v>202604</v>
      </c>
      <c r="H3744" t="s">
        <v>75</v>
      </c>
      <c r="I3744" t="s">
        <v>76</v>
      </c>
      <c r="J3744" t="s">
        <v>77</v>
      </c>
      <c r="K3744" t="s">
        <v>78</v>
      </c>
      <c r="L3744" t="s">
        <v>79</v>
      </c>
      <c r="M3744" t="s">
        <v>80</v>
      </c>
      <c r="N3744" t="s">
        <v>141</v>
      </c>
      <c r="O3744" t="s">
        <v>82</v>
      </c>
      <c r="P3744" t="str">
        <f>"4170050847                    "</f>
        <v xml:space="preserve">4170050847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22.6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71.2</v>
      </c>
      <c r="BM3744">
        <v>10.68</v>
      </c>
      <c r="BN3744">
        <v>81.88</v>
      </c>
      <c r="BO3744">
        <v>81.88</v>
      </c>
      <c r="BQ3744" t="s">
        <v>142</v>
      </c>
      <c r="BR3744" t="s">
        <v>84</v>
      </c>
      <c r="BS3744" s="3">
        <v>45863</v>
      </c>
      <c r="BT3744" s="4">
        <v>0.4236111111111111</v>
      </c>
      <c r="BU3744" t="s">
        <v>2437</v>
      </c>
      <c r="BV3744" t="s">
        <v>98</v>
      </c>
      <c r="BY3744">
        <v>1200</v>
      </c>
      <c r="CA3744" t="s">
        <v>144</v>
      </c>
      <c r="CC3744" t="s">
        <v>80</v>
      </c>
      <c r="CD3744">
        <v>7441</v>
      </c>
      <c r="CE3744" t="s">
        <v>121</v>
      </c>
      <c r="CF3744" s="3">
        <v>45866</v>
      </c>
      <c r="CI3744">
        <v>1</v>
      </c>
      <c r="CJ3744">
        <v>1</v>
      </c>
      <c r="CK3744">
        <v>21</v>
      </c>
      <c r="CL3744" t="s">
        <v>86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"080066768828"</f>
        <v>080066768828</v>
      </c>
      <c r="F3745" s="3">
        <v>45862</v>
      </c>
      <c r="G3745">
        <v>202604</v>
      </c>
      <c r="H3745" t="s">
        <v>75</v>
      </c>
      <c r="I3745" t="s">
        <v>76</v>
      </c>
      <c r="J3745" t="s">
        <v>77</v>
      </c>
      <c r="K3745" t="s">
        <v>78</v>
      </c>
      <c r="L3745" t="s">
        <v>92</v>
      </c>
      <c r="M3745" t="s">
        <v>93</v>
      </c>
      <c r="N3745" t="s">
        <v>334</v>
      </c>
      <c r="O3745" t="s">
        <v>82</v>
      </c>
      <c r="P3745" t="str">
        <f>"4170050814                    "</f>
        <v xml:space="preserve">4170050814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22.6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71.2</v>
      </c>
      <c r="BM3745">
        <v>10.68</v>
      </c>
      <c r="BN3745">
        <v>81.88</v>
      </c>
      <c r="BO3745">
        <v>81.88</v>
      </c>
      <c r="BQ3745" t="s">
        <v>335</v>
      </c>
      <c r="BR3745" t="s">
        <v>84</v>
      </c>
      <c r="BS3745" s="3">
        <v>45863</v>
      </c>
      <c r="BT3745" s="4">
        <v>0.41458333333333336</v>
      </c>
      <c r="BU3745" t="s">
        <v>1365</v>
      </c>
      <c r="BV3745" t="s">
        <v>98</v>
      </c>
      <c r="BY3745">
        <v>1200</v>
      </c>
      <c r="CA3745" t="s">
        <v>337</v>
      </c>
      <c r="CC3745" t="s">
        <v>93</v>
      </c>
      <c r="CD3745">
        <v>4052</v>
      </c>
      <c r="CE3745" t="s">
        <v>121</v>
      </c>
      <c r="CF3745" s="3">
        <v>45863</v>
      </c>
      <c r="CI3745">
        <v>1</v>
      </c>
      <c r="CJ3745">
        <v>1</v>
      </c>
      <c r="CK3745">
        <v>21</v>
      </c>
      <c r="CL3745" t="s">
        <v>86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"080066768839"</f>
        <v>080066768839</v>
      </c>
      <c r="F3746" s="3">
        <v>45862</v>
      </c>
      <c r="G3746">
        <v>202604</v>
      </c>
      <c r="H3746" t="s">
        <v>75</v>
      </c>
      <c r="I3746" t="s">
        <v>76</v>
      </c>
      <c r="J3746" t="s">
        <v>77</v>
      </c>
      <c r="K3746" t="s">
        <v>78</v>
      </c>
      <c r="L3746" t="s">
        <v>75</v>
      </c>
      <c r="M3746" t="s">
        <v>76</v>
      </c>
      <c r="N3746" t="s">
        <v>118</v>
      </c>
      <c r="O3746" t="s">
        <v>95</v>
      </c>
      <c r="P3746" t="str">
        <f>"4170050923                    "</f>
        <v xml:space="preserve">4170050923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34.71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16</v>
      </c>
      <c r="BJ3746">
        <v>15.7</v>
      </c>
      <c r="BK3746">
        <v>16</v>
      </c>
      <c r="BL3746">
        <v>115.22</v>
      </c>
      <c r="BM3746">
        <v>17.28</v>
      </c>
      <c r="BN3746">
        <v>132.5</v>
      </c>
      <c r="BO3746">
        <v>132.5</v>
      </c>
      <c r="BQ3746" t="s">
        <v>119</v>
      </c>
      <c r="BR3746" t="s">
        <v>84</v>
      </c>
      <c r="BS3746" s="3">
        <v>45863</v>
      </c>
      <c r="BT3746" s="4">
        <v>0.33958333333333335</v>
      </c>
      <c r="BU3746" t="s">
        <v>3480</v>
      </c>
      <c r="BV3746" t="s">
        <v>98</v>
      </c>
      <c r="BY3746">
        <v>78732</v>
      </c>
      <c r="CA3746" t="s">
        <v>2902</v>
      </c>
      <c r="CC3746" t="s">
        <v>76</v>
      </c>
      <c r="CD3746">
        <v>1600</v>
      </c>
      <c r="CE3746" t="s">
        <v>2742</v>
      </c>
      <c r="CF3746" s="3">
        <v>45864</v>
      </c>
      <c r="CI3746">
        <v>1</v>
      </c>
      <c r="CJ3746">
        <v>1</v>
      </c>
      <c r="CK3746">
        <v>42</v>
      </c>
      <c r="CL3746" t="s">
        <v>86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"080066768847"</f>
        <v>080066768847</v>
      </c>
      <c r="F3747" s="3">
        <v>45862</v>
      </c>
      <c r="G3747">
        <v>202604</v>
      </c>
      <c r="H3747" t="s">
        <v>75</v>
      </c>
      <c r="I3747" t="s">
        <v>76</v>
      </c>
      <c r="J3747" t="s">
        <v>77</v>
      </c>
      <c r="K3747" t="s">
        <v>78</v>
      </c>
      <c r="L3747" t="s">
        <v>240</v>
      </c>
      <c r="M3747" t="s">
        <v>241</v>
      </c>
      <c r="N3747" t="s">
        <v>686</v>
      </c>
      <c r="O3747" t="s">
        <v>82</v>
      </c>
      <c r="P3747" t="str">
        <f>"4170050823                    "</f>
        <v xml:space="preserve">4170050823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17.649999999999999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55.61</v>
      </c>
      <c r="BM3747">
        <v>8.34</v>
      </c>
      <c r="BN3747">
        <v>63.95</v>
      </c>
      <c r="BO3747">
        <v>63.95</v>
      </c>
      <c r="BQ3747" t="s">
        <v>687</v>
      </c>
      <c r="BR3747" t="s">
        <v>84</v>
      </c>
      <c r="BS3747" s="3">
        <v>45863</v>
      </c>
      <c r="BT3747" s="4">
        <v>0.38541666666666669</v>
      </c>
      <c r="BU3747" t="s">
        <v>3418</v>
      </c>
      <c r="BV3747" t="s">
        <v>98</v>
      </c>
      <c r="BY3747">
        <v>1200</v>
      </c>
      <c r="CA3747" t="s">
        <v>451</v>
      </c>
      <c r="CC3747" t="s">
        <v>241</v>
      </c>
      <c r="CD3747">
        <v>2094</v>
      </c>
      <c r="CE3747" t="s">
        <v>121</v>
      </c>
      <c r="CF3747" s="3">
        <v>45864</v>
      </c>
      <c r="CI3747">
        <v>1</v>
      </c>
      <c r="CJ3747">
        <v>1</v>
      </c>
      <c r="CK3747">
        <v>22</v>
      </c>
      <c r="CL3747" t="s">
        <v>86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"080066768866"</f>
        <v>080066768866</v>
      </c>
      <c r="F3748" s="3">
        <v>45862</v>
      </c>
      <c r="G3748">
        <v>202604</v>
      </c>
      <c r="H3748" t="s">
        <v>75</v>
      </c>
      <c r="I3748" t="s">
        <v>76</v>
      </c>
      <c r="J3748" t="s">
        <v>77</v>
      </c>
      <c r="K3748" t="s">
        <v>78</v>
      </c>
      <c r="L3748" t="s">
        <v>277</v>
      </c>
      <c r="M3748" t="s">
        <v>278</v>
      </c>
      <c r="N3748" t="s">
        <v>279</v>
      </c>
      <c r="O3748" t="s">
        <v>82</v>
      </c>
      <c r="P3748" t="str">
        <f>"4170050747                    "</f>
        <v xml:space="preserve">4170050747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22.6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1.1000000000000001</v>
      </c>
      <c r="BK3748">
        <v>1.5</v>
      </c>
      <c r="BL3748">
        <v>71.2</v>
      </c>
      <c r="BM3748">
        <v>10.68</v>
      </c>
      <c r="BN3748">
        <v>81.88</v>
      </c>
      <c r="BO3748">
        <v>81.88</v>
      </c>
      <c r="BQ3748" t="s">
        <v>280</v>
      </c>
      <c r="BR3748" t="s">
        <v>84</v>
      </c>
      <c r="BS3748" s="3">
        <v>45863</v>
      </c>
      <c r="BT3748" s="4">
        <v>0.40625</v>
      </c>
      <c r="BU3748" t="s">
        <v>3475</v>
      </c>
      <c r="BV3748" t="s">
        <v>98</v>
      </c>
      <c r="BY3748">
        <v>5320</v>
      </c>
      <c r="CA3748" t="s">
        <v>282</v>
      </c>
      <c r="CC3748" t="s">
        <v>278</v>
      </c>
      <c r="CD3748">
        <v>6230</v>
      </c>
      <c r="CE3748" t="s">
        <v>145</v>
      </c>
      <c r="CF3748" s="3">
        <v>45863</v>
      </c>
      <c r="CI3748">
        <v>1</v>
      </c>
      <c r="CJ3748">
        <v>1</v>
      </c>
      <c r="CK3748">
        <v>21</v>
      </c>
      <c r="CL3748" t="s">
        <v>86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"080066768870"</f>
        <v>080066768870</v>
      </c>
      <c r="F3749" s="3">
        <v>45862</v>
      </c>
      <c r="G3749">
        <v>202604</v>
      </c>
      <c r="H3749" t="s">
        <v>75</v>
      </c>
      <c r="I3749" t="s">
        <v>76</v>
      </c>
      <c r="J3749" t="s">
        <v>77</v>
      </c>
      <c r="K3749" t="s">
        <v>78</v>
      </c>
      <c r="L3749" t="s">
        <v>79</v>
      </c>
      <c r="M3749" t="s">
        <v>80</v>
      </c>
      <c r="N3749" t="s">
        <v>594</v>
      </c>
      <c r="O3749" t="s">
        <v>82</v>
      </c>
      <c r="P3749" t="str">
        <f>"4170050744                    "</f>
        <v xml:space="preserve">4170050744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22.6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71.2</v>
      </c>
      <c r="BM3749">
        <v>10.68</v>
      </c>
      <c r="BN3749">
        <v>81.88</v>
      </c>
      <c r="BO3749">
        <v>81.88</v>
      </c>
      <c r="BQ3749" t="s">
        <v>595</v>
      </c>
      <c r="BR3749" t="s">
        <v>84</v>
      </c>
      <c r="BS3749" s="3">
        <v>45863</v>
      </c>
      <c r="BT3749" s="4">
        <v>0.37916666666666665</v>
      </c>
      <c r="BU3749" t="s">
        <v>596</v>
      </c>
      <c r="BV3749" t="s">
        <v>98</v>
      </c>
      <c r="BY3749">
        <v>1200</v>
      </c>
      <c r="CA3749" t="s">
        <v>579</v>
      </c>
      <c r="CC3749" t="s">
        <v>80</v>
      </c>
      <c r="CD3749">
        <v>7480</v>
      </c>
      <c r="CE3749" t="s">
        <v>121</v>
      </c>
      <c r="CF3749" s="3">
        <v>45866</v>
      </c>
      <c r="CI3749">
        <v>1</v>
      </c>
      <c r="CJ3749">
        <v>1</v>
      </c>
      <c r="CK3749">
        <v>21</v>
      </c>
      <c r="CL3749" t="s">
        <v>86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"080066768887"</f>
        <v>080066768887</v>
      </c>
      <c r="F3750" s="3">
        <v>45862</v>
      </c>
      <c r="G3750">
        <v>202604</v>
      </c>
      <c r="H3750" t="s">
        <v>75</v>
      </c>
      <c r="I3750" t="s">
        <v>76</v>
      </c>
      <c r="J3750" t="s">
        <v>77</v>
      </c>
      <c r="K3750" t="s">
        <v>78</v>
      </c>
      <c r="L3750" t="s">
        <v>92</v>
      </c>
      <c r="M3750" t="s">
        <v>93</v>
      </c>
      <c r="N3750" t="s">
        <v>291</v>
      </c>
      <c r="O3750" t="s">
        <v>82</v>
      </c>
      <c r="P3750" t="str">
        <f>"4170050832                    "</f>
        <v xml:space="preserve">4170050832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22.6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71.2</v>
      </c>
      <c r="BM3750">
        <v>10.68</v>
      </c>
      <c r="BN3750">
        <v>81.88</v>
      </c>
      <c r="BO3750">
        <v>81.88</v>
      </c>
      <c r="BQ3750" t="s">
        <v>292</v>
      </c>
      <c r="BR3750" t="s">
        <v>84</v>
      </c>
      <c r="BS3750" s="3">
        <v>45863</v>
      </c>
      <c r="BT3750" s="4">
        <v>0.31944444444444442</v>
      </c>
      <c r="BU3750" t="s">
        <v>971</v>
      </c>
      <c r="BV3750" t="s">
        <v>98</v>
      </c>
      <c r="BY3750">
        <v>1200</v>
      </c>
      <c r="CA3750" t="s">
        <v>294</v>
      </c>
      <c r="CC3750" t="s">
        <v>93</v>
      </c>
      <c r="CD3750">
        <v>4000</v>
      </c>
      <c r="CE3750" t="s">
        <v>121</v>
      </c>
      <c r="CF3750" s="3">
        <v>45863</v>
      </c>
      <c r="CI3750">
        <v>1</v>
      </c>
      <c r="CJ3750">
        <v>1</v>
      </c>
      <c r="CK3750">
        <v>21</v>
      </c>
      <c r="CL3750" t="s">
        <v>86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"080066768909"</f>
        <v>080066768909</v>
      </c>
      <c r="F3751" s="3">
        <v>45862</v>
      </c>
      <c r="G3751">
        <v>202604</v>
      </c>
      <c r="H3751" t="s">
        <v>75</v>
      </c>
      <c r="I3751" t="s">
        <v>76</v>
      </c>
      <c r="J3751" t="s">
        <v>77</v>
      </c>
      <c r="K3751" t="s">
        <v>78</v>
      </c>
      <c r="L3751" t="s">
        <v>122</v>
      </c>
      <c r="M3751" t="s">
        <v>123</v>
      </c>
      <c r="N3751" t="s">
        <v>2340</v>
      </c>
      <c r="O3751" t="s">
        <v>82</v>
      </c>
      <c r="P3751" t="str">
        <f>"4170050829                    "</f>
        <v xml:space="preserve">4170050829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22.6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71.2</v>
      </c>
      <c r="BM3751">
        <v>10.68</v>
      </c>
      <c r="BN3751">
        <v>81.88</v>
      </c>
      <c r="BO3751">
        <v>81.88</v>
      </c>
      <c r="BQ3751" t="s">
        <v>2341</v>
      </c>
      <c r="BR3751" t="s">
        <v>84</v>
      </c>
      <c r="BS3751" s="3">
        <v>45863</v>
      </c>
      <c r="BT3751" s="4">
        <v>0.36388888888888887</v>
      </c>
      <c r="BU3751" t="s">
        <v>1178</v>
      </c>
      <c r="BV3751" t="s">
        <v>98</v>
      </c>
      <c r="BY3751">
        <v>1200</v>
      </c>
      <c r="CA3751" t="s">
        <v>187</v>
      </c>
      <c r="CC3751" t="s">
        <v>123</v>
      </c>
      <c r="CD3751">
        <v>3610</v>
      </c>
      <c r="CE3751" t="s">
        <v>121</v>
      </c>
      <c r="CF3751" s="3">
        <v>45864</v>
      </c>
      <c r="CI3751">
        <v>1</v>
      </c>
      <c r="CJ3751">
        <v>1</v>
      </c>
      <c r="CK3751">
        <v>21</v>
      </c>
      <c r="CL3751" t="s">
        <v>86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"080066768928"</f>
        <v>080066768928</v>
      </c>
      <c r="F3752" s="3">
        <v>45862</v>
      </c>
      <c r="G3752">
        <v>202604</v>
      </c>
      <c r="H3752" t="s">
        <v>75</v>
      </c>
      <c r="I3752" t="s">
        <v>76</v>
      </c>
      <c r="J3752" t="s">
        <v>77</v>
      </c>
      <c r="K3752" t="s">
        <v>78</v>
      </c>
      <c r="L3752" t="s">
        <v>580</v>
      </c>
      <c r="M3752" t="s">
        <v>581</v>
      </c>
      <c r="N3752" t="s">
        <v>582</v>
      </c>
      <c r="O3752" t="s">
        <v>82</v>
      </c>
      <c r="P3752" t="str">
        <f>"4170050802                    "</f>
        <v xml:space="preserve">4170050802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22.6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71.2</v>
      </c>
      <c r="BM3752">
        <v>10.68</v>
      </c>
      <c r="BN3752">
        <v>81.88</v>
      </c>
      <c r="BO3752">
        <v>81.88</v>
      </c>
      <c r="BQ3752" t="s">
        <v>583</v>
      </c>
      <c r="BR3752" t="s">
        <v>84</v>
      </c>
      <c r="BS3752" s="3">
        <v>45863</v>
      </c>
      <c r="BT3752" s="4">
        <v>0.4201388888888889</v>
      </c>
      <c r="BU3752" t="s">
        <v>3481</v>
      </c>
      <c r="BV3752" t="s">
        <v>98</v>
      </c>
      <c r="BY3752">
        <v>1200</v>
      </c>
      <c r="CA3752" t="s">
        <v>585</v>
      </c>
      <c r="CC3752" t="s">
        <v>581</v>
      </c>
      <c r="CD3752">
        <v>4302</v>
      </c>
      <c r="CE3752" t="s">
        <v>121</v>
      </c>
      <c r="CF3752" s="3">
        <v>45863</v>
      </c>
      <c r="CI3752">
        <v>1</v>
      </c>
      <c r="CJ3752">
        <v>1</v>
      </c>
      <c r="CK3752">
        <v>21</v>
      </c>
      <c r="CL3752" t="s">
        <v>86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"080066768945"</f>
        <v>080066768945</v>
      </c>
      <c r="F3753" s="3">
        <v>45862</v>
      </c>
      <c r="G3753">
        <v>202604</v>
      </c>
      <c r="H3753" t="s">
        <v>75</v>
      </c>
      <c r="I3753" t="s">
        <v>76</v>
      </c>
      <c r="J3753" t="s">
        <v>77</v>
      </c>
      <c r="K3753" t="s">
        <v>78</v>
      </c>
      <c r="L3753" t="s">
        <v>146</v>
      </c>
      <c r="M3753" t="s">
        <v>146</v>
      </c>
      <c r="N3753" t="s">
        <v>633</v>
      </c>
      <c r="O3753" t="s">
        <v>82</v>
      </c>
      <c r="P3753" t="str">
        <f>"4170050842                    "</f>
        <v xml:space="preserve">4170050842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43.78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137.94</v>
      </c>
      <c r="BM3753">
        <v>20.69</v>
      </c>
      <c r="BN3753">
        <v>158.63</v>
      </c>
      <c r="BO3753">
        <v>158.63</v>
      </c>
      <c r="BQ3753" t="s">
        <v>634</v>
      </c>
      <c r="BR3753" t="s">
        <v>84</v>
      </c>
      <c r="BS3753" s="3">
        <v>45863</v>
      </c>
      <c r="BT3753" s="4">
        <v>0.54166666666666663</v>
      </c>
      <c r="BU3753" t="s">
        <v>635</v>
      </c>
      <c r="BV3753" t="s">
        <v>98</v>
      </c>
      <c r="BY3753">
        <v>1200</v>
      </c>
      <c r="CA3753" t="s">
        <v>150</v>
      </c>
      <c r="CC3753" t="s">
        <v>146</v>
      </c>
      <c r="CD3753">
        <v>7646</v>
      </c>
      <c r="CE3753" t="s">
        <v>121</v>
      </c>
      <c r="CF3753" s="3">
        <v>45866</v>
      </c>
      <c r="CI3753">
        <v>1</v>
      </c>
      <c r="CJ3753">
        <v>1</v>
      </c>
      <c r="CK3753">
        <v>23</v>
      </c>
      <c r="CL3753" t="s">
        <v>86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"080066768966"</f>
        <v>080066768966</v>
      </c>
      <c r="F3754" s="3">
        <v>45862</v>
      </c>
      <c r="G3754">
        <v>202604</v>
      </c>
      <c r="H3754" t="s">
        <v>75</v>
      </c>
      <c r="I3754" t="s">
        <v>76</v>
      </c>
      <c r="J3754" t="s">
        <v>77</v>
      </c>
      <c r="K3754" t="s">
        <v>78</v>
      </c>
      <c r="L3754" t="s">
        <v>122</v>
      </c>
      <c r="M3754" t="s">
        <v>123</v>
      </c>
      <c r="N3754" t="s">
        <v>357</v>
      </c>
      <c r="O3754" t="s">
        <v>82</v>
      </c>
      <c r="P3754" t="str">
        <f>"4170050837                    "</f>
        <v xml:space="preserve">4170050837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22.6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71.2</v>
      </c>
      <c r="BM3754">
        <v>10.68</v>
      </c>
      <c r="BN3754">
        <v>81.88</v>
      </c>
      <c r="BO3754">
        <v>81.88</v>
      </c>
      <c r="BQ3754" t="s">
        <v>358</v>
      </c>
      <c r="BR3754" t="s">
        <v>84</v>
      </c>
      <c r="BS3754" s="3">
        <v>45866</v>
      </c>
      <c r="BT3754" s="4">
        <v>0.52430555555555558</v>
      </c>
      <c r="BU3754" t="s">
        <v>3482</v>
      </c>
      <c r="BV3754" t="s">
        <v>86</v>
      </c>
      <c r="BW3754" t="s">
        <v>194</v>
      </c>
      <c r="BX3754" t="s">
        <v>1174</v>
      </c>
      <c r="BY3754">
        <v>1200</v>
      </c>
      <c r="CA3754" t="s">
        <v>166</v>
      </c>
      <c r="CC3754" t="s">
        <v>123</v>
      </c>
      <c r="CD3754">
        <v>3610</v>
      </c>
      <c r="CE3754" t="s">
        <v>121</v>
      </c>
      <c r="CF3754" s="3">
        <v>45866</v>
      </c>
      <c r="CI3754">
        <v>1</v>
      </c>
      <c r="CJ3754">
        <v>2</v>
      </c>
      <c r="CK3754">
        <v>21</v>
      </c>
      <c r="CL3754" t="s">
        <v>86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"080066768987"</f>
        <v>080066768987</v>
      </c>
      <c r="F3755" s="3">
        <v>45862</v>
      </c>
      <c r="G3755">
        <v>202604</v>
      </c>
      <c r="H3755" t="s">
        <v>75</v>
      </c>
      <c r="I3755" t="s">
        <v>76</v>
      </c>
      <c r="J3755" t="s">
        <v>77</v>
      </c>
      <c r="K3755" t="s">
        <v>78</v>
      </c>
      <c r="L3755" t="s">
        <v>146</v>
      </c>
      <c r="M3755" t="s">
        <v>146</v>
      </c>
      <c r="N3755" t="s">
        <v>633</v>
      </c>
      <c r="O3755" t="s">
        <v>82</v>
      </c>
      <c r="P3755" t="str">
        <f>"4170050810                    "</f>
        <v xml:space="preserve">4170050810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43.78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137.94</v>
      </c>
      <c r="BM3755">
        <v>20.69</v>
      </c>
      <c r="BN3755">
        <v>158.63</v>
      </c>
      <c r="BO3755">
        <v>158.63</v>
      </c>
      <c r="BQ3755" t="s">
        <v>634</v>
      </c>
      <c r="BR3755" t="s">
        <v>84</v>
      </c>
      <c r="BS3755" s="3">
        <v>45863</v>
      </c>
      <c r="BT3755" s="4">
        <v>0.54166666666666663</v>
      </c>
      <c r="BU3755" t="s">
        <v>635</v>
      </c>
      <c r="BV3755" t="s">
        <v>98</v>
      </c>
      <c r="BY3755">
        <v>1200</v>
      </c>
      <c r="CA3755" t="s">
        <v>150</v>
      </c>
      <c r="CC3755" t="s">
        <v>146</v>
      </c>
      <c r="CD3755">
        <v>7646</v>
      </c>
      <c r="CE3755" t="s">
        <v>121</v>
      </c>
      <c r="CF3755" s="3">
        <v>45866</v>
      </c>
      <c r="CI3755">
        <v>1</v>
      </c>
      <c r="CJ3755">
        <v>1</v>
      </c>
      <c r="CK3755">
        <v>23</v>
      </c>
      <c r="CL3755" t="s">
        <v>86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"080066769022"</f>
        <v>080066769022</v>
      </c>
      <c r="F3756" s="3">
        <v>45862</v>
      </c>
      <c r="G3756">
        <v>202604</v>
      </c>
      <c r="H3756" t="s">
        <v>75</v>
      </c>
      <c r="I3756" t="s">
        <v>76</v>
      </c>
      <c r="J3756" t="s">
        <v>77</v>
      </c>
      <c r="K3756" t="s">
        <v>78</v>
      </c>
      <c r="L3756" t="s">
        <v>221</v>
      </c>
      <c r="M3756" t="s">
        <v>222</v>
      </c>
      <c r="N3756" t="s">
        <v>223</v>
      </c>
      <c r="O3756" t="s">
        <v>82</v>
      </c>
      <c r="P3756" t="str">
        <f>"4170050820                    "</f>
        <v xml:space="preserve">4170050820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43.78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137.94</v>
      </c>
      <c r="BM3756">
        <v>20.69</v>
      </c>
      <c r="BN3756">
        <v>158.63</v>
      </c>
      <c r="BO3756">
        <v>158.63</v>
      </c>
      <c r="BQ3756" t="s">
        <v>224</v>
      </c>
      <c r="BR3756" t="s">
        <v>84</v>
      </c>
      <c r="BS3756" s="3">
        <v>45863</v>
      </c>
      <c r="BT3756" s="4">
        <v>0.41666666666666669</v>
      </c>
      <c r="BU3756" t="s">
        <v>1707</v>
      </c>
      <c r="BV3756" t="s">
        <v>98</v>
      </c>
      <c r="BY3756">
        <v>1200</v>
      </c>
      <c r="CC3756" t="s">
        <v>222</v>
      </c>
      <c r="CD3756">
        <v>2740</v>
      </c>
      <c r="CE3756" t="s">
        <v>121</v>
      </c>
      <c r="CF3756" s="3">
        <v>45866</v>
      </c>
      <c r="CI3756">
        <v>1</v>
      </c>
      <c r="CJ3756">
        <v>1</v>
      </c>
      <c r="CK3756">
        <v>23</v>
      </c>
      <c r="CL3756" t="s">
        <v>86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"080066769037"</f>
        <v>080066769037</v>
      </c>
      <c r="F3757" s="3">
        <v>45862</v>
      </c>
      <c r="G3757">
        <v>202604</v>
      </c>
      <c r="H3757" t="s">
        <v>75</v>
      </c>
      <c r="I3757" t="s">
        <v>76</v>
      </c>
      <c r="J3757" t="s">
        <v>77</v>
      </c>
      <c r="K3757" t="s">
        <v>78</v>
      </c>
      <c r="L3757" t="s">
        <v>75</v>
      </c>
      <c r="M3757" t="s">
        <v>76</v>
      </c>
      <c r="N3757" t="s">
        <v>1469</v>
      </c>
      <c r="O3757" t="s">
        <v>82</v>
      </c>
      <c r="P3757" t="str">
        <f>"4170050776                    "</f>
        <v xml:space="preserve">4170050776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17.649999999999999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55.61</v>
      </c>
      <c r="BM3757">
        <v>8.34</v>
      </c>
      <c r="BN3757">
        <v>63.95</v>
      </c>
      <c r="BO3757">
        <v>63.95</v>
      </c>
      <c r="BQ3757" t="s">
        <v>1470</v>
      </c>
      <c r="BR3757" t="s">
        <v>84</v>
      </c>
      <c r="BS3757" s="3">
        <v>45863</v>
      </c>
      <c r="BT3757" s="4">
        <v>0.37361111111111112</v>
      </c>
      <c r="BU3757" t="s">
        <v>3462</v>
      </c>
      <c r="BV3757" t="s">
        <v>98</v>
      </c>
      <c r="BY3757">
        <v>1200</v>
      </c>
      <c r="CA3757" t="s">
        <v>471</v>
      </c>
      <c r="CC3757" t="s">
        <v>76</v>
      </c>
      <c r="CD3757">
        <v>1609</v>
      </c>
      <c r="CE3757" t="s">
        <v>121</v>
      </c>
      <c r="CF3757" s="3">
        <v>45863</v>
      </c>
      <c r="CI3757">
        <v>1</v>
      </c>
      <c r="CJ3757">
        <v>1</v>
      </c>
      <c r="CK3757">
        <v>22</v>
      </c>
      <c r="CL3757" t="s">
        <v>86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"080066769058"</f>
        <v>080066769058</v>
      </c>
      <c r="F3758" s="3">
        <v>45862</v>
      </c>
      <c r="G3758">
        <v>202604</v>
      </c>
      <c r="H3758" t="s">
        <v>75</v>
      </c>
      <c r="I3758" t="s">
        <v>76</v>
      </c>
      <c r="J3758" t="s">
        <v>77</v>
      </c>
      <c r="K3758" t="s">
        <v>78</v>
      </c>
      <c r="L3758" t="s">
        <v>197</v>
      </c>
      <c r="M3758" t="s">
        <v>198</v>
      </c>
      <c r="N3758" t="s">
        <v>2776</v>
      </c>
      <c r="O3758" t="s">
        <v>82</v>
      </c>
      <c r="P3758" t="str">
        <f>"4170050830                    "</f>
        <v xml:space="preserve">4170050830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17.649999999999999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55.61</v>
      </c>
      <c r="BM3758">
        <v>8.34</v>
      </c>
      <c r="BN3758">
        <v>63.95</v>
      </c>
      <c r="BO3758">
        <v>63.95</v>
      </c>
      <c r="BQ3758" t="s">
        <v>2777</v>
      </c>
      <c r="BR3758" t="s">
        <v>84</v>
      </c>
      <c r="BS3758" s="3">
        <v>45863</v>
      </c>
      <c r="BT3758" s="4">
        <v>0.36805555555555558</v>
      </c>
      <c r="BU3758" t="s">
        <v>3255</v>
      </c>
      <c r="BV3758" t="s">
        <v>98</v>
      </c>
      <c r="BY3758">
        <v>1200</v>
      </c>
      <c r="CA3758" t="s">
        <v>893</v>
      </c>
      <c r="CC3758" t="s">
        <v>198</v>
      </c>
      <c r="CD3758">
        <v>1401</v>
      </c>
      <c r="CE3758" t="s">
        <v>121</v>
      </c>
      <c r="CF3758" s="3">
        <v>45864</v>
      </c>
      <c r="CI3758">
        <v>1</v>
      </c>
      <c r="CJ3758">
        <v>1</v>
      </c>
      <c r="CK3758">
        <v>22</v>
      </c>
      <c r="CL3758" t="s">
        <v>86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"080066769077"</f>
        <v>080066769077</v>
      </c>
      <c r="F3759" s="3">
        <v>45862</v>
      </c>
      <c r="G3759">
        <v>202604</v>
      </c>
      <c r="H3759" t="s">
        <v>75</v>
      </c>
      <c r="I3759" t="s">
        <v>76</v>
      </c>
      <c r="J3759" t="s">
        <v>77</v>
      </c>
      <c r="K3759" t="s">
        <v>78</v>
      </c>
      <c r="L3759" t="s">
        <v>240</v>
      </c>
      <c r="M3759" t="s">
        <v>241</v>
      </c>
      <c r="N3759" t="s">
        <v>779</v>
      </c>
      <c r="O3759" t="s">
        <v>82</v>
      </c>
      <c r="P3759" t="str">
        <f>"4170050798                    "</f>
        <v xml:space="preserve">4170050798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17.649999999999999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55.61</v>
      </c>
      <c r="BM3759">
        <v>8.34</v>
      </c>
      <c r="BN3759">
        <v>63.95</v>
      </c>
      <c r="BO3759">
        <v>63.95</v>
      </c>
      <c r="BQ3759" t="s">
        <v>780</v>
      </c>
      <c r="BR3759" t="s">
        <v>84</v>
      </c>
      <c r="BS3759" s="3">
        <v>45863</v>
      </c>
      <c r="BT3759" s="4">
        <v>0.36458333333333331</v>
      </c>
      <c r="BU3759" t="s">
        <v>3471</v>
      </c>
      <c r="BV3759" t="s">
        <v>98</v>
      </c>
      <c r="BY3759">
        <v>1200</v>
      </c>
      <c r="CC3759" t="s">
        <v>241</v>
      </c>
      <c r="CD3759">
        <v>2092</v>
      </c>
      <c r="CE3759" t="s">
        <v>121</v>
      </c>
      <c r="CF3759" s="3">
        <v>45864</v>
      </c>
      <c r="CI3759">
        <v>1</v>
      </c>
      <c r="CJ3759">
        <v>1</v>
      </c>
      <c r="CK3759">
        <v>22</v>
      </c>
      <c r="CL3759" t="s">
        <v>86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"080066769188"</f>
        <v>080066769188</v>
      </c>
      <c r="F3760" s="3">
        <v>45862</v>
      </c>
      <c r="G3760">
        <v>202604</v>
      </c>
      <c r="H3760" t="s">
        <v>75</v>
      </c>
      <c r="I3760" t="s">
        <v>76</v>
      </c>
      <c r="J3760" t="s">
        <v>77</v>
      </c>
      <c r="K3760" t="s">
        <v>78</v>
      </c>
      <c r="L3760" t="s">
        <v>79</v>
      </c>
      <c r="M3760" t="s">
        <v>80</v>
      </c>
      <c r="N3760" t="s">
        <v>159</v>
      </c>
      <c r="O3760" t="s">
        <v>82</v>
      </c>
      <c r="P3760" t="str">
        <f>"4170050945                    "</f>
        <v xml:space="preserve">4170050945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45.18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2</v>
      </c>
      <c r="BJ3760">
        <v>3.7</v>
      </c>
      <c r="BK3760">
        <v>4</v>
      </c>
      <c r="BL3760">
        <v>142.34</v>
      </c>
      <c r="BM3760">
        <v>21.35</v>
      </c>
      <c r="BN3760">
        <v>163.69</v>
      </c>
      <c r="BO3760">
        <v>163.69</v>
      </c>
      <c r="BQ3760" t="s">
        <v>160</v>
      </c>
      <c r="BR3760" t="s">
        <v>84</v>
      </c>
      <c r="BS3760" s="3">
        <v>45863</v>
      </c>
      <c r="BT3760" s="4">
        <v>0.3972222222222222</v>
      </c>
      <c r="BU3760" t="s">
        <v>161</v>
      </c>
      <c r="BV3760" t="s">
        <v>98</v>
      </c>
      <c r="BY3760">
        <v>18304</v>
      </c>
      <c r="CA3760" t="s">
        <v>3411</v>
      </c>
      <c r="CC3760" t="s">
        <v>80</v>
      </c>
      <c r="CD3760">
        <v>7441</v>
      </c>
      <c r="CE3760" t="s">
        <v>145</v>
      </c>
      <c r="CF3760" s="3">
        <v>45866</v>
      </c>
      <c r="CI3760">
        <v>1</v>
      </c>
      <c r="CJ3760">
        <v>1</v>
      </c>
      <c r="CK3760">
        <v>21</v>
      </c>
      <c r="CL3760" t="s">
        <v>86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"080066769217"</f>
        <v>080066769217</v>
      </c>
      <c r="F3761" s="3">
        <v>45862</v>
      </c>
      <c r="G3761">
        <v>202604</v>
      </c>
      <c r="H3761" t="s">
        <v>75</v>
      </c>
      <c r="I3761" t="s">
        <v>76</v>
      </c>
      <c r="J3761" t="s">
        <v>77</v>
      </c>
      <c r="K3761" t="s">
        <v>78</v>
      </c>
      <c r="L3761" t="s">
        <v>79</v>
      </c>
      <c r="M3761" t="s">
        <v>80</v>
      </c>
      <c r="N3761" t="s">
        <v>141</v>
      </c>
      <c r="O3761" t="s">
        <v>82</v>
      </c>
      <c r="P3761" t="str">
        <f>"4170050950                    "</f>
        <v xml:space="preserve">4170050950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39.53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2</v>
      </c>
      <c r="BJ3761">
        <v>3.1</v>
      </c>
      <c r="BK3761">
        <v>3.5</v>
      </c>
      <c r="BL3761">
        <v>124.55</v>
      </c>
      <c r="BM3761">
        <v>18.68</v>
      </c>
      <c r="BN3761">
        <v>143.22999999999999</v>
      </c>
      <c r="BO3761">
        <v>143.22999999999999</v>
      </c>
      <c r="BQ3761" t="s">
        <v>142</v>
      </c>
      <c r="BR3761" t="s">
        <v>84</v>
      </c>
      <c r="BS3761" s="3">
        <v>45863</v>
      </c>
      <c r="BT3761" s="4">
        <v>0.4236111111111111</v>
      </c>
      <c r="BU3761" t="s">
        <v>2437</v>
      </c>
      <c r="BV3761" t="s">
        <v>98</v>
      </c>
      <c r="BY3761">
        <v>15360</v>
      </c>
      <c r="CA3761" t="s">
        <v>144</v>
      </c>
      <c r="CC3761" t="s">
        <v>80</v>
      </c>
      <c r="CD3761">
        <v>7441</v>
      </c>
      <c r="CE3761" t="s">
        <v>145</v>
      </c>
      <c r="CF3761" s="3">
        <v>45866</v>
      </c>
      <c r="CI3761">
        <v>1</v>
      </c>
      <c r="CJ3761">
        <v>1</v>
      </c>
      <c r="CK3761">
        <v>21</v>
      </c>
      <c r="CL3761" t="s">
        <v>86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"080066769241"</f>
        <v>080066769241</v>
      </c>
      <c r="F3762" s="3">
        <v>45862</v>
      </c>
      <c r="G3762">
        <v>202604</v>
      </c>
      <c r="H3762" t="s">
        <v>75</v>
      </c>
      <c r="I3762" t="s">
        <v>76</v>
      </c>
      <c r="J3762" t="s">
        <v>77</v>
      </c>
      <c r="K3762" t="s">
        <v>78</v>
      </c>
      <c r="L3762" t="s">
        <v>79</v>
      </c>
      <c r="M3762" t="s">
        <v>80</v>
      </c>
      <c r="N3762" t="s">
        <v>931</v>
      </c>
      <c r="O3762" t="s">
        <v>82</v>
      </c>
      <c r="P3762" t="str">
        <f>"4170050947                    "</f>
        <v xml:space="preserve">4170050947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56.47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2</v>
      </c>
      <c r="BJ3762">
        <v>5</v>
      </c>
      <c r="BK3762">
        <v>5</v>
      </c>
      <c r="BL3762">
        <v>177.91</v>
      </c>
      <c r="BM3762">
        <v>26.69</v>
      </c>
      <c r="BN3762">
        <v>204.6</v>
      </c>
      <c r="BO3762">
        <v>204.6</v>
      </c>
      <c r="BQ3762" t="s">
        <v>932</v>
      </c>
      <c r="BR3762" t="s">
        <v>84</v>
      </c>
      <c r="BS3762" s="3">
        <v>45863</v>
      </c>
      <c r="BT3762" s="4">
        <v>0.41180555555555554</v>
      </c>
      <c r="BU3762" t="s">
        <v>933</v>
      </c>
      <c r="BV3762" t="s">
        <v>98</v>
      </c>
      <c r="BY3762">
        <v>25024</v>
      </c>
      <c r="CA3762" t="s">
        <v>934</v>
      </c>
      <c r="CC3762" t="s">
        <v>80</v>
      </c>
      <c r="CD3762">
        <v>7535</v>
      </c>
      <c r="CE3762" t="s">
        <v>145</v>
      </c>
      <c r="CF3762" s="3">
        <v>45866</v>
      </c>
      <c r="CI3762">
        <v>1</v>
      </c>
      <c r="CJ3762">
        <v>1</v>
      </c>
      <c r="CK3762">
        <v>21</v>
      </c>
      <c r="CL3762" t="s">
        <v>86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"080066769266"</f>
        <v>080066769266</v>
      </c>
      <c r="F3763" s="3">
        <v>45862</v>
      </c>
      <c r="G3763">
        <v>202604</v>
      </c>
      <c r="H3763" t="s">
        <v>75</v>
      </c>
      <c r="I3763" t="s">
        <v>76</v>
      </c>
      <c r="J3763" t="s">
        <v>77</v>
      </c>
      <c r="K3763" t="s">
        <v>78</v>
      </c>
      <c r="L3763" t="s">
        <v>146</v>
      </c>
      <c r="M3763" t="s">
        <v>146</v>
      </c>
      <c r="N3763" t="s">
        <v>986</v>
      </c>
      <c r="O3763" t="s">
        <v>82</v>
      </c>
      <c r="P3763" t="str">
        <f>"4170050913                    "</f>
        <v xml:space="preserve">4170050913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251.39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6</v>
      </c>
      <c r="BJ3763">
        <v>12.2</v>
      </c>
      <c r="BK3763">
        <v>12.5</v>
      </c>
      <c r="BL3763">
        <v>792.01</v>
      </c>
      <c r="BM3763">
        <v>118.8</v>
      </c>
      <c r="BN3763">
        <v>910.81</v>
      </c>
      <c r="BO3763">
        <v>910.81</v>
      </c>
      <c r="BQ3763" t="s">
        <v>987</v>
      </c>
      <c r="BR3763" t="s">
        <v>84</v>
      </c>
      <c r="BS3763" s="3">
        <v>45863</v>
      </c>
      <c r="BT3763" s="4">
        <v>0.54166666666666663</v>
      </c>
      <c r="BU3763" t="s">
        <v>635</v>
      </c>
      <c r="BV3763" t="s">
        <v>98</v>
      </c>
      <c r="BY3763">
        <v>60800</v>
      </c>
      <c r="CA3763" t="s">
        <v>150</v>
      </c>
      <c r="CC3763" t="s">
        <v>146</v>
      </c>
      <c r="CD3763">
        <v>7646</v>
      </c>
      <c r="CE3763" t="s">
        <v>91</v>
      </c>
      <c r="CF3763" s="3">
        <v>45866</v>
      </c>
      <c r="CI3763">
        <v>1</v>
      </c>
      <c r="CJ3763">
        <v>1</v>
      </c>
      <c r="CK3763">
        <v>23</v>
      </c>
      <c r="CL3763" t="s">
        <v>86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"080066769320"</f>
        <v>080066769320</v>
      </c>
      <c r="F3764" s="3">
        <v>45862</v>
      </c>
      <c r="G3764">
        <v>202604</v>
      </c>
      <c r="H3764" t="s">
        <v>75</v>
      </c>
      <c r="I3764" t="s">
        <v>76</v>
      </c>
      <c r="J3764" t="s">
        <v>77</v>
      </c>
      <c r="K3764" t="s">
        <v>78</v>
      </c>
      <c r="L3764" t="s">
        <v>75</v>
      </c>
      <c r="M3764" t="s">
        <v>76</v>
      </c>
      <c r="N3764" t="s">
        <v>701</v>
      </c>
      <c r="O3764" t="s">
        <v>82</v>
      </c>
      <c r="P3764" t="str">
        <f>"4170050943                    "</f>
        <v xml:space="preserve">4170050943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17.649999999999999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4</v>
      </c>
      <c r="BJ3764">
        <v>3.1</v>
      </c>
      <c r="BK3764">
        <v>4</v>
      </c>
      <c r="BL3764">
        <v>55.61</v>
      </c>
      <c r="BM3764">
        <v>8.34</v>
      </c>
      <c r="BN3764">
        <v>63.95</v>
      </c>
      <c r="BO3764">
        <v>63.95</v>
      </c>
      <c r="BQ3764" t="s">
        <v>702</v>
      </c>
      <c r="BR3764" t="s">
        <v>84</v>
      </c>
      <c r="BS3764" s="3">
        <v>45863</v>
      </c>
      <c r="BT3764" s="4">
        <v>0.42222222222222222</v>
      </c>
      <c r="BU3764" t="s">
        <v>703</v>
      </c>
      <c r="BV3764" t="s">
        <v>98</v>
      </c>
      <c r="BY3764">
        <v>15360</v>
      </c>
      <c r="CA3764" t="s">
        <v>617</v>
      </c>
      <c r="CC3764" t="s">
        <v>76</v>
      </c>
      <c r="CD3764">
        <v>1645</v>
      </c>
      <c r="CE3764" t="s">
        <v>145</v>
      </c>
      <c r="CF3764" s="3">
        <v>45864</v>
      </c>
      <c r="CI3764">
        <v>1</v>
      </c>
      <c r="CJ3764">
        <v>1</v>
      </c>
      <c r="CK3764">
        <v>22</v>
      </c>
      <c r="CL3764" t="s">
        <v>86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"080066769352"</f>
        <v>080066769352</v>
      </c>
      <c r="F3765" s="3">
        <v>45862</v>
      </c>
      <c r="G3765">
        <v>202604</v>
      </c>
      <c r="H3765" t="s">
        <v>75</v>
      </c>
      <c r="I3765" t="s">
        <v>76</v>
      </c>
      <c r="J3765" t="s">
        <v>77</v>
      </c>
      <c r="K3765" t="s">
        <v>78</v>
      </c>
      <c r="L3765" t="s">
        <v>75</v>
      </c>
      <c r="M3765" t="s">
        <v>76</v>
      </c>
      <c r="N3765" t="s">
        <v>701</v>
      </c>
      <c r="O3765" t="s">
        <v>82</v>
      </c>
      <c r="P3765" t="str">
        <f>"4170050955                    "</f>
        <v xml:space="preserve">4170050955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17.649999999999999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3</v>
      </c>
      <c r="BJ3765">
        <v>0.9</v>
      </c>
      <c r="BK3765">
        <v>3</v>
      </c>
      <c r="BL3765">
        <v>55.61</v>
      </c>
      <c r="BM3765">
        <v>8.34</v>
      </c>
      <c r="BN3765">
        <v>63.95</v>
      </c>
      <c r="BO3765">
        <v>63.95</v>
      </c>
      <c r="BQ3765" t="s">
        <v>702</v>
      </c>
      <c r="BR3765" t="s">
        <v>84</v>
      </c>
      <c r="BS3765" s="3">
        <v>45863</v>
      </c>
      <c r="BT3765" s="4">
        <v>0.42152777777777778</v>
      </c>
      <c r="BU3765" t="s">
        <v>1527</v>
      </c>
      <c r="BV3765" t="s">
        <v>98</v>
      </c>
      <c r="BY3765">
        <v>4256</v>
      </c>
      <c r="CA3765" t="s">
        <v>617</v>
      </c>
      <c r="CC3765" t="s">
        <v>76</v>
      </c>
      <c r="CD3765">
        <v>1645</v>
      </c>
      <c r="CE3765" t="s">
        <v>145</v>
      </c>
      <c r="CF3765" s="3">
        <v>45864</v>
      </c>
      <c r="CI3765">
        <v>1</v>
      </c>
      <c r="CJ3765">
        <v>1</v>
      </c>
      <c r="CK3765">
        <v>22</v>
      </c>
      <c r="CL3765" t="s">
        <v>86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"080066769372"</f>
        <v>080066769372</v>
      </c>
      <c r="F3766" s="3">
        <v>45862</v>
      </c>
      <c r="G3766">
        <v>202604</v>
      </c>
      <c r="H3766" t="s">
        <v>75</v>
      </c>
      <c r="I3766" t="s">
        <v>76</v>
      </c>
      <c r="J3766" t="s">
        <v>77</v>
      </c>
      <c r="K3766" t="s">
        <v>78</v>
      </c>
      <c r="L3766" t="s">
        <v>151</v>
      </c>
      <c r="M3766" t="s">
        <v>152</v>
      </c>
      <c r="N3766" t="s">
        <v>1212</v>
      </c>
      <c r="O3766" t="s">
        <v>82</v>
      </c>
      <c r="P3766" t="str">
        <f>"4170050968                    "</f>
        <v xml:space="preserve">4170050968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45.18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2</v>
      </c>
      <c r="BJ3766">
        <v>3.6</v>
      </c>
      <c r="BK3766">
        <v>4</v>
      </c>
      <c r="BL3766">
        <v>142.34</v>
      </c>
      <c r="BM3766">
        <v>21.35</v>
      </c>
      <c r="BN3766">
        <v>163.69</v>
      </c>
      <c r="BO3766">
        <v>163.69</v>
      </c>
      <c r="BQ3766" t="s">
        <v>1213</v>
      </c>
      <c r="BR3766" t="s">
        <v>84</v>
      </c>
      <c r="BS3766" s="3">
        <v>45863</v>
      </c>
      <c r="BT3766" s="4">
        <v>0.41249999999999998</v>
      </c>
      <c r="BU3766" t="s">
        <v>2018</v>
      </c>
      <c r="BV3766" t="s">
        <v>98</v>
      </c>
      <c r="BY3766">
        <v>18096</v>
      </c>
      <c r="CA3766" t="s">
        <v>716</v>
      </c>
      <c r="CC3766" t="s">
        <v>152</v>
      </c>
      <c r="CD3766" s="5" t="s">
        <v>717</v>
      </c>
      <c r="CE3766" t="s">
        <v>145</v>
      </c>
      <c r="CF3766" s="3">
        <v>45863</v>
      </c>
      <c r="CI3766">
        <v>1</v>
      </c>
      <c r="CJ3766">
        <v>1</v>
      </c>
      <c r="CK3766">
        <v>21</v>
      </c>
      <c r="CL3766" t="s">
        <v>86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"080066769399"</f>
        <v>080066769399</v>
      </c>
      <c r="F3767" s="3">
        <v>45862</v>
      </c>
      <c r="G3767">
        <v>202604</v>
      </c>
      <c r="H3767" t="s">
        <v>75</v>
      </c>
      <c r="I3767" t="s">
        <v>76</v>
      </c>
      <c r="J3767" t="s">
        <v>77</v>
      </c>
      <c r="K3767" t="s">
        <v>78</v>
      </c>
      <c r="L3767" t="s">
        <v>503</v>
      </c>
      <c r="M3767" t="s">
        <v>504</v>
      </c>
      <c r="N3767" t="s">
        <v>505</v>
      </c>
      <c r="O3767" t="s">
        <v>82</v>
      </c>
      <c r="P3767" t="str">
        <f>"4170050825                    "</f>
        <v xml:space="preserve">4170050825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43.78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1.1000000000000001</v>
      </c>
      <c r="BK3767">
        <v>1.5</v>
      </c>
      <c r="BL3767">
        <v>137.94</v>
      </c>
      <c r="BM3767">
        <v>20.69</v>
      </c>
      <c r="BN3767">
        <v>158.63</v>
      </c>
      <c r="BO3767">
        <v>158.63</v>
      </c>
      <c r="BQ3767" t="s">
        <v>506</v>
      </c>
      <c r="BR3767" t="s">
        <v>84</v>
      </c>
      <c r="BS3767" s="3">
        <v>45863</v>
      </c>
      <c r="BT3767" s="4">
        <v>0.47430555555555554</v>
      </c>
      <c r="BU3767" t="s">
        <v>1235</v>
      </c>
      <c r="BV3767" t="s">
        <v>98</v>
      </c>
      <c r="BY3767">
        <v>5320</v>
      </c>
      <c r="CA3767" t="s">
        <v>508</v>
      </c>
      <c r="CC3767" t="s">
        <v>504</v>
      </c>
      <c r="CD3767">
        <v>7130</v>
      </c>
      <c r="CE3767" t="s">
        <v>145</v>
      </c>
      <c r="CF3767" s="3">
        <v>45866</v>
      </c>
      <c r="CI3767">
        <v>1</v>
      </c>
      <c r="CJ3767">
        <v>1</v>
      </c>
      <c r="CK3767">
        <v>23</v>
      </c>
      <c r="CL3767" t="s">
        <v>86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"080066769401"</f>
        <v>080066769401</v>
      </c>
      <c r="F3768" s="3">
        <v>45862</v>
      </c>
      <c r="G3768">
        <v>202604</v>
      </c>
      <c r="H3768" t="s">
        <v>75</v>
      </c>
      <c r="I3768" t="s">
        <v>76</v>
      </c>
      <c r="J3768" t="s">
        <v>77</v>
      </c>
      <c r="K3768" t="s">
        <v>78</v>
      </c>
      <c r="L3768" t="s">
        <v>3483</v>
      </c>
      <c r="M3768" t="s">
        <v>3484</v>
      </c>
      <c r="N3768" t="s">
        <v>3485</v>
      </c>
      <c r="O3768" t="s">
        <v>82</v>
      </c>
      <c r="P3768" t="str">
        <f>"009943879267                  "</f>
        <v xml:space="preserve">009943879267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43.78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16.739999999999998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154.68</v>
      </c>
      <c r="BM3768">
        <v>23.2</v>
      </c>
      <c r="BN3768">
        <v>177.88</v>
      </c>
      <c r="BO3768">
        <v>177.88</v>
      </c>
      <c r="BQ3768" t="s">
        <v>3486</v>
      </c>
      <c r="BR3768" t="s">
        <v>84</v>
      </c>
      <c r="BS3768" s="3">
        <v>45867</v>
      </c>
      <c r="BT3768" s="4">
        <v>0.41666666666666669</v>
      </c>
      <c r="BU3768" t="s">
        <v>3487</v>
      </c>
      <c r="BV3768" t="s">
        <v>98</v>
      </c>
      <c r="BY3768">
        <v>1200</v>
      </c>
      <c r="BZ3768" t="s">
        <v>3488</v>
      </c>
      <c r="CC3768" t="s">
        <v>3484</v>
      </c>
      <c r="CD3768">
        <v>3010</v>
      </c>
      <c r="CE3768" t="s">
        <v>3489</v>
      </c>
      <c r="CF3768" s="3">
        <v>45869</v>
      </c>
      <c r="CI3768">
        <v>5</v>
      </c>
      <c r="CJ3768">
        <v>3</v>
      </c>
      <c r="CK3768">
        <v>23</v>
      </c>
      <c r="CL3768" t="s">
        <v>86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"080066769429"</f>
        <v>080066769429</v>
      </c>
      <c r="F3769" s="3">
        <v>45862</v>
      </c>
      <c r="G3769">
        <v>202604</v>
      </c>
      <c r="H3769" t="s">
        <v>75</v>
      </c>
      <c r="I3769" t="s">
        <v>76</v>
      </c>
      <c r="J3769" t="s">
        <v>77</v>
      </c>
      <c r="K3769" t="s">
        <v>78</v>
      </c>
      <c r="L3769" t="s">
        <v>1370</v>
      </c>
      <c r="M3769" t="s">
        <v>1371</v>
      </c>
      <c r="N3769" t="s">
        <v>1346</v>
      </c>
      <c r="O3769" t="s">
        <v>82</v>
      </c>
      <c r="P3769" t="str">
        <f>"4170050951                    "</f>
        <v xml:space="preserve">4170050951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43.78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1.3</v>
      </c>
      <c r="BK3769">
        <v>1.5</v>
      </c>
      <c r="BL3769">
        <v>137.94</v>
      </c>
      <c r="BM3769">
        <v>20.69</v>
      </c>
      <c r="BN3769">
        <v>158.63</v>
      </c>
      <c r="BO3769">
        <v>158.63</v>
      </c>
      <c r="BQ3769" t="s">
        <v>1347</v>
      </c>
      <c r="BR3769" t="s">
        <v>84</v>
      </c>
      <c r="BS3769" s="3">
        <v>45863</v>
      </c>
      <c r="BT3769" s="4">
        <v>0.47916666666666669</v>
      </c>
      <c r="BU3769" t="s">
        <v>2112</v>
      </c>
      <c r="BV3769" t="s">
        <v>98</v>
      </c>
      <c r="BY3769">
        <v>6384</v>
      </c>
      <c r="CA3769" t="s">
        <v>1375</v>
      </c>
      <c r="CC3769" t="s">
        <v>1371</v>
      </c>
      <c r="CD3769" s="5" t="s">
        <v>1376</v>
      </c>
      <c r="CE3769" t="s">
        <v>110</v>
      </c>
      <c r="CF3769" s="3">
        <v>45866</v>
      </c>
      <c r="CI3769">
        <v>1</v>
      </c>
      <c r="CJ3769">
        <v>1</v>
      </c>
      <c r="CK3769">
        <v>23</v>
      </c>
      <c r="CL3769" t="s">
        <v>86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"080066769438"</f>
        <v>080066769438</v>
      </c>
      <c r="F3770" s="3">
        <v>45862</v>
      </c>
      <c r="G3770">
        <v>202604</v>
      </c>
      <c r="H3770" t="s">
        <v>75</v>
      </c>
      <c r="I3770" t="s">
        <v>76</v>
      </c>
      <c r="J3770" t="s">
        <v>77</v>
      </c>
      <c r="K3770" t="s">
        <v>78</v>
      </c>
      <c r="L3770" t="s">
        <v>390</v>
      </c>
      <c r="M3770" t="s">
        <v>391</v>
      </c>
      <c r="N3770" t="s">
        <v>3490</v>
      </c>
      <c r="O3770" t="s">
        <v>82</v>
      </c>
      <c r="P3770" t="str">
        <f>"4170050873                    "</f>
        <v xml:space="preserve">4170050873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17.649999999999999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55.61</v>
      </c>
      <c r="BM3770">
        <v>8.34</v>
      </c>
      <c r="BN3770">
        <v>63.95</v>
      </c>
      <c r="BO3770">
        <v>63.95</v>
      </c>
      <c r="BQ3770" t="s">
        <v>3491</v>
      </c>
      <c r="BR3770" t="s">
        <v>84</v>
      </c>
      <c r="BS3770" s="3">
        <v>45863</v>
      </c>
      <c r="BT3770" s="4">
        <v>0.34305555555555556</v>
      </c>
      <c r="BU3770" t="s">
        <v>2195</v>
      </c>
      <c r="BV3770" t="s">
        <v>98</v>
      </c>
      <c r="BY3770">
        <v>1200</v>
      </c>
      <c r="CA3770" t="s">
        <v>1943</v>
      </c>
      <c r="CC3770" t="s">
        <v>391</v>
      </c>
      <c r="CD3770">
        <v>1724</v>
      </c>
      <c r="CE3770" t="s">
        <v>110</v>
      </c>
      <c r="CF3770" s="3">
        <v>45863</v>
      </c>
      <c r="CI3770">
        <v>1</v>
      </c>
      <c r="CJ3770">
        <v>1</v>
      </c>
      <c r="CK3770">
        <v>22</v>
      </c>
      <c r="CL3770" t="s">
        <v>86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"080066769456"</f>
        <v>080066769456</v>
      </c>
      <c r="F3771" s="3">
        <v>45862</v>
      </c>
      <c r="G3771">
        <v>202604</v>
      </c>
      <c r="H3771" t="s">
        <v>75</v>
      </c>
      <c r="I3771" t="s">
        <v>76</v>
      </c>
      <c r="J3771" t="s">
        <v>77</v>
      </c>
      <c r="K3771" t="s">
        <v>78</v>
      </c>
      <c r="L3771" t="s">
        <v>128</v>
      </c>
      <c r="M3771" t="s">
        <v>129</v>
      </c>
      <c r="N3771" t="s">
        <v>130</v>
      </c>
      <c r="O3771" t="s">
        <v>82</v>
      </c>
      <c r="P3771" t="str">
        <f>"4170050761                    "</f>
        <v xml:space="preserve">4170050761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43.78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137.94</v>
      </c>
      <c r="BM3771">
        <v>20.69</v>
      </c>
      <c r="BN3771">
        <v>158.63</v>
      </c>
      <c r="BO3771">
        <v>158.63</v>
      </c>
      <c r="BQ3771" t="s">
        <v>131</v>
      </c>
      <c r="BR3771" t="s">
        <v>84</v>
      </c>
      <c r="BS3771" s="3">
        <v>45863</v>
      </c>
      <c r="BT3771" s="4">
        <v>0.43263888888888891</v>
      </c>
      <c r="BU3771" t="s">
        <v>132</v>
      </c>
      <c r="BV3771" t="s">
        <v>98</v>
      </c>
      <c r="BY3771">
        <v>1200</v>
      </c>
      <c r="BZ3771" t="s">
        <v>89</v>
      </c>
      <c r="CA3771" t="s">
        <v>133</v>
      </c>
      <c r="CC3771" t="s">
        <v>129</v>
      </c>
      <c r="CD3771" s="5" t="s">
        <v>134</v>
      </c>
      <c r="CE3771" t="s">
        <v>110</v>
      </c>
      <c r="CF3771" s="3">
        <v>45866</v>
      </c>
      <c r="CI3771">
        <v>1</v>
      </c>
      <c r="CJ3771">
        <v>1</v>
      </c>
      <c r="CK3771">
        <v>23</v>
      </c>
      <c r="CL3771" t="s">
        <v>86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"080066769469"</f>
        <v>080066769469</v>
      </c>
      <c r="F3772" s="3">
        <v>45862</v>
      </c>
      <c r="G3772">
        <v>202604</v>
      </c>
      <c r="H3772" t="s">
        <v>75</v>
      </c>
      <c r="I3772" t="s">
        <v>76</v>
      </c>
      <c r="J3772" t="s">
        <v>77</v>
      </c>
      <c r="K3772" t="s">
        <v>78</v>
      </c>
      <c r="L3772" t="s">
        <v>151</v>
      </c>
      <c r="M3772" t="s">
        <v>152</v>
      </c>
      <c r="N3772" t="s">
        <v>1759</v>
      </c>
      <c r="O3772" t="s">
        <v>95</v>
      </c>
      <c r="P3772" t="str">
        <f>"4170050961                    "</f>
        <v xml:space="preserve">4170050961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54.53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17</v>
      </c>
      <c r="BJ3772">
        <v>20.5</v>
      </c>
      <c r="BK3772">
        <v>21</v>
      </c>
      <c r="BL3772">
        <v>177.66</v>
      </c>
      <c r="BM3772">
        <v>26.65</v>
      </c>
      <c r="BN3772">
        <v>204.31</v>
      </c>
      <c r="BO3772">
        <v>204.31</v>
      </c>
      <c r="BQ3772" t="s">
        <v>1760</v>
      </c>
      <c r="BR3772" t="s">
        <v>84</v>
      </c>
      <c r="BS3772" s="3">
        <v>45863</v>
      </c>
      <c r="BT3772" s="4">
        <v>0.33541666666666664</v>
      </c>
      <c r="BU3772" t="s">
        <v>2393</v>
      </c>
      <c r="BV3772" t="s">
        <v>98</v>
      </c>
      <c r="BY3772">
        <v>102700</v>
      </c>
      <c r="BZ3772" t="s">
        <v>99</v>
      </c>
      <c r="CA3772" t="s">
        <v>3384</v>
      </c>
      <c r="CC3772" t="s">
        <v>152</v>
      </c>
      <c r="CD3772" s="5" t="s">
        <v>684</v>
      </c>
      <c r="CE3772" t="s">
        <v>110</v>
      </c>
      <c r="CF3772" s="3">
        <v>45863</v>
      </c>
      <c r="CI3772">
        <v>1</v>
      </c>
      <c r="CJ3772">
        <v>1</v>
      </c>
      <c r="CK3772">
        <v>41</v>
      </c>
      <c r="CL3772" t="s">
        <v>86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"080066769474"</f>
        <v>080066769474</v>
      </c>
      <c r="F3773" s="3">
        <v>45862</v>
      </c>
      <c r="G3773">
        <v>202604</v>
      </c>
      <c r="H3773" t="s">
        <v>75</v>
      </c>
      <c r="I3773" t="s">
        <v>76</v>
      </c>
      <c r="J3773" t="s">
        <v>77</v>
      </c>
      <c r="K3773" t="s">
        <v>78</v>
      </c>
      <c r="L3773" t="s">
        <v>221</v>
      </c>
      <c r="M3773" t="s">
        <v>222</v>
      </c>
      <c r="N3773" t="s">
        <v>223</v>
      </c>
      <c r="O3773" t="s">
        <v>82</v>
      </c>
      <c r="P3773" t="str">
        <f>"4170050875                    "</f>
        <v xml:space="preserve">4170050875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43.78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137.94</v>
      </c>
      <c r="BM3773">
        <v>20.69</v>
      </c>
      <c r="BN3773">
        <v>158.63</v>
      </c>
      <c r="BO3773">
        <v>158.63</v>
      </c>
      <c r="BQ3773" t="s">
        <v>224</v>
      </c>
      <c r="BR3773" t="s">
        <v>84</v>
      </c>
      <c r="BS3773" s="3">
        <v>45863</v>
      </c>
      <c r="BT3773" s="4">
        <v>0.4513888888888889</v>
      </c>
      <c r="BU3773" t="s">
        <v>2049</v>
      </c>
      <c r="BV3773" t="s">
        <v>98</v>
      </c>
      <c r="BY3773">
        <v>1200</v>
      </c>
      <c r="BZ3773" t="s">
        <v>89</v>
      </c>
      <c r="CC3773" t="s">
        <v>222</v>
      </c>
      <c r="CD3773">
        <v>2740</v>
      </c>
      <c r="CE3773" t="s">
        <v>110</v>
      </c>
      <c r="CF3773" s="3">
        <v>45866</v>
      </c>
      <c r="CI3773">
        <v>1</v>
      </c>
      <c r="CJ3773">
        <v>1</v>
      </c>
      <c r="CK3773">
        <v>23</v>
      </c>
      <c r="CL3773" t="s">
        <v>86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"080066769495"</f>
        <v>080066769495</v>
      </c>
      <c r="F3774" s="3">
        <v>45862</v>
      </c>
      <c r="G3774">
        <v>202604</v>
      </c>
      <c r="H3774" t="s">
        <v>75</v>
      </c>
      <c r="I3774" t="s">
        <v>76</v>
      </c>
      <c r="J3774" t="s">
        <v>77</v>
      </c>
      <c r="K3774" t="s">
        <v>78</v>
      </c>
      <c r="L3774" t="s">
        <v>75</v>
      </c>
      <c r="M3774" t="s">
        <v>76</v>
      </c>
      <c r="N3774" t="s">
        <v>1855</v>
      </c>
      <c r="O3774" t="s">
        <v>82</v>
      </c>
      <c r="P3774" t="str">
        <f>"4170050780                    "</f>
        <v xml:space="preserve">4170050780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17.649999999999999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55.61</v>
      </c>
      <c r="BM3774">
        <v>8.34</v>
      </c>
      <c r="BN3774">
        <v>63.95</v>
      </c>
      <c r="BO3774">
        <v>63.95</v>
      </c>
      <c r="BQ3774" t="s">
        <v>1856</v>
      </c>
      <c r="BR3774" t="s">
        <v>84</v>
      </c>
      <c r="BS3774" s="3">
        <v>45863</v>
      </c>
      <c r="BT3774" s="4">
        <v>0.42708333333333331</v>
      </c>
      <c r="BU3774" t="s">
        <v>2571</v>
      </c>
      <c r="BV3774" t="s">
        <v>98</v>
      </c>
      <c r="BY3774">
        <v>1200</v>
      </c>
      <c r="CA3774" t="s">
        <v>304</v>
      </c>
      <c r="CC3774" t="s">
        <v>76</v>
      </c>
      <c r="CD3774">
        <v>1600</v>
      </c>
      <c r="CE3774" t="s">
        <v>121</v>
      </c>
      <c r="CF3774" s="3">
        <v>45863</v>
      </c>
      <c r="CI3774">
        <v>1</v>
      </c>
      <c r="CJ3774">
        <v>1</v>
      </c>
      <c r="CK3774">
        <v>22</v>
      </c>
      <c r="CL3774" t="s">
        <v>86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"080066769496"</f>
        <v>080066769496</v>
      </c>
      <c r="F3775" s="3">
        <v>45862</v>
      </c>
      <c r="G3775">
        <v>202604</v>
      </c>
      <c r="H3775" t="s">
        <v>75</v>
      </c>
      <c r="I3775" t="s">
        <v>76</v>
      </c>
      <c r="J3775" t="s">
        <v>77</v>
      </c>
      <c r="K3775" t="s">
        <v>78</v>
      </c>
      <c r="L3775" t="s">
        <v>277</v>
      </c>
      <c r="M3775" t="s">
        <v>278</v>
      </c>
      <c r="N3775" t="s">
        <v>2683</v>
      </c>
      <c r="O3775" t="s">
        <v>82</v>
      </c>
      <c r="P3775" t="str">
        <f>"4170050803                    "</f>
        <v xml:space="preserve">4170050803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22.6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1.1000000000000001</v>
      </c>
      <c r="BK3775">
        <v>1.5</v>
      </c>
      <c r="BL3775">
        <v>71.2</v>
      </c>
      <c r="BM3775">
        <v>10.68</v>
      </c>
      <c r="BN3775">
        <v>81.88</v>
      </c>
      <c r="BO3775">
        <v>81.88</v>
      </c>
      <c r="BQ3775" t="s">
        <v>2684</v>
      </c>
      <c r="BR3775" t="s">
        <v>84</v>
      </c>
      <c r="BS3775" s="3">
        <v>45863</v>
      </c>
      <c r="BT3775" s="4">
        <v>0.41041666666666665</v>
      </c>
      <c r="BU3775" t="s">
        <v>2859</v>
      </c>
      <c r="BV3775" t="s">
        <v>98</v>
      </c>
      <c r="BY3775">
        <v>5320</v>
      </c>
      <c r="CA3775" t="s">
        <v>282</v>
      </c>
      <c r="CC3775" t="s">
        <v>278</v>
      </c>
      <c r="CD3775">
        <v>6230</v>
      </c>
      <c r="CE3775" t="s">
        <v>145</v>
      </c>
      <c r="CF3775" s="3">
        <v>45863</v>
      </c>
      <c r="CI3775">
        <v>1</v>
      </c>
      <c r="CJ3775">
        <v>1</v>
      </c>
      <c r="CK3775">
        <v>21</v>
      </c>
      <c r="CL3775" t="s">
        <v>86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"080066769507"</f>
        <v>080066769507</v>
      </c>
      <c r="F3776" s="3">
        <v>45862</v>
      </c>
      <c r="G3776">
        <v>202604</v>
      </c>
      <c r="H3776" t="s">
        <v>75</v>
      </c>
      <c r="I3776" t="s">
        <v>76</v>
      </c>
      <c r="J3776" t="s">
        <v>77</v>
      </c>
      <c r="K3776" t="s">
        <v>78</v>
      </c>
      <c r="L3776" t="s">
        <v>75</v>
      </c>
      <c r="M3776" t="s">
        <v>76</v>
      </c>
      <c r="N3776" t="s">
        <v>3492</v>
      </c>
      <c r="O3776" t="s">
        <v>82</v>
      </c>
      <c r="P3776" t="str">
        <f>"4170050852                    "</f>
        <v xml:space="preserve">4170050852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17.649999999999999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55.61</v>
      </c>
      <c r="BM3776">
        <v>8.34</v>
      </c>
      <c r="BN3776">
        <v>63.95</v>
      </c>
      <c r="BO3776">
        <v>63.95</v>
      </c>
      <c r="BQ3776" t="s">
        <v>3493</v>
      </c>
      <c r="BR3776" t="s">
        <v>84</v>
      </c>
      <c r="BS3776" s="3">
        <v>45863</v>
      </c>
      <c r="BT3776" s="4">
        <v>0.40694444444444444</v>
      </c>
      <c r="BU3776" t="s">
        <v>975</v>
      </c>
      <c r="BV3776" t="s">
        <v>98</v>
      </c>
      <c r="BY3776">
        <v>1200</v>
      </c>
      <c r="CA3776" t="s">
        <v>617</v>
      </c>
      <c r="CC3776" t="s">
        <v>76</v>
      </c>
      <c r="CD3776">
        <v>1609</v>
      </c>
      <c r="CE3776" t="s">
        <v>121</v>
      </c>
      <c r="CF3776" s="3">
        <v>45864</v>
      </c>
      <c r="CI3776">
        <v>1</v>
      </c>
      <c r="CJ3776">
        <v>1</v>
      </c>
      <c r="CK3776">
        <v>22</v>
      </c>
      <c r="CL3776" t="s">
        <v>86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"080066769697"</f>
        <v>080066769697</v>
      </c>
      <c r="F3777" s="3">
        <v>45862</v>
      </c>
      <c r="G3777">
        <v>202604</v>
      </c>
      <c r="H3777" t="s">
        <v>75</v>
      </c>
      <c r="I3777" t="s">
        <v>76</v>
      </c>
      <c r="J3777" t="s">
        <v>77</v>
      </c>
      <c r="K3777" t="s">
        <v>78</v>
      </c>
      <c r="L3777" t="s">
        <v>427</v>
      </c>
      <c r="M3777" t="s">
        <v>428</v>
      </c>
      <c r="N3777" t="s">
        <v>429</v>
      </c>
      <c r="O3777" t="s">
        <v>82</v>
      </c>
      <c r="P3777" t="str">
        <f>"4170050753                    "</f>
        <v xml:space="preserve">4170050753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43.78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</v>
      </c>
      <c r="BJ3777">
        <v>1.1000000000000001</v>
      </c>
      <c r="BK3777">
        <v>2</v>
      </c>
      <c r="BL3777">
        <v>137.94</v>
      </c>
      <c r="BM3777">
        <v>20.69</v>
      </c>
      <c r="BN3777">
        <v>158.63</v>
      </c>
      <c r="BO3777">
        <v>158.63</v>
      </c>
      <c r="BQ3777" t="s">
        <v>430</v>
      </c>
      <c r="BR3777" t="s">
        <v>84</v>
      </c>
      <c r="BS3777" s="3">
        <v>45867</v>
      </c>
      <c r="BT3777" s="4">
        <v>0.69097222222222221</v>
      </c>
      <c r="BU3777" t="s">
        <v>3494</v>
      </c>
      <c r="BV3777" t="s">
        <v>86</v>
      </c>
      <c r="BW3777" t="s">
        <v>395</v>
      </c>
      <c r="BX3777" t="s">
        <v>3495</v>
      </c>
      <c r="BY3777">
        <v>5320</v>
      </c>
      <c r="CC3777" t="s">
        <v>428</v>
      </c>
      <c r="CD3777">
        <v>9880</v>
      </c>
      <c r="CE3777" t="s">
        <v>145</v>
      </c>
      <c r="CF3777" s="3">
        <v>45868</v>
      </c>
      <c r="CI3777">
        <v>1</v>
      </c>
      <c r="CJ3777">
        <v>3</v>
      </c>
      <c r="CK3777">
        <v>23</v>
      </c>
      <c r="CL3777" t="s">
        <v>86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"080066769716"</f>
        <v>080066769716</v>
      </c>
      <c r="F3778" s="3">
        <v>45862</v>
      </c>
      <c r="G3778">
        <v>202604</v>
      </c>
      <c r="H3778" t="s">
        <v>75</v>
      </c>
      <c r="I3778" t="s">
        <v>76</v>
      </c>
      <c r="J3778" t="s">
        <v>77</v>
      </c>
      <c r="K3778" t="s">
        <v>78</v>
      </c>
      <c r="L3778" t="s">
        <v>135</v>
      </c>
      <c r="M3778" t="s">
        <v>136</v>
      </c>
      <c r="N3778" t="s">
        <v>416</v>
      </c>
      <c r="O3778" t="s">
        <v>82</v>
      </c>
      <c r="P3778" t="str">
        <f>"4170050752                    "</f>
        <v xml:space="preserve">4170050752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22.6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</v>
      </c>
      <c r="BJ3778">
        <v>1.7</v>
      </c>
      <c r="BK3778">
        <v>2</v>
      </c>
      <c r="BL3778">
        <v>71.2</v>
      </c>
      <c r="BM3778">
        <v>10.68</v>
      </c>
      <c r="BN3778">
        <v>81.88</v>
      </c>
      <c r="BO3778">
        <v>81.88</v>
      </c>
      <c r="BQ3778" t="s">
        <v>417</v>
      </c>
      <c r="BR3778" t="s">
        <v>84</v>
      </c>
      <c r="BS3778" s="3">
        <v>45863</v>
      </c>
      <c r="BT3778" s="4">
        <v>0.41666666666666669</v>
      </c>
      <c r="BU3778" t="s">
        <v>3262</v>
      </c>
      <c r="BV3778" t="s">
        <v>98</v>
      </c>
      <c r="BY3778">
        <v>8512</v>
      </c>
      <c r="CC3778" t="s">
        <v>136</v>
      </c>
      <c r="CD3778">
        <v>3201</v>
      </c>
      <c r="CE3778" t="s">
        <v>145</v>
      </c>
      <c r="CF3778" s="3">
        <v>45864</v>
      </c>
      <c r="CI3778">
        <v>1</v>
      </c>
      <c r="CJ3778">
        <v>1</v>
      </c>
      <c r="CK3778">
        <v>21</v>
      </c>
      <c r="CL3778" t="s">
        <v>86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"080066769734"</f>
        <v>080066769734</v>
      </c>
      <c r="F3779" s="3">
        <v>45862</v>
      </c>
      <c r="G3779">
        <v>202604</v>
      </c>
      <c r="H3779" t="s">
        <v>75</v>
      </c>
      <c r="I3779" t="s">
        <v>76</v>
      </c>
      <c r="J3779" t="s">
        <v>77</v>
      </c>
      <c r="K3779" t="s">
        <v>78</v>
      </c>
      <c r="L3779" t="s">
        <v>168</v>
      </c>
      <c r="M3779" t="s">
        <v>169</v>
      </c>
      <c r="N3779" t="s">
        <v>206</v>
      </c>
      <c r="O3779" t="s">
        <v>82</v>
      </c>
      <c r="P3779" t="str">
        <f>"4170050778                    "</f>
        <v xml:space="preserve">4170050778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33.89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3</v>
      </c>
      <c r="BJ3779">
        <v>1.7</v>
      </c>
      <c r="BK3779">
        <v>3</v>
      </c>
      <c r="BL3779">
        <v>106.77</v>
      </c>
      <c r="BM3779">
        <v>16.02</v>
      </c>
      <c r="BN3779">
        <v>122.79</v>
      </c>
      <c r="BO3779">
        <v>122.79</v>
      </c>
      <c r="BQ3779" t="s">
        <v>207</v>
      </c>
      <c r="BR3779" t="s">
        <v>84</v>
      </c>
      <c r="BS3779" s="3">
        <v>45863</v>
      </c>
      <c r="BT3779" s="4">
        <v>0.41041666666666665</v>
      </c>
      <c r="BU3779" t="s">
        <v>2957</v>
      </c>
      <c r="BV3779" t="s">
        <v>98</v>
      </c>
      <c r="BY3779">
        <v>8512</v>
      </c>
      <c r="CA3779" t="s">
        <v>196</v>
      </c>
      <c r="CC3779" t="s">
        <v>169</v>
      </c>
      <c r="CD3779">
        <v>6001</v>
      </c>
      <c r="CE3779" t="s">
        <v>145</v>
      </c>
      <c r="CF3779" s="3">
        <v>45863</v>
      </c>
      <c r="CI3779">
        <v>1</v>
      </c>
      <c r="CJ3779">
        <v>1</v>
      </c>
      <c r="CK3779">
        <v>21</v>
      </c>
      <c r="CL3779" t="s">
        <v>86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"080066769808"</f>
        <v>080066769808</v>
      </c>
      <c r="F3780" s="3">
        <v>45862</v>
      </c>
      <c r="G3780">
        <v>202604</v>
      </c>
      <c r="H3780" t="s">
        <v>75</v>
      </c>
      <c r="I3780" t="s">
        <v>76</v>
      </c>
      <c r="J3780" t="s">
        <v>77</v>
      </c>
      <c r="K3780" t="s">
        <v>78</v>
      </c>
      <c r="L3780" t="s">
        <v>530</v>
      </c>
      <c r="M3780" t="s">
        <v>531</v>
      </c>
      <c r="N3780" t="s">
        <v>532</v>
      </c>
      <c r="O3780" t="s">
        <v>82</v>
      </c>
      <c r="P3780" t="str">
        <f>"4170050903                    "</f>
        <v xml:space="preserve">4170050903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17.649999999999999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55.61</v>
      </c>
      <c r="BM3780">
        <v>8.34</v>
      </c>
      <c r="BN3780">
        <v>63.95</v>
      </c>
      <c r="BO3780">
        <v>63.95</v>
      </c>
      <c r="BQ3780" t="s">
        <v>533</v>
      </c>
      <c r="BR3780" t="s">
        <v>84</v>
      </c>
      <c r="BS3780" s="3">
        <v>45863</v>
      </c>
      <c r="BT3780" s="4">
        <v>0.37569444444444444</v>
      </c>
      <c r="BU3780" t="s">
        <v>3496</v>
      </c>
      <c r="BV3780" t="s">
        <v>98</v>
      </c>
      <c r="BY3780">
        <v>1200</v>
      </c>
      <c r="CA3780" t="s">
        <v>1148</v>
      </c>
      <c r="CC3780" t="s">
        <v>531</v>
      </c>
      <c r="CD3780">
        <v>1540</v>
      </c>
      <c r="CE3780" t="s">
        <v>121</v>
      </c>
      <c r="CF3780" s="3">
        <v>45863</v>
      </c>
      <c r="CI3780">
        <v>1</v>
      </c>
      <c r="CJ3780">
        <v>1</v>
      </c>
      <c r="CK3780">
        <v>22</v>
      </c>
      <c r="CL3780" t="s">
        <v>86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"080066769815"</f>
        <v>080066769815</v>
      </c>
      <c r="F3781" s="3">
        <v>45862</v>
      </c>
      <c r="G3781">
        <v>202604</v>
      </c>
      <c r="H3781" t="s">
        <v>75</v>
      </c>
      <c r="I3781" t="s">
        <v>76</v>
      </c>
      <c r="J3781" t="s">
        <v>77</v>
      </c>
      <c r="K3781" t="s">
        <v>78</v>
      </c>
      <c r="L3781" t="s">
        <v>75</v>
      </c>
      <c r="M3781" t="s">
        <v>76</v>
      </c>
      <c r="N3781" t="s">
        <v>701</v>
      </c>
      <c r="O3781" t="s">
        <v>82</v>
      </c>
      <c r="P3781" t="str">
        <f>"4170050908                    "</f>
        <v xml:space="preserve">4170050908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17.649999999999999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55.61</v>
      </c>
      <c r="BM3781">
        <v>8.34</v>
      </c>
      <c r="BN3781">
        <v>63.95</v>
      </c>
      <c r="BO3781">
        <v>63.95</v>
      </c>
      <c r="BQ3781" t="s">
        <v>702</v>
      </c>
      <c r="BR3781" t="s">
        <v>84</v>
      </c>
      <c r="BS3781" s="3">
        <v>45863</v>
      </c>
      <c r="BT3781" s="4">
        <v>0.42152777777777778</v>
      </c>
      <c r="BU3781" t="s">
        <v>1527</v>
      </c>
      <c r="BV3781" t="s">
        <v>98</v>
      </c>
      <c r="BY3781">
        <v>1200</v>
      </c>
      <c r="CA3781" t="s">
        <v>617</v>
      </c>
      <c r="CC3781" t="s">
        <v>76</v>
      </c>
      <c r="CD3781">
        <v>1645</v>
      </c>
      <c r="CE3781" t="s">
        <v>121</v>
      </c>
      <c r="CF3781" s="3">
        <v>45864</v>
      </c>
      <c r="CI3781">
        <v>1</v>
      </c>
      <c r="CJ3781">
        <v>1</v>
      </c>
      <c r="CK3781">
        <v>22</v>
      </c>
      <c r="CL3781" t="s">
        <v>86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"080066769829"</f>
        <v>080066769829</v>
      </c>
      <c r="F3782" s="3">
        <v>45862</v>
      </c>
      <c r="G3782">
        <v>202604</v>
      </c>
      <c r="H3782" t="s">
        <v>75</v>
      </c>
      <c r="I3782" t="s">
        <v>76</v>
      </c>
      <c r="J3782" t="s">
        <v>77</v>
      </c>
      <c r="K3782" t="s">
        <v>78</v>
      </c>
      <c r="L3782" t="s">
        <v>329</v>
      </c>
      <c r="M3782" t="s">
        <v>330</v>
      </c>
      <c r="N3782" t="s">
        <v>331</v>
      </c>
      <c r="O3782" t="s">
        <v>82</v>
      </c>
      <c r="P3782" t="str">
        <f>"4170050899                    "</f>
        <v xml:space="preserve">4170050899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43.78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137.94</v>
      </c>
      <c r="BM3782">
        <v>20.69</v>
      </c>
      <c r="BN3782">
        <v>158.63</v>
      </c>
      <c r="BO3782">
        <v>158.63</v>
      </c>
      <c r="BQ3782" t="s">
        <v>332</v>
      </c>
      <c r="BR3782" t="s">
        <v>84</v>
      </c>
      <c r="BS3782" s="3">
        <v>45863</v>
      </c>
      <c r="BT3782" s="4">
        <v>0.49305555555555558</v>
      </c>
      <c r="BU3782" t="s">
        <v>333</v>
      </c>
      <c r="BV3782" t="s">
        <v>98</v>
      </c>
      <c r="BY3782">
        <v>1200</v>
      </c>
      <c r="CA3782" t="s">
        <v>1153</v>
      </c>
      <c r="CC3782" t="s">
        <v>330</v>
      </c>
      <c r="CD3782">
        <v>6300</v>
      </c>
      <c r="CE3782" t="s">
        <v>121</v>
      </c>
      <c r="CF3782" s="3">
        <v>45863</v>
      </c>
      <c r="CI3782">
        <v>2</v>
      </c>
      <c r="CJ3782">
        <v>1</v>
      </c>
      <c r="CK3782">
        <v>23</v>
      </c>
      <c r="CL3782" t="s">
        <v>86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"080066769844"</f>
        <v>080066769844</v>
      </c>
      <c r="F3783" s="3">
        <v>45862</v>
      </c>
      <c r="G3783">
        <v>202604</v>
      </c>
      <c r="H3783" t="s">
        <v>75</v>
      </c>
      <c r="I3783" t="s">
        <v>76</v>
      </c>
      <c r="J3783" t="s">
        <v>77</v>
      </c>
      <c r="K3783" t="s">
        <v>78</v>
      </c>
      <c r="L3783" t="s">
        <v>168</v>
      </c>
      <c r="M3783" t="s">
        <v>169</v>
      </c>
      <c r="N3783" t="s">
        <v>1777</v>
      </c>
      <c r="O3783" t="s">
        <v>82</v>
      </c>
      <c r="P3783" t="str">
        <f>"4170050876                    "</f>
        <v xml:space="preserve">4170050876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22.6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71.2</v>
      </c>
      <c r="BM3783">
        <v>10.68</v>
      </c>
      <c r="BN3783">
        <v>81.88</v>
      </c>
      <c r="BO3783">
        <v>81.88</v>
      </c>
      <c r="BQ3783" t="s">
        <v>1778</v>
      </c>
      <c r="BR3783" t="s">
        <v>84</v>
      </c>
      <c r="BS3783" s="3">
        <v>45863</v>
      </c>
      <c r="BT3783" s="4">
        <v>0.39027777777777778</v>
      </c>
      <c r="BU3783" t="s">
        <v>3497</v>
      </c>
      <c r="BV3783" t="s">
        <v>98</v>
      </c>
      <c r="BY3783">
        <v>1200</v>
      </c>
      <c r="CA3783" t="s">
        <v>196</v>
      </c>
      <c r="CC3783" t="s">
        <v>169</v>
      </c>
      <c r="CD3783">
        <v>6001</v>
      </c>
      <c r="CE3783" t="s">
        <v>121</v>
      </c>
      <c r="CF3783" s="3">
        <v>45863</v>
      </c>
      <c r="CI3783">
        <v>1</v>
      </c>
      <c r="CJ3783">
        <v>1</v>
      </c>
      <c r="CK3783">
        <v>21</v>
      </c>
      <c r="CL3783" t="s">
        <v>86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"080066769871"</f>
        <v>080066769871</v>
      </c>
      <c r="F3784" s="3">
        <v>45862</v>
      </c>
      <c r="G3784">
        <v>202604</v>
      </c>
      <c r="H3784" t="s">
        <v>75</v>
      </c>
      <c r="I3784" t="s">
        <v>76</v>
      </c>
      <c r="J3784" t="s">
        <v>77</v>
      </c>
      <c r="K3784" t="s">
        <v>78</v>
      </c>
      <c r="L3784" t="s">
        <v>1762</v>
      </c>
      <c r="M3784" t="s">
        <v>1763</v>
      </c>
      <c r="N3784" t="s">
        <v>1764</v>
      </c>
      <c r="O3784" t="s">
        <v>82</v>
      </c>
      <c r="P3784" t="str">
        <f>"4170050894                    "</f>
        <v xml:space="preserve">4170050894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43.78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137.94</v>
      </c>
      <c r="BM3784">
        <v>20.69</v>
      </c>
      <c r="BN3784">
        <v>158.63</v>
      </c>
      <c r="BO3784">
        <v>158.63</v>
      </c>
      <c r="BQ3784" t="s">
        <v>1765</v>
      </c>
      <c r="BR3784" t="s">
        <v>84</v>
      </c>
      <c r="BS3784" s="3">
        <v>45863</v>
      </c>
      <c r="BT3784" s="4">
        <v>0.69027777777777777</v>
      </c>
      <c r="BU3784" t="s">
        <v>1766</v>
      </c>
      <c r="BV3784" t="s">
        <v>98</v>
      </c>
      <c r="BY3784">
        <v>1200</v>
      </c>
      <c r="CA3784" t="s">
        <v>1767</v>
      </c>
      <c r="CC3784" t="s">
        <v>1763</v>
      </c>
      <c r="CD3784">
        <v>1389</v>
      </c>
      <c r="CE3784" t="s">
        <v>121</v>
      </c>
      <c r="CF3784" s="3">
        <v>45863</v>
      </c>
      <c r="CI3784">
        <v>1</v>
      </c>
      <c r="CJ3784">
        <v>1</v>
      </c>
      <c r="CK3784">
        <v>23</v>
      </c>
      <c r="CL3784" t="s">
        <v>86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"080066769884"</f>
        <v>080066769884</v>
      </c>
      <c r="F3785" s="3">
        <v>45862</v>
      </c>
      <c r="G3785">
        <v>202604</v>
      </c>
      <c r="H3785" t="s">
        <v>75</v>
      </c>
      <c r="I3785" t="s">
        <v>76</v>
      </c>
      <c r="J3785" t="s">
        <v>77</v>
      </c>
      <c r="K3785" t="s">
        <v>78</v>
      </c>
      <c r="L3785" t="s">
        <v>168</v>
      </c>
      <c r="M3785" t="s">
        <v>169</v>
      </c>
      <c r="N3785" t="s">
        <v>2157</v>
      </c>
      <c r="O3785" t="s">
        <v>82</v>
      </c>
      <c r="P3785" t="str">
        <f>"4170050891                    "</f>
        <v xml:space="preserve">4170050891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22.6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71.2</v>
      </c>
      <c r="BM3785">
        <v>10.68</v>
      </c>
      <c r="BN3785">
        <v>81.88</v>
      </c>
      <c r="BO3785">
        <v>81.88</v>
      </c>
      <c r="BQ3785" t="s">
        <v>2158</v>
      </c>
      <c r="BR3785" t="s">
        <v>84</v>
      </c>
      <c r="BS3785" s="3">
        <v>45863</v>
      </c>
      <c r="BT3785" s="4">
        <v>0.37222222222222223</v>
      </c>
      <c r="BU3785" t="s">
        <v>414</v>
      </c>
      <c r="BV3785" t="s">
        <v>98</v>
      </c>
      <c r="BY3785">
        <v>1200</v>
      </c>
      <c r="CA3785" t="s">
        <v>415</v>
      </c>
      <c r="CC3785" t="s">
        <v>169</v>
      </c>
      <c r="CD3785">
        <v>6001</v>
      </c>
      <c r="CE3785" t="s">
        <v>121</v>
      </c>
      <c r="CF3785" s="3">
        <v>45863</v>
      </c>
      <c r="CI3785">
        <v>1</v>
      </c>
      <c r="CJ3785">
        <v>1</v>
      </c>
      <c r="CK3785">
        <v>21</v>
      </c>
      <c r="CL3785" t="s">
        <v>86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"080066769901"</f>
        <v>080066769901</v>
      </c>
      <c r="F3786" s="3">
        <v>45862</v>
      </c>
      <c r="G3786">
        <v>202604</v>
      </c>
      <c r="H3786" t="s">
        <v>75</v>
      </c>
      <c r="I3786" t="s">
        <v>76</v>
      </c>
      <c r="J3786" t="s">
        <v>77</v>
      </c>
      <c r="K3786" t="s">
        <v>78</v>
      </c>
      <c r="L3786" t="s">
        <v>151</v>
      </c>
      <c r="M3786" t="s">
        <v>152</v>
      </c>
      <c r="N3786" t="s">
        <v>835</v>
      </c>
      <c r="O3786" t="s">
        <v>82</v>
      </c>
      <c r="P3786" t="str">
        <f>"4170050934                    "</f>
        <v xml:space="preserve">4170050934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22.6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71.2</v>
      </c>
      <c r="BM3786">
        <v>10.68</v>
      </c>
      <c r="BN3786">
        <v>81.88</v>
      </c>
      <c r="BO3786">
        <v>81.88</v>
      </c>
      <c r="BQ3786" t="s">
        <v>836</v>
      </c>
      <c r="BR3786" t="s">
        <v>84</v>
      </c>
      <c r="BS3786" s="3">
        <v>45863</v>
      </c>
      <c r="BT3786" s="4">
        <v>0.38263888888888886</v>
      </c>
      <c r="BU3786" t="s">
        <v>3091</v>
      </c>
      <c r="BV3786" t="s">
        <v>98</v>
      </c>
      <c r="BY3786">
        <v>1200</v>
      </c>
      <c r="CA3786" t="s">
        <v>716</v>
      </c>
      <c r="CC3786" t="s">
        <v>152</v>
      </c>
      <c r="CD3786" s="5" t="s">
        <v>717</v>
      </c>
      <c r="CE3786" t="s">
        <v>121</v>
      </c>
      <c r="CF3786" s="3">
        <v>45863</v>
      </c>
      <c r="CI3786">
        <v>1</v>
      </c>
      <c r="CJ3786">
        <v>1</v>
      </c>
      <c r="CK3786">
        <v>21</v>
      </c>
      <c r="CL3786" t="s">
        <v>86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"080066769905"</f>
        <v>080066769905</v>
      </c>
      <c r="F3787" s="3">
        <v>45862</v>
      </c>
      <c r="G3787">
        <v>202604</v>
      </c>
      <c r="H3787" t="s">
        <v>75</v>
      </c>
      <c r="I3787" t="s">
        <v>76</v>
      </c>
      <c r="J3787" t="s">
        <v>77</v>
      </c>
      <c r="K3787" t="s">
        <v>78</v>
      </c>
      <c r="L3787" t="s">
        <v>329</v>
      </c>
      <c r="M3787" t="s">
        <v>330</v>
      </c>
      <c r="N3787" t="s">
        <v>331</v>
      </c>
      <c r="O3787" t="s">
        <v>82</v>
      </c>
      <c r="P3787" t="str">
        <f>"4170050910                    "</f>
        <v xml:space="preserve">4170050910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83.33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4</v>
      </c>
      <c r="BJ3787">
        <v>3</v>
      </c>
      <c r="BK3787">
        <v>4</v>
      </c>
      <c r="BL3787">
        <v>262.52999999999997</v>
      </c>
      <c r="BM3787">
        <v>39.380000000000003</v>
      </c>
      <c r="BN3787">
        <v>301.91000000000003</v>
      </c>
      <c r="BO3787">
        <v>301.91000000000003</v>
      </c>
      <c r="BQ3787" t="s">
        <v>332</v>
      </c>
      <c r="BR3787" t="s">
        <v>84</v>
      </c>
      <c r="BS3787" s="3">
        <v>45863</v>
      </c>
      <c r="BT3787" s="4">
        <v>0.49305555555555558</v>
      </c>
      <c r="BU3787" t="s">
        <v>333</v>
      </c>
      <c r="BV3787" t="s">
        <v>98</v>
      </c>
      <c r="BY3787">
        <v>14792</v>
      </c>
      <c r="CA3787" t="s">
        <v>1153</v>
      </c>
      <c r="CC3787" t="s">
        <v>330</v>
      </c>
      <c r="CD3787">
        <v>6300</v>
      </c>
      <c r="CE3787" t="s">
        <v>3498</v>
      </c>
      <c r="CF3787" s="3">
        <v>45863</v>
      </c>
      <c r="CI3787">
        <v>2</v>
      </c>
      <c r="CJ3787">
        <v>1</v>
      </c>
      <c r="CK3787">
        <v>23</v>
      </c>
      <c r="CL3787" t="s">
        <v>86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"080066769914"</f>
        <v>080066769914</v>
      </c>
      <c r="F3788" s="3">
        <v>45862</v>
      </c>
      <c r="G3788">
        <v>202604</v>
      </c>
      <c r="H3788" t="s">
        <v>75</v>
      </c>
      <c r="I3788" t="s">
        <v>76</v>
      </c>
      <c r="J3788" t="s">
        <v>77</v>
      </c>
      <c r="K3788" t="s">
        <v>78</v>
      </c>
      <c r="L3788" t="s">
        <v>151</v>
      </c>
      <c r="M3788" t="s">
        <v>152</v>
      </c>
      <c r="N3788" t="s">
        <v>153</v>
      </c>
      <c r="O3788" t="s">
        <v>82</v>
      </c>
      <c r="P3788" t="str">
        <f>"4170050900                    "</f>
        <v xml:space="preserve">4170050900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22.6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71.2</v>
      </c>
      <c r="BM3788">
        <v>10.68</v>
      </c>
      <c r="BN3788">
        <v>81.88</v>
      </c>
      <c r="BO3788">
        <v>81.88</v>
      </c>
      <c r="BQ3788" t="s">
        <v>154</v>
      </c>
      <c r="BR3788" t="s">
        <v>84</v>
      </c>
      <c r="BS3788" s="3">
        <v>45863</v>
      </c>
      <c r="BT3788" s="4">
        <v>0.35347222222222224</v>
      </c>
      <c r="BU3788" t="s">
        <v>3406</v>
      </c>
      <c r="BV3788" t="s">
        <v>98</v>
      </c>
      <c r="BY3788">
        <v>1200</v>
      </c>
      <c r="CA3788" t="s">
        <v>559</v>
      </c>
      <c r="CC3788" t="s">
        <v>152</v>
      </c>
      <c r="CD3788" s="5" t="s">
        <v>157</v>
      </c>
      <c r="CE3788" t="s">
        <v>121</v>
      </c>
      <c r="CF3788" s="3">
        <v>45863</v>
      </c>
      <c r="CI3788">
        <v>1</v>
      </c>
      <c r="CJ3788">
        <v>1</v>
      </c>
      <c r="CK3788">
        <v>21</v>
      </c>
      <c r="CL3788" t="s">
        <v>86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"080066769929"</f>
        <v>080066769929</v>
      </c>
      <c r="F3789" s="3">
        <v>45862</v>
      </c>
      <c r="G3789">
        <v>202604</v>
      </c>
      <c r="H3789" t="s">
        <v>75</v>
      </c>
      <c r="I3789" t="s">
        <v>76</v>
      </c>
      <c r="J3789" t="s">
        <v>77</v>
      </c>
      <c r="K3789" t="s">
        <v>78</v>
      </c>
      <c r="L3789" t="s">
        <v>151</v>
      </c>
      <c r="M3789" t="s">
        <v>152</v>
      </c>
      <c r="N3789" t="s">
        <v>352</v>
      </c>
      <c r="O3789" t="s">
        <v>82</v>
      </c>
      <c r="P3789" t="str">
        <f>"4170050739                    "</f>
        <v xml:space="preserve">4170050739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22.6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0.6</v>
      </c>
      <c r="BK3789">
        <v>2</v>
      </c>
      <c r="BL3789">
        <v>71.2</v>
      </c>
      <c r="BM3789">
        <v>10.68</v>
      </c>
      <c r="BN3789">
        <v>81.88</v>
      </c>
      <c r="BO3789">
        <v>81.88</v>
      </c>
      <c r="BQ3789" t="s">
        <v>353</v>
      </c>
      <c r="BR3789" t="s">
        <v>84</v>
      </c>
      <c r="BS3789" s="3">
        <v>45863</v>
      </c>
      <c r="BT3789" s="4">
        <v>0.3972222222222222</v>
      </c>
      <c r="BU3789" t="s">
        <v>1649</v>
      </c>
      <c r="BV3789" t="s">
        <v>98</v>
      </c>
      <c r="BY3789">
        <v>3192</v>
      </c>
      <c r="CA3789" t="s">
        <v>716</v>
      </c>
      <c r="CC3789" t="s">
        <v>152</v>
      </c>
      <c r="CD3789" s="5" t="s">
        <v>911</v>
      </c>
      <c r="CE3789" t="s">
        <v>259</v>
      </c>
      <c r="CF3789" s="3">
        <v>45863</v>
      </c>
      <c r="CI3789">
        <v>1</v>
      </c>
      <c r="CJ3789">
        <v>1</v>
      </c>
      <c r="CK3789">
        <v>21</v>
      </c>
      <c r="CL3789" t="s">
        <v>86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"080066769944"</f>
        <v>080066769944</v>
      </c>
      <c r="F3790" s="3">
        <v>45862</v>
      </c>
      <c r="G3790">
        <v>202604</v>
      </c>
      <c r="H3790" t="s">
        <v>75</v>
      </c>
      <c r="I3790" t="s">
        <v>76</v>
      </c>
      <c r="J3790" t="s">
        <v>77</v>
      </c>
      <c r="K3790" t="s">
        <v>78</v>
      </c>
      <c r="L3790" t="s">
        <v>79</v>
      </c>
      <c r="M3790" t="s">
        <v>80</v>
      </c>
      <c r="N3790" t="s">
        <v>1083</v>
      </c>
      <c r="O3790" t="s">
        <v>82</v>
      </c>
      <c r="P3790" t="str">
        <f>"4170050833                    "</f>
        <v xml:space="preserve">4170050833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22.6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2</v>
      </c>
      <c r="BJ3790">
        <v>0.7</v>
      </c>
      <c r="BK3790">
        <v>2</v>
      </c>
      <c r="BL3790">
        <v>71.2</v>
      </c>
      <c r="BM3790">
        <v>10.68</v>
      </c>
      <c r="BN3790">
        <v>81.88</v>
      </c>
      <c r="BO3790">
        <v>81.88</v>
      </c>
      <c r="BQ3790" t="s">
        <v>1084</v>
      </c>
      <c r="BR3790" t="s">
        <v>84</v>
      </c>
      <c r="BS3790" s="3">
        <v>45863</v>
      </c>
      <c r="BT3790" s="4">
        <v>0.39513888888888887</v>
      </c>
      <c r="BU3790" t="s">
        <v>378</v>
      </c>
      <c r="BV3790" t="s">
        <v>98</v>
      </c>
      <c r="BY3790">
        <v>3700</v>
      </c>
      <c r="CA3790" t="s">
        <v>144</v>
      </c>
      <c r="CC3790" t="s">
        <v>80</v>
      </c>
      <c r="CD3790">
        <v>8001</v>
      </c>
      <c r="CE3790" t="s">
        <v>91</v>
      </c>
      <c r="CF3790" s="3">
        <v>45866</v>
      </c>
      <c r="CI3790">
        <v>1</v>
      </c>
      <c r="CJ3790">
        <v>1</v>
      </c>
      <c r="CK3790">
        <v>21</v>
      </c>
      <c r="CL3790" t="s">
        <v>86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"080066769957"</f>
        <v>080066769957</v>
      </c>
      <c r="F3791" s="3">
        <v>45862</v>
      </c>
      <c r="G3791">
        <v>202604</v>
      </c>
      <c r="H3791" t="s">
        <v>75</v>
      </c>
      <c r="I3791" t="s">
        <v>76</v>
      </c>
      <c r="J3791" t="s">
        <v>77</v>
      </c>
      <c r="K3791" t="s">
        <v>78</v>
      </c>
      <c r="L3791" t="s">
        <v>135</v>
      </c>
      <c r="M3791" t="s">
        <v>136</v>
      </c>
      <c r="N3791" t="s">
        <v>416</v>
      </c>
      <c r="O3791" t="s">
        <v>82</v>
      </c>
      <c r="P3791" t="str">
        <f>"4170050725                    "</f>
        <v xml:space="preserve">4170050725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22.6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71.2</v>
      </c>
      <c r="BM3791">
        <v>10.68</v>
      </c>
      <c r="BN3791">
        <v>81.88</v>
      </c>
      <c r="BO3791">
        <v>81.88</v>
      </c>
      <c r="BQ3791" t="s">
        <v>417</v>
      </c>
      <c r="BR3791" t="s">
        <v>84</v>
      </c>
      <c r="BS3791" s="3">
        <v>45863</v>
      </c>
      <c r="BT3791" s="4">
        <v>0.41666666666666669</v>
      </c>
      <c r="BU3791" t="s">
        <v>3262</v>
      </c>
      <c r="BV3791" t="s">
        <v>98</v>
      </c>
      <c r="BY3791">
        <v>1200</v>
      </c>
      <c r="CC3791" t="s">
        <v>136</v>
      </c>
      <c r="CD3791">
        <v>3201</v>
      </c>
      <c r="CE3791" t="s">
        <v>3388</v>
      </c>
      <c r="CF3791" s="3">
        <v>45864</v>
      </c>
      <c r="CI3791">
        <v>1</v>
      </c>
      <c r="CJ3791">
        <v>1</v>
      </c>
      <c r="CK3791">
        <v>21</v>
      </c>
      <c r="CL3791" t="s">
        <v>86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"R080066721474"</f>
        <v>R080066721474</v>
      </c>
      <c r="F3792" s="3">
        <v>45862</v>
      </c>
      <c r="G3792">
        <v>202604</v>
      </c>
      <c r="H3792" t="s">
        <v>75</v>
      </c>
      <c r="I3792" t="s">
        <v>76</v>
      </c>
      <c r="J3792" t="s">
        <v>3499</v>
      </c>
      <c r="K3792" t="s">
        <v>78</v>
      </c>
      <c r="L3792" t="s">
        <v>503</v>
      </c>
      <c r="M3792" t="s">
        <v>504</v>
      </c>
      <c r="N3792" t="s">
        <v>3500</v>
      </c>
      <c r="O3792" t="s">
        <v>82</v>
      </c>
      <c r="P3792" t="str">
        <f>"4170050014                    "</f>
        <v xml:space="preserve">4170050014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93.21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3</v>
      </c>
      <c r="BJ3792">
        <v>4.0999999999999996</v>
      </c>
      <c r="BK3792">
        <v>4.5</v>
      </c>
      <c r="BL3792">
        <v>293.67</v>
      </c>
      <c r="BM3792">
        <v>44.05</v>
      </c>
      <c r="BN3792">
        <v>337.72</v>
      </c>
      <c r="BO3792">
        <v>337.72</v>
      </c>
      <c r="BQ3792" t="s">
        <v>3501</v>
      </c>
      <c r="BR3792" t="s">
        <v>84</v>
      </c>
      <c r="BS3792" s="3">
        <v>45863</v>
      </c>
      <c r="BT3792" s="4">
        <v>0.33888888888888891</v>
      </c>
      <c r="BU3792" t="s">
        <v>3502</v>
      </c>
      <c r="BV3792" t="s">
        <v>98</v>
      </c>
      <c r="BY3792">
        <v>20358</v>
      </c>
      <c r="BZ3792" t="s">
        <v>89</v>
      </c>
      <c r="CA3792" t="s">
        <v>508</v>
      </c>
      <c r="CC3792" t="s">
        <v>504</v>
      </c>
      <c r="CD3792">
        <v>7130</v>
      </c>
      <c r="CE3792" t="s">
        <v>145</v>
      </c>
      <c r="CF3792" s="3">
        <v>45866</v>
      </c>
      <c r="CI3792">
        <v>1</v>
      </c>
      <c r="CJ3792">
        <v>1</v>
      </c>
      <c r="CK3792">
        <v>23</v>
      </c>
      <c r="CL3792" t="s">
        <v>86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"080066771041"</f>
        <v>080066771041</v>
      </c>
      <c r="F3793" s="3">
        <v>45862</v>
      </c>
      <c r="G3793">
        <v>202604</v>
      </c>
      <c r="H3793" t="s">
        <v>75</v>
      </c>
      <c r="I3793" t="s">
        <v>76</v>
      </c>
      <c r="J3793" t="s">
        <v>77</v>
      </c>
      <c r="K3793" t="s">
        <v>78</v>
      </c>
      <c r="L3793" t="s">
        <v>92</v>
      </c>
      <c r="M3793" t="s">
        <v>93</v>
      </c>
      <c r="N3793" t="s">
        <v>291</v>
      </c>
      <c r="O3793" t="s">
        <v>82</v>
      </c>
      <c r="P3793" t="str">
        <f>"4170050920                    "</f>
        <v xml:space="preserve">4170050920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22.6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71.2</v>
      </c>
      <c r="BM3793">
        <v>10.68</v>
      </c>
      <c r="BN3793">
        <v>81.88</v>
      </c>
      <c r="BO3793">
        <v>81.88</v>
      </c>
      <c r="BQ3793" t="s">
        <v>292</v>
      </c>
      <c r="BR3793" t="s">
        <v>84</v>
      </c>
      <c r="BS3793" s="3">
        <v>45863</v>
      </c>
      <c r="BT3793" s="4">
        <v>0.31944444444444442</v>
      </c>
      <c r="BU3793" t="s">
        <v>971</v>
      </c>
      <c r="BV3793" t="s">
        <v>98</v>
      </c>
      <c r="BY3793">
        <v>1200</v>
      </c>
      <c r="CA3793" t="s">
        <v>294</v>
      </c>
      <c r="CC3793" t="s">
        <v>93</v>
      </c>
      <c r="CD3793">
        <v>4000</v>
      </c>
      <c r="CE3793" t="s">
        <v>121</v>
      </c>
      <c r="CF3793" s="3">
        <v>45863</v>
      </c>
      <c r="CI3793">
        <v>1</v>
      </c>
      <c r="CJ3793">
        <v>1</v>
      </c>
      <c r="CK3793">
        <v>21</v>
      </c>
      <c r="CL3793" t="s">
        <v>86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"080066771052"</f>
        <v>080066771052</v>
      </c>
      <c r="F3794" s="3">
        <v>45862</v>
      </c>
      <c r="G3794">
        <v>202604</v>
      </c>
      <c r="H3794" t="s">
        <v>75</v>
      </c>
      <c r="I3794" t="s">
        <v>76</v>
      </c>
      <c r="J3794" t="s">
        <v>77</v>
      </c>
      <c r="K3794" t="s">
        <v>78</v>
      </c>
      <c r="L3794" t="s">
        <v>240</v>
      </c>
      <c r="M3794" t="s">
        <v>241</v>
      </c>
      <c r="N3794" t="s">
        <v>2027</v>
      </c>
      <c r="O3794" t="s">
        <v>82</v>
      </c>
      <c r="P3794" t="str">
        <f>"4170050926                    "</f>
        <v xml:space="preserve">4170050926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17.649999999999999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55.61</v>
      </c>
      <c r="BM3794">
        <v>8.34</v>
      </c>
      <c r="BN3794">
        <v>63.95</v>
      </c>
      <c r="BO3794">
        <v>63.95</v>
      </c>
      <c r="BQ3794" t="s">
        <v>2028</v>
      </c>
      <c r="BR3794" t="s">
        <v>84</v>
      </c>
      <c r="BS3794" s="3">
        <v>45863</v>
      </c>
      <c r="BT3794" s="4">
        <v>0.3611111111111111</v>
      </c>
      <c r="BU3794" t="s">
        <v>3503</v>
      </c>
      <c r="BV3794" t="s">
        <v>98</v>
      </c>
      <c r="BY3794">
        <v>1200</v>
      </c>
      <c r="CA3794" t="s">
        <v>451</v>
      </c>
      <c r="CC3794" t="s">
        <v>241</v>
      </c>
      <c r="CD3794">
        <v>2049</v>
      </c>
      <c r="CE3794" t="s">
        <v>121</v>
      </c>
      <c r="CF3794" s="3">
        <v>45864</v>
      </c>
      <c r="CI3794">
        <v>1</v>
      </c>
      <c r="CJ3794">
        <v>1</v>
      </c>
      <c r="CK3794">
        <v>22</v>
      </c>
      <c r="CL3794" t="s">
        <v>86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"080066771179"</f>
        <v>080066771179</v>
      </c>
      <c r="F3795" s="3">
        <v>45862</v>
      </c>
      <c r="G3795">
        <v>202604</v>
      </c>
      <c r="H3795" t="s">
        <v>75</v>
      </c>
      <c r="I3795" t="s">
        <v>76</v>
      </c>
      <c r="J3795" t="s">
        <v>77</v>
      </c>
      <c r="K3795" t="s">
        <v>78</v>
      </c>
      <c r="L3795" t="s">
        <v>168</v>
      </c>
      <c r="M3795" t="s">
        <v>169</v>
      </c>
      <c r="N3795" t="s">
        <v>206</v>
      </c>
      <c r="O3795" t="s">
        <v>82</v>
      </c>
      <c r="P3795" t="str">
        <f>"4170050972                    "</f>
        <v xml:space="preserve">4170050972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56.47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2</v>
      </c>
      <c r="BI3795">
        <v>2</v>
      </c>
      <c r="BJ3795">
        <v>4.8</v>
      </c>
      <c r="BK3795">
        <v>5</v>
      </c>
      <c r="BL3795">
        <v>177.91</v>
      </c>
      <c r="BM3795">
        <v>26.69</v>
      </c>
      <c r="BN3795">
        <v>204.6</v>
      </c>
      <c r="BO3795">
        <v>204.6</v>
      </c>
      <c r="BQ3795" t="s">
        <v>207</v>
      </c>
      <c r="BR3795" t="s">
        <v>84</v>
      </c>
      <c r="BS3795" s="3">
        <v>45863</v>
      </c>
      <c r="BT3795" s="4">
        <v>0.41041666666666665</v>
      </c>
      <c r="BU3795" t="s">
        <v>2957</v>
      </c>
      <c r="BV3795" t="s">
        <v>98</v>
      </c>
      <c r="BY3795">
        <v>23820</v>
      </c>
      <c r="CA3795" t="s">
        <v>196</v>
      </c>
      <c r="CC3795" t="s">
        <v>169</v>
      </c>
      <c r="CD3795">
        <v>6001</v>
      </c>
      <c r="CE3795" t="s">
        <v>145</v>
      </c>
      <c r="CF3795" s="3">
        <v>45863</v>
      </c>
      <c r="CI3795">
        <v>1</v>
      </c>
      <c r="CJ3795">
        <v>1</v>
      </c>
      <c r="CK3795">
        <v>21</v>
      </c>
      <c r="CL3795" t="s">
        <v>86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"080066771211"</f>
        <v>080066771211</v>
      </c>
      <c r="F3796" s="3">
        <v>45862</v>
      </c>
      <c r="G3796">
        <v>202604</v>
      </c>
      <c r="H3796" t="s">
        <v>75</v>
      </c>
      <c r="I3796" t="s">
        <v>76</v>
      </c>
      <c r="J3796" t="s">
        <v>77</v>
      </c>
      <c r="K3796" t="s">
        <v>78</v>
      </c>
      <c r="L3796" t="s">
        <v>79</v>
      </c>
      <c r="M3796" t="s">
        <v>80</v>
      </c>
      <c r="N3796" t="s">
        <v>594</v>
      </c>
      <c r="O3796" t="s">
        <v>82</v>
      </c>
      <c r="P3796" t="str">
        <f>"4170050978                    "</f>
        <v xml:space="preserve">4170050978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39.53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3</v>
      </c>
      <c r="BJ3796">
        <v>3.1</v>
      </c>
      <c r="BK3796">
        <v>3.5</v>
      </c>
      <c r="BL3796">
        <v>124.55</v>
      </c>
      <c r="BM3796">
        <v>18.68</v>
      </c>
      <c r="BN3796">
        <v>143.22999999999999</v>
      </c>
      <c r="BO3796">
        <v>143.22999999999999</v>
      </c>
      <c r="BQ3796" t="s">
        <v>595</v>
      </c>
      <c r="BR3796" t="s">
        <v>84</v>
      </c>
      <c r="BS3796" s="3">
        <v>45863</v>
      </c>
      <c r="BT3796" s="4">
        <v>0.36458333333333331</v>
      </c>
      <c r="BU3796" t="s">
        <v>596</v>
      </c>
      <c r="BV3796" t="s">
        <v>98</v>
      </c>
      <c r="BY3796">
        <v>15360</v>
      </c>
      <c r="CA3796" t="s">
        <v>579</v>
      </c>
      <c r="CC3796" t="s">
        <v>80</v>
      </c>
      <c r="CD3796">
        <v>7480</v>
      </c>
      <c r="CE3796" t="s">
        <v>145</v>
      </c>
      <c r="CF3796" s="3">
        <v>45866</v>
      </c>
      <c r="CI3796">
        <v>1</v>
      </c>
      <c r="CJ3796">
        <v>1</v>
      </c>
      <c r="CK3796">
        <v>21</v>
      </c>
      <c r="CL3796" t="s">
        <v>86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"080066771076"</f>
        <v>080066771076</v>
      </c>
      <c r="F3797" s="3">
        <v>45862</v>
      </c>
      <c r="G3797">
        <v>202604</v>
      </c>
      <c r="H3797" t="s">
        <v>75</v>
      </c>
      <c r="I3797" t="s">
        <v>76</v>
      </c>
      <c r="J3797" t="s">
        <v>77</v>
      </c>
      <c r="K3797" t="s">
        <v>78</v>
      </c>
      <c r="L3797" t="s">
        <v>92</v>
      </c>
      <c r="M3797" t="s">
        <v>93</v>
      </c>
      <c r="N3797" t="s">
        <v>291</v>
      </c>
      <c r="O3797" t="s">
        <v>82</v>
      </c>
      <c r="P3797" t="str">
        <f>"4170050789                    "</f>
        <v xml:space="preserve">4170050789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90.34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8</v>
      </c>
      <c r="BJ3797">
        <v>4.8</v>
      </c>
      <c r="BK3797">
        <v>8</v>
      </c>
      <c r="BL3797">
        <v>284.62</v>
      </c>
      <c r="BM3797">
        <v>42.69</v>
      </c>
      <c r="BN3797">
        <v>327.31</v>
      </c>
      <c r="BO3797">
        <v>327.31</v>
      </c>
      <c r="BQ3797" t="s">
        <v>292</v>
      </c>
      <c r="BR3797" t="s">
        <v>84</v>
      </c>
      <c r="BS3797" s="3">
        <v>45863</v>
      </c>
      <c r="BT3797" s="4">
        <v>0.31944444444444442</v>
      </c>
      <c r="BU3797" t="s">
        <v>971</v>
      </c>
      <c r="BV3797" t="s">
        <v>98</v>
      </c>
      <c r="BY3797">
        <v>23751</v>
      </c>
      <c r="CA3797" t="s">
        <v>294</v>
      </c>
      <c r="CC3797" t="s">
        <v>93</v>
      </c>
      <c r="CD3797">
        <v>4051</v>
      </c>
      <c r="CE3797" t="s">
        <v>145</v>
      </c>
      <c r="CF3797" s="3">
        <v>45863</v>
      </c>
      <c r="CI3797">
        <v>1</v>
      </c>
      <c r="CJ3797">
        <v>1</v>
      </c>
      <c r="CK3797">
        <v>21</v>
      </c>
      <c r="CL3797" t="s">
        <v>86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"080066771094"</f>
        <v>080066771094</v>
      </c>
      <c r="F3798" s="3">
        <v>45862</v>
      </c>
      <c r="G3798">
        <v>202604</v>
      </c>
      <c r="H3798" t="s">
        <v>75</v>
      </c>
      <c r="I3798" t="s">
        <v>76</v>
      </c>
      <c r="J3798" t="s">
        <v>77</v>
      </c>
      <c r="K3798" t="s">
        <v>78</v>
      </c>
      <c r="L3798" t="s">
        <v>79</v>
      </c>
      <c r="M3798" t="s">
        <v>80</v>
      </c>
      <c r="N3798" t="s">
        <v>1775</v>
      </c>
      <c r="O3798" t="s">
        <v>82</v>
      </c>
      <c r="P3798" t="str">
        <f>"4170050977                    "</f>
        <v xml:space="preserve">4170050977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79.05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7</v>
      </c>
      <c r="BJ3798">
        <v>3.4</v>
      </c>
      <c r="BK3798">
        <v>7</v>
      </c>
      <c r="BL3798">
        <v>249.05</v>
      </c>
      <c r="BM3798">
        <v>37.36</v>
      </c>
      <c r="BN3798">
        <v>286.41000000000003</v>
      </c>
      <c r="BO3798">
        <v>286.41000000000003</v>
      </c>
      <c r="BQ3798" t="s">
        <v>1776</v>
      </c>
      <c r="BR3798" t="s">
        <v>84</v>
      </c>
      <c r="BS3798" s="3">
        <v>45863</v>
      </c>
      <c r="BT3798" s="4">
        <v>0.41180555555555554</v>
      </c>
      <c r="BU3798" t="s">
        <v>933</v>
      </c>
      <c r="BV3798" t="s">
        <v>98</v>
      </c>
      <c r="BY3798">
        <v>16965</v>
      </c>
      <c r="CA3798" t="s">
        <v>934</v>
      </c>
      <c r="CC3798" t="s">
        <v>80</v>
      </c>
      <c r="CD3798">
        <v>7530</v>
      </c>
      <c r="CE3798" t="s">
        <v>145</v>
      </c>
      <c r="CF3798" s="3">
        <v>45866</v>
      </c>
      <c r="CI3798">
        <v>1</v>
      </c>
      <c r="CJ3798">
        <v>1</v>
      </c>
      <c r="CK3798">
        <v>21</v>
      </c>
      <c r="CL3798" t="s">
        <v>86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"080066771130"</f>
        <v>080066771130</v>
      </c>
      <c r="F3799" s="3">
        <v>45862</v>
      </c>
      <c r="G3799">
        <v>202604</v>
      </c>
      <c r="H3799" t="s">
        <v>75</v>
      </c>
      <c r="I3799" t="s">
        <v>76</v>
      </c>
      <c r="J3799" t="s">
        <v>77</v>
      </c>
      <c r="K3799" t="s">
        <v>78</v>
      </c>
      <c r="L3799" t="s">
        <v>295</v>
      </c>
      <c r="M3799" t="s">
        <v>296</v>
      </c>
      <c r="N3799" t="s">
        <v>539</v>
      </c>
      <c r="O3799" t="s">
        <v>82</v>
      </c>
      <c r="P3799" t="str">
        <f>"4170050969                    "</f>
        <v xml:space="preserve">4170050969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21.88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6</v>
      </c>
      <c r="BJ3799">
        <v>9.6</v>
      </c>
      <c r="BK3799">
        <v>10</v>
      </c>
      <c r="BL3799">
        <v>68.94</v>
      </c>
      <c r="BM3799">
        <v>10.34</v>
      </c>
      <c r="BN3799">
        <v>79.28</v>
      </c>
      <c r="BO3799">
        <v>79.28</v>
      </c>
      <c r="BQ3799" t="s">
        <v>540</v>
      </c>
      <c r="BR3799" t="s">
        <v>84</v>
      </c>
      <c r="BS3799" s="3">
        <v>45863</v>
      </c>
      <c r="BT3799" s="4">
        <v>0.34861111111111109</v>
      </c>
      <c r="BU3799" t="s">
        <v>541</v>
      </c>
      <c r="BV3799" t="s">
        <v>98</v>
      </c>
      <c r="BY3799">
        <v>48000</v>
      </c>
      <c r="CA3799" t="s">
        <v>300</v>
      </c>
      <c r="CC3799" t="s">
        <v>296</v>
      </c>
      <c r="CD3799">
        <v>1459</v>
      </c>
      <c r="CE3799" t="s">
        <v>145</v>
      </c>
      <c r="CF3799" s="3">
        <v>45864</v>
      </c>
      <c r="CI3799">
        <v>1</v>
      </c>
      <c r="CJ3799">
        <v>1</v>
      </c>
      <c r="CK3799">
        <v>22</v>
      </c>
      <c r="CL3799" t="s">
        <v>86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"080066771246"</f>
        <v>080066771246</v>
      </c>
      <c r="F3800" s="3">
        <v>45862</v>
      </c>
      <c r="G3800">
        <v>202604</v>
      </c>
      <c r="H3800" t="s">
        <v>75</v>
      </c>
      <c r="I3800" t="s">
        <v>76</v>
      </c>
      <c r="J3800" t="s">
        <v>77</v>
      </c>
      <c r="K3800" t="s">
        <v>78</v>
      </c>
      <c r="L3800" t="s">
        <v>197</v>
      </c>
      <c r="M3800" t="s">
        <v>198</v>
      </c>
      <c r="N3800" t="s">
        <v>945</v>
      </c>
      <c r="O3800" t="s">
        <v>82</v>
      </c>
      <c r="P3800" t="str">
        <f>"4170050783                    "</f>
        <v xml:space="preserve">4170050783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17.649999999999999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3</v>
      </c>
      <c r="BJ3800">
        <v>0.9</v>
      </c>
      <c r="BK3800">
        <v>3</v>
      </c>
      <c r="BL3800">
        <v>55.61</v>
      </c>
      <c r="BM3800">
        <v>8.34</v>
      </c>
      <c r="BN3800">
        <v>63.95</v>
      </c>
      <c r="BO3800">
        <v>63.95</v>
      </c>
      <c r="BQ3800" t="s">
        <v>946</v>
      </c>
      <c r="BR3800" t="s">
        <v>84</v>
      </c>
      <c r="BS3800" s="3">
        <v>45863</v>
      </c>
      <c r="BT3800" s="4">
        <v>0.37847222222222221</v>
      </c>
      <c r="BU3800" t="s">
        <v>975</v>
      </c>
      <c r="BV3800" t="s">
        <v>98</v>
      </c>
      <c r="BY3800">
        <v>4275</v>
      </c>
      <c r="CA3800" t="s">
        <v>318</v>
      </c>
      <c r="CC3800" t="s">
        <v>198</v>
      </c>
      <c r="CD3800">
        <v>1422</v>
      </c>
      <c r="CE3800" t="s">
        <v>145</v>
      </c>
      <c r="CF3800" s="3">
        <v>45864</v>
      </c>
      <c r="CI3800">
        <v>1</v>
      </c>
      <c r="CJ3800">
        <v>1</v>
      </c>
      <c r="CK3800">
        <v>22</v>
      </c>
      <c r="CL3800" t="s">
        <v>86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"080066280736"</f>
        <v>080066280736</v>
      </c>
      <c r="F3801" s="3">
        <v>45839</v>
      </c>
      <c r="G3801">
        <v>202604</v>
      </c>
      <c r="H3801" t="s">
        <v>75</v>
      </c>
      <c r="I3801" t="s">
        <v>76</v>
      </c>
      <c r="J3801" t="s">
        <v>77</v>
      </c>
      <c r="K3801" t="s">
        <v>78</v>
      </c>
      <c r="L3801" t="s">
        <v>252</v>
      </c>
      <c r="M3801" t="s">
        <v>253</v>
      </c>
      <c r="N3801" t="s">
        <v>3504</v>
      </c>
      <c r="O3801" t="s">
        <v>95</v>
      </c>
      <c r="P3801" t="str">
        <f>"4170046360                    "</f>
        <v xml:space="preserve">4170046360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1806.57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3</v>
      </c>
      <c r="BI3801">
        <v>354</v>
      </c>
      <c r="BJ3801">
        <v>615.29999999999995</v>
      </c>
      <c r="BK3801">
        <v>616</v>
      </c>
      <c r="BL3801">
        <v>6013.76</v>
      </c>
      <c r="BM3801">
        <v>902.06</v>
      </c>
      <c r="BN3801">
        <v>6915.82</v>
      </c>
      <c r="BO3801">
        <v>6915.82</v>
      </c>
      <c r="BQ3801" t="s">
        <v>3505</v>
      </c>
      <c r="BR3801" t="s">
        <v>84</v>
      </c>
      <c r="BS3801" s="3">
        <v>45840</v>
      </c>
      <c r="BT3801" s="4">
        <v>0.56805555555555554</v>
      </c>
      <c r="BU3801" t="s">
        <v>3506</v>
      </c>
      <c r="BV3801" t="s">
        <v>98</v>
      </c>
      <c r="BY3801">
        <v>3076640</v>
      </c>
      <c r="BZ3801" t="s">
        <v>99</v>
      </c>
      <c r="CC3801" t="s">
        <v>253</v>
      </c>
      <c r="CD3801">
        <v>1947</v>
      </c>
      <c r="CE3801" t="s">
        <v>536</v>
      </c>
      <c r="CF3801" s="3">
        <v>45841</v>
      </c>
      <c r="CI3801">
        <v>1</v>
      </c>
      <c r="CJ3801">
        <v>1</v>
      </c>
      <c r="CK3801">
        <v>43</v>
      </c>
      <c r="CL3801" t="s">
        <v>86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"080066771271"</f>
        <v>080066771271</v>
      </c>
      <c r="F3802" s="3">
        <v>45862</v>
      </c>
      <c r="G3802">
        <v>202604</v>
      </c>
      <c r="H3802" t="s">
        <v>75</v>
      </c>
      <c r="I3802" t="s">
        <v>76</v>
      </c>
      <c r="J3802" t="s">
        <v>77</v>
      </c>
      <c r="K3802" t="s">
        <v>78</v>
      </c>
      <c r="L3802" t="s">
        <v>92</v>
      </c>
      <c r="M3802" t="s">
        <v>93</v>
      </c>
      <c r="N3802" t="s">
        <v>334</v>
      </c>
      <c r="O3802" t="s">
        <v>82</v>
      </c>
      <c r="P3802" t="str">
        <f>"4170050966                    "</f>
        <v xml:space="preserve">4170050966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22.6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</v>
      </c>
      <c r="BJ3802">
        <v>1.1000000000000001</v>
      </c>
      <c r="BK3802">
        <v>2</v>
      </c>
      <c r="BL3802">
        <v>71.2</v>
      </c>
      <c r="BM3802">
        <v>10.68</v>
      </c>
      <c r="BN3802">
        <v>81.88</v>
      </c>
      <c r="BO3802">
        <v>81.88</v>
      </c>
      <c r="BQ3802" t="s">
        <v>335</v>
      </c>
      <c r="BR3802" t="s">
        <v>84</v>
      </c>
      <c r="BS3802" s="3">
        <v>45863</v>
      </c>
      <c r="BT3802" s="4">
        <v>0.41458333333333336</v>
      </c>
      <c r="BU3802" t="s">
        <v>1365</v>
      </c>
      <c r="BV3802" t="s">
        <v>98</v>
      </c>
      <c r="BY3802">
        <v>5320</v>
      </c>
      <c r="CA3802" t="s">
        <v>337</v>
      </c>
      <c r="CC3802" t="s">
        <v>93</v>
      </c>
      <c r="CD3802">
        <v>4052</v>
      </c>
      <c r="CE3802" t="s">
        <v>110</v>
      </c>
      <c r="CF3802" s="3">
        <v>45863</v>
      </c>
      <c r="CI3802">
        <v>1</v>
      </c>
      <c r="CJ3802">
        <v>1</v>
      </c>
      <c r="CK3802">
        <v>21</v>
      </c>
      <c r="CL3802" t="s">
        <v>86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"080066771291"</f>
        <v>080066771291</v>
      </c>
      <c r="F3803" s="3">
        <v>45862</v>
      </c>
      <c r="G3803">
        <v>202604</v>
      </c>
      <c r="H3803" t="s">
        <v>75</v>
      </c>
      <c r="I3803" t="s">
        <v>76</v>
      </c>
      <c r="J3803" t="s">
        <v>77</v>
      </c>
      <c r="K3803" t="s">
        <v>78</v>
      </c>
      <c r="L3803" t="s">
        <v>197</v>
      </c>
      <c r="M3803" t="s">
        <v>198</v>
      </c>
      <c r="N3803" t="s">
        <v>2862</v>
      </c>
      <c r="O3803" t="s">
        <v>82</v>
      </c>
      <c r="P3803" t="str">
        <f>"4170050985                    "</f>
        <v xml:space="preserve">4170050985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17.649999999999999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3</v>
      </c>
      <c r="BJ3803">
        <v>1.1000000000000001</v>
      </c>
      <c r="BK3803">
        <v>3</v>
      </c>
      <c r="BL3803">
        <v>55.61</v>
      </c>
      <c r="BM3803">
        <v>8.34</v>
      </c>
      <c r="BN3803">
        <v>63.95</v>
      </c>
      <c r="BO3803">
        <v>63.95</v>
      </c>
      <c r="BQ3803" t="s">
        <v>2863</v>
      </c>
      <c r="BR3803" t="s">
        <v>84</v>
      </c>
      <c r="BS3803" s="3">
        <v>45863</v>
      </c>
      <c r="BT3803" s="4">
        <v>0.41666666666666669</v>
      </c>
      <c r="BU3803" t="s">
        <v>3507</v>
      </c>
      <c r="BV3803" t="s">
        <v>98</v>
      </c>
      <c r="BY3803">
        <v>5320</v>
      </c>
      <c r="CA3803" t="s">
        <v>1799</v>
      </c>
      <c r="CC3803" t="s">
        <v>198</v>
      </c>
      <c r="CD3803">
        <v>1406</v>
      </c>
      <c r="CE3803" t="s">
        <v>110</v>
      </c>
      <c r="CF3803" s="3">
        <v>45863</v>
      </c>
      <c r="CI3803">
        <v>1</v>
      </c>
      <c r="CJ3803">
        <v>1</v>
      </c>
      <c r="CK3803">
        <v>22</v>
      </c>
      <c r="CL3803" t="s">
        <v>86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"080066771587"</f>
        <v>080066771587</v>
      </c>
      <c r="F3804" s="3">
        <v>45862</v>
      </c>
      <c r="G3804">
        <v>202604</v>
      </c>
      <c r="H3804" t="s">
        <v>75</v>
      </c>
      <c r="I3804" t="s">
        <v>76</v>
      </c>
      <c r="J3804" t="s">
        <v>77</v>
      </c>
      <c r="K3804" t="s">
        <v>78</v>
      </c>
      <c r="L3804" t="s">
        <v>75</v>
      </c>
      <c r="M3804" t="s">
        <v>76</v>
      </c>
      <c r="N3804" t="s">
        <v>1469</v>
      </c>
      <c r="O3804" t="s">
        <v>82</v>
      </c>
      <c r="P3804" t="str">
        <f>"4170050925                    "</f>
        <v xml:space="preserve">4170050925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17.649999999999999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1.1000000000000001</v>
      </c>
      <c r="BK3804">
        <v>2</v>
      </c>
      <c r="BL3804">
        <v>55.61</v>
      </c>
      <c r="BM3804">
        <v>8.34</v>
      </c>
      <c r="BN3804">
        <v>63.95</v>
      </c>
      <c r="BO3804">
        <v>63.95</v>
      </c>
      <c r="BQ3804" t="s">
        <v>1470</v>
      </c>
      <c r="BR3804" t="s">
        <v>84</v>
      </c>
      <c r="BS3804" s="3">
        <v>45863</v>
      </c>
      <c r="BT3804" s="4">
        <v>0.37361111111111112</v>
      </c>
      <c r="BU3804" t="s">
        <v>3462</v>
      </c>
      <c r="BV3804" t="s">
        <v>98</v>
      </c>
      <c r="BY3804">
        <v>5320</v>
      </c>
      <c r="CA3804" t="s">
        <v>471</v>
      </c>
      <c r="CC3804" t="s">
        <v>76</v>
      </c>
      <c r="CD3804">
        <v>1609</v>
      </c>
      <c r="CE3804" t="s">
        <v>145</v>
      </c>
      <c r="CF3804" s="3">
        <v>45863</v>
      </c>
      <c r="CI3804">
        <v>1</v>
      </c>
      <c r="CJ3804">
        <v>1</v>
      </c>
      <c r="CK3804">
        <v>22</v>
      </c>
      <c r="CL3804" t="s">
        <v>86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"080066771663"</f>
        <v>080066771663</v>
      </c>
      <c r="F3805" s="3">
        <v>45862</v>
      </c>
      <c r="G3805">
        <v>202604</v>
      </c>
      <c r="H3805" t="s">
        <v>75</v>
      </c>
      <c r="I3805" t="s">
        <v>76</v>
      </c>
      <c r="J3805" t="s">
        <v>77</v>
      </c>
      <c r="K3805" t="s">
        <v>78</v>
      </c>
      <c r="L3805" t="s">
        <v>146</v>
      </c>
      <c r="M3805" t="s">
        <v>146</v>
      </c>
      <c r="N3805" t="s">
        <v>986</v>
      </c>
      <c r="O3805" t="s">
        <v>82</v>
      </c>
      <c r="P3805" t="str">
        <f>"4170050860                    "</f>
        <v xml:space="preserve">4170050860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63.56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3</v>
      </c>
      <c r="BJ3805">
        <v>1.1000000000000001</v>
      </c>
      <c r="BK3805">
        <v>3</v>
      </c>
      <c r="BL3805">
        <v>200.24</v>
      </c>
      <c r="BM3805">
        <v>30.04</v>
      </c>
      <c r="BN3805">
        <v>230.28</v>
      </c>
      <c r="BO3805">
        <v>230.28</v>
      </c>
      <c r="BQ3805" t="s">
        <v>987</v>
      </c>
      <c r="BR3805" t="s">
        <v>84</v>
      </c>
      <c r="BS3805" s="3">
        <v>45863</v>
      </c>
      <c r="BT3805" s="4">
        <v>0.54166666666666663</v>
      </c>
      <c r="BU3805" t="s">
        <v>635</v>
      </c>
      <c r="BV3805" t="s">
        <v>98</v>
      </c>
      <c r="BY3805">
        <v>5320</v>
      </c>
      <c r="CA3805" t="s">
        <v>150</v>
      </c>
      <c r="CC3805" t="s">
        <v>146</v>
      </c>
      <c r="CD3805">
        <v>7646</v>
      </c>
      <c r="CE3805" t="s">
        <v>145</v>
      </c>
      <c r="CF3805" s="3">
        <v>45866</v>
      </c>
      <c r="CI3805">
        <v>1</v>
      </c>
      <c r="CJ3805">
        <v>1</v>
      </c>
      <c r="CK3805">
        <v>23</v>
      </c>
      <c r="CL3805" t="s">
        <v>86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"080066771685"</f>
        <v>080066771685</v>
      </c>
      <c r="F3806" s="3">
        <v>45862</v>
      </c>
      <c r="G3806">
        <v>202604</v>
      </c>
      <c r="H3806" t="s">
        <v>75</v>
      </c>
      <c r="I3806" t="s">
        <v>76</v>
      </c>
      <c r="J3806" t="s">
        <v>77</v>
      </c>
      <c r="K3806" t="s">
        <v>78</v>
      </c>
      <c r="L3806" t="s">
        <v>1768</v>
      </c>
      <c r="M3806" t="s">
        <v>1769</v>
      </c>
      <c r="N3806" t="s">
        <v>1770</v>
      </c>
      <c r="O3806" t="s">
        <v>82</v>
      </c>
      <c r="P3806" t="str">
        <f>"4170050892                    "</f>
        <v xml:space="preserve">4170050892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43.78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137.94</v>
      </c>
      <c r="BM3806">
        <v>20.69</v>
      </c>
      <c r="BN3806">
        <v>158.63</v>
      </c>
      <c r="BO3806">
        <v>158.63</v>
      </c>
      <c r="BQ3806" t="s">
        <v>1771</v>
      </c>
      <c r="BR3806" t="s">
        <v>84</v>
      </c>
      <c r="BS3806" s="3">
        <v>45863</v>
      </c>
      <c r="BT3806" s="4">
        <v>0.49861111111111112</v>
      </c>
      <c r="BU3806" t="s">
        <v>1772</v>
      </c>
      <c r="BV3806" t="s">
        <v>86</v>
      </c>
      <c r="BY3806">
        <v>1200</v>
      </c>
      <c r="CA3806" t="s">
        <v>1773</v>
      </c>
      <c r="CC3806" t="s">
        <v>1769</v>
      </c>
      <c r="CD3806">
        <v>2302</v>
      </c>
      <c r="CE3806" t="s">
        <v>121</v>
      </c>
      <c r="CF3806" s="3">
        <v>45866</v>
      </c>
      <c r="CI3806">
        <v>1</v>
      </c>
      <c r="CJ3806">
        <v>1</v>
      </c>
      <c r="CK3806">
        <v>23</v>
      </c>
      <c r="CL3806" t="s">
        <v>86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"080066771752"</f>
        <v>080066771752</v>
      </c>
      <c r="F3807" s="3">
        <v>45862</v>
      </c>
      <c r="G3807">
        <v>202604</v>
      </c>
      <c r="H3807" t="s">
        <v>75</v>
      </c>
      <c r="I3807" t="s">
        <v>76</v>
      </c>
      <c r="J3807" t="s">
        <v>77</v>
      </c>
      <c r="K3807" t="s">
        <v>78</v>
      </c>
      <c r="L3807" t="s">
        <v>75</v>
      </c>
      <c r="M3807" t="s">
        <v>76</v>
      </c>
      <c r="N3807" t="s">
        <v>562</v>
      </c>
      <c r="O3807" t="s">
        <v>82</v>
      </c>
      <c r="P3807" t="str">
        <f>"4170050976                    "</f>
        <v xml:space="preserve">4170050976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17.649999999999999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2</v>
      </c>
      <c r="BJ3807">
        <v>3.1</v>
      </c>
      <c r="BK3807">
        <v>4</v>
      </c>
      <c r="BL3807">
        <v>55.61</v>
      </c>
      <c r="BM3807">
        <v>8.34</v>
      </c>
      <c r="BN3807">
        <v>63.95</v>
      </c>
      <c r="BO3807">
        <v>63.95</v>
      </c>
      <c r="BQ3807" t="s">
        <v>563</v>
      </c>
      <c r="BR3807" t="s">
        <v>84</v>
      </c>
      <c r="BS3807" s="3">
        <v>45863</v>
      </c>
      <c r="BT3807" s="4">
        <v>0.40555555555555556</v>
      </c>
      <c r="BU3807" t="s">
        <v>2570</v>
      </c>
      <c r="BV3807" t="s">
        <v>98</v>
      </c>
      <c r="BY3807">
        <v>15360</v>
      </c>
      <c r="CA3807" t="s">
        <v>1613</v>
      </c>
      <c r="CC3807" t="s">
        <v>76</v>
      </c>
      <c r="CD3807">
        <v>1619</v>
      </c>
      <c r="CE3807" t="s">
        <v>145</v>
      </c>
      <c r="CF3807" s="3">
        <v>45864</v>
      </c>
      <c r="CI3807">
        <v>1</v>
      </c>
      <c r="CJ3807">
        <v>1</v>
      </c>
      <c r="CK3807">
        <v>22</v>
      </c>
      <c r="CL3807" t="s">
        <v>86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"080066771822"</f>
        <v>080066771822</v>
      </c>
      <c r="F3808" s="3">
        <v>45862</v>
      </c>
      <c r="G3808">
        <v>202604</v>
      </c>
      <c r="H3808" t="s">
        <v>75</v>
      </c>
      <c r="I3808" t="s">
        <v>76</v>
      </c>
      <c r="J3808" t="s">
        <v>77</v>
      </c>
      <c r="K3808" t="s">
        <v>78</v>
      </c>
      <c r="L3808" t="s">
        <v>1291</v>
      </c>
      <c r="M3808" t="s">
        <v>1292</v>
      </c>
      <c r="N3808" t="s">
        <v>2924</v>
      </c>
      <c r="O3808" t="s">
        <v>82</v>
      </c>
      <c r="P3808" t="str">
        <f>"4170050932                    "</f>
        <v xml:space="preserve">4170050932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43.78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1.1000000000000001</v>
      </c>
      <c r="BK3808">
        <v>1.5</v>
      </c>
      <c r="BL3808">
        <v>137.94</v>
      </c>
      <c r="BM3808">
        <v>20.69</v>
      </c>
      <c r="BN3808">
        <v>158.63</v>
      </c>
      <c r="BO3808">
        <v>158.63</v>
      </c>
      <c r="BQ3808" t="s">
        <v>2925</v>
      </c>
      <c r="BR3808" t="s">
        <v>84</v>
      </c>
      <c r="BS3808" s="3">
        <v>45866</v>
      </c>
      <c r="BT3808" s="4">
        <v>0.68402777777777779</v>
      </c>
      <c r="BU3808" t="s">
        <v>2926</v>
      </c>
      <c r="BV3808" t="s">
        <v>98</v>
      </c>
      <c r="BY3808">
        <v>5320</v>
      </c>
      <c r="CA3808" t="s">
        <v>1296</v>
      </c>
      <c r="CC3808" t="s">
        <v>1292</v>
      </c>
      <c r="CD3808">
        <v>3370</v>
      </c>
      <c r="CE3808" t="s">
        <v>145</v>
      </c>
      <c r="CF3808" s="3">
        <v>45867</v>
      </c>
      <c r="CI3808">
        <v>2</v>
      </c>
      <c r="CJ3808">
        <v>2</v>
      </c>
      <c r="CK3808">
        <v>23</v>
      </c>
      <c r="CL3808" t="s">
        <v>86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"080066771901"</f>
        <v>080066771901</v>
      </c>
      <c r="F3809" s="3">
        <v>45862</v>
      </c>
      <c r="G3809">
        <v>202604</v>
      </c>
      <c r="H3809" t="s">
        <v>75</v>
      </c>
      <c r="I3809" t="s">
        <v>76</v>
      </c>
      <c r="J3809" t="s">
        <v>77</v>
      </c>
      <c r="K3809" t="s">
        <v>78</v>
      </c>
      <c r="L3809" t="s">
        <v>168</v>
      </c>
      <c r="M3809" t="s">
        <v>169</v>
      </c>
      <c r="N3809" t="s">
        <v>206</v>
      </c>
      <c r="O3809" t="s">
        <v>82</v>
      </c>
      <c r="P3809" t="str">
        <f>"4170051056                    "</f>
        <v xml:space="preserve">4170051056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45.18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4</v>
      </c>
      <c r="BJ3809">
        <v>1.7</v>
      </c>
      <c r="BK3809">
        <v>4</v>
      </c>
      <c r="BL3809">
        <v>142.34</v>
      </c>
      <c r="BM3809">
        <v>21.35</v>
      </c>
      <c r="BN3809">
        <v>163.69</v>
      </c>
      <c r="BO3809">
        <v>163.69</v>
      </c>
      <c r="BQ3809" t="s">
        <v>207</v>
      </c>
      <c r="BR3809" t="s">
        <v>84</v>
      </c>
      <c r="BS3809" s="3">
        <v>45863</v>
      </c>
      <c r="BT3809" s="4">
        <v>0.41041666666666665</v>
      </c>
      <c r="BU3809" t="s">
        <v>2957</v>
      </c>
      <c r="BV3809" t="s">
        <v>98</v>
      </c>
      <c r="BY3809">
        <v>8512</v>
      </c>
      <c r="CA3809" t="s">
        <v>196</v>
      </c>
      <c r="CC3809" t="s">
        <v>169</v>
      </c>
      <c r="CD3809">
        <v>6001</v>
      </c>
      <c r="CE3809" t="s">
        <v>145</v>
      </c>
      <c r="CF3809" s="3">
        <v>45863</v>
      </c>
      <c r="CI3809">
        <v>1</v>
      </c>
      <c r="CJ3809">
        <v>1</v>
      </c>
      <c r="CK3809">
        <v>21</v>
      </c>
      <c r="CL3809" t="s">
        <v>86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"080066771905"</f>
        <v>080066771905</v>
      </c>
      <c r="F3810" s="3">
        <v>45862</v>
      </c>
      <c r="G3810">
        <v>202604</v>
      </c>
      <c r="H3810" t="s">
        <v>75</v>
      </c>
      <c r="I3810" t="s">
        <v>76</v>
      </c>
      <c r="J3810" t="s">
        <v>77</v>
      </c>
      <c r="K3810" t="s">
        <v>78</v>
      </c>
      <c r="L3810" t="s">
        <v>221</v>
      </c>
      <c r="M3810" t="s">
        <v>222</v>
      </c>
      <c r="N3810" t="s">
        <v>223</v>
      </c>
      <c r="O3810" t="s">
        <v>82</v>
      </c>
      <c r="P3810" t="str">
        <f>"4170050924                    "</f>
        <v xml:space="preserve">4170050924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83.33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4</v>
      </c>
      <c r="BJ3810">
        <v>1.9</v>
      </c>
      <c r="BK3810">
        <v>4</v>
      </c>
      <c r="BL3810">
        <v>262.52999999999997</v>
      </c>
      <c r="BM3810">
        <v>39.380000000000003</v>
      </c>
      <c r="BN3810">
        <v>301.91000000000003</v>
      </c>
      <c r="BO3810">
        <v>301.91000000000003</v>
      </c>
      <c r="BQ3810" t="s">
        <v>224</v>
      </c>
      <c r="BR3810" t="s">
        <v>84</v>
      </c>
      <c r="BS3810" s="3">
        <v>45863</v>
      </c>
      <c r="BT3810" s="4">
        <v>0.41666666666666669</v>
      </c>
      <c r="BU3810" t="s">
        <v>1707</v>
      </c>
      <c r="BV3810" t="s">
        <v>98</v>
      </c>
      <c r="BY3810">
        <v>9360</v>
      </c>
      <c r="CC3810" t="s">
        <v>222</v>
      </c>
      <c r="CD3810">
        <v>2740</v>
      </c>
      <c r="CE3810" t="s">
        <v>91</v>
      </c>
      <c r="CF3810" s="3">
        <v>45866</v>
      </c>
      <c r="CI3810">
        <v>1</v>
      </c>
      <c r="CJ3810">
        <v>1</v>
      </c>
      <c r="CK3810">
        <v>23</v>
      </c>
      <c r="CL3810" t="s">
        <v>86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"080066772011"</f>
        <v>080066772011</v>
      </c>
      <c r="F3811" s="3">
        <v>45862</v>
      </c>
      <c r="G3811">
        <v>202604</v>
      </c>
      <c r="H3811" t="s">
        <v>75</v>
      </c>
      <c r="I3811" t="s">
        <v>76</v>
      </c>
      <c r="J3811" t="s">
        <v>77</v>
      </c>
      <c r="K3811" t="s">
        <v>78</v>
      </c>
      <c r="L3811" t="s">
        <v>221</v>
      </c>
      <c r="M3811" t="s">
        <v>222</v>
      </c>
      <c r="N3811" t="s">
        <v>223</v>
      </c>
      <c r="O3811" t="s">
        <v>82</v>
      </c>
      <c r="P3811" t="str">
        <f>"4170050933                    "</f>
        <v xml:space="preserve">4170050933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43.78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2</v>
      </c>
      <c r="BJ3811">
        <v>1.1000000000000001</v>
      </c>
      <c r="BK3811">
        <v>2</v>
      </c>
      <c r="BL3811">
        <v>137.94</v>
      </c>
      <c r="BM3811">
        <v>20.69</v>
      </c>
      <c r="BN3811">
        <v>158.63</v>
      </c>
      <c r="BO3811">
        <v>158.63</v>
      </c>
      <c r="BQ3811" t="s">
        <v>224</v>
      </c>
      <c r="BR3811" t="s">
        <v>84</v>
      </c>
      <c r="BS3811" s="3">
        <v>45863</v>
      </c>
      <c r="BT3811" s="4">
        <v>0.41666666666666669</v>
      </c>
      <c r="BU3811" t="s">
        <v>1707</v>
      </c>
      <c r="BV3811" t="s">
        <v>98</v>
      </c>
      <c r="BY3811">
        <v>5320</v>
      </c>
      <c r="CC3811" t="s">
        <v>222</v>
      </c>
      <c r="CD3811">
        <v>2740</v>
      </c>
      <c r="CE3811" t="s">
        <v>145</v>
      </c>
      <c r="CF3811" s="3">
        <v>45866</v>
      </c>
      <c r="CI3811">
        <v>1</v>
      </c>
      <c r="CJ3811">
        <v>1</v>
      </c>
      <c r="CK3811">
        <v>23</v>
      </c>
      <c r="CL3811" t="s">
        <v>86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"080066772109"</f>
        <v>080066772109</v>
      </c>
      <c r="F3812" s="3">
        <v>45862</v>
      </c>
      <c r="G3812">
        <v>202604</v>
      </c>
      <c r="H3812" t="s">
        <v>75</v>
      </c>
      <c r="I3812" t="s">
        <v>76</v>
      </c>
      <c r="J3812" t="s">
        <v>77</v>
      </c>
      <c r="K3812" t="s">
        <v>78</v>
      </c>
      <c r="L3812" t="s">
        <v>295</v>
      </c>
      <c r="M3812" t="s">
        <v>296</v>
      </c>
      <c r="N3812" t="s">
        <v>1837</v>
      </c>
      <c r="O3812" t="s">
        <v>82</v>
      </c>
      <c r="P3812" t="str">
        <f>"4170050979                    "</f>
        <v xml:space="preserve">4170050979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17.649999999999999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1.9</v>
      </c>
      <c r="BK3812">
        <v>2</v>
      </c>
      <c r="BL3812">
        <v>55.61</v>
      </c>
      <c r="BM3812">
        <v>8.34</v>
      </c>
      <c r="BN3812">
        <v>63.95</v>
      </c>
      <c r="BO3812">
        <v>63.95</v>
      </c>
      <c r="BQ3812" t="s">
        <v>1838</v>
      </c>
      <c r="BR3812" t="s">
        <v>84</v>
      </c>
      <c r="BS3812" s="3">
        <v>45863</v>
      </c>
      <c r="BT3812" s="4">
        <v>0.32847222222222222</v>
      </c>
      <c r="BU3812" t="s">
        <v>1726</v>
      </c>
      <c r="BV3812" t="s">
        <v>98</v>
      </c>
      <c r="BY3812">
        <v>9600</v>
      </c>
      <c r="CA3812" t="s">
        <v>300</v>
      </c>
      <c r="CC3812" t="s">
        <v>296</v>
      </c>
      <c r="CD3812">
        <v>1459</v>
      </c>
      <c r="CE3812" t="s">
        <v>145</v>
      </c>
      <c r="CF3812" s="3">
        <v>45866</v>
      </c>
      <c r="CI3812">
        <v>1</v>
      </c>
      <c r="CJ3812">
        <v>1</v>
      </c>
      <c r="CK3812">
        <v>22</v>
      </c>
      <c r="CL3812" t="s">
        <v>86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"080066772220"</f>
        <v>080066772220</v>
      </c>
      <c r="F3813" s="3">
        <v>45862</v>
      </c>
      <c r="G3813">
        <v>202604</v>
      </c>
      <c r="H3813" t="s">
        <v>75</v>
      </c>
      <c r="I3813" t="s">
        <v>76</v>
      </c>
      <c r="J3813" t="s">
        <v>77</v>
      </c>
      <c r="K3813" t="s">
        <v>78</v>
      </c>
      <c r="L3813" t="s">
        <v>75</v>
      </c>
      <c r="M3813" t="s">
        <v>76</v>
      </c>
      <c r="N3813" t="s">
        <v>1855</v>
      </c>
      <c r="O3813" t="s">
        <v>311</v>
      </c>
      <c r="P3813" t="str">
        <f>"4170050939                    "</f>
        <v xml:space="preserve">4170050939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17.66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4</v>
      </c>
      <c r="BJ3813">
        <v>6.5</v>
      </c>
      <c r="BK3813">
        <v>7</v>
      </c>
      <c r="BL3813">
        <v>55.63</v>
      </c>
      <c r="BM3813">
        <v>8.34</v>
      </c>
      <c r="BN3813">
        <v>63.97</v>
      </c>
      <c r="BO3813">
        <v>63.97</v>
      </c>
      <c r="BQ3813" t="s">
        <v>1856</v>
      </c>
      <c r="BR3813" t="s">
        <v>84</v>
      </c>
      <c r="BS3813" s="3">
        <v>45863</v>
      </c>
      <c r="BT3813" s="4">
        <v>0.3576388888888889</v>
      </c>
      <c r="BU3813" t="s">
        <v>212</v>
      </c>
      <c r="BV3813" t="s">
        <v>98</v>
      </c>
      <c r="BY3813">
        <v>32256</v>
      </c>
      <c r="CA3813" t="s">
        <v>3508</v>
      </c>
      <c r="CC3813" t="s">
        <v>76</v>
      </c>
      <c r="CD3813">
        <v>1600</v>
      </c>
      <c r="CE3813" t="s">
        <v>91</v>
      </c>
      <c r="CF3813" s="3">
        <v>45863</v>
      </c>
      <c r="CI3813">
        <v>1</v>
      </c>
      <c r="CJ3813">
        <v>1</v>
      </c>
      <c r="CK3813">
        <v>32</v>
      </c>
      <c r="CL3813" t="s">
        <v>86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"080066772278"</f>
        <v>080066772278</v>
      </c>
      <c r="F3814" s="3">
        <v>45862</v>
      </c>
      <c r="G3814">
        <v>202604</v>
      </c>
      <c r="H3814" t="s">
        <v>75</v>
      </c>
      <c r="I3814" t="s">
        <v>76</v>
      </c>
      <c r="J3814" t="s">
        <v>77</v>
      </c>
      <c r="K3814" t="s">
        <v>78</v>
      </c>
      <c r="L3814" t="s">
        <v>168</v>
      </c>
      <c r="M3814" t="s">
        <v>169</v>
      </c>
      <c r="N3814" t="s">
        <v>206</v>
      </c>
      <c r="O3814" t="s">
        <v>82</v>
      </c>
      <c r="P3814" t="str">
        <f>"4170051058                    "</f>
        <v xml:space="preserve">4170051058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56.47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5</v>
      </c>
      <c r="BJ3814">
        <v>2</v>
      </c>
      <c r="BK3814">
        <v>5</v>
      </c>
      <c r="BL3814">
        <v>177.91</v>
      </c>
      <c r="BM3814">
        <v>26.69</v>
      </c>
      <c r="BN3814">
        <v>204.6</v>
      </c>
      <c r="BO3814">
        <v>204.6</v>
      </c>
      <c r="BQ3814" t="s">
        <v>207</v>
      </c>
      <c r="BR3814" t="s">
        <v>84</v>
      </c>
      <c r="BS3814" s="3">
        <v>45863</v>
      </c>
      <c r="BT3814" s="4">
        <v>0.41041666666666665</v>
      </c>
      <c r="BU3814" t="s">
        <v>2957</v>
      </c>
      <c r="BV3814" t="s">
        <v>98</v>
      </c>
      <c r="BY3814">
        <v>9918</v>
      </c>
      <c r="CA3814" t="s">
        <v>196</v>
      </c>
      <c r="CC3814" t="s">
        <v>169</v>
      </c>
      <c r="CD3814">
        <v>6001</v>
      </c>
      <c r="CE3814" t="s">
        <v>145</v>
      </c>
      <c r="CF3814" s="3">
        <v>45863</v>
      </c>
      <c r="CI3814">
        <v>1</v>
      </c>
      <c r="CJ3814">
        <v>1</v>
      </c>
      <c r="CK3814">
        <v>21</v>
      </c>
      <c r="CL3814" t="s">
        <v>86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"080066772333"</f>
        <v>080066772333</v>
      </c>
      <c r="F3815" s="3">
        <v>45862</v>
      </c>
      <c r="G3815">
        <v>202604</v>
      </c>
      <c r="H3815" t="s">
        <v>75</v>
      </c>
      <c r="I3815" t="s">
        <v>76</v>
      </c>
      <c r="J3815" t="s">
        <v>77</v>
      </c>
      <c r="K3815" t="s">
        <v>78</v>
      </c>
      <c r="L3815" t="s">
        <v>168</v>
      </c>
      <c r="M3815" t="s">
        <v>169</v>
      </c>
      <c r="N3815" t="s">
        <v>206</v>
      </c>
      <c r="O3815" t="s">
        <v>82</v>
      </c>
      <c r="P3815" t="str">
        <f>"4170050765                    "</f>
        <v xml:space="preserve">4170050765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50.82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3</v>
      </c>
      <c r="BJ3815">
        <v>4.0999999999999996</v>
      </c>
      <c r="BK3815">
        <v>4.5</v>
      </c>
      <c r="BL3815">
        <v>160.12</v>
      </c>
      <c r="BM3815">
        <v>24.02</v>
      </c>
      <c r="BN3815">
        <v>184.14</v>
      </c>
      <c r="BO3815">
        <v>184.14</v>
      </c>
      <c r="BQ3815" t="s">
        <v>207</v>
      </c>
      <c r="BR3815" t="s">
        <v>84</v>
      </c>
      <c r="BS3815" s="3">
        <v>45863</v>
      </c>
      <c r="BT3815" s="4">
        <v>0.41041666666666665</v>
      </c>
      <c r="BU3815" t="s">
        <v>2957</v>
      </c>
      <c r="BV3815" t="s">
        <v>98</v>
      </c>
      <c r="BY3815">
        <v>20358</v>
      </c>
      <c r="CA3815" t="s">
        <v>196</v>
      </c>
      <c r="CC3815" t="s">
        <v>169</v>
      </c>
      <c r="CD3815">
        <v>6001</v>
      </c>
      <c r="CE3815" t="s">
        <v>145</v>
      </c>
      <c r="CF3815" s="3">
        <v>45863</v>
      </c>
      <c r="CI3815">
        <v>1</v>
      </c>
      <c r="CJ3815">
        <v>1</v>
      </c>
      <c r="CK3815">
        <v>21</v>
      </c>
      <c r="CL3815" t="s">
        <v>86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"080066772379"</f>
        <v>080066772379</v>
      </c>
      <c r="F3816" s="3">
        <v>45862</v>
      </c>
      <c r="G3816">
        <v>202604</v>
      </c>
      <c r="H3816" t="s">
        <v>75</v>
      </c>
      <c r="I3816" t="s">
        <v>76</v>
      </c>
      <c r="J3816" t="s">
        <v>77</v>
      </c>
      <c r="K3816" t="s">
        <v>78</v>
      </c>
      <c r="L3816" t="s">
        <v>122</v>
      </c>
      <c r="M3816" t="s">
        <v>123</v>
      </c>
      <c r="N3816" t="s">
        <v>2340</v>
      </c>
      <c r="O3816" t="s">
        <v>82</v>
      </c>
      <c r="P3816" t="str">
        <f>"4170050896                    "</f>
        <v xml:space="preserve">4170050896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62.11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4</v>
      </c>
      <c r="BJ3816">
        <v>5.2</v>
      </c>
      <c r="BK3816">
        <v>5.5</v>
      </c>
      <c r="BL3816">
        <v>195.69</v>
      </c>
      <c r="BM3816">
        <v>29.35</v>
      </c>
      <c r="BN3816">
        <v>225.04</v>
      </c>
      <c r="BO3816">
        <v>225.04</v>
      </c>
      <c r="BQ3816" t="s">
        <v>2341</v>
      </c>
      <c r="BR3816" t="s">
        <v>84</v>
      </c>
      <c r="BS3816" s="3">
        <v>45863</v>
      </c>
      <c r="BT3816" s="4">
        <v>0.36319444444444443</v>
      </c>
      <c r="BU3816" t="s">
        <v>1178</v>
      </c>
      <c r="BV3816" t="s">
        <v>98</v>
      </c>
      <c r="BY3816">
        <v>26013</v>
      </c>
      <c r="CA3816" t="s">
        <v>187</v>
      </c>
      <c r="CC3816" t="s">
        <v>123</v>
      </c>
      <c r="CD3816">
        <v>3610</v>
      </c>
      <c r="CE3816" t="s">
        <v>145</v>
      </c>
      <c r="CF3816" s="3">
        <v>45864</v>
      </c>
      <c r="CI3816">
        <v>1</v>
      </c>
      <c r="CJ3816">
        <v>1</v>
      </c>
      <c r="CK3816">
        <v>21</v>
      </c>
      <c r="CL3816" t="s">
        <v>86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"080066772620"</f>
        <v>080066772620</v>
      </c>
      <c r="F3817" s="3">
        <v>45862</v>
      </c>
      <c r="G3817">
        <v>202604</v>
      </c>
      <c r="H3817" t="s">
        <v>75</v>
      </c>
      <c r="I3817" t="s">
        <v>76</v>
      </c>
      <c r="J3817" t="s">
        <v>77</v>
      </c>
      <c r="K3817" t="s">
        <v>78</v>
      </c>
      <c r="L3817" t="s">
        <v>2990</v>
      </c>
      <c r="M3817" t="s">
        <v>2991</v>
      </c>
      <c r="N3817" t="s">
        <v>2992</v>
      </c>
      <c r="O3817" t="s">
        <v>82</v>
      </c>
      <c r="P3817" t="str">
        <f>"4170050931                    "</f>
        <v xml:space="preserve">4170050931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83.33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2</v>
      </c>
      <c r="BJ3817">
        <v>3.8</v>
      </c>
      <c r="BK3817">
        <v>4</v>
      </c>
      <c r="BL3817">
        <v>262.52999999999997</v>
      </c>
      <c r="BM3817">
        <v>39.380000000000003</v>
      </c>
      <c r="BN3817">
        <v>301.91000000000003</v>
      </c>
      <c r="BO3817">
        <v>301.91000000000003</v>
      </c>
      <c r="BQ3817" t="s">
        <v>2993</v>
      </c>
      <c r="BR3817" t="s">
        <v>84</v>
      </c>
      <c r="BS3817" s="3">
        <v>45863</v>
      </c>
      <c r="BT3817" s="4">
        <v>0.3840277777777778</v>
      </c>
      <c r="BU3817" t="s">
        <v>2994</v>
      </c>
      <c r="BV3817" t="s">
        <v>98</v>
      </c>
      <c r="BY3817">
        <v>19152</v>
      </c>
      <c r="CA3817" t="s">
        <v>2150</v>
      </c>
      <c r="CC3817" t="s">
        <v>2991</v>
      </c>
      <c r="CD3817">
        <v>7129</v>
      </c>
      <c r="CE3817" t="s">
        <v>91</v>
      </c>
      <c r="CF3817" s="3">
        <v>45866</v>
      </c>
      <c r="CI3817">
        <v>1</v>
      </c>
      <c r="CJ3817">
        <v>1</v>
      </c>
      <c r="CK3817">
        <v>23</v>
      </c>
      <c r="CL3817" t="s">
        <v>86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"080066772632"</f>
        <v>080066772632</v>
      </c>
      <c r="F3818" s="3">
        <v>45862</v>
      </c>
      <c r="G3818">
        <v>202604</v>
      </c>
      <c r="H3818" t="s">
        <v>75</v>
      </c>
      <c r="I3818" t="s">
        <v>76</v>
      </c>
      <c r="J3818" t="s">
        <v>77</v>
      </c>
      <c r="K3818" t="s">
        <v>78</v>
      </c>
      <c r="L3818" t="s">
        <v>246</v>
      </c>
      <c r="M3818" t="s">
        <v>247</v>
      </c>
      <c r="N3818" t="s">
        <v>1359</v>
      </c>
      <c r="O3818" t="s">
        <v>82</v>
      </c>
      <c r="P3818" t="str">
        <f>"4170051032                    "</f>
        <v xml:space="preserve">4170051032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31.78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100.13</v>
      </c>
      <c r="BM3818">
        <v>15.02</v>
      </c>
      <c r="BN3818">
        <v>115.15</v>
      </c>
      <c r="BO3818">
        <v>115.15</v>
      </c>
      <c r="BQ3818" t="s">
        <v>1360</v>
      </c>
      <c r="BR3818" t="s">
        <v>84</v>
      </c>
      <c r="BS3818" s="3">
        <v>45863</v>
      </c>
      <c r="BT3818" s="4">
        <v>0.40694444444444444</v>
      </c>
      <c r="BU3818" t="s">
        <v>3509</v>
      </c>
      <c r="BV3818" t="s">
        <v>98</v>
      </c>
      <c r="BY3818">
        <v>1200</v>
      </c>
      <c r="CA3818" t="s">
        <v>251</v>
      </c>
      <c r="CC3818" t="s">
        <v>247</v>
      </c>
      <c r="CD3818">
        <v>1438</v>
      </c>
      <c r="CE3818" t="s">
        <v>121</v>
      </c>
      <c r="CF3818" s="3">
        <v>45864</v>
      </c>
      <c r="CI3818">
        <v>1</v>
      </c>
      <c r="CJ3818">
        <v>1</v>
      </c>
      <c r="CK3818">
        <v>24</v>
      </c>
      <c r="CL3818" t="s">
        <v>86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"080066772641"</f>
        <v>080066772641</v>
      </c>
      <c r="F3819" s="3">
        <v>45862</v>
      </c>
      <c r="G3819">
        <v>202604</v>
      </c>
      <c r="H3819" t="s">
        <v>75</v>
      </c>
      <c r="I3819" t="s">
        <v>76</v>
      </c>
      <c r="J3819" t="s">
        <v>77</v>
      </c>
      <c r="K3819" t="s">
        <v>78</v>
      </c>
      <c r="L3819" t="s">
        <v>168</v>
      </c>
      <c r="M3819" t="s">
        <v>169</v>
      </c>
      <c r="N3819" t="s">
        <v>206</v>
      </c>
      <c r="O3819" t="s">
        <v>82</v>
      </c>
      <c r="P3819" t="str">
        <f>"4170051059                    "</f>
        <v xml:space="preserve">4170051059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22.6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2</v>
      </c>
      <c r="BJ3819">
        <v>1.9</v>
      </c>
      <c r="BK3819">
        <v>2</v>
      </c>
      <c r="BL3819">
        <v>71.2</v>
      </c>
      <c r="BM3819">
        <v>10.68</v>
      </c>
      <c r="BN3819">
        <v>81.88</v>
      </c>
      <c r="BO3819">
        <v>81.88</v>
      </c>
      <c r="BQ3819" t="s">
        <v>207</v>
      </c>
      <c r="BR3819" t="s">
        <v>84</v>
      </c>
      <c r="BS3819" s="3">
        <v>45863</v>
      </c>
      <c r="BT3819" s="4">
        <v>0.41041666666666665</v>
      </c>
      <c r="BU3819" t="s">
        <v>2957</v>
      </c>
      <c r="BV3819" t="s">
        <v>98</v>
      </c>
      <c r="BY3819">
        <v>9600</v>
      </c>
      <c r="CA3819" t="s">
        <v>196</v>
      </c>
      <c r="CC3819" t="s">
        <v>169</v>
      </c>
      <c r="CD3819">
        <v>6001</v>
      </c>
      <c r="CE3819" t="s">
        <v>145</v>
      </c>
      <c r="CF3819" s="3">
        <v>45863</v>
      </c>
      <c r="CI3819">
        <v>1</v>
      </c>
      <c r="CJ3819">
        <v>1</v>
      </c>
      <c r="CK3819">
        <v>21</v>
      </c>
      <c r="CL3819" t="s">
        <v>86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"080066772649"</f>
        <v>080066772649</v>
      </c>
      <c r="F3820" s="3">
        <v>45862</v>
      </c>
      <c r="G3820">
        <v>202604</v>
      </c>
      <c r="H3820" t="s">
        <v>75</v>
      </c>
      <c r="I3820" t="s">
        <v>76</v>
      </c>
      <c r="J3820" t="s">
        <v>77</v>
      </c>
      <c r="K3820" t="s">
        <v>78</v>
      </c>
      <c r="L3820" t="s">
        <v>79</v>
      </c>
      <c r="M3820" t="s">
        <v>80</v>
      </c>
      <c r="N3820" t="s">
        <v>141</v>
      </c>
      <c r="O3820" t="s">
        <v>82</v>
      </c>
      <c r="P3820" t="str">
        <f>"4170050313                    "</f>
        <v xml:space="preserve">4170050313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22.6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71.2</v>
      </c>
      <c r="BM3820">
        <v>10.68</v>
      </c>
      <c r="BN3820">
        <v>81.88</v>
      </c>
      <c r="BO3820">
        <v>81.88</v>
      </c>
      <c r="BQ3820" t="s">
        <v>142</v>
      </c>
      <c r="BR3820" t="s">
        <v>84</v>
      </c>
      <c r="BS3820" s="3">
        <v>45863</v>
      </c>
      <c r="BT3820" s="4">
        <v>0.4236111111111111</v>
      </c>
      <c r="BU3820" t="s">
        <v>2437</v>
      </c>
      <c r="BV3820" t="s">
        <v>98</v>
      </c>
      <c r="BY3820">
        <v>1200</v>
      </c>
      <c r="CA3820" t="s">
        <v>144</v>
      </c>
      <c r="CC3820" t="s">
        <v>80</v>
      </c>
      <c r="CD3820">
        <v>7441</v>
      </c>
      <c r="CE3820" t="s">
        <v>121</v>
      </c>
      <c r="CF3820" s="3">
        <v>45866</v>
      </c>
      <c r="CI3820">
        <v>1</v>
      </c>
      <c r="CJ3820">
        <v>1</v>
      </c>
      <c r="CK3820">
        <v>21</v>
      </c>
      <c r="CL3820" t="s">
        <v>86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"080066772663"</f>
        <v>080066772663</v>
      </c>
      <c r="F3821" s="3">
        <v>45862</v>
      </c>
      <c r="G3821">
        <v>202604</v>
      </c>
      <c r="H3821" t="s">
        <v>75</v>
      </c>
      <c r="I3821" t="s">
        <v>76</v>
      </c>
      <c r="J3821" t="s">
        <v>77</v>
      </c>
      <c r="K3821" t="s">
        <v>78</v>
      </c>
      <c r="L3821" t="s">
        <v>168</v>
      </c>
      <c r="M3821" t="s">
        <v>169</v>
      </c>
      <c r="N3821" t="s">
        <v>206</v>
      </c>
      <c r="O3821" t="s">
        <v>82</v>
      </c>
      <c r="P3821" t="str">
        <f>"4170051057                    "</f>
        <v xml:space="preserve">4170051057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45.18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4</v>
      </c>
      <c r="BJ3821">
        <v>1.7</v>
      </c>
      <c r="BK3821">
        <v>4</v>
      </c>
      <c r="BL3821">
        <v>142.34</v>
      </c>
      <c r="BM3821">
        <v>21.35</v>
      </c>
      <c r="BN3821">
        <v>163.69</v>
      </c>
      <c r="BO3821">
        <v>163.69</v>
      </c>
      <c r="BQ3821" t="s">
        <v>207</v>
      </c>
      <c r="BR3821" t="s">
        <v>84</v>
      </c>
      <c r="BS3821" s="3">
        <v>45863</v>
      </c>
      <c r="BT3821" s="4">
        <v>0.41041666666666665</v>
      </c>
      <c r="BU3821" t="s">
        <v>2957</v>
      </c>
      <c r="BV3821" t="s">
        <v>98</v>
      </c>
      <c r="BY3821">
        <v>8512</v>
      </c>
      <c r="CA3821" t="s">
        <v>196</v>
      </c>
      <c r="CC3821" t="s">
        <v>169</v>
      </c>
      <c r="CD3821">
        <v>6001</v>
      </c>
      <c r="CE3821" t="s">
        <v>145</v>
      </c>
      <c r="CF3821" s="3">
        <v>45863</v>
      </c>
      <c r="CI3821">
        <v>1</v>
      </c>
      <c r="CJ3821">
        <v>1</v>
      </c>
      <c r="CK3821">
        <v>21</v>
      </c>
      <c r="CL3821" t="s">
        <v>86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"080066772674"</f>
        <v>080066772674</v>
      </c>
      <c r="F3822" s="3">
        <v>45862</v>
      </c>
      <c r="G3822">
        <v>202604</v>
      </c>
      <c r="H3822" t="s">
        <v>75</v>
      </c>
      <c r="I3822" t="s">
        <v>76</v>
      </c>
      <c r="J3822" t="s">
        <v>77</v>
      </c>
      <c r="K3822" t="s">
        <v>78</v>
      </c>
      <c r="L3822" t="s">
        <v>168</v>
      </c>
      <c r="M3822" t="s">
        <v>169</v>
      </c>
      <c r="N3822" t="s">
        <v>206</v>
      </c>
      <c r="O3822" t="s">
        <v>82</v>
      </c>
      <c r="P3822" t="str">
        <f>"4170050889                    "</f>
        <v xml:space="preserve">4170050889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22.6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71.2</v>
      </c>
      <c r="BM3822">
        <v>10.68</v>
      </c>
      <c r="BN3822">
        <v>81.88</v>
      </c>
      <c r="BO3822">
        <v>81.88</v>
      </c>
      <c r="BQ3822" t="s">
        <v>207</v>
      </c>
      <c r="BR3822" t="s">
        <v>84</v>
      </c>
      <c r="BS3822" s="3">
        <v>45863</v>
      </c>
      <c r="BT3822" s="4">
        <v>0.41041666666666665</v>
      </c>
      <c r="BU3822" t="s">
        <v>2957</v>
      </c>
      <c r="BV3822" t="s">
        <v>98</v>
      </c>
      <c r="BY3822">
        <v>1200</v>
      </c>
      <c r="CA3822" t="s">
        <v>196</v>
      </c>
      <c r="CC3822" t="s">
        <v>169</v>
      </c>
      <c r="CD3822">
        <v>6001</v>
      </c>
      <c r="CE3822" t="s">
        <v>121</v>
      </c>
      <c r="CF3822" s="3">
        <v>45863</v>
      </c>
      <c r="CI3822">
        <v>1</v>
      </c>
      <c r="CJ3822">
        <v>1</v>
      </c>
      <c r="CK3822">
        <v>21</v>
      </c>
      <c r="CL3822" t="s">
        <v>86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"080066772695"</f>
        <v>080066772695</v>
      </c>
      <c r="F3823" s="3">
        <v>45862</v>
      </c>
      <c r="G3823">
        <v>202604</v>
      </c>
      <c r="H3823" t="s">
        <v>75</v>
      </c>
      <c r="I3823" t="s">
        <v>76</v>
      </c>
      <c r="J3823" t="s">
        <v>77</v>
      </c>
      <c r="K3823" t="s">
        <v>78</v>
      </c>
      <c r="L3823" t="s">
        <v>92</v>
      </c>
      <c r="M3823" t="s">
        <v>93</v>
      </c>
      <c r="N3823" t="s">
        <v>723</v>
      </c>
      <c r="O3823" t="s">
        <v>82</v>
      </c>
      <c r="P3823" t="str">
        <f>"4170050312                    "</f>
        <v xml:space="preserve">4170050312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22.6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71.2</v>
      </c>
      <c r="BM3823">
        <v>10.68</v>
      </c>
      <c r="BN3823">
        <v>81.88</v>
      </c>
      <c r="BO3823">
        <v>81.88</v>
      </c>
      <c r="BQ3823" t="s">
        <v>724</v>
      </c>
      <c r="BR3823" t="s">
        <v>84</v>
      </c>
      <c r="BS3823" s="3">
        <v>45863</v>
      </c>
      <c r="BT3823" s="4">
        <v>0.43333333333333335</v>
      </c>
      <c r="BU3823" t="s">
        <v>354</v>
      </c>
      <c r="BV3823" t="s">
        <v>98</v>
      </c>
      <c r="BY3823">
        <v>1200</v>
      </c>
      <c r="CA3823" t="s">
        <v>2974</v>
      </c>
      <c r="CC3823" t="s">
        <v>93</v>
      </c>
      <c r="CD3823">
        <v>4000</v>
      </c>
      <c r="CE3823" t="s">
        <v>121</v>
      </c>
      <c r="CF3823" s="3">
        <v>45863</v>
      </c>
      <c r="CI3823">
        <v>1</v>
      </c>
      <c r="CJ3823">
        <v>1</v>
      </c>
      <c r="CK3823">
        <v>21</v>
      </c>
      <c r="CL3823" t="s">
        <v>86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"080066772701"</f>
        <v>080066772701</v>
      </c>
      <c r="F3824" s="3">
        <v>45862</v>
      </c>
      <c r="G3824">
        <v>202604</v>
      </c>
      <c r="H3824" t="s">
        <v>75</v>
      </c>
      <c r="I3824" t="s">
        <v>76</v>
      </c>
      <c r="J3824" t="s">
        <v>77</v>
      </c>
      <c r="K3824" t="s">
        <v>78</v>
      </c>
      <c r="L3824" t="s">
        <v>75</v>
      </c>
      <c r="M3824" t="s">
        <v>76</v>
      </c>
      <c r="N3824" t="s">
        <v>3492</v>
      </c>
      <c r="O3824" t="s">
        <v>311</v>
      </c>
      <c r="P3824" t="str">
        <f>"4170050905                    "</f>
        <v xml:space="preserve">4170050905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17.66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6</v>
      </c>
      <c r="BJ3824">
        <v>3.4</v>
      </c>
      <c r="BK3824">
        <v>6</v>
      </c>
      <c r="BL3824">
        <v>55.63</v>
      </c>
      <c r="BM3824">
        <v>8.34</v>
      </c>
      <c r="BN3824">
        <v>63.97</v>
      </c>
      <c r="BO3824">
        <v>63.97</v>
      </c>
      <c r="BQ3824" t="s">
        <v>3493</v>
      </c>
      <c r="BR3824" t="s">
        <v>84</v>
      </c>
      <c r="BS3824" s="3">
        <v>45863</v>
      </c>
      <c r="BT3824" s="4">
        <v>0.40763888888888888</v>
      </c>
      <c r="BU3824" t="s">
        <v>975</v>
      </c>
      <c r="BV3824" t="s">
        <v>98</v>
      </c>
      <c r="BY3824">
        <v>16965</v>
      </c>
      <c r="CA3824" t="s">
        <v>617</v>
      </c>
      <c r="CC3824" t="s">
        <v>76</v>
      </c>
      <c r="CD3824">
        <v>1609</v>
      </c>
      <c r="CE3824" t="s">
        <v>145</v>
      </c>
      <c r="CF3824" s="3">
        <v>45864</v>
      </c>
      <c r="CI3824">
        <v>1</v>
      </c>
      <c r="CJ3824">
        <v>1</v>
      </c>
      <c r="CK3824">
        <v>32</v>
      </c>
      <c r="CL3824" t="s">
        <v>86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"080066772740"</f>
        <v>080066772740</v>
      </c>
      <c r="F3825" s="3">
        <v>45862</v>
      </c>
      <c r="G3825">
        <v>202604</v>
      </c>
      <c r="H3825" t="s">
        <v>75</v>
      </c>
      <c r="I3825" t="s">
        <v>76</v>
      </c>
      <c r="J3825" t="s">
        <v>77</v>
      </c>
      <c r="K3825" t="s">
        <v>78</v>
      </c>
      <c r="L3825" t="s">
        <v>197</v>
      </c>
      <c r="M3825" t="s">
        <v>198</v>
      </c>
      <c r="N3825" t="s">
        <v>3510</v>
      </c>
      <c r="O3825" t="s">
        <v>82</v>
      </c>
      <c r="P3825" t="str">
        <f>"4170050990                    "</f>
        <v xml:space="preserve">4170050990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17.649999999999999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55.61</v>
      </c>
      <c r="BM3825">
        <v>8.34</v>
      </c>
      <c r="BN3825">
        <v>63.95</v>
      </c>
      <c r="BO3825">
        <v>63.95</v>
      </c>
      <c r="BQ3825" t="s">
        <v>3511</v>
      </c>
      <c r="BR3825" t="s">
        <v>84</v>
      </c>
      <c r="BS3825" s="3">
        <v>45863</v>
      </c>
      <c r="BT3825" s="4">
        <v>0.36666666666666664</v>
      </c>
      <c r="BU3825" t="s">
        <v>3512</v>
      </c>
      <c r="BV3825" t="s">
        <v>98</v>
      </c>
      <c r="BY3825">
        <v>1200</v>
      </c>
      <c r="CA3825" t="s">
        <v>3513</v>
      </c>
      <c r="CC3825" t="s">
        <v>198</v>
      </c>
      <c r="CD3825">
        <v>1401</v>
      </c>
      <c r="CE3825" t="s">
        <v>121</v>
      </c>
      <c r="CF3825" s="3">
        <v>45863</v>
      </c>
      <c r="CI3825">
        <v>1</v>
      </c>
      <c r="CJ3825">
        <v>1</v>
      </c>
      <c r="CK3825">
        <v>22</v>
      </c>
      <c r="CL3825" t="s">
        <v>86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"080066772759"</f>
        <v>080066772759</v>
      </c>
      <c r="F3826" s="3">
        <v>45862</v>
      </c>
      <c r="G3826">
        <v>202604</v>
      </c>
      <c r="H3826" t="s">
        <v>75</v>
      </c>
      <c r="I3826" t="s">
        <v>76</v>
      </c>
      <c r="J3826" t="s">
        <v>77</v>
      </c>
      <c r="K3826" t="s">
        <v>78</v>
      </c>
      <c r="L3826" t="s">
        <v>75</v>
      </c>
      <c r="M3826" t="s">
        <v>76</v>
      </c>
      <c r="N3826" t="s">
        <v>3041</v>
      </c>
      <c r="O3826" t="s">
        <v>82</v>
      </c>
      <c r="P3826" t="str">
        <f>"4170050915                    "</f>
        <v xml:space="preserve">4170050915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17.649999999999999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2</v>
      </c>
      <c r="BJ3826">
        <v>1.1000000000000001</v>
      </c>
      <c r="BK3826">
        <v>2</v>
      </c>
      <c r="BL3826">
        <v>55.61</v>
      </c>
      <c r="BM3826">
        <v>8.34</v>
      </c>
      <c r="BN3826">
        <v>63.95</v>
      </c>
      <c r="BO3826">
        <v>63.95</v>
      </c>
      <c r="BQ3826" t="s">
        <v>3042</v>
      </c>
      <c r="BR3826" t="s">
        <v>84</v>
      </c>
      <c r="BS3826" s="3">
        <v>45863</v>
      </c>
      <c r="BT3826" s="4">
        <v>0.31527777777777777</v>
      </c>
      <c r="BU3826" t="s">
        <v>3514</v>
      </c>
      <c r="BV3826" t="s">
        <v>98</v>
      </c>
      <c r="BY3826">
        <v>5320</v>
      </c>
      <c r="CA3826" t="s">
        <v>213</v>
      </c>
      <c r="CC3826" t="s">
        <v>76</v>
      </c>
      <c r="CD3826">
        <v>1619</v>
      </c>
      <c r="CE3826" t="s">
        <v>145</v>
      </c>
      <c r="CF3826" s="3">
        <v>45863</v>
      </c>
      <c r="CI3826">
        <v>1</v>
      </c>
      <c r="CJ3826">
        <v>1</v>
      </c>
      <c r="CK3826">
        <v>22</v>
      </c>
      <c r="CL3826" t="s">
        <v>86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"080066772794"</f>
        <v>080066772794</v>
      </c>
      <c r="F3827" s="3">
        <v>45862</v>
      </c>
      <c r="G3827">
        <v>202604</v>
      </c>
      <c r="H3827" t="s">
        <v>75</v>
      </c>
      <c r="I3827" t="s">
        <v>76</v>
      </c>
      <c r="J3827" t="s">
        <v>77</v>
      </c>
      <c r="K3827" t="s">
        <v>78</v>
      </c>
      <c r="L3827" t="s">
        <v>168</v>
      </c>
      <c r="M3827" t="s">
        <v>169</v>
      </c>
      <c r="N3827" t="s">
        <v>202</v>
      </c>
      <c r="O3827" t="s">
        <v>82</v>
      </c>
      <c r="P3827" t="str">
        <f>"4170050965                    "</f>
        <v xml:space="preserve">4170050965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33.89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3</v>
      </c>
      <c r="BJ3827">
        <v>1.1000000000000001</v>
      </c>
      <c r="BK3827">
        <v>3</v>
      </c>
      <c r="BL3827">
        <v>106.77</v>
      </c>
      <c r="BM3827">
        <v>16.02</v>
      </c>
      <c r="BN3827">
        <v>122.79</v>
      </c>
      <c r="BO3827">
        <v>122.79</v>
      </c>
      <c r="BQ3827" t="s">
        <v>203</v>
      </c>
      <c r="BR3827" t="s">
        <v>84</v>
      </c>
      <c r="BS3827" s="3">
        <v>45863</v>
      </c>
      <c r="BT3827" s="4">
        <v>0.38263888888888886</v>
      </c>
      <c r="BU3827" t="s">
        <v>204</v>
      </c>
      <c r="BV3827" t="s">
        <v>98</v>
      </c>
      <c r="BY3827">
        <v>5320</v>
      </c>
      <c r="CA3827" t="s">
        <v>205</v>
      </c>
      <c r="CC3827" t="s">
        <v>169</v>
      </c>
      <c r="CD3827">
        <v>6001</v>
      </c>
      <c r="CE3827" t="s">
        <v>145</v>
      </c>
      <c r="CF3827" s="3">
        <v>45863</v>
      </c>
      <c r="CI3827">
        <v>1</v>
      </c>
      <c r="CJ3827">
        <v>1</v>
      </c>
      <c r="CK3827">
        <v>21</v>
      </c>
      <c r="CL3827" t="s">
        <v>86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"080066772826"</f>
        <v>080066772826</v>
      </c>
      <c r="F3828" s="3">
        <v>45862</v>
      </c>
      <c r="G3828">
        <v>202604</v>
      </c>
      <c r="H3828" t="s">
        <v>75</v>
      </c>
      <c r="I3828" t="s">
        <v>76</v>
      </c>
      <c r="J3828" t="s">
        <v>77</v>
      </c>
      <c r="K3828" t="s">
        <v>78</v>
      </c>
      <c r="L3828" t="s">
        <v>305</v>
      </c>
      <c r="M3828" t="s">
        <v>306</v>
      </c>
      <c r="N3828" t="s">
        <v>1320</v>
      </c>
      <c r="O3828" t="s">
        <v>82</v>
      </c>
      <c r="P3828" t="str">
        <f>"4170050885                    "</f>
        <v xml:space="preserve">4170050885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22.6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71.2</v>
      </c>
      <c r="BM3828">
        <v>10.68</v>
      </c>
      <c r="BN3828">
        <v>81.88</v>
      </c>
      <c r="BO3828">
        <v>81.88</v>
      </c>
      <c r="BQ3828" t="s">
        <v>308</v>
      </c>
      <c r="BR3828" t="s">
        <v>84</v>
      </c>
      <c r="BS3828" s="3">
        <v>45863</v>
      </c>
      <c r="BT3828" s="4">
        <v>0.4375</v>
      </c>
      <c r="BU3828" t="s">
        <v>338</v>
      </c>
      <c r="BV3828" t="s">
        <v>98</v>
      </c>
      <c r="BY3828">
        <v>1200</v>
      </c>
      <c r="CA3828" t="s">
        <v>310</v>
      </c>
      <c r="CC3828" t="s">
        <v>306</v>
      </c>
      <c r="CD3828">
        <v>5200</v>
      </c>
      <c r="CE3828" t="s">
        <v>121</v>
      </c>
      <c r="CF3828" s="3">
        <v>45863</v>
      </c>
      <c r="CI3828">
        <v>1</v>
      </c>
      <c r="CJ3828">
        <v>1</v>
      </c>
      <c r="CK3828">
        <v>21</v>
      </c>
      <c r="CL3828" t="s">
        <v>86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"080066772830"</f>
        <v>080066772830</v>
      </c>
      <c r="F3829" s="3">
        <v>45862</v>
      </c>
      <c r="G3829">
        <v>202604</v>
      </c>
      <c r="H3829" t="s">
        <v>75</v>
      </c>
      <c r="I3829" t="s">
        <v>76</v>
      </c>
      <c r="J3829" t="s">
        <v>77</v>
      </c>
      <c r="K3829" t="s">
        <v>78</v>
      </c>
      <c r="L3829" t="s">
        <v>168</v>
      </c>
      <c r="M3829" t="s">
        <v>169</v>
      </c>
      <c r="N3829" t="s">
        <v>206</v>
      </c>
      <c r="O3829" t="s">
        <v>95</v>
      </c>
      <c r="P3829" t="str">
        <f>"4170050971                    "</f>
        <v xml:space="preserve">4170050971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61.74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2</v>
      </c>
      <c r="BI3829">
        <v>12</v>
      </c>
      <c r="BJ3829">
        <v>24.9</v>
      </c>
      <c r="BK3829">
        <v>25</v>
      </c>
      <c r="BL3829">
        <v>200.39</v>
      </c>
      <c r="BM3829">
        <v>30.06</v>
      </c>
      <c r="BN3829">
        <v>230.45</v>
      </c>
      <c r="BO3829">
        <v>230.45</v>
      </c>
      <c r="BQ3829" t="s">
        <v>207</v>
      </c>
      <c r="BR3829" t="s">
        <v>84</v>
      </c>
      <c r="BS3829" s="3">
        <v>45866</v>
      </c>
      <c r="BT3829" s="4">
        <v>0.39444444444444443</v>
      </c>
      <c r="BU3829" t="s">
        <v>208</v>
      </c>
      <c r="BV3829" t="s">
        <v>98</v>
      </c>
      <c r="BY3829">
        <v>124290</v>
      </c>
      <c r="CA3829" t="s">
        <v>196</v>
      </c>
      <c r="CC3829" t="s">
        <v>169</v>
      </c>
      <c r="CD3829">
        <v>6001</v>
      </c>
      <c r="CE3829" t="s">
        <v>145</v>
      </c>
      <c r="CF3829" s="3">
        <v>45866</v>
      </c>
      <c r="CI3829">
        <v>3</v>
      </c>
      <c r="CJ3829">
        <v>2</v>
      </c>
      <c r="CK3829">
        <v>41</v>
      </c>
      <c r="CL3829" t="s">
        <v>86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"080066772855"</f>
        <v>080066772855</v>
      </c>
      <c r="F3830" s="3">
        <v>45862</v>
      </c>
      <c r="G3830">
        <v>202604</v>
      </c>
      <c r="H3830" t="s">
        <v>75</v>
      </c>
      <c r="I3830" t="s">
        <v>76</v>
      </c>
      <c r="J3830" t="s">
        <v>77</v>
      </c>
      <c r="K3830" t="s">
        <v>78</v>
      </c>
      <c r="L3830" t="s">
        <v>135</v>
      </c>
      <c r="M3830" t="s">
        <v>136</v>
      </c>
      <c r="N3830" t="s">
        <v>1228</v>
      </c>
      <c r="O3830" t="s">
        <v>82</v>
      </c>
      <c r="P3830" t="str">
        <f>"4170050877                    "</f>
        <v xml:space="preserve">4170050877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101.63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4</v>
      </c>
      <c r="BJ3830">
        <v>8.9</v>
      </c>
      <c r="BK3830">
        <v>9</v>
      </c>
      <c r="BL3830">
        <v>320.19</v>
      </c>
      <c r="BM3830">
        <v>48.03</v>
      </c>
      <c r="BN3830">
        <v>368.22</v>
      </c>
      <c r="BO3830">
        <v>368.22</v>
      </c>
      <c r="BQ3830" t="s">
        <v>1229</v>
      </c>
      <c r="BR3830" t="s">
        <v>84</v>
      </c>
      <c r="BS3830" s="3">
        <v>45863</v>
      </c>
      <c r="BT3830" s="4">
        <v>0.41666666666666669</v>
      </c>
      <c r="BU3830" t="s">
        <v>3515</v>
      </c>
      <c r="BV3830" t="s">
        <v>98</v>
      </c>
      <c r="BY3830">
        <v>44640</v>
      </c>
      <c r="CA3830" t="s">
        <v>1319</v>
      </c>
      <c r="CC3830" t="s">
        <v>136</v>
      </c>
      <c r="CD3830">
        <v>3212</v>
      </c>
      <c r="CE3830" t="s">
        <v>145</v>
      </c>
      <c r="CF3830" s="3">
        <v>45864</v>
      </c>
      <c r="CI3830">
        <v>2</v>
      </c>
      <c r="CJ3830">
        <v>1</v>
      </c>
      <c r="CK3830">
        <v>21</v>
      </c>
      <c r="CL3830" t="s">
        <v>86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"080066772886"</f>
        <v>080066772886</v>
      </c>
      <c r="F3831" s="3">
        <v>45862</v>
      </c>
      <c r="G3831">
        <v>202604</v>
      </c>
      <c r="H3831" t="s">
        <v>75</v>
      </c>
      <c r="I3831" t="s">
        <v>76</v>
      </c>
      <c r="J3831" t="s">
        <v>77</v>
      </c>
      <c r="K3831" t="s">
        <v>78</v>
      </c>
      <c r="L3831" t="s">
        <v>240</v>
      </c>
      <c r="M3831" t="s">
        <v>241</v>
      </c>
      <c r="N3831" t="s">
        <v>3516</v>
      </c>
      <c r="O3831" t="s">
        <v>82</v>
      </c>
      <c r="P3831" t="str">
        <f>"4170050959                    "</f>
        <v xml:space="preserve">4170050959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17.649999999999999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2</v>
      </c>
      <c r="BJ3831">
        <v>0.9</v>
      </c>
      <c r="BK3831">
        <v>2</v>
      </c>
      <c r="BL3831">
        <v>55.61</v>
      </c>
      <c r="BM3831">
        <v>8.34</v>
      </c>
      <c r="BN3831">
        <v>63.95</v>
      </c>
      <c r="BO3831">
        <v>63.95</v>
      </c>
      <c r="BQ3831" t="s">
        <v>3517</v>
      </c>
      <c r="BR3831" t="s">
        <v>84</v>
      </c>
      <c r="BS3831" s="3">
        <v>45863</v>
      </c>
      <c r="BT3831" s="4">
        <v>0.34027777777777779</v>
      </c>
      <c r="BU3831" t="s">
        <v>3518</v>
      </c>
      <c r="BV3831" t="s">
        <v>98</v>
      </c>
      <c r="BY3831">
        <v>4560</v>
      </c>
      <c r="CA3831" t="s">
        <v>3519</v>
      </c>
      <c r="CC3831" t="s">
        <v>241</v>
      </c>
      <c r="CD3831">
        <v>2192</v>
      </c>
      <c r="CE3831" t="s">
        <v>145</v>
      </c>
      <c r="CF3831" s="3">
        <v>45864</v>
      </c>
      <c r="CI3831">
        <v>1</v>
      </c>
      <c r="CJ3831">
        <v>1</v>
      </c>
      <c r="CK3831">
        <v>22</v>
      </c>
      <c r="CL3831" t="s">
        <v>86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"080066773140"</f>
        <v>080066773140</v>
      </c>
      <c r="F3832" s="3">
        <v>45862</v>
      </c>
      <c r="G3832">
        <v>202604</v>
      </c>
      <c r="H3832" t="s">
        <v>75</v>
      </c>
      <c r="I3832" t="s">
        <v>76</v>
      </c>
      <c r="J3832" t="s">
        <v>77</v>
      </c>
      <c r="K3832" t="s">
        <v>78</v>
      </c>
      <c r="L3832" t="s">
        <v>1370</v>
      </c>
      <c r="M3832" t="s">
        <v>1371</v>
      </c>
      <c r="N3832" t="s">
        <v>2067</v>
      </c>
      <c r="O3832" t="s">
        <v>82</v>
      </c>
      <c r="P3832" t="str">
        <f>"4170050987                    "</f>
        <v xml:space="preserve">4170050987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43.78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1.1000000000000001</v>
      </c>
      <c r="BK3832">
        <v>2</v>
      </c>
      <c r="BL3832">
        <v>137.94</v>
      </c>
      <c r="BM3832">
        <v>20.69</v>
      </c>
      <c r="BN3832">
        <v>158.63</v>
      </c>
      <c r="BO3832">
        <v>158.63</v>
      </c>
      <c r="BQ3832" t="s">
        <v>2068</v>
      </c>
      <c r="BR3832" t="s">
        <v>84</v>
      </c>
      <c r="BS3832" s="3">
        <v>45863</v>
      </c>
      <c r="BT3832" s="4">
        <v>0.42777777777777776</v>
      </c>
      <c r="BU3832" t="s">
        <v>2069</v>
      </c>
      <c r="BV3832" t="s">
        <v>98</v>
      </c>
      <c r="BY3832">
        <v>5320</v>
      </c>
      <c r="CA3832" t="s">
        <v>1375</v>
      </c>
      <c r="CC3832" t="s">
        <v>1371</v>
      </c>
      <c r="CD3832" s="5" t="s">
        <v>1376</v>
      </c>
      <c r="CE3832" t="s">
        <v>110</v>
      </c>
      <c r="CF3832" s="3">
        <v>45866</v>
      </c>
      <c r="CI3832">
        <v>1</v>
      </c>
      <c r="CJ3832">
        <v>1</v>
      </c>
      <c r="CK3832">
        <v>23</v>
      </c>
      <c r="CL3832" t="s">
        <v>86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"080066773142"</f>
        <v>080066773142</v>
      </c>
      <c r="F3833" s="3">
        <v>45862</v>
      </c>
      <c r="G3833">
        <v>202604</v>
      </c>
      <c r="H3833" t="s">
        <v>75</v>
      </c>
      <c r="I3833" t="s">
        <v>76</v>
      </c>
      <c r="J3833" t="s">
        <v>77</v>
      </c>
      <c r="K3833" t="s">
        <v>78</v>
      </c>
      <c r="L3833" t="s">
        <v>406</v>
      </c>
      <c r="M3833" t="s">
        <v>407</v>
      </c>
      <c r="N3833" t="s">
        <v>3245</v>
      </c>
      <c r="O3833" t="s">
        <v>82</v>
      </c>
      <c r="P3833" t="str">
        <f>"4170050721                    "</f>
        <v xml:space="preserve">4170050721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43.78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137.94</v>
      </c>
      <c r="BM3833">
        <v>20.69</v>
      </c>
      <c r="BN3833">
        <v>158.63</v>
      </c>
      <c r="BO3833">
        <v>158.63</v>
      </c>
      <c r="BQ3833" t="s">
        <v>3246</v>
      </c>
      <c r="BR3833" t="s">
        <v>84</v>
      </c>
      <c r="BS3833" s="3">
        <v>45863</v>
      </c>
      <c r="BT3833" s="4">
        <v>0.375</v>
      </c>
      <c r="BU3833" t="s">
        <v>618</v>
      </c>
      <c r="BV3833" t="s">
        <v>98</v>
      </c>
      <c r="BY3833">
        <v>1200</v>
      </c>
      <c r="CA3833" t="s">
        <v>1286</v>
      </c>
      <c r="CC3833" t="s">
        <v>407</v>
      </c>
      <c r="CD3833">
        <v>4399</v>
      </c>
      <c r="CE3833" t="s">
        <v>110</v>
      </c>
      <c r="CF3833" s="3">
        <v>45864</v>
      </c>
      <c r="CI3833">
        <v>1</v>
      </c>
      <c r="CJ3833">
        <v>1</v>
      </c>
      <c r="CK3833">
        <v>23</v>
      </c>
      <c r="CL3833" t="s">
        <v>86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"080066773164"</f>
        <v>080066773164</v>
      </c>
      <c r="F3834" s="3">
        <v>45862</v>
      </c>
      <c r="G3834">
        <v>202604</v>
      </c>
      <c r="H3834" t="s">
        <v>75</v>
      </c>
      <c r="I3834" t="s">
        <v>76</v>
      </c>
      <c r="J3834" t="s">
        <v>77</v>
      </c>
      <c r="K3834" t="s">
        <v>78</v>
      </c>
      <c r="L3834" t="s">
        <v>1768</v>
      </c>
      <c r="M3834" t="s">
        <v>1769</v>
      </c>
      <c r="N3834" t="s">
        <v>1928</v>
      </c>
      <c r="O3834" t="s">
        <v>82</v>
      </c>
      <c r="P3834" t="str">
        <f>"4170050991                    "</f>
        <v xml:space="preserve">4170050991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43.78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137.94</v>
      </c>
      <c r="BM3834">
        <v>20.69</v>
      </c>
      <c r="BN3834">
        <v>158.63</v>
      </c>
      <c r="BO3834">
        <v>158.63</v>
      </c>
      <c r="BQ3834" t="s">
        <v>1929</v>
      </c>
      <c r="BR3834" t="s">
        <v>84</v>
      </c>
      <c r="BS3834" s="3">
        <v>45866</v>
      </c>
      <c r="BT3834" s="4">
        <v>0.5</v>
      </c>
      <c r="BU3834" t="s">
        <v>1930</v>
      </c>
      <c r="BV3834" t="s">
        <v>86</v>
      </c>
      <c r="BY3834">
        <v>1200</v>
      </c>
      <c r="CC3834" t="s">
        <v>1769</v>
      </c>
      <c r="CD3834">
        <v>2302</v>
      </c>
      <c r="CE3834" t="s">
        <v>121</v>
      </c>
      <c r="CF3834" s="3">
        <v>45866</v>
      </c>
      <c r="CI3834">
        <v>1</v>
      </c>
      <c r="CJ3834">
        <v>2</v>
      </c>
      <c r="CK3834">
        <v>23</v>
      </c>
      <c r="CL3834" t="s">
        <v>86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"080066773174"</f>
        <v>080066773174</v>
      </c>
      <c r="F3835" s="3">
        <v>45862</v>
      </c>
      <c r="G3835">
        <v>202604</v>
      </c>
      <c r="H3835" t="s">
        <v>75</v>
      </c>
      <c r="I3835" t="s">
        <v>76</v>
      </c>
      <c r="J3835" t="s">
        <v>77</v>
      </c>
      <c r="K3835" t="s">
        <v>78</v>
      </c>
      <c r="L3835" t="s">
        <v>452</v>
      </c>
      <c r="M3835" t="s">
        <v>453</v>
      </c>
      <c r="N3835" t="s">
        <v>968</v>
      </c>
      <c r="O3835" t="s">
        <v>82</v>
      </c>
      <c r="P3835" t="str">
        <f>"4170050886                    "</f>
        <v xml:space="preserve">4170050886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17.649999999999999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2</v>
      </c>
      <c r="BI3835">
        <v>3</v>
      </c>
      <c r="BJ3835">
        <v>5.3</v>
      </c>
      <c r="BK3835">
        <v>6</v>
      </c>
      <c r="BL3835">
        <v>55.61</v>
      </c>
      <c r="BM3835">
        <v>8.34</v>
      </c>
      <c r="BN3835">
        <v>63.95</v>
      </c>
      <c r="BO3835">
        <v>63.95</v>
      </c>
      <c r="BQ3835" t="s">
        <v>1098</v>
      </c>
      <c r="BR3835" t="s">
        <v>84</v>
      </c>
      <c r="BS3835" s="3">
        <v>45863</v>
      </c>
      <c r="BT3835" s="4">
        <v>0.51736111111111116</v>
      </c>
      <c r="BU3835" t="s">
        <v>781</v>
      </c>
      <c r="BV3835" t="s">
        <v>98</v>
      </c>
      <c r="BY3835">
        <v>26348</v>
      </c>
      <c r="CA3835" t="s">
        <v>1541</v>
      </c>
      <c r="CC3835" t="s">
        <v>453</v>
      </c>
      <c r="CD3835">
        <v>1559</v>
      </c>
      <c r="CE3835" t="s">
        <v>91</v>
      </c>
      <c r="CF3835" s="3">
        <v>45863</v>
      </c>
      <c r="CI3835">
        <v>1</v>
      </c>
      <c r="CJ3835">
        <v>1</v>
      </c>
      <c r="CK3835">
        <v>22</v>
      </c>
      <c r="CL3835" t="s">
        <v>86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"080066773195"</f>
        <v>080066773195</v>
      </c>
      <c r="F3836" s="3">
        <v>45862</v>
      </c>
      <c r="G3836">
        <v>202604</v>
      </c>
      <c r="H3836" t="s">
        <v>75</v>
      </c>
      <c r="I3836" t="s">
        <v>76</v>
      </c>
      <c r="J3836" t="s">
        <v>77</v>
      </c>
      <c r="K3836" t="s">
        <v>78</v>
      </c>
      <c r="L3836" t="s">
        <v>92</v>
      </c>
      <c r="M3836" t="s">
        <v>93</v>
      </c>
      <c r="N3836" t="s">
        <v>291</v>
      </c>
      <c r="O3836" t="s">
        <v>82</v>
      </c>
      <c r="P3836" t="str">
        <f>"4170051044                    "</f>
        <v xml:space="preserve">4170051044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22.6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71.2</v>
      </c>
      <c r="BM3836">
        <v>10.68</v>
      </c>
      <c r="BN3836">
        <v>81.88</v>
      </c>
      <c r="BO3836">
        <v>81.88</v>
      </c>
      <c r="BQ3836" t="s">
        <v>292</v>
      </c>
      <c r="BR3836" t="s">
        <v>84</v>
      </c>
      <c r="BS3836" s="3">
        <v>45863</v>
      </c>
      <c r="BT3836" s="4">
        <v>0.31944444444444442</v>
      </c>
      <c r="BU3836" t="s">
        <v>971</v>
      </c>
      <c r="BV3836" t="s">
        <v>98</v>
      </c>
      <c r="BY3836">
        <v>1200</v>
      </c>
      <c r="BZ3836" t="s">
        <v>89</v>
      </c>
      <c r="CA3836" t="s">
        <v>294</v>
      </c>
      <c r="CC3836" t="s">
        <v>93</v>
      </c>
      <c r="CD3836">
        <v>4000</v>
      </c>
      <c r="CE3836" t="s">
        <v>239</v>
      </c>
      <c r="CF3836" s="3">
        <v>45863</v>
      </c>
      <c r="CI3836">
        <v>1</v>
      </c>
      <c r="CJ3836">
        <v>1</v>
      </c>
      <c r="CK3836">
        <v>21</v>
      </c>
      <c r="CL3836" t="s">
        <v>86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"080066773759"</f>
        <v>080066773759</v>
      </c>
      <c r="F3837" s="3">
        <v>45862</v>
      </c>
      <c r="G3837">
        <v>202604</v>
      </c>
      <c r="H3837" t="s">
        <v>75</v>
      </c>
      <c r="I3837" t="s">
        <v>76</v>
      </c>
      <c r="J3837" t="s">
        <v>77</v>
      </c>
      <c r="K3837" t="s">
        <v>78</v>
      </c>
      <c r="L3837" t="s">
        <v>79</v>
      </c>
      <c r="M3837" t="s">
        <v>80</v>
      </c>
      <c r="N3837" t="s">
        <v>141</v>
      </c>
      <c r="O3837" t="s">
        <v>82</v>
      </c>
      <c r="P3837" t="str">
        <f>"4170050928                    "</f>
        <v xml:space="preserve">4170050928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45.18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4</v>
      </c>
      <c r="BJ3837">
        <v>1.8</v>
      </c>
      <c r="BK3837">
        <v>4</v>
      </c>
      <c r="BL3837">
        <v>142.34</v>
      </c>
      <c r="BM3837">
        <v>21.35</v>
      </c>
      <c r="BN3837">
        <v>163.69</v>
      </c>
      <c r="BO3837">
        <v>163.69</v>
      </c>
      <c r="BQ3837" t="s">
        <v>142</v>
      </c>
      <c r="BR3837" t="s">
        <v>84</v>
      </c>
      <c r="BS3837" s="3">
        <v>45863</v>
      </c>
      <c r="BT3837" s="4">
        <v>0.4236111111111111</v>
      </c>
      <c r="BU3837" t="s">
        <v>2437</v>
      </c>
      <c r="BV3837" t="s">
        <v>98</v>
      </c>
      <c r="BY3837">
        <v>9020</v>
      </c>
      <c r="CA3837" t="s">
        <v>144</v>
      </c>
      <c r="CC3837" t="s">
        <v>80</v>
      </c>
      <c r="CD3837">
        <v>7441</v>
      </c>
      <c r="CE3837" t="s">
        <v>91</v>
      </c>
      <c r="CF3837" s="3">
        <v>45866</v>
      </c>
      <c r="CI3837">
        <v>1</v>
      </c>
      <c r="CJ3837">
        <v>1</v>
      </c>
      <c r="CK3837">
        <v>21</v>
      </c>
      <c r="CL3837" t="s">
        <v>86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"080066773824"</f>
        <v>080066773824</v>
      </c>
      <c r="F3838" s="3">
        <v>45862</v>
      </c>
      <c r="G3838">
        <v>202604</v>
      </c>
      <c r="H3838" t="s">
        <v>75</v>
      </c>
      <c r="I3838" t="s">
        <v>76</v>
      </c>
      <c r="J3838" t="s">
        <v>77</v>
      </c>
      <c r="K3838" t="s">
        <v>78</v>
      </c>
      <c r="L3838" t="s">
        <v>92</v>
      </c>
      <c r="M3838" t="s">
        <v>93</v>
      </c>
      <c r="N3838" t="s">
        <v>334</v>
      </c>
      <c r="O3838" t="s">
        <v>82</v>
      </c>
      <c r="P3838" t="str">
        <f>"4170050755                    "</f>
        <v xml:space="preserve">4170050755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112.92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10</v>
      </c>
      <c r="BJ3838">
        <v>3.4</v>
      </c>
      <c r="BK3838">
        <v>10</v>
      </c>
      <c r="BL3838">
        <v>355.76</v>
      </c>
      <c r="BM3838">
        <v>53.36</v>
      </c>
      <c r="BN3838">
        <v>409.12</v>
      </c>
      <c r="BO3838">
        <v>409.12</v>
      </c>
      <c r="BQ3838" t="s">
        <v>335</v>
      </c>
      <c r="BR3838" t="s">
        <v>84</v>
      </c>
      <c r="BS3838" s="3">
        <v>45863</v>
      </c>
      <c r="BT3838" s="4">
        <v>0.41458333333333336</v>
      </c>
      <c r="BU3838" t="s">
        <v>1365</v>
      </c>
      <c r="BV3838" t="s">
        <v>98</v>
      </c>
      <c r="BY3838">
        <v>16965</v>
      </c>
      <c r="CA3838" t="s">
        <v>337</v>
      </c>
      <c r="CC3838" t="s">
        <v>93</v>
      </c>
      <c r="CD3838">
        <v>4052</v>
      </c>
      <c r="CE3838" t="s">
        <v>145</v>
      </c>
      <c r="CF3838" s="3">
        <v>45863</v>
      </c>
      <c r="CI3838">
        <v>1</v>
      </c>
      <c r="CJ3838">
        <v>1</v>
      </c>
      <c r="CK3838">
        <v>21</v>
      </c>
      <c r="CL3838" t="s">
        <v>86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"080066773913"</f>
        <v>080066773913</v>
      </c>
      <c r="F3839" s="3">
        <v>45862</v>
      </c>
      <c r="G3839">
        <v>202604</v>
      </c>
      <c r="H3839" t="s">
        <v>75</v>
      </c>
      <c r="I3839" t="s">
        <v>76</v>
      </c>
      <c r="J3839" t="s">
        <v>77</v>
      </c>
      <c r="K3839" t="s">
        <v>78</v>
      </c>
      <c r="L3839" t="s">
        <v>168</v>
      </c>
      <c r="M3839" t="s">
        <v>169</v>
      </c>
      <c r="N3839" t="s">
        <v>206</v>
      </c>
      <c r="O3839" t="s">
        <v>82</v>
      </c>
      <c r="P3839" t="str">
        <f>"4170050973                    "</f>
        <v xml:space="preserve">4170050973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95.99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2</v>
      </c>
      <c r="BI3839">
        <v>7</v>
      </c>
      <c r="BJ3839">
        <v>8.4</v>
      </c>
      <c r="BK3839">
        <v>8.5</v>
      </c>
      <c r="BL3839">
        <v>302.41000000000003</v>
      </c>
      <c r="BM3839">
        <v>45.36</v>
      </c>
      <c r="BN3839">
        <v>347.77</v>
      </c>
      <c r="BO3839">
        <v>347.77</v>
      </c>
      <c r="BQ3839" t="s">
        <v>207</v>
      </c>
      <c r="BR3839" t="s">
        <v>84</v>
      </c>
      <c r="BS3839" s="3">
        <v>45863</v>
      </c>
      <c r="BT3839" s="4">
        <v>0.41041666666666665</v>
      </c>
      <c r="BU3839" t="s">
        <v>2957</v>
      </c>
      <c r="BV3839" t="s">
        <v>98</v>
      </c>
      <c r="BY3839">
        <v>41847</v>
      </c>
      <c r="CA3839" t="s">
        <v>196</v>
      </c>
      <c r="CC3839" t="s">
        <v>169</v>
      </c>
      <c r="CD3839">
        <v>6001</v>
      </c>
      <c r="CE3839" t="s">
        <v>145</v>
      </c>
      <c r="CF3839" s="3">
        <v>45863</v>
      </c>
      <c r="CI3839">
        <v>1</v>
      </c>
      <c r="CJ3839">
        <v>1</v>
      </c>
      <c r="CK3839">
        <v>21</v>
      </c>
      <c r="CL3839" t="s">
        <v>86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"080066773977"</f>
        <v>080066773977</v>
      </c>
      <c r="F3840" s="3">
        <v>45862</v>
      </c>
      <c r="G3840">
        <v>202604</v>
      </c>
      <c r="H3840" t="s">
        <v>75</v>
      </c>
      <c r="I3840" t="s">
        <v>76</v>
      </c>
      <c r="J3840" t="s">
        <v>77</v>
      </c>
      <c r="K3840" t="s">
        <v>78</v>
      </c>
      <c r="L3840" t="s">
        <v>79</v>
      </c>
      <c r="M3840" t="s">
        <v>80</v>
      </c>
      <c r="N3840" t="s">
        <v>141</v>
      </c>
      <c r="O3840" t="s">
        <v>82</v>
      </c>
      <c r="P3840" t="str">
        <f>"4170050909                    "</f>
        <v xml:space="preserve">4170050909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33.89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3</v>
      </c>
      <c r="BJ3840">
        <v>1.7</v>
      </c>
      <c r="BK3840">
        <v>3</v>
      </c>
      <c r="BL3840">
        <v>106.77</v>
      </c>
      <c r="BM3840">
        <v>16.02</v>
      </c>
      <c r="BN3840">
        <v>122.79</v>
      </c>
      <c r="BO3840">
        <v>122.79</v>
      </c>
      <c r="BQ3840" t="s">
        <v>142</v>
      </c>
      <c r="BR3840" t="s">
        <v>84</v>
      </c>
      <c r="BS3840" s="3">
        <v>45863</v>
      </c>
      <c r="BT3840" s="4">
        <v>0.4236111111111111</v>
      </c>
      <c r="BU3840" t="s">
        <v>2437</v>
      </c>
      <c r="BV3840" t="s">
        <v>98</v>
      </c>
      <c r="BY3840">
        <v>8550</v>
      </c>
      <c r="CA3840" t="s">
        <v>144</v>
      </c>
      <c r="CC3840" t="s">
        <v>80</v>
      </c>
      <c r="CD3840">
        <v>7441</v>
      </c>
      <c r="CE3840" t="s">
        <v>145</v>
      </c>
      <c r="CF3840" s="3">
        <v>45866</v>
      </c>
      <c r="CI3840">
        <v>1</v>
      </c>
      <c r="CJ3840">
        <v>1</v>
      </c>
      <c r="CK3840">
        <v>21</v>
      </c>
      <c r="CL3840" t="s">
        <v>86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"080066774047"</f>
        <v>080066774047</v>
      </c>
      <c r="F3841" s="3">
        <v>45862</v>
      </c>
      <c r="G3841">
        <v>202604</v>
      </c>
      <c r="H3841" t="s">
        <v>75</v>
      </c>
      <c r="I3841" t="s">
        <v>76</v>
      </c>
      <c r="J3841" t="s">
        <v>77</v>
      </c>
      <c r="K3841" t="s">
        <v>78</v>
      </c>
      <c r="L3841" t="s">
        <v>75</v>
      </c>
      <c r="M3841" t="s">
        <v>76</v>
      </c>
      <c r="N3841" t="s">
        <v>3187</v>
      </c>
      <c r="O3841" t="s">
        <v>82</v>
      </c>
      <c r="P3841" t="str">
        <f>"4170051004                    "</f>
        <v xml:space="preserve">4170051004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17.649999999999999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4</v>
      </c>
      <c r="BJ3841">
        <v>1.7</v>
      </c>
      <c r="BK3841">
        <v>4</v>
      </c>
      <c r="BL3841">
        <v>55.61</v>
      </c>
      <c r="BM3841">
        <v>8.34</v>
      </c>
      <c r="BN3841">
        <v>63.95</v>
      </c>
      <c r="BO3841">
        <v>63.95</v>
      </c>
      <c r="BQ3841" t="s">
        <v>3188</v>
      </c>
      <c r="BR3841" t="s">
        <v>84</v>
      </c>
      <c r="BS3841" s="3">
        <v>45863</v>
      </c>
      <c r="BT3841" s="4">
        <v>0.42499999999999999</v>
      </c>
      <c r="BU3841" t="s">
        <v>635</v>
      </c>
      <c r="BV3841" t="s">
        <v>98</v>
      </c>
      <c r="BY3841">
        <v>8512</v>
      </c>
      <c r="CA3841" t="s">
        <v>1799</v>
      </c>
      <c r="CC3841" t="s">
        <v>76</v>
      </c>
      <c r="CD3841">
        <v>1614</v>
      </c>
      <c r="CE3841" t="s">
        <v>145</v>
      </c>
      <c r="CF3841" s="3">
        <v>45863</v>
      </c>
      <c r="CI3841">
        <v>1</v>
      </c>
      <c r="CJ3841">
        <v>1</v>
      </c>
      <c r="CK3841">
        <v>22</v>
      </c>
      <c r="CL3841" t="s">
        <v>86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"080066774053"</f>
        <v>080066774053</v>
      </c>
      <c r="F3842" s="3">
        <v>45862</v>
      </c>
      <c r="G3842">
        <v>202604</v>
      </c>
      <c r="H3842" t="s">
        <v>75</v>
      </c>
      <c r="I3842" t="s">
        <v>76</v>
      </c>
      <c r="J3842" t="s">
        <v>77</v>
      </c>
      <c r="K3842" t="s">
        <v>78</v>
      </c>
      <c r="L3842" t="s">
        <v>174</v>
      </c>
      <c r="M3842" t="s">
        <v>175</v>
      </c>
      <c r="N3842" t="s">
        <v>176</v>
      </c>
      <c r="O3842" t="s">
        <v>82</v>
      </c>
      <c r="P3842" t="str">
        <f>"4170050887                    "</f>
        <v xml:space="preserve">4170050887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22.6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71.2</v>
      </c>
      <c r="BM3842">
        <v>10.68</v>
      </c>
      <c r="BN3842">
        <v>81.88</v>
      </c>
      <c r="BO3842">
        <v>81.88</v>
      </c>
      <c r="BQ3842" t="s">
        <v>177</v>
      </c>
      <c r="BR3842" t="s">
        <v>84</v>
      </c>
      <c r="BS3842" s="3">
        <v>45863</v>
      </c>
      <c r="BT3842" s="4">
        <v>0.4201388888888889</v>
      </c>
      <c r="BU3842" t="s">
        <v>3417</v>
      </c>
      <c r="BV3842" t="s">
        <v>98</v>
      </c>
      <c r="BY3842">
        <v>1200</v>
      </c>
      <c r="CA3842" t="s">
        <v>3373</v>
      </c>
      <c r="CC3842" t="s">
        <v>175</v>
      </c>
      <c r="CD3842">
        <v>6220</v>
      </c>
      <c r="CE3842" t="s">
        <v>121</v>
      </c>
      <c r="CF3842" s="3">
        <v>45863</v>
      </c>
      <c r="CI3842">
        <v>1</v>
      </c>
      <c r="CJ3842">
        <v>1</v>
      </c>
      <c r="CK3842">
        <v>21</v>
      </c>
      <c r="CL3842" t="s">
        <v>86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"080066774094"</f>
        <v>080066774094</v>
      </c>
      <c r="F3843" s="3">
        <v>45862</v>
      </c>
      <c r="G3843">
        <v>202604</v>
      </c>
      <c r="H3843" t="s">
        <v>75</v>
      </c>
      <c r="I3843" t="s">
        <v>76</v>
      </c>
      <c r="J3843" t="s">
        <v>77</v>
      </c>
      <c r="K3843" t="s">
        <v>78</v>
      </c>
      <c r="L3843" t="s">
        <v>79</v>
      </c>
      <c r="M3843" t="s">
        <v>80</v>
      </c>
      <c r="N3843" t="s">
        <v>141</v>
      </c>
      <c r="O3843" t="s">
        <v>82</v>
      </c>
      <c r="P3843" t="str">
        <f>"4170050718                    "</f>
        <v xml:space="preserve">4170050718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22.6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71.2</v>
      </c>
      <c r="BM3843">
        <v>10.68</v>
      </c>
      <c r="BN3843">
        <v>81.88</v>
      </c>
      <c r="BO3843">
        <v>81.88</v>
      </c>
      <c r="BQ3843" t="s">
        <v>142</v>
      </c>
      <c r="BR3843" t="s">
        <v>84</v>
      </c>
      <c r="BS3843" s="3">
        <v>45863</v>
      </c>
      <c r="BT3843" s="4">
        <v>0.4236111111111111</v>
      </c>
      <c r="BU3843" t="s">
        <v>2437</v>
      </c>
      <c r="BV3843" t="s">
        <v>98</v>
      </c>
      <c r="BY3843">
        <v>1200</v>
      </c>
      <c r="CA3843" t="s">
        <v>144</v>
      </c>
      <c r="CC3843" t="s">
        <v>80</v>
      </c>
      <c r="CD3843">
        <v>7441</v>
      </c>
      <c r="CE3843" t="s">
        <v>121</v>
      </c>
      <c r="CF3843" s="3">
        <v>45866</v>
      </c>
      <c r="CI3843">
        <v>1</v>
      </c>
      <c r="CJ3843">
        <v>1</v>
      </c>
      <c r="CK3843">
        <v>21</v>
      </c>
      <c r="CL3843" t="s">
        <v>86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"080066774095"</f>
        <v>080066774095</v>
      </c>
      <c r="F3844" s="3">
        <v>45862</v>
      </c>
      <c r="G3844">
        <v>202604</v>
      </c>
      <c r="H3844" t="s">
        <v>75</v>
      </c>
      <c r="I3844" t="s">
        <v>76</v>
      </c>
      <c r="J3844" t="s">
        <v>77</v>
      </c>
      <c r="K3844" t="s">
        <v>78</v>
      </c>
      <c r="L3844" t="s">
        <v>1370</v>
      </c>
      <c r="M3844" t="s">
        <v>1371</v>
      </c>
      <c r="N3844" t="s">
        <v>2067</v>
      </c>
      <c r="O3844" t="s">
        <v>82</v>
      </c>
      <c r="P3844" t="str">
        <f>"4170051025                    "</f>
        <v xml:space="preserve">4170051025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43.78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1.7</v>
      </c>
      <c r="BK3844">
        <v>2</v>
      </c>
      <c r="BL3844">
        <v>137.94</v>
      </c>
      <c r="BM3844">
        <v>20.69</v>
      </c>
      <c r="BN3844">
        <v>158.63</v>
      </c>
      <c r="BO3844">
        <v>158.63</v>
      </c>
      <c r="BQ3844" t="s">
        <v>2068</v>
      </c>
      <c r="BR3844" t="s">
        <v>84</v>
      </c>
      <c r="BS3844" s="3">
        <v>45863</v>
      </c>
      <c r="BT3844" s="4">
        <v>0.42777777777777776</v>
      </c>
      <c r="BU3844" t="s">
        <v>2069</v>
      </c>
      <c r="BV3844" t="s">
        <v>98</v>
      </c>
      <c r="BY3844">
        <v>8512</v>
      </c>
      <c r="CA3844" t="s">
        <v>1375</v>
      </c>
      <c r="CC3844" t="s">
        <v>1371</v>
      </c>
      <c r="CD3844" s="5" t="s">
        <v>1376</v>
      </c>
      <c r="CE3844" t="s">
        <v>145</v>
      </c>
      <c r="CF3844" s="3">
        <v>45866</v>
      </c>
      <c r="CI3844">
        <v>1</v>
      </c>
      <c r="CJ3844">
        <v>1</v>
      </c>
      <c r="CK3844">
        <v>23</v>
      </c>
      <c r="CL3844" t="s">
        <v>86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"080066774288"</f>
        <v>080066774288</v>
      </c>
      <c r="F3845" s="3">
        <v>45862</v>
      </c>
      <c r="G3845">
        <v>202604</v>
      </c>
      <c r="H3845" t="s">
        <v>75</v>
      </c>
      <c r="I3845" t="s">
        <v>76</v>
      </c>
      <c r="J3845" t="s">
        <v>77</v>
      </c>
      <c r="K3845" t="s">
        <v>78</v>
      </c>
      <c r="L3845" t="s">
        <v>168</v>
      </c>
      <c r="M3845" t="s">
        <v>169</v>
      </c>
      <c r="N3845" t="s">
        <v>206</v>
      </c>
      <c r="O3845" t="s">
        <v>82</v>
      </c>
      <c r="P3845" t="str">
        <f>"4170050974                    "</f>
        <v xml:space="preserve">4170050974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90.34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2</v>
      </c>
      <c r="BI3845">
        <v>6</v>
      </c>
      <c r="BJ3845">
        <v>7.9</v>
      </c>
      <c r="BK3845">
        <v>8</v>
      </c>
      <c r="BL3845">
        <v>284.62</v>
      </c>
      <c r="BM3845">
        <v>42.69</v>
      </c>
      <c r="BN3845">
        <v>327.31</v>
      </c>
      <c r="BO3845">
        <v>327.31</v>
      </c>
      <c r="BQ3845" t="s">
        <v>207</v>
      </c>
      <c r="BR3845" t="s">
        <v>84</v>
      </c>
      <c r="BS3845" s="3">
        <v>45863</v>
      </c>
      <c r="BT3845" s="4">
        <v>0.41041666666666665</v>
      </c>
      <c r="BU3845" t="s">
        <v>2957</v>
      </c>
      <c r="BV3845" t="s">
        <v>98</v>
      </c>
      <c r="BY3845">
        <v>39585</v>
      </c>
      <c r="CA3845" t="s">
        <v>196</v>
      </c>
      <c r="CC3845" t="s">
        <v>169</v>
      </c>
      <c r="CD3845">
        <v>6001</v>
      </c>
      <c r="CE3845" t="s">
        <v>145</v>
      </c>
      <c r="CF3845" s="3">
        <v>45863</v>
      </c>
      <c r="CI3845">
        <v>1</v>
      </c>
      <c r="CJ3845">
        <v>1</v>
      </c>
      <c r="CK3845">
        <v>21</v>
      </c>
      <c r="CL3845" t="s">
        <v>86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"080066774332"</f>
        <v>080066774332</v>
      </c>
      <c r="F3846" s="3">
        <v>45862</v>
      </c>
      <c r="G3846">
        <v>202604</v>
      </c>
      <c r="H3846" t="s">
        <v>75</v>
      </c>
      <c r="I3846" t="s">
        <v>76</v>
      </c>
      <c r="J3846" t="s">
        <v>77</v>
      </c>
      <c r="K3846" t="s">
        <v>78</v>
      </c>
      <c r="L3846" t="s">
        <v>79</v>
      </c>
      <c r="M3846" t="s">
        <v>80</v>
      </c>
      <c r="N3846" t="s">
        <v>1557</v>
      </c>
      <c r="O3846" t="s">
        <v>82</v>
      </c>
      <c r="P3846" t="str">
        <f>"4170051060                    "</f>
        <v xml:space="preserve">4170051060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22.6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1.1000000000000001</v>
      </c>
      <c r="BK3846">
        <v>1.5</v>
      </c>
      <c r="BL3846">
        <v>71.2</v>
      </c>
      <c r="BM3846">
        <v>10.68</v>
      </c>
      <c r="BN3846">
        <v>81.88</v>
      </c>
      <c r="BO3846">
        <v>81.88</v>
      </c>
      <c r="BQ3846" t="s">
        <v>1558</v>
      </c>
      <c r="BR3846" t="s">
        <v>84</v>
      </c>
      <c r="BS3846" s="3">
        <v>45863</v>
      </c>
      <c r="BT3846" s="4">
        <v>0.43125000000000002</v>
      </c>
      <c r="BU3846" t="s">
        <v>2421</v>
      </c>
      <c r="BV3846" t="s">
        <v>98</v>
      </c>
      <c r="BY3846">
        <v>5320</v>
      </c>
      <c r="CA3846" t="s">
        <v>1875</v>
      </c>
      <c r="CC3846" t="s">
        <v>80</v>
      </c>
      <c r="CD3846">
        <v>7535</v>
      </c>
      <c r="CE3846" t="s">
        <v>145</v>
      </c>
      <c r="CF3846" s="3">
        <v>45866</v>
      </c>
      <c r="CI3846">
        <v>1</v>
      </c>
      <c r="CJ3846">
        <v>1</v>
      </c>
      <c r="CK3846">
        <v>21</v>
      </c>
      <c r="CL3846" t="s">
        <v>86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"080066774356"</f>
        <v>080066774356</v>
      </c>
      <c r="F3847" s="3">
        <v>45862</v>
      </c>
      <c r="G3847">
        <v>202604</v>
      </c>
      <c r="H3847" t="s">
        <v>75</v>
      </c>
      <c r="I3847" t="s">
        <v>76</v>
      </c>
      <c r="J3847" t="s">
        <v>77</v>
      </c>
      <c r="K3847" t="s">
        <v>78</v>
      </c>
      <c r="L3847" t="s">
        <v>168</v>
      </c>
      <c r="M3847" t="s">
        <v>169</v>
      </c>
      <c r="N3847" t="s">
        <v>206</v>
      </c>
      <c r="O3847" t="s">
        <v>82</v>
      </c>
      <c r="P3847" t="str">
        <f>"4170051062                    "</f>
        <v xml:space="preserve">4170051062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22.6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1.1000000000000001</v>
      </c>
      <c r="BK3847">
        <v>1.5</v>
      </c>
      <c r="BL3847">
        <v>71.2</v>
      </c>
      <c r="BM3847">
        <v>10.68</v>
      </c>
      <c r="BN3847">
        <v>81.88</v>
      </c>
      <c r="BO3847">
        <v>81.88</v>
      </c>
      <c r="BQ3847" t="s">
        <v>207</v>
      </c>
      <c r="BR3847" t="s">
        <v>84</v>
      </c>
      <c r="BS3847" s="3">
        <v>45863</v>
      </c>
      <c r="BT3847" s="4">
        <v>0.41041666666666665</v>
      </c>
      <c r="BU3847" t="s">
        <v>2957</v>
      </c>
      <c r="BV3847" t="s">
        <v>98</v>
      </c>
      <c r="BY3847">
        <v>5320</v>
      </c>
      <c r="CA3847" t="s">
        <v>196</v>
      </c>
      <c r="CC3847" t="s">
        <v>169</v>
      </c>
      <c r="CD3847">
        <v>6001</v>
      </c>
      <c r="CE3847" t="s">
        <v>145</v>
      </c>
      <c r="CF3847" s="3">
        <v>45863</v>
      </c>
      <c r="CI3847">
        <v>1</v>
      </c>
      <c r="CJ3847">
        <v>1</v>
      </c>
      <c r="CK3847">
        <v>21</v>
      </c>
      <c r="CL3847" t="s">
        <v>86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"080066774401"</f>
        <v>080066774401</v>
      </c>
      <c r="F3848" s="3">
        <v>45862</v>
      </c>
      <c r="G3848">
        <v>202604</v>
      </c>
      <c r="H3848" t="s">
        <v>75</v>
      </c>
      <c r="I3848" t="s">
        <v>76</v>
      </c>
      <c r="J3848" t="s">
        <v>77</v>
      </c>
      <c r="K3848" t="s">
        <v>78</v>
      </c>
      <c r="L3848" t="s">
        <v>363</v>
      </c>
      <c r="M3848" t="s">
        <v>364</v>
      </c>
      <c r="N3848" t="s">
        <v>365</v>
      </c>
      <c r="O3848" t="s">
        <v>82</v>
      </c>
      <c r="P3848" t="str">
        <f>"4170051015                    "</f>
        <v xml:space="preserve">4170051015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43.78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1.3</v>
      </c>
      <c r="BK3848">
        <v>1.5</v>
      </c>
      <c r="BL3848">
        <v>137.94</v>
      </c>
      <c r="BM3848">
        <v>20.69</v>
      </c>
      <c r="BN3848">
        <v>158.63</v>
      </c>
      <c r="BO3848">
        <v>158.63</v>
      </c>
      <c r="BQ3848" t="s">
        <v>1118</v>
      </c>
      <c r="BR3848" t="s">
        <v>84</v>
      </c>
      <c r="BS3848" s="3">
        <v>45863</v>
      </c>
      <c r="BT3848" s="4">
        <v>0.54166666666666663</v>
      </c>
      <c r="BU3848" t="s">
        <v>3520</v>
      </c>
      <c r="BV3848" t="s">
        <v>98</v>
      </c>
      <c r="BY3848">
        <v>6384</v>
      </c>
      <c r="CA3848" t="s">
        <v>522</v>
      </c>
      <c r="CC3848" t="s">
        <v>364</v>
      </c>
      <c r="CD3848">
        <v>7300</v>
      </c>
      <c r="CE3848" t="s">
        <v>145</v>
      </c>
      <c r="CF3848" s="3">
        <v>45867</v>
      </c>
      <c r="CI3848">
        <v>1</v>
      </c>
      <c r="CJ3848">
        <v>1</v>
      </c>
      <c r="CK3848">
        <v>23</v>
      </c>
      <c r="CL3848" t="s">
        <v>86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"080066774425"</f>
        <v>080066774425</v>
      </c>
      <c r="F3849" s="3">
        <v>45862</v>
      </c>
      <c r="G3849">
        <v>202604</v>
      </c>
      <c r="H3849" t="s">
        <v>75</v>
      </c>
      <c r="I3849" t="s">
        <v>76</v>
      </c>
      <c r="J3849" t="s">
        <v>77</v>
      </c>
      <c r="K3849" t="s">
        <v>78</v>
      </c>
      <c r="L3849" t="s">
        <v>363</v>
      </c>
      <c r="M3849" t="s">
        <v>364</v>
      </c>
      <c r="N3849" t="s">
        <v>365</v>
      </c>
      <c r="O3849" t="s">
        <v>82</v>
      </c>
      <c r="P3849" t="str">
        <f>"4170051011                    "</f>
        <v xml:space="preserve">4170051011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43.78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1.3</v>
      </c>
      <c r="BK3849">
        <v>1.5</v>
      </c>
      <c r="BL3849">
        <v>137.94</v>
      </c>
      <c r="BM3849">
        <v>20.69</v>
      </c>
      <c r="BN3849">
        <v>158.63</v>
      </c>
      <c r="BO3849">
        <v>158.63</v>
      </c>
      <c r="BQ3849" t="s">
        <v>1118</v>
      </c>
      <c r="BR3849" t="s">
        <v>84</v>
      </c>
      <c r="BS3849" s="3">
        <v>45863</v>
      </c>
      <c r="BT3849" s="4">
        <v>0.54166666666666663</v>
      </c>
      <c r="BU3849" t="s">
        <v>3520</v>
      </c>
      <c r="BV3849" t="s">
        <v>98</v>
      </c>
      <c r="BY3849">
        <v>6384</v>
      </c>
      <c r="CA3849" t="s">
        <v>522</v>
      </c>
      <c r="CC3849" t="s">
        <v>364</v>
      </c>
      <c r="CD3849">
        <v>7300</v>
      </c>
      <c r="CE3849" t="s">
        <v>145</v>
      </c>
      <c r="CF3849" s="3">
        <v>45867</v>
      </c>
      <c r="CI3849">
        <v>1</v>
      </c>
      <c r="CJ3849">
        <v>1</v>
      </c>
      <c r="CK3849">
        <v>23</v>
      </c>
      <c r="CL3849" t="s">
        <v>86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"080066774461"</f>
        <v>080066774461</v>
      </c>
      <c r="F3850" s="3">
        <v>45862</v>
      </c>
      <c r="G3850">
        <v>202604</v>
      </c>
      <c r="H3850" t="s">
        <v>75</v>
      </c>
      <c r="I3850" t="s">
        <v>76</v>
      </c>
      <c r="J3850" t="s">
        <v>77</v>
      </c>
      <c r="K3850" t="s">
        <v>78</v>
      </c>
      <c r="L3850" t="s">
        <v>135</v>
      </c>
      <c r="M3850" t="s">
        <v>136</v>
      </c>
      <c r="N3850" t="s">
        <v>1228</v>
      </c>
      <c r="O3850" t="s">
        <v>95</v>
      </c>
      <c r="P3850" t="str">
        <f>"4170050836                    "</f>
        <v xml:space="preserve">4170050836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52.72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20</v>
      </c>
      <c r="BJ3850">
        <v>8.9</v>
      </c>
      <c r="BK3850">
        <v>20</v>
      </c>
      <c r="BL3850">
        <v>171.97</v>
      </c>
      <c r="BM3850">
        <v>25.8</v>
      </c>
      <c r="BN3850">
        <v>197.77</v>
      </c>
      <c r="BO3850">
        <v>197.77</v>
      </c>
      <c r="BQ3850" t="s">
        <v>1229</v>
      </c>
      <c r="BR3850" t="s">
        <v>84</v>
      </c>
      <c r="BS3850" s="3">
        <v>45863</v>
      </c>
      <c r="BT3850" s="4">
        <v>0.48541666666666666</v>
      </c>
      <c r="BU3850" t="s">
        <v>3521</v>
      </c>
      <c r="BV3850" t="s">
        <v>98</v>
      </c>
      <c r="BY3850">
        <v>44640</v>
      </c>
      <c r="CA3850" t="s">
        <v>1319</v>
      </c>
      <c r="CC3850" t="s">
        <v>136</v>
      </c>
      <c r="CD3850">
        <v>3212</v>
      </c>
      <c r="CE3850" t="s">
        <v>145</v>
      </c>
      <c r="CF3850" s="3">
        <v>45864</v>
      </c>
      <c r="CI3850">
        <v>3</v>
      </c>
      <c r="CJ3850">
        <v>1</v>
      </c>
      <c r="CK3850">
        <v>41</v>
      </c>
      <c r="CL3850" t="s">
        <v>86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"080066774659"</f>
        <v>080066774659</v>
      </c>
      <c r="F3851" s="3">
        <v>45862</v>
      </c>
      <c r="G3851">
        <v>202604</v>
      </c>
      <c r="H3851" t="s">
        <v>75</v>
      </c>
      <c r="I3851" t="s">
        <v>76</v>
      </c>
      <c r="J3851" t="s">
        <v>77</v>
      </c>
      <c r="K3851" t="s">
        <v>78</v>
      </c>
      <c r="L3851" t="s">
        <v>111</v>
      </c>
      <c r="M3851" t="s">
        <v>112</v>
      </c>
      <c r="N3851" t="s">
        <v>884</v>
      </c>
      <c r="O3851" t="s">
        <v>311</v>
      </c>
      <c r="P3851" t="str">
        <f>"4170051034                    "</f>
        <v xml:space="preserve">4170051034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204.45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9</v>
      </c>
      <c r="BJ3851">
        <v>7.5</v>
      </c>
      <c r="BK3851">
        <v>9</v>
      </c>
      <c r="BL3851">
        <v>644.13</v>
      </c>
      <c r="BM3851">
        <v>96.62</v>
      </c>
      <c r="BN3851">
        <v>740.75</v>
      </c>
      <c r="BO3851">
        <v>740.75</v>
      </c>
      <c r="BQ3851" t="s">
        <v>885</v>
      </c>
      <c r="BR3851" t="s">
        <v>84</v>
      </c>
      <c r="BS3851" s="3">
        <v>45863</v>
      </c>
      <c r="BT3851" s="4">
        <v>0.54166666666666663</v>
      </c>
      <c r="BU3851" t="s">
        <v>3522</v>
      </c>
      <c r="BV3851" t="s">
        <v>98</v>
      </c>
      <c r="BY3851">
        <v>37488</v>
      </c>
      <c r="CA3851" t="s">
        <v>116</v>
      </c>
      <c r="CC3851" t="s">
        <v>112</v>
      </c>
      <c r="CD3851">
        <v>1871</v>
      </c>
      <c r="CE3851" t="s">
        <v>145</v>
      </c>
      <c r="CF3851" s="3">
        <v>45866</v>
      </c>
      <c r="CI3851">
        <v>1</v>
      </c>
      <c r="CJ3851">
        <v>1</v>
      </c>
      <c r="CK3851">
        <v>33</v>
      </c>
      <c r="CL3851" t="s">
        <v>86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"080066774684"</f>
        <v>080066774684</v>
      </c>
      <c r="F3852" s="3">
        <v>45862</v>
      </c>
      <c r="G3852">
        <v>202604</v>
      </c>
      <c r="H3852" t="s">
        <v>75</v>
      </c>
      <c r="I3852" t="s">
        <v>76</v>
      </c>
      <c r="J3852" t="s">
        <v>77</v>
      </c>
      <c r="K3852" t="s">
        <v>78</v>
      </c>
      <c r="L3852" t="s">
        <v>168</v>
      </c>
      <c r="M3852" t="s">
        <v>169</v>
      </c>
      <c r="N3852" t="s">
        <v>206</v>
      </c>
      <c r="O3852" t="s">
        <v>82</v>
      </c>
      <c r="P3852" t="str">
        <f>"4170051061                    "</f>
        <v xml:space="preserve">4170051061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56.47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5</v>
      </c>
      <c r="BJ3852">
        <v>1.7</v>
      </c>
      <c r="BK3852">
        <v>5</v>
      </c>
      <c r="BL3852">
        <v>177.91</v>
      </c>
      <c r="BM3852">
        <v>26.69</v>
      </c>
      <c r="BN3852">
        <v>204.6</v>
      </c>
      <c r="BO3852">
        <v>204.6</v>
      </c>
      <c r="BQ3852" t="s">
        <v>207</v>
      </c>
      <c r="BR3852" t="s">
        <v>84</v>
      </c>
      <c r="BS3852" s="3">
        <v>45863</v>
      </c>
      <c r="BT3852" s="4">
        <v>0.41041666666666665</v>
      </c>
      <c r="BU3852" t="s">
        <v>2957</v>
      </c>
      <c r="BV3852" t="s">
        <v>98</v>
      </c>
      <c r="BY3852">
        <v>8512</v>
      </c>
      <c r="CA3852" t="s">
        <v>196</v>
      </c>
      <c r="CC3852" t="s">
        <v>169</v>
      </c>
      <c r="CD3852">
        <v>6001</v>
      </c>
      <c r="CE3852" t="s">
        <v>145</v>
      </c>
      <c r="CF3852" s="3">
        <v>45863</v>
      </c>
      <c r="CI3852">
        <v>1</v>
      </c>
      <c r="CJ3852">
        <v>1</v>
      </c>
      <c r="CK3852">
        <v>21</v>
      </c>
      <c r="CL3852" t="s">
        <v>86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"080066774714"</f>
        <v>080066774714</v>
      </c>
      <c r="F3853" s="3">
        <v>45862</v>
      </c>
      <c r="G3853">
        <v>202604</v>
      </c>
      <c r="H3853" t="s">
        <v>75</v>
      </c>
      <c r="I3853" t="s">
        <v>76</v>
      </c>
      <c r="J3853" t="s">
        <v>77</v>
      </c>
      <c r="K3853" t="s">
        <v>78</v>
      </c>
      <c r="L3853" t="s">
        <v>168</v>
      </c>
      <c r="M3853" t="s">
        <v>169</v>
      </c>
      <c r="N3853" t="s">
        <v>206</v>
      </c>
      <c r="O3853" t="s">
        <v>82</v>
      </c>
      <c r="P3853" t="str">
        <f>"4170051055                    "</f>
        <v xml:space="preserve">4170051055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56.47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5</v>
      </c>
      <c r="BJ3853">
        <v>1.7</v>
      </c>
      <c r="BK3853">
        <v>5</v>
      </c>
      <c r="BL3853">
        <v>177.91</v>
      </c>
      <c r="BM3853">
        <v>26.69</v>
      </c>
      <c r="BN3853">
        <v>204.6</v>
      </c>
      <c r="BO3853">
        <v>204.6</v>
      </c>
      <c r="BQ3853" t="s">
        <v>207</v>
      </c>
      <c r="BR3853" t="s">
        <v>84</v>
      </c>
      <c r="BS3853" s="3">
        <v>45863</v>
      </c>
      <c r="BT3853" s="4">
        <v>0.54861111111111116</v>
      </c>
      <c r="BU3853" t="s">
        <v>2957</v>
      </c>
      <c r="BV3853" t="s">
        <v>86</v>
      </c>
      <c r="BW3853" t="s">
        <v>194</v>
      </c>
      <c r="BX3853" t="s">
        <v>195</v>
      </c>
      <c r="BY3853">
        <v>8512</v>
      </c>
      <c r="CC3853" t="s">
        <v>169</v>
      </c>
      <c r="CD3853">
        <v>6001</v>
      </c>
      <c r="CE3853" t="s">
        <v>145</v>
      </c>
      <c r="CF3853" s="3">
        <v>45863</v>
      </c>
      <c r="CI3853">
        <v>1</v>
      </c>
      <c r="CJ3853">
        <v>1</v>
      </c>
      <c r="CK3853">
        <v>21</v>
      </c>
      <c r="CL3853" t="s">
        <v>86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"080066774737"</f>
        <v>080066774737</v>
      </c>
      <c r="F3854" s="3">
        <v>45862</v>
      </c>
      <c r="G3854">
        <v>202604</v>
      </c>
      <c r="H3854" t="s">
        <v>75</v>
      </c>
      <c r="I3854" t="s">
        <v>76</v>
      </c>
      <c r="J3854" t="s">
        <v>77</v>
      </c>
      <c r="K3854" t="s">
        <v>78</v>
      </c>
      <c r="L3854" t="s">
        <v>79</v>
      </c>
      <c r="M3854" t="s">
        <v>80</v>
      </c>
      <c r="N3854" t="s">
        <v>594</v>
      </c>
      <c r="O3854" t="s">
        <v>82</v>
      </c>
      <c r="P3854" t="str">
        <f>"4170050760                    "</f>
        <v xml:space="preserve">4170050760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22.6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1.7</v>
      </c>
      <c r="BK3854">
        <v>2</v>
      </c>
      <c r="BL3854">
        <v>71.2</v>
      </c>
      <c r="BM3854">
        <v>10.68</v>
      </c>
      <c r="BN3854">
        <v>81.88</v>
      </c>
      <c r="BO3854">
        <v>81.88</v>
      </c>
      <c r="BQ3854" t="s">
        <v>595</v>
      </c>
      <c r="BR3854" t="s">
        <v>84</v>
      </c>
      <c r="BS3854" s="3">
        <v>45863</v>
      </c>
      <c r="BT3854" s="4">
        <v>0.37916666666666665</v>
      </c>
      <c r="BU3854" t="s">
        <v>596</v>
      </c>
      <c r="BV3854" t="s">
        <v>98</v>
      </c>
      <c r="BY3854">
        <v>8550</v>
      </c>
      <c r="CA3854" t="s">
        <v>579</v>
      </c>
      <c r="CC3854" t="s">
        <v>80</v>
      </c>
      <c r="CD3854">
        <v>7480</v>
      </c>
      <c r="CE3854" t="s">
        <v>145</v>
      </c>
      <c r="CF3854" s="3">
        <v>45866</v>
      </c>
      <c r="CI3854">
        <v>1</v>
      </c>
      <c r="CJ3854">
        <v>1</v>
      </c>
      <c r="CK3854">
        <v>21</v>
      </c>
      <c r="CL3854" t="s">
        <v>86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"080066774971"</f>
        <v>080066774971</v>
      </c>
      <c r="F3855" s="3">
        <v>45862</v>
      </c>
      <c r="G3855">
        <v>202604</v>
      </c>
      <c r="H3855" t="s">
        <v>75</v>
      </c>
      <c r="I3855" t="s">
        <v>76</v>
      </c>
      <c r="J3855" t="s">
        <v>77</v>
      </c>
      <c r="K3855" t="s">
        <v>78</v>
      </c>
      <c r="L3855" t="s">
        <v>122</v>
      </c>
      <c r="M3855" t="s">
        <v>123</v>
      </c>
      <c r="N3855" t="s">
        <v>184</v>
      </c>
      <c r="O3855" t="s">
        <v>95</v>
      </c>
      <c r="P3855" t="str">
        <f>"4170050936                    "</f>
        <v xml:space="preserve">4170050936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47.31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16</v>
      </c>
      <c r="BJ3855">
        <v>16.899999999999999</v>
      </c>
      <c r="BK3855">
        <v>17</v>
      </c>
      <c r="BL3855">
        <v>154.91999999999999</v>
      </c>
      <c r="BM3855">
        <v>23.24</v>
      </c>
      <c r="BN3855">
        <v>178.16</v>
      </c>
      <c r="BO3855">
        <v>178.16</v>
      </c>
      <c r="BQ3855" t="s">
        <v>185</v>
      </c>
      <c r="BR3855" t="s">
        <v>84</v>
      </c>
      <c r="BS3855" s="3">
        <v>45863</v>
      </c>
      <c r="BT3855" s="4">
        <v>0.40208333333333335</v>
      </c>
      <c r="BU3855" t="s">
        <v>186</v>
      </c>
      <c r="BV3855" t="s">
        <v>98</v>
      </c>
      <c r="BY3855">
        <v>84700</v>
      </c>
      <c r="CA3855" t="s">
        <v>187</v>
      </c>
      <c r="CC3855" t="s">
        <v>123</v>
      </c>
      <c r="CD3855">
        <v>3610</v>
      </c>
      <c r="CE3855" t="s">
        <v>2742</v>
      </c>
      <c r="CF3855" s="3">
        <v>45864</v>
      </c>
      <c r="CI3855">
        <v>1</v>
      </c>
      <c r="CJ3855">
        <v>1</v>
      </c>
      <c r="CK3855">
        <v>41</v>
      </c>
      <c r="CL3855" t="s">
        <v>86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"080066775045"</f>
        <v>080066775045</v>
      </c>
      <c r="F3856" s="3">
        <v>45862</v>
      </c>
      <c r="G3856">
        <v>202604</v>
      </c>
      <c r="H3856" t="s">
        <v>75</v>
      </c>
      <c r="I3856" t="s">
        <v>76</v>
      </c>
      <c r="J3856" t="s">
        <v>77</v>
      </c>
      <c r="K3856" t="s">
        <v>78</v>
      </c>
      <c r="L3856" t="s">
        <v>79</v>
      </c>
      <c r="M3856" t="s">
        <v>80</v>
      </c>
      <c r="N3856" t="s">
        <v>492</v>
      </c>
      <c r="O3856" t="s">
        <v>82</v>
      </c>
      <c r="P3856" t="str">
        <f>"4170050756                    "</f>
        <v xml:space="preserve">4170050756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22.6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71.2</v>
      </c>
      <c r="BM3856">
        <v>10.68</v>
      </c>
      <c r="BN3856">
        <v>81.88</v>
      </c>
      <c r="BO3856">
        <v>81.88</v>
      </c>
      <c r="BQ3856" t="s">
        <v>493</v>
      </c>
      <c r="BR3856" t="s">
        <v>84</v>
      </c>
      <c r="BS3856" s="3">
        <v>45863</v>
      </c>
      <c r="BT3856" s="4">
        <v>0.41666666666666669</v>
      </c>
      <c r="BU3856" t="s">
        <v>3523</v>
      </c>
      <c r="BV3856" t="s">
        <v>98</v>
      </c>
      <c r="BY3856">
        <v>1200</v>
      </c>
      <c r="CA3856" t="s">
        <v>495</v>
      </c>
      <c r="CC3856" t="s">
        <v>80</v>
      </c>
      <c r="CD3856">
        <v>7800</v>
      </c>
      <c r="CE3856" t="s">
        <v>121</v>
      </c>
      <c r="CF3856" s="3">
        <v>45866</v>
      </c>
      <c r="CI3856">
        <v>1</v>
      </c>
      <c r="CJ3856">
        <v>1</v>
      </c>
      <c r="CK3856">
        <v>21</v>
      </c>
      <c r="CL3856" t="s">
        <v>86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"080066775047"</f>
        <v>080066775047</v>
      </c>
      <c r="F3857" s="3">
        <v>45862</v>
      </c>
      <c r="G3857">
        <v>202604</v>
      </c>
      <c r="H3857" t="s">
        <v>75</v>
      </c>
      <c r="I3857" t="s">
        <v>76</v>
      </c>
      <c r="J3857" t="s">
        <v>77</v>
      </c>
      <c r="K3857" t="s">
        <v>78</v>
      </c>
      <c r="L3857" t="s">
        <v>135</v>
      </c>
      <c r="M3857" t="s">
        <v>136</v>
      </c>
      <c r="N3857" t="s">
        <v>694</v>
      </c>
      <c r="O3857" t="s">
        <v>82</v>
      </c>
      <c r="P3857" t="str">
        <f>"4170050745                    "</f>
        <v xml:space="preserve">4170050745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22.6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16.739999999999998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1.7</v>
      </c>
      <c r="BK3857">
        <v>2</v>
      </c>
      <c r="BL3857">
        <v>87.94</v>
      </c>
      <c r="BM3857">
        <v>13.19</v>
      </c>
      <c r="BN3857">
        <v>101.13</v>
      </c>
      <c r="BO3857">
        <v>101.13</v>
      </c>
      <c r="BQ3857" t="s">
        <v>695</v>
      </c>
      <c r="BR3857" t="s">
        <v>84</v>
      </c>
      <c r="BS3857" s="3">
        <v>45866</v>
      </c>
      <c r="BT3857" s="4">
        <v>0.41666666666666669</v>
      </c>
      <c r="BU3857" t="s">
        <v>3524</v>
      </c>
      <c r="BV3857" t="s">
        <v>86</v>
      </c>
      <c r="BY3857">
        <v>8550</v>
      </c>
      <c r="BZ3857" t="s">
        <v>30</v>
      </c>
      <c r="CA3857" t="s">
        <v>2915</v>
      </c>
      <c r="CC3857" t="s">
        <v>136</v>
      </c>
      <c r="CD3857">
        <v>3699</v>
      </c>
      <c r="CE3857" t="s">
        <v>145</v>
      </c>
      <c r="CF3857" s="3">
        <v>45867</v>
      </c>
      <c r="CI3857">
        <v>1</v>
      </c>
      <c r="CJ3857">
        <v>2</v>
      </c>
      <c r="CK3857">
        <v>21</v>
      </c>
      <c r="CL3857" t="s">
        <v>86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"080066775107"</f>
        <v>080066775107</v>
      </c>
      <c r="F3858" s="3">
        <v>45862</v>
      </c>
      <c r="G3858">
        <v>202604</v>
      </c>
      <c r="H3858" t="s">
        <v>75</v>
      </c>
      <c r="I3858" t="s">
        <v>76</v>
      </c>
      <c r="J3858" t="s">
        <v>77</v>
      </c>
      <c r="K3858" t="s">
        <v>78</v>
      </c>
      <c r="L3858" t="s">
        <v>758</v>
      </c>
      <c r="M3858" t="s">
        <v>759</v>
      </c>
      <c r="N3858" t="s">
        <v>760</v>
      </c>
      <c r="O3858" t="s">
        <v>82</v>
      </c>
      <c r="P3858" t="str">
        <f>"4170051040                    "</f>
        <v xml:space="preserve">4170051040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43.78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137.94</v>
      </c>
      <c r="BM3858">
        <v>20.69</v>
      </c>
      <c r="BN3858">
        <v>158.63</v>
      </c>
      <c r="BO3858">
        <v>158.63</v>
      </c>
      <c r="BQ3858" t="s">
        <v>761</v>
      </c>
      <c r="BR3858" t="s">
        <v>84</v>
      </c>
      <c r="BS3858" s="3">
        <v>45863</v>
      </c>
      <c r="BT3858" s="4">
        <v>0.44861111111111113</v>
      </c>
      <c r="BU3858" t="s">
        <v>3426</v>
      </c>
      <c r="BV3858" t="s">
        <v>98</v>
      </c>
      <c r="BY3858">
        <v>1200</v>
      </c>
      <c r="CA3858" t="s">
        <v>3015</v>
      </c>
      <c r="CC3858" t="s">
        <v>759</v>
      </c>
      <c r="CD3858">
        <v>2531</v>
      </c>
      <c r="CE3858" t="s">
        <v>121</v>
      </c>
      <c r="CF3858" s="3">
        <v>45866</v>
      </c>
      <c r="CI3858">
        <v>1</v>
      </c>
      <c r="CJ3858">
        <v>1</v>
      </c>
      <c r="CK3858">
        <v>23</v>
      </c>
      <c r="CL3858" t="s">
        <v>86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"080066775146"</f>
        <v>080066775146</v>
      </c>
      <c r="F3859" s="3">
        <v>45862</v>
      </c>
      <c r="G3859">
        <v>202604</v>
      </c>
      <c r="H3859" t="s">
        <v>75</v>
      </c>
      <c r="I3859" t="s">
        <v>76</v>
      </c>
      <c r="J3859" t="s">
        <v>77</v>
      </c>
      <c r="K3859" t="s">
        <v>78</v>
      </c>
      <c r="L3859" t="s">
        <v>79</v>
      </c>
      <c r="M3859" t="s">
        <v>80</v>
      </c>
      <c r="N3859" t="s">
        <v>698</v>
      </c>
      <c r="O3859" t="s">
        <v>82</v>
      </c>
      <c r="P3859" t="str">
        <f>"4170050948                    "</f>
        <v xml:space="preserve">4170050948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135.5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5</v>
      </c>
      <c r="BJ3859">
        <v>12</v>
      </c>
      <c r="BK3859">
        <v>12</v>
      </c>
      <c r="BL3859">
        <v>426.9</v>
      </c>
      <c r="BM3859">
        <v>64.040000000000006</v>
      </c>
      <c r="BN3859">
        <v>490.94</v>
      </c>
      <c r="BO3859">
        <v>490.94</v>
      </c>
      <c r="BQ3859" t="s">
        <v>699</v>
      </c>
      <c r="BR3859" t="s">
        <v>84</v>
      </c>
      <c r="BS3859" s="3">
        <v>45863</v>
      </c>
      <c r="BT3859" s="4">
        <v>0.35625000000000001</v>
      </c>
      <c r="BU3859" t="s">
        <v>700</v>
      </c>
      <c r="BV3859" t="s">
        <v>98</v>
      </c>
      <c r="BY3859">
        <v>60000</v>
      </c>
      <c r="CA3859" t="s">
        <v>289</v>
      </c>
      <c r="CC3859" t="s">
        <v>80</v>
      </c>
      <c r="CD3859">
        <v>7561</v>
      </c>
      <c r="CE3859" t="s">
        <v>145</v>
      </c>
      <c r="CF3859" s="3">
        <v>45866</v>
      </c>
      <c r="CI3859">
        <v>1</v>
      </c>
      <c r="CJ3859">
        <v>1</v>
      </c>
      <c r="CK3859">
        <v>21</v>
      </c>
      <c r="CL3859" t="s">
        <v>86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"080066775841"</f>
        <v>080066775841</v>
      </c>
      <c r="F3860" s="3">
        <v>45862</v>
      </c>
      <c r="G3860">
        <v>202604</v>
      </c>
      <c r="H3860" t="s">
        <v>75</v>
      </c>
      <c r="I3860" t="s">
        <v>76</v>
      </c>
      <c r="J3860" t="s">
        <v>77</v>
      </c>
      <c r="K3860" t="s">
        <v>78</v>
      </c>
      <c r="L3860" t="s">
        <v>75</v>
      </c>
      <c r="M3860" t="s">
        <v>76</v>
      </c>
      <c r="N3860" t="s">
        <v>619</v>
      </c>
      <c r="O3860" t="s">
        <v>82</v>
      </c>
      <c r="P3860" t="str">
        <f>"4170051022                    "</f>
        <v xml:space="preserve">4170051022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17.649999999999999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2</v>
      </c>
      <c r="BJ3860">
        <v>3.2</v>
      </c>
      <c r="BK3860">
        <v>4</v>
      </c>
      <c r="BL3860">
        <v>55.61</v>
      </c>
      <c r="BM3860">
        <v>8.34</v>
      </c>
      <c r="BN3860">
        <v>63.95</v>
      </c>
      <c r="BO3860">
        <v>63.95</v>
      </c>
      <c r="BQ3860" t="s">
        <v>620</v>
      </c>
      <c r="BR3860" t="s">
        <v>84</v>
      </c>
      <c r="BS3860" s="3">
        <v>45863</v>
      </c>
      <c r="BT3860" s="4">
        <v>0.38263888888888886</v>
      </c>
      <c r="BU3860" t="s">
        <v>2437</v>
      </c>
      <c r="BV3860" t="s">
        <v>98</v>
      </c>
      <c r="BY3860">
        <v>16128</v>
      </c>
      <c r="CA3860" t="s">
        <v>213</v>
      </c>
      <c r="CC3860" t="s">
        <v>76</v>
      </c>
      <c r="CD3860">
        <v>1618</v>
      </c>
      <c r="CE3860" t="s">
        <v>145</v>
      </c>
      <c r="CF3860" s="3">
        <v>45863</v>
      </c>
      <c r="CI3860">
        <v>1</v>
      </c>
      <c r="CJ3860">
        <v>1</v>
      </c>
      <c r="CK3860">
        <v>22</v>
      </c>
      <c r="CL3860" t="s">
        <v>86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"080066776788"</f>
        <v>080066776788</v>
      </c>
      <c r="F3861" s="3">
        <v>45862</v>
      </c>
      <c r="G3861">
        <v>202604</v>
      </c>
      <c r="H3861" t="s">
        <v>75</v>
      </c>
      <c r="I3861" t="s">
        <v>76</v>
      </c>
      <c r="J3861" t="s">
        <v>77</v>
      </c>
      <c r="K3861" t="s">
        <v>78</v>
      </c>
      <c r="L3861" t="s">
        <v>79</v>
      </c>
      <c r="M3861" t="s">
        <v>80</v>
      </c>
      <c r="N3861" t="s">
        <v>188</v>
      </c>
      <c r="O3861" t="s">
        <v>82</v>
      </c>
      <c r="P3861" t="str">
        <f>"4170051039                    "</f>
        <v xml:space="preserve">4170051039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22.6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71.2</v>
      </c>
      <c r="BM3861">
        <v>10.68</v>
      </c>
      <c r="BN3861">
        <v>81.88</v>
      </c>
      <c r="BO3861">
        <v>81.88</v>
      </c>
      <c r="BQ3861" t="s">
        <v>189</v>
      </c>
      <c r="BR3861" t="s">
        <v>84</v>
      </c>
      <c r="BS3861" s="3">
        <v>45863</v>
      </c>
      <c r="BT3861" s="4">
        <v>0.36805555555555558</v>
      </c>
      <c r="BU3861" t="s">
        <v>1216</v>
      </c>
      <c r="BV3861" t="s">
        <v>98</v>
      </c>
      <c r="BY3861">
        <v>1200</v>
      </c>
      <c r="CA3861" t="s">
        <v>144</v>
      </c>
      <c r="CC3861" t="s">
        <v>80</v>
      </c>
      <c r="CD3861">
        <v>7441</v>
      </c>
      <c r="CE3861" t="s">
        <v>121</v>
      </c>
      <c r="CF3861" s="3">
        <v>45866</v>
      </c>
      <c r="CI3861">
        <v>1</v>
      </c>
      <c r="CJ3861">
        <v>1</v>
      </c>
      <c r="CK3861">
        <v>21</v>
      </c>
      <c r="CL3861" t="s">
        <v>86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"080066776791"</f>
        <v>080066776791</v>
      </c>
      <c r="F3862" s="3">
        <v>45862</v>
      </c>
      <c r="G3862">
        <v>202604</v>
      </c>
      <c r="H3862" t="s">
        <v>75</v>
      </c>
      <c r="I3862" t="s">
        <v>76</v>
      </c>
      <c r="J3862" t="s">
        <v>77</v>
      </c>
      <c r="K3862" t="s">
        <v>78</v>
      </c>
      <c r="L3862" t="s">
        <v>75</v>
      </c>
      <c r="M3862" t="s">
        <v>76</v>
      </c>
      <c r="N3862" t="s">
        <v>562</v>
      </c>
      <c r="O3862" t="s">
        <v>82</v>
      </c>
      <c r="P3862" t="str">
        <f>"4170051031                    "</f>
        <v xml:space="preserve">4170051031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17.649999999999999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2.5</v>
      </c>
      <c r="BK3862">
        <v>3</v>
      </c>
      <c r="BL3862">
        <v>55.61</v>
      </c>
      <c r="BM3862">
        <v>8.34</v>
      </c>
      <c r="BN3862">
        <v>63.95</v>
      </c>
      <c r="BO3862">
        <v>63.95</v>
      </c>
      <c r="BQ3862" t="s">
        <v>563</v>
      </c>
      <c r="BR3862" t="s">
        <v>84</v>
      </c>
      <c r="BS3862" s="3">
        <v>45863</v>
      </c>
      <c r="BT3862" s="4">
        <v>0.40555555555555556</v>
      </c>
      <c r="BU3862" t="s">
        <v>2570</v>
      </c>
      <c r="BV3862" t="s">
        <v>98</v>
      </c>
      <c r="BY3862">
        <v>12544</v>
      </c>
      <c r="CA3862" t="s">
        <v>1613</v>
      </c>
      <c r="CC3862" t="s">
        <v>76</v>
      </c>
      <c r="CD3862">
        <v>1619</v>
      </c>
      <c r="CE3862" t="s">
        <v>91</v>
      </c>
      <c r="CF3862" s="3">
        <v>45864</v>
      </c>
      <c r="CI3862">
        <v>1</v>
      </c>
      <c r="CJ3862">
        <v>1</v>
      </c>
      <c r="CK3862">
        <v>22</v>
      </c>
      <c r="CL3862" t="s">
        <v>86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"080066776805"</f>
        <v>080066776805</v>
      </c>
      <c r="F3863" s="3">
        <v>45862</v>
      </c>
      <c r="G3863">
        <v>202604</v>
      </c>
      <c r="H3863" t="s">
        <v>75</v>
      </c>
      <c r="I3863" t="s">
        <v>76</v>
      </c>
      <c r="J3863" t="s">
        <v>77</v>
      </c>
      <c r="K3863" t="s">
        <v>78</v>
      </c>
      <c r="L3863" t="s">
        <v>427</v>
      </c>
      <c r="M3863" t="s">
        <v>428</v>
      </c>
      <c r="N3863" t="s">
        <v>429</v>
      </c>
      <c r="O3863" t="s">
        <v>82</v>
      </c>
      <c r="P3863" t="str">
        <f>"4170050949                    "</f>
        <v xml:space="preserve">4170050949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73.44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2</v>
      </c>
      <c r="BJ3863">
        <v>3.2</v>
      </c>
      <c r="BK3863">
        <v>3.5</v>
      </c>
      <c r="BL3863">
        <v>231.38</v>
      </c>
      <c r="BM3863">
        <v>34.71</v>
      </c>
      <c r="BN3863">
        <v>266.08999999999997</v>
      </c>
      <c r="BO3863">
        <v>266.08999999999997</v>
      </c>
      <c r="BQ3863" t="s">
        <v>430</v>
      </c>
      <c r="BR3863" t="s">
        <v>84</v>
      </c>
      <c r="BS3863" s="3">
        <v>45867</v>
      </c>
      <c r="BT3863" s="4">
        <v>0.69097222222222221</v>
      </c>
      <c r="BU3863" t="s">
        <v>3494</v>
      </c>
      <c r="BV3863" t="s">
        <v>86</v>
      </c>
      <c r="BW3863" t="s">
        <v>395</v>
      </c>
      <c r="BX3863" t="s">
        <v>3495</v>
      </c>
      <c r="BY3863">
        <v>16000</v>
      </c>
      <c r="CC3863" t="s">
        <v>428</v>
      </c>
      <c r="CD3863">
        <v>9880</v>
      </c>
      <c r="CE3863" t="s">
        <v>145</v>
      </c>
      <c r="CF3863" s="3">
        <v>45868</v>
      </c>
      <c r="CI3863">
        <v>1</v>
      </c>
      <c r="CJ3863">
        <v>3</v>
      </c>
      <c r="CK3863">
        <v>23</v>
      </c>
      <c r="CL3863" t="s">
        <v>86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"080066776821"</f>
        <v>080066776821</v>
      </c>
      <c r="F3864" s="3">
        <v>45862</v>
      </c>
      <c r="G3864">
        <v>202604</v>
      </c>
      <c r="H3864" t="s">
        <v>75</v>
      </c>
      <c r="I3864" t="s">
        <v>76</v>
      </c>
      <c r="J3864" t="s">
        <v>77</v>
      </c>
      <c r="K3864" t="s">
        <v>78</v>
      </c>
      <c r="L3864" t="s">
        <v>79</v>
      </c>
      <c r="M3864" t="s">
        <v>80</v>
      </c>
      <c r="N3864" t="s">
        <v>1775</v>
      </c>
      <c r="O3864" t="s">
        <v>82</v>
      </c>
      <c r="P3864" t="str">
        <f>"4170051007                    "</f>
        <v xml:space="preserve">4170051007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39.53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3.1</v>
      </c>
      <c r="BK3864">
        <v>3.5</v>
      </c>
      <c r="BL3864">
        <v>124.55</v>
      </c>
      <c r="BM3864">
        <v>18.68</v>
      </c>
      <c r="BN3864">
        <v>143.22999999999999</v>
      </c>
      <c r="BO3864">
        <v>143.22999999999999</v>
      </c>
      <c r="BQ3864" t="s">
        <v>1776</v>
      </c>
      <c r="BR3864" t="s">
        <v>84</v>
      </c>
      <c r="BS3864" s="3">
        <v>45863</v>
      </c>
      <c r="BT3864" s="4">
        <v>0.41180555555555554</v>
      </c>
      <c r="BU3864" t="s">
        <v>933</v>
      </c>
      <c r="BV3864" t="s">
        <v>98</v>
      </c>
      <c r="BY3864">
        <v>15360</v>
      </c>
      <c r="CA3864" t="s">
        <v>934</v>
      </c>
      <c r="CC3864" t="s">
        <v>80</v>
      </c>
      <c r="CD3864">
        <v>7530</v>
      </c>
      <c r="CE3864" t="s">
        <v>145</v>
      </c>
      <c r="CF3864" s="3">
        <v>45866</v>
      </c>
      <c r="CI3864">
        <v>1</v>
      </c>
      <c r="CJ3864">
        <v>1</v>
      </c>
      <c r="CK3864">
        <v>21</v>
      </c>
      <c r="CL3864" t="s">
        <v>86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"080066776824"</f>
        <v>080066776824</v>
      </c>
      <c r="F3865" s="3">
        <v>45862</v>
      </c>
      <c r="G3865">
        <v>202604</v>
      </c>
      <c r="H3865" t="s">
        <v>75</v>
      </c>
      <c r="I3865" t="s">
        <v>76</v>
      </c>
      <c r="J3865" t="s">
        <v>77</v>
      </c>
      <c r="K3865" t="s">
        <v>78</v>
      </c>
      <c r="L3865" t="s">
        <v>79</v>
      </c>
      <c r="M3865" t="s">
        <v>80</v>
      </c>
      <c r="N3865" t="s">
        <v>1996</v>
      </c>
      <c r="O3865" t="s">
        <v>82</v>
      </c>
      <c r="P3865" t="str">
        <f>"4170050929                    "</f>
        <v xml:space="preserve">4170050929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22.6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71.2</v>
      </c>
      <c r="BM3865">
        <v>10.68</v>
      </c>
      <c r="BN3865">
        <v>81.88</v>
      </c>
      <c r="BO3865">
        <v>81.88</v>
      </c>
      <c r="BQ3865" t="s">
        <v>1997</v>
      </c>
      <c r="BR3865" t="s">
        <v>84</v>
      </c>
      <c r="BS3865" s="3">
        <v>45863</v>
      </c>
      <c r="BT3865" s="4">
        <v>0.40972222222222221</v>
      </c>
      <c r="BU3865" t="s">
        <v>3525</v>
      </c>
      <c r="BV3865" t="s">
        <v>98</v>
      </c>
      <c r="BY3865">
        <v>1200</v>
      </c>
      <c r="CA3865" t="s">
        <v>658</v>
      </c>
      <c r="CC3865" t="s">
        <v>80</v>
      </c>
      <c r="CD3865">
        <v>7405</v>
      </c>
      <c r="CE3865" t="s">
        <v>121</v>
      </c>
      <c r="CF3865" s="3">
        <v>45866</v>
      </c>
      <c r="CI3865">
        <v>1</v>
      </c>
      <c r="CJ3865">
        <v>1</v>
      </c>
      <c r="CK3865">
        <v>21</v>
      </c>
      <c r="CL3865" t="s">
        <v>86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"080066776841"</f>
        <v>080066776841</v>
      </c>
      <c r="F3866" s="3">
        <v>45862</v>
      </c>
      <c r="G3866">
        <v>202604</v>
      </c>
      <c r="H3866" t="s">
        <v>75</v>
      </c>
      <c r="I3866" t="s">
        <v>76</v>
      </c>
      <c r="J3866" t="s">
        <v>77</v>
      </c>
      <c r="K3866" t="s">
        <v>78</v>
      </c>
      <c r="L3866" t="s">
        <v>92</v>
      </c>
      <c r="M3866" t="s">
        <v>93</v>
      </c>
      <c r="N3866" t="s">
        <v>749</v>
      </c>
      <c r="O3866" t="s">
        <v>82</v>
      </c>
      <c r="P3866" t="str">
        <f>"4170051049                    "</f>
        <v xml:space="preserve">4170051049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22.6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71.2</v>
      </c>
      <c r="BM3866">
        <v>10.68</v>
      </c>
      <c r="BN3866">
        <v>81.88</v>
      </c>
      <c r="BO3866">
        <v>81.88</v>
      </c>
      <c r="BQ3866" t="s">
        <v>750</v>
      </c>
      <c r="BR3866" t="s">
        <v>84</v>
      </c>
      <c r="BS3866" s="3">
        <v>45863</v>
      </c>
      <c r="BT3866" s="4">
        <v>0.38611111111111113</v>
      </c>
      <c r="BU3866" t="s">
        <v>1329</v>
      </c>
      <c r="BV3866" t="s">
        <v>98</v>
      </c>
      <c r="BY3866">
        <v>1200</v>
      </c>
      <c r="CA3866" t="s">
        <v>491</v>
      </c>
      <c r="CC3866" t="s">
        <v>93</v>
      </c>
      <c r="CD3866">
        <v>4001</v>
      </c>
      <c r="CE3866" t="s">
        <v>121</v>
      </c>
      <c r="CF3866" s="3">
        <v>45864</v>
      </c>
      <c r="CI3866">
        <v>1</v>
      </c>
      <c r="CJ3866">
        <v>1</v>
      </c>
      <c r="CK3866">
        <v>21</v>
      </c>
      <c r="CL3866" t="s">
        <v>86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"080066776843"</f>
        <v>080066776843</v>
      </c>
      <c r="F3867" s="3">
        <v>45862</v>
      </c>
      <c r="G3867">
        <v>202604</v>
      </c>
      <c r="H3867" t="s">
        <v>75</v>
      </c>
      <c r="I3867" t="s">
        <v>76</v>
      </c>
      <c r="J3867" t="s">
        <v>77</v>
      </c>
      <c r="K3867" t="s">
        <v>78</v>
      </c>
      <c r="L3867" t="s">
        <v>168</v>
      </c>
      <c r="M3867" t="s">
        <v>169</v>
      </c>
      <c r="N3867" t="s">
        <v>412</v>
      </c>
      <c r="O3867" t="s">
        <v>82</v>
      </c>
      <c r="P3867" t="str">
        <f>"4170050996                    "</f>
        <v xml:space="preserve">4170050996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22.6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2</v>
      </c>
      <c r="BJ3867">
        <v>1.3</v>
      </c>
      <c r="BK3867">
        <v>2</v>
      </c>
      <c r="BL3867">
        <v>71.2</v>
      </c>
      <c r="BM3867">
        <v>10.68</v>
      </c>
      <c r="BN3867">
        <v>81.88</v>
      </c>
      <c r="BO3867">
        <v>81.88</v>
      </c>
      <c r="BQ3867" t="s">
        <v>413</v>
      </c>
      <c r="BR3867" t="s">
        <v>84</v>
      </c>
      <c r="BS3867" s="3">
        <v>45863</v>
      </c>
      <c r="BT3867" s="4">
        <v>0.37291666666666667</v>
      </c>
      <c r="BU3867" t="s">
        <v>414</v>
      </c>
      <c r="BV3867" t="s">
        <v>98</v>
      </c>
      <c r="BY3867">
        <v>6384</v>
      </c>
      <c r="CA3867" t="s">
        <v>415</v>
      </c>
      <c r="CC3867" t="s">
        <v>169</v>
      </c>
      <c r="CD3867">
        <v>6001</v>
      </c>
      <c r="CE3867" t="s">
        <v>145</v>
      </c>
      <c r="CF3867" s="3">
        <v>45863</v>
      </c>
      <c r="CI3867">
        <v>1</v>
      </c>
      <c r="CJ3867">
        <v>1</v>
      </c>
      <c r="CK3867">
        <v>21</v>
      </c>
      <c r="CL3867" t="s">
        <v>86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"080066776858"</f>
        <v>080066776858</v>
      </c>
      <c r="F3868" s="3">
        <v>45862</v>
      </c>
      <c r="G3868">
        <v>202604</v>
      </c>
      <c r="H3868" t="s">
        <v>75</v>
      </c>
      <c r="I3868" t="s">
        <v>76</v>
      </c>
      <c r="J3868" t="s">
        <v>77</v>
      </c>
      <c r="K3868" t="s">
        <v>78</v>
      </c>
      <c r="L3868" t="s">
        <v>240</v>
      </c>
      <c r="M3868" t="s">
        <v>241</v>
      </c>
      <c r="N3868" t="s">
        <v>798</v>
      </c>
      <c r="O3868" t="s">
        <v>82</v>
      </c>
      <c r="P3868" t="str">
        <f>"4170051030                    "</f>
        <v xml:space="preserve">4170051030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17.649999999999999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55.61</v>
      </c>
      <c r="BM3868">
        <v>8.34</v>
      </c>
      <c r="BN3868">
        <v>63.95</v>
      </c>
      <c r="BO3868">
        <v>63.95</v>
      </c>
      <c r="BQ3868" t="s">
        <v>799</v>
      </c>
      <c r="BR3868" t="s">
        <v>84</v>
      </c>
      <c r="BS3868" s="3">
        <v>45863</v>
      </c>
      <c r="BT3868" s="4">
        <v>0.42708333333333331</v>
      </c>
      <c r="BU3868" t="s">
        <v>3526</v>
      </c>
      <c r="BV3868" t="s">
        <v>98</v>
      </c>
      <c r="BY3868">
        <v>1200</v>
      </c>
      <c r="CA3868" t="s">
        <v>1300</v>
      </c>
      <c r="CC3868" t="s">
        <v>241</v>
      </c>
      <c r="CD3868">
        <v>2013</v>
      </c>
      <c r="CE3868" t="s">
        <v>121</v>
      </c>
      <c r="CF3868" s="3">
        <v>45864</v>
      </c>
      <c r="CI3868">
        <v>1</v>
      </c>
      <c r="CJ3868">
        <v>1</v>
      </c>
      <c r="CK3868">
        <v>22</v>
      </c>
      <c r="CL3868" t="s">
        <v>86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"080066776876"</f>
        <v>080066776876</v>
      </c>
      <c r="F3869" s="3">
        <v>45862</v>
      </c>
      <c r="G3869">
        <v>202604</v>
      </c>
      <c r="H3869" t="s">
        <v>75</v>
      </c>
      <c r="I3869" t="s">
        <v>76</v>
      </c>
      <c r="J3869" t="s">
        <v>77</v>
      </c>
      <c r="K3869" t="s">
        <v>78</v>
      </c>
      <c r="L3869" t="s">
        <v>598</v>
      </c>
      <c r="M3869" t="s">
        <v>599</v>
      </c>
      <c r="N3869" t="s">
        <v>2568</v>
      </c>
      <c r="O3869" t="s">
        <v>82</v>
      </c>
      <c r="P3869" t="str">
        <f>"4170051024                    "</f>
        <v xml:space="preserve">4170051024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43.78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1.9</v>
      </c>
      <c r="BK3869">
        <v>2</v>
      </c>
      <c r="BL3869">
        <v>137.94</v>
      </c>
      <c r="BM3869">
        <v>20.69</v>
      </c>
      <c r="BN3869">
        <v>158.63</v>
      </c>
      <c r="BO3869">
        <v>158.63</v>
      </c>
      <c r="BQ3869" t="s">
        <v>2569</v>
      </c>
      <c r="BR3869" t="s">
        <v>84</v>
      </c>
      <c r="BS3869" s="3">
        <v>45863</v>
      </c>
      <c r="BT3869" s="4">
        <v>0.3611111111111111</v>
      </c>
      <c r="BU3869" t="s">
        <v>2570</v>
      </c>
      <c r="BV3869" t="s">
        <v>98</v>
      </c>
      <c r="BY3869">
        <v>9600</v>
      </c>
      <c r="CA3869" t="s">
        <v>1286</v>
      </c>
      <c r="CC3869" t="s">
        <v>599</v>
      </c>
      <c r="CD3869">
        <v>4339</v>
      </c>
      <c r="CE3869" t="s">
        <v>145</v>
      </c>
      <c r="CF3869" s="3">
        <v>45864</v>
      </c>
      <c r="CI3869">
        <v>1</v>
      </c>
      <c r="CJ3869">
        <v>1</v>
      </c>
      <c r="CK3869">
        <v>23</v>
      </c>
      <c r="CL3869" t="s">
        <v>86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"080066776892"</f>
        <v>080066776892</v>
      </c>
      <c r="F3870" s="3">
        <v>45862</v>
      </c>
      <c r="G3870">
        <v>202604</v>
      </c>
      <c r="H3870" t="s">
        <v>75</v>
      </c>
      <c r="I3870" t="s">
        <v>76</v>
      </c>
      <c r="J3870" t="s">
        <v>77</v>
      </c>
      <c r="K3870" t="s">
        <v>78</v>
      </c>
      <c r="L3870" t="s">
        <v>305</v>
      </c>
      <c r="M3870" t="s">
        <v>306</v>
      </c>
      <c r="N3870" t="s">
        <v>1320</v>
      </c>
      <c r="O3870" t="s">
        <v>82</v>
      </c>
      <c r="P3870" t="str">
        <f>"4170051073                    "</f>
        <v xml:space="preserve">4170051073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22.6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71.2</v>
      </c>
      <c r="BM3870">
        <v>10.68</v>
      </c>
      <c r="BN3870">
        <v>81.88</v>
      </c>
      <c r="BO3870">
        <v>81.88</v>
      </c>
      <c r="BQ3870" t="s">
        <v>308</v>
      </c>
      <c r="BR3870" t="s">
        <v>84</v>
      </c>
      <c r="BS3870" s="3">
        <v>45863</v>
      </c>
      <c r="BT3870" s="4">
        <v>0.4375</v>
      </c>
      <c r="BU3870" t="s">
        <v>338</v>
      </c>
      <c r="BV3870" t="s">
        <v>98</v>
      </c>
      <c r="BY3870">
        <v>1200</v>
      </c>
      <c r="CA3870" t="s">
        <v>310</v>
      </c>
      <c r="CC3870" t="s">
        <v>306</v>
      </c>
      <c r="CD3870">
        <v>5200</v>
      </c>
      <c r="CE3870" t="s">
        <v>121</v>
      </c>
      <c r="CF3870" s="3">
        <v>45863</v>
      </c>
      <c r="CI3870">
        <v>1</v>
      </c>
      <c r="CJ3870">
        <v>1</v>
      </c>
      <c r="CK3870">
        <v>21</v>
      </c>
      <c r="CL3870" t="s">
        <v>86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"080066776916"</f>
        <v>080066776916</v>
      </c>
      <c r="F3871" s="3">
        <v>45862</v>
      </c>
      <c r="G3871">
        <v>202604</v>
      </c>
      <c r="H3871" t="s">
        <v>75</v>
      </c>
      <c r="I3871" t="s">
        <v>76</v>
      </c>
      <c r="J3871" t="s">
        <v>77</v>
      </c>
      <c r="K3871" t="s">
        <v>78</v>
      </c>
      <c r="L3871" t="s">
        <v>79</v>
      </c>
      <c r="M3871" t="s">
        <v>80</v>
      </c>
      <c r="N3871" t="s">
        <v>3527</v>
      </c>
      <c r="O3871" t="s">
        <v>82</v>
      </c>
      <c r="P3871" t="str">
        <f>"4170050942                    "</f>
        <v xml:space="preserve">4170050942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39.53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3.1</v>
      </c>
      <c r="BK3871">
        <v>3.5</v>
      </c>
      <c r="BL3871">
        <v>124.55</v>
      </c>
      <c r="BM3871">
        <v>18.68</v>
      </c>
      <c r="BN3871">
        <v>143.22999999999999</v>
      </c>
      <c r="BO3871">
        <v>143.22999999999999</v>
      </c>
      <c r="BQ3871" t="s">
        <v>3528</v>
      </c>
      <c r="BR3871" t="s">
        <v>84</v>
      </c>
      <c r="BS3871" s="3">
        <v>45863</v>
      </c>
      <c r="BT3871" s="4">
        <v>0.39930555555555558</v>
      </c>
      <c r="BU3871" t="s">
        <v>2329</v>
      </c>
      <c r="BV3871" t="s">
        <v>98</v>
      </c>
      <c r="BY3871">
        <v>15360</v>
      </c>
      <c r="CA3871" t="s">
        <v>934</v>
      </c>
      <c r="CC3871" t="s">
        <v>80</v>
      </c>
      <c r="CD3871">
        <v>7530</v>
      </c>
      <c r="CE3871" t="s">
        <v>145</v>
      </c>
      <c r="CF3871" s="3">
        <v>45866</v>
      </c>
      <c r="CI3871">
        <v>1</v>
      </c>
      <c r="CJ3871">
        <v>1</v>
      </c>
      <c r="CK3871">
        <v>21</v>
      </c>
      <c r="CL3871" t="s">
        <v>86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"080066776925"</f>
        <v>080066776925</v>
      </c>
      <c r="F3872" s="3">
        <v>45862</v>
      </c>
      <c r="G3872">
        <v>202604</v>
      </c>
      <c r="H3872" t="s">
        <v>75</v>
      </c>
      <c r="I3872" t="s">
        <v>76</v>
      </c>
      <c r="J3872" t="s">
        <v>77</v>
      </c>
      <c r="K3872" t="s">
        <v>78</v>
      </c>
      <c r="L3872" t="s">
        <v>79</v>
      </c>
      <c r="M3872" t="s">
        <v>80</v>
      </c>
      <c r="N3872" t="s">
        <v>1996</v>
      </c>
      <c r="O3872" t="s">
        <v>82</v>
      </c>
      <c r="P3872" t="str">
        <f>"4170051048                    "</f>
        <v xml:space="preserve">4170051048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22.6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71.2</v>
      </c>
      <c r="BM3872">
        <v>10.68</v>
      </c>
      <c r="BN3872">
        <v>81.88</v>
      </c>
      <c r="BO3872">
        <v>81.88</v>
      </c>
      <c r="BQ3872" t="s">
        <v>1997</v>
      </c>
      <c r="BR3872" t="s">
        <v>84</v>
      </c>
      <c r="BS3872" s="3">
        <v>45863</v>
      </c>
      <c r="BT3872" s="4">
        <v>0.40972222222222221</v>
      </c>
      <c r="BU3872" t="s">
        <v>3525</v>
      </c>
      <c r="BV3872" t="s">
        <v>98</v>
      </c>
      <c r="BY3872">
        <v>1200</v>
      </c>
      <c r="CA3872" t="s">
        <v>658</v>
      </c>
      <c r="CC3872" t="s">
        <v>80</v>
      </c>
      <c r="CD3872">
        <v>7405</v>
      </c>
      <c r="CE3872" t="s">
        <v>121</v>
      </c>
      <c r="CF3872" s="3">
        <v>45866</v>
      </c>
      <c r="CI3872">
        <v>1</v>
      </c>
      <c r="CJ3872">
        <v>1</v>
      </c>
      <c r="CK3872">
        <v>21</v>
      </c>
      <c r="CL3872" t="s">
        <v>86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"080066776959"</f>
        <v>080066776959</v>
      </c>
      <c r="F3873" s="3">
        <v>45862</v>
      </c>
      <c r="G3873">
        <v>202604</v>
      </c>
      <c r="H3873" t="s">
        <v>75</v>
      </c>
      <c r="I3873" t="s">
        <v>76</v>
      </c>
      <c r="J3873" t="s">
        <v>77</v>
      </c>
      <c r="K3873" t="s">
        <v>78</v>
      </c>
      <c r="L3873" t="s">
        <v>79</v>
      </c>
      <c r="M3873" t="s">
        <v>80</v>
      </c>
      <c r="N3873" t="s">
        <v>3529</v>
      </c>
      <c r="O3873" t="s">
        <v>82</v>
      </c>
      <c r="P3873" t="str">
        <f>"4170051041                    "</f>
        <v xml:space="preserve">4170051041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22.6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71.2</v>
      </c>
      <c r="BM3873">
        <v>10.68</v>
      </c>
      <c r="BN3873">
        <v>81.88</v>
      </c>
      <c r="BO3873">
        <v>81.88</v>
      </c>
      <c r="BQ3873" t="s">
        <v>3530</v>
      </c>
      <c r="BR3873" t="s">
        <v>84</v>
      </c>
      <c r="BS3873" s="3">
        <v>45863</v>
      </c>
      <c r="BT3873" s="4">
        <v>0.37013888888888891</v>
      </c>
      <c r="BU3873" t="s">
        <v>3410</v>
      </c>
      <c r="BV3873" t="s">
        <v>98</v>
      </c>
      <c r="BY3873">
        <v>1200</v>
      </c>
      <c r="CA3873" t="s">
        <v>289</v>
      </c>
      <c r="CC3873" t="s">
        <v>80</v>
      </c>
      <c r="CD3873">
        <v>7560</v>
      </c>
      <c r="CE3873" t="s">
        <v>121</v>
      </c>
      <c r="CF3873" s="3">
        <v>45866</v>
      </c>
      <c r="CI3873">
        <v>1</v>
      </c>
      <c r="CJ3873">
        <v>1</v>
      </c>
      <c r="CK3873">
        <v>21</v>
      </c>
      <c r="CL3873" t="s">
        <v>86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"080066777028"</f>
        <v>080066777028</v>
      </c>
      <c r="F3874" s="3">
        <v>45862</v>
      </c>
      <c r="G3874">
        <v>202604</v>
      </c>
      <c r="H3874" t="s">
        <v>75</v>
      </c>
      <c r="I3874" t="s">
        <v>76</v>
      </c>
      <c r="J3874" t="s">
        <v>77</v>
      </c>
      <c r="K3874" t="s">
        <v>78</v>
      </c>
      <c r="L3874" t="s">
        <v>79</v>
      </c>
      <c r="M3874" t="s">
        <v>80</v>
      </c>
      <c r="N3874" t="s">
        <v>698</v>
      </c>
      <c r="O3874" t="s">
        <v>95</v>
      </c>
      <c r="P3874" t="str">
        <f>"4170050967                    "</f>
        <v xml:space="preserve">4170050967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49.11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11</v>
      </c>
      <c r="BJ3874">
        <v>17.3</v>
      </c>
      <c r="BK3874">
        <v>18</v>
      </c>
      <c r="BL3874">
        <v>160.6</v>
      </c>
      <c r="BM3874">
        <v>24.09</v>
      </c>
      <c r="BN3874">
        <v>184.69</v>
      </c>
      <c r="BO3874">
        <v>184.69</v>
      </c>
      <c r="BQ3874" t="s">
        <v>699</v>
      </c>
      <c r="BR3874" t="s">
        <v>84</v>
      </c>
      <c r="BS3874" s="3">
        <v>45866</v>
      </c>
      <c r="BT3874" s="4">
        <v>0.35902777777777778</v>
      </c>
      <c r="BU3874" t="s">
        <v>558</v>
      </c>
      <c r="BV3874" t="s">
        <v>98</v>
      </c>
      <c r="BY3874">
        <v>86400</v>
      </c>
      <c r="CA3874" t="s">
        <v>289</v>
      </c>
      <c r="CC3874" t="s">
        <v>80</v>
      </c>
      <c r="CD3874">
        <v>7561</v>
      </c>
      <c r="CE3874" t="s">
        <v>145</v>
      </c>
      <c r="CF3874" s="3">
        <v>45867</v>
      </c>
      <c r="CI3874">
        <v>3</v>
      </c>
      <c r="CJ3874">
        <v>2</v>
      </c>
      <c r="CK3874">
        <v>41</v>
      </c>
      <c r="CL3874" t="s">
        <v>86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"080066776994"</f>
        <v>080066776994</v>
      </c>
      <c r="F3875" s="3">
        <v>45862</v>
      </c>
      <c r="G3875">
        <v>202604</v>
      </c>
      <c r="H3875" t="s">
        <v>75</v>
      </c>
      <c r="I3875" t="s">
        <v>76</v>
      </c>
      <c r="J3875" t="s">
        <v>77</v>
      </c>
      <c r="K3875" t="s">
        <v>78</v>
      </c>
      <c r="L3875" t="s">
        <v>305</v>
      </c>
      <c r="M3875" t="s">
        <v>306</v>
      </c>
      <c r="N3875" t="s">
        <v>1320</v>
      </c>
      <c r="O3875" t="s">
        <v>82</v>
      </c>
      <c r="P3875" t="str">
        <f>"4170051075                    "</f>
        <v xml:space="preserve">4170051075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22.6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71.2</v>
      </c>
      <c r="BM3875">
        <v>10.68</v>
      </c>
      <c r="BN3875">
        <v>81.88</v>
      </c>
      <c r="BO3875">
        <v>81.88</v>
      </c>
      <c r="BQ3875" t="s">
        <v>308</v>
      </c>
      <c r="BR3875" t="s">
        <v>84</v>
      </c>
      <c r="BS3875" s="3">
        <v>45863</v>
      </c>
      <c r="BT3875" s="4">
        <v>0.4375</v>
      </c>
      <c r="BU3875" t="s">
        <v>338</v>
      </c>
      <c r="BV3875" t="s">
        <v>98</v>
      </c>
      <c r="BY3875">
        <v>1200</v>
      </c>
      <c r="CA3875" t="s">
        <v>310</v>
      </c>
      <c r="CC3875" t="s">
        <v>306</v>
      </c>
      <c r="CD3875">
        <v>5200</v>
      </c>
      <c r="CE3875" t="s">
        <v>121</v>
      </c>
      <c r="CF3875" s="3">
        <v>45863</v>
      </c>
      <c r="CI3875">
        <v>1</v>
      </c>
      <c r="CJ3875">
        <v>1</v>
      </c>
      <c r="CK3875">
        <v>21</v>
      </c>
      <c r="CL3875" t="s">
        <v>86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"080066777002"</f>
        <v>080066777002</v>
      </c>
      <c r="F3876" s="3">
        <v>45862</v>
      </c>
      <c r="G3876">
        <v>202604</v>
      </c>
      <c r="H3876" t="s">
        <v>75</v>
      </c>
      <c r="I3876" t="s">
        <v>76</v>
      </c>
      <c r="J3876" t="s">
        <v>77</v>
      </c>
      <c r="K3876" t="s">
        <v>78</v>
      </c>
      <c r="L3876" t="s">
        <v>406</v>
      </c>
      <c r="M3876" t="s">
        <v>407</v>
      </c>
      <c r="N3876" t="s">
        <v>1283</v>
      </c>
      <c r="O3876" t="s">
        <v>95</v>
      </c>
      <c r="P3876" t="str">
        <f>"4170050938                    "</f>
        <v xml:space="preserve">4170050938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67.930000000000007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17</v>
      </c>
      <c r="BJ3876">
        <v>16.899999999999999</v>
      </c>
      <c r="BK3876">
        <v>17</v>
      </c>
      <c r="BL3876">
        <v>219.89</v>
      </c>
      <c r="BM3876">
        <v>32.979999999999997</v>
      </c>
      <c r="BN3876">
        <v>252.87</v>
      </c>
      <c r="BO3876">
        <v>252.87</v>
      </c>
      <c r="BQ3876" t="s">
        <v>1284</v>
      </c>
      <c r="BR3876" t="s">
        <v>84</v>
      </c>
      <c r="BS3876" s="3">
        <v>45866</v>
      </c>
      <c r="BT3876" s="4">
        <v>0.49166666666666664</v>
      </c>
      <c r="BU3876" t="s">
        <v>3531</v>
      </c>
      <c r="BV3876" t="s">
        <v>86</v>
      </c>
      <c r="BY3876">
        <v>84700</v>
      </c>
      <c r="CA3876" t="s">
        <v>1286</v>
      </c>
      <c r="CC3876" t="s">
        <v>407</v>
      </c>
      <c r="CD3876">
        <v>4400</v>
      </c>
      <c r="CE3876" t="s">
        <v>2742</v>
      </c>
      <c r="CF3876" s="3">
        <v>45867</v>
      </c>
      <c r="CI3876">
        <v>1</v>
      </c>
      <c r="CJ3876">
        <v>2</v>
      </c>
      <c r="CK3876">
        <v>43</v>
      </c>
      <c r="CL3876" t="s">
        <v>86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"080066777003"</f>
        <v>080066777003</v>
      </c>
      <c r="F3877" s="3">
        <v>45862</v>
      </c>
      <c r="G3877">
        <v>202604</v>
      </c>
      <c r="H3877" t="s">
        <v>75</v>
      </c>
      <c r="I3877" t="s">
        <v>76</v>
      </c>
      <c r="J3877" t="s">
        <v>77</v>
      </c>
      <c r="K3877" t="s">
        <v>78</v>
      </c>
      <c r="L3877" t="s">
        <v>75</v>
      </c>
      <c r="M3877" t="s">
        <v>76</v>
      </c>
      <c r="N3877" t="s">
        <v>118</v>
      </c>
      <c r="O3877" t="s">
        <v>82</v>
      </c>
      <c r="P3877" t="str">
        <f>"4170051046                    "</f>
        <v xml:space="preserve">4170051046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17.649999999999999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55.61</v>
      </c>
      <c r="BM3877">
        <v>8.34</v>
      </c>
      <c r="BN3877">
        <v>63.95</v>
      </c>
      <c r="BO3877">
        <v>63.95</v>
      </c>
      <c r="BQ3877" t="s">
        <v>119</v>
      </c>
      <c r="BR3877" t="s">
        <v>84</v>
      </c>
      <c r="BS3877" s="3">
        <v>45863</v>
      </c>
      <c r="BT3877" s="4">
        <v>0.30555555555555558</v>
      </c>
      <c r="BU3877" t="s">
        <v>1363</v>
      </c>
      <c r="BV3877" t="s">
        <v>98</v>
      </c>
      <c r="BY3877">
        <v>1200</v>
      </c>
      <c r="CA3877" t="s">
        <v>213</v>
      </c>
      <c r="CC3877" t="s">
        <v>76</v>
      </c>
      <c r="CD3877">
        <v>1600</v>
      </c>
      <c r="CE3877" t="s">
        <v>121</v>
      </c>
      <c r="CF3877" s="3">
        <v>45863</v>
      </c>
      <c r="CI3877">
        <v>1</v>
      </c>
      <c r="CJ3877">
        <v>1</v>
      </c>
      <c r="CK3877">
        <v>22</v>
      </c>
      <c r="CL3877" t="s">
        <v>86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"080066777100"</f>
        <v>080066777100</v>
      </c>
      <c r="F3878" s="3">
        <v>45862</v>
      </c>
      <c r="G3878">
        <v>202604</v>
      </c>
      <c r="H3878" t="s">
        <v>75</v>
      </c>
      <c r="I3878" t="s">
        <v>76</v>
      </c>
      <c r="J3878" t="s">
        <v>77</v>
      </c>
      <c r="K3878" t="s">
        <v>78</v>
      </c>
      <c r="L3878" t="s">
        <v>151</v>
      </c>
      <c r="M3878" t="s">
        <v>152</v>
      </c>
      <c r="N3878" t="s">
        <v>510</v>
      </c>
      <c r="O3878" t="s">
        <v>95</v>
      </c>
      <c r="P3878" t="str">
        <f>"4170051122                    "</f>
        <v xml:space="preserve">4170051122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43.7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7</v>
      </c>
      <c r="BJ3878">
        <v>3.6</v>
      </c>
      <c r="BK3878">
        <v>7</v>
      </c>
      <c r="BL3878">
        <v>143.55000000000001</v>
      </c>
      <c r="BM3878">
        <v>21.53</v>
      </c>
      <c r="BN3878">
        <v>165.08</v>
      </c>
      <c r="BO3878">
        <v>165.08</v>
      </c>
      <c r="BQ3878" t="s">
        <v>511</v>
      </c>
      <c r="BR3878" t="s">
        <v>84</v>
      </c>
      <c r="BS3878" s="3">
        <v>45863</v>
      </c>
      <c r="BT3878" s="4">
        <v>0.375</v>
      </c>
      <c r="BU3878" t="s">
        <v>3532</v>
      </c>
      <c r="BV3878" t="s">
        <v>98</v>
      </c>
      <c r="BY3878">
        <v>18050</v>
      </c>
      <c r="CA3878" t="s">
        <v>513</v>
      </c>
      <c r="CC3878" t="s">
        <v>152</v>
      </c>
      <c r="CD3878" s="5" t="s">
        <v>389</v>
      </c>
      <c r="CE3878" t="s">
        <v>145</v>
      </c>
      <c r="CF3878" s="3">
        <v>45863</v>
      </c>
      <c r="CI3878">
        <v>1</v>
      </c>
      <c r="CJ3878">
        <v>1</v>
      </c>
      <c r="CK3878">
        <v>41</v>
      </c>
      <c r="CL3878" t="s">
        <v>86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"080066777134"</f>
        <v>080066777134</v>
      </c>
      <c r="F3879" s="3">
        <v>45862</v>
      </c>
      <c r="G3879">
        <v>202604</v>
      </c>
      <c r="H3879" t="s">
        <v>75</v>
      </c>
      <c r="I3879" t="s">
        <v>76</v>
      </c>
      <c r="J3879" t="s">
        <v>77</v>
      </c>
      <c r="K3879" t="s">
        <v>78</v>
      </c>
      <c r="L3879" t="s">
        <v>102</v>
      </c>
      <c r="M3879" t="s">
        <v>103</v>
      </c>
      <c r="N3879" t="s">
        <v>104</v>
      </c>
      <c r="O3879" t="s">
        <v>82</v>
      </c>
      <c r="P3879" t="str">
        <f>"4170051021                    "</f>
        <v xml:space="preserve">4170051021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31.78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100.13</v>
      </c>
      <c r="BM3879">
        <v>15.02</v>
      </c>
      <c r="BN3879">
        <v>115.15</v>
      </c>
      <c r="BO3879">
        <v>115.15</v>
      </c>
      <c r="BQ3879" t="s">
        <v>833</v>
      </c>
      <c r="BR3879" t="s">
        <v>84</v>
      </c>
      <c r="BS3879" s="3">
        <v>45863</v>
      </c>
      <c r="BT3879" s="4">
        <v>0.39861111111111114</v>
      </c>
      <c r="BU3879" t="s">
        <v>3533</v>
      </c>
      <c r="BV3879" t="s">
        <v>98</v>
      </c>
      <c r="BY3879">
        <v>1200</v>
      </c>
      <c r="CA3879" t="s">
        <v>109</v>
      </c>
      <c r="CC3879" t="s">
        <v>103</v>
      </c>
      <c r="CD3879">
        <v>1748</v>
      </c>
      <c r="CE3879" t="s">
        <v>121</v>
      </c>
      <c r="CF3879" s="3">
        <v>45863</v>
      </c>
      <c r="CI3879">
        <v>1</v>
      </c>
      <c r="CJ3879">
        <v>1</v>
      </c>
      <c r="CK3879">
        <v>24</v>
      </c>
      <c r="CL3879" t="s">
        <v>86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"080066777158"</f>
        <v>080066777158</v>
      </c>
      <c r="F3880" s="3">
        <v>45862</v>
      </c>
      <c r="G3880">
        <v>202604</v>
      </c>
      <c r="H3880" t="s">
        <v>75</v>
      </c>
      <c r="I3880" t="s">
        <v>76</v>
      </c>
      <c r="J3880" t="s">
        <v>77</v>
      </c>
      <c r="K3880" t="s">
        <v>78</v>
      </c>
      <c r="L3880" t="s">
        <v>234</v>
      </c>
      <c r="M3880" t="s">
        <v>235</v>
      </c>
      <c r="N3880" t="s">
        <v>3534</v>
      </c>
      <c r="O3880" t="s">
        <v>82</v>
      </c>
      <c r="P3880" t="str">
        <f>"4170051006                    "</f>
        <v xml:space="preserve">4170051006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17.649999999999999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55.61</v>
      </c>
      <c r="BM3880">
        <v>8.34</v>
      </c>
      <c r="BN3880">
        <v>63.95</v>
      </c>
      <c r="BO3880">
        <v>63.95</v>
      </c>
      <c r="BQ3880" t="s">
        <v>3535</v>
      </c>
      <c r="BR3880" t="s">
        <v>84</v>
      </c>
      <c r="BS3880" s="3">
        <v>45863</v>
      </c>
      <c r="BT3880" s="4">
        <v>0.40763888888888888</v>
      </c>
      <c r="BU3880" t="s">
        <v>3536</v>
      </c>
      <c r="BV3880" t="s">
        <v>98</v>
      </c>
      <c r="BY3880">
        <v>1200</v>
      </c>
      <c r="CA3880" t="s">
        <v>883</v>
      </c>
      <c r="CC3880" t="s">
        <v>235</v>
      </c>
      <c r="CD3880">
        <v>1682</v>
      </c>
      <c r="CE3880" t="s">
        <v>121</v>
      </c>
      <c r="CF3880" s="3">
        <v>45863</v>
      </c>
      <c r="CI3880">
        <v>1</v>
      </c>
      <c r="CJ3880">
        <v>1</v>
      </c>
      <c r="CK3880">
        <v>22</v>
      </c>
      <c r="CL3880" t="s">
        <v>86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"080066777173"</f>
        <v>080066777173</v>
      </c>
      <c r="F3881" s="3">
        <v>45862</v>
      </c>
      <c r="G3881">
        <v>202604</v>
      </c>
      <c r="H3881" t="s">
        <v>75</v>
      </c>
      <c r="I3881" t="s">
        <v>76</v>
      </c>
      <c r="J3881" t="s">
        <v>77</v>
      </c>
      <c r="K3881" t="s">
        <v>78</v>
      </c>
      <c r="L3881" t="s">
        <v>758</v>
      </c>
      <c r="M3881" t="s">
        <v>759</v>
      </c>
      <c r="N3881" t="s">
        <v>760</v>
      </c>
      <c r="O3881" t="s">
        <v>82</v>
      </c>
      <c r="P3881" t="str">
        <f>"4170051033                    "</f>
        <v xml:space="preserve">4170051033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43.78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137.94</v>
      </c>
      <c r="BM3881">
        <v>20.69</v>
      </c>
      <c r="BN3881">
        <v>158.63</v>
      </c>
      <c r="BO3881">
        <v>158.63</v>
      </c>
      <c r="BQ3881" t="s">
        <v>761</v>
      </c>
      <c r="BR3881" t="s">
        <v>84</v>
      </c>
      <c r="BS3881" s="3">
        <v>45863</v>
      </c>
      <c r="BT3881" s="4">
        <v>0.45</v>
      </c>
      <c r="BU3881" t="s">
        <v>2578</v>
      </c>
      <c r="BV3881" t="s">
        <v>98</v>
      </c>
      <c r="BY3881">
        <v>1200</v>
      </c>
      <c r="CA3881" t="s">
        <v>3015</v>
      </c>
      <c r="CC3881" t="s">
        <v>759</v>
      </c>
      <c r="CD3881">
        <v>2531</v>
      </c>
      <c r="CE3881" t="s">
        <v>121</v>
      </c>
      <c r="CF3881" s="3">
        <v>45866</v>
      </c>
      <c r="CI3881">
        <v>1</v>
      </c>
      <c r="CJ3881">
        <v>1</v>
      </c>
      <c r="CK3881">
        <v>23</v>
      </c>
      <c r="CL3881" t="s">
        <v>86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"080066777174"</f>
        <v>080066777174</v>
      </c>
      <c r="F3882" s="3">
        <v>45862</v>
      </c>
      <c r="G3882">
        <v>202604</v>
      </c>
      <c r="H3882" t="s">
        <v>75</v>
      </c>
      <c r="I3882" t="s">
        <v>76</v>
      </c>
      <c r="J3882" t="s">
        <v>77</v>
      </c>
      <c r="K3882" t="s">
        <v>78</v>
      </c>
      <c r="L3882" t="s">
        <v>135</v>
      </c>
      <c r="M3882" t="s">
        <v>136</v>
      </c>
      <c r="N3882" t="s">
        <v>482</v>
      </c>
      <c r="O3882" t="s">
        <v>82</v>
      </c>
      <c r="P3882" t="str">
        <f>"4170050964                    "</f>
        <v xml:space="preserve">4170050964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101.63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9</v>
      </c>
      <c r="BJ3882">
        <v>4.4000000000000004</v>
      </c>
      <c r="BK3882">
        <v>9</v>
      </c>
      <c r="BL3882">
        <v>320.19</v>
      </c>
      <c r="BM3882">
        <v>48.03</v>
      </c>
      <c r="BN3882">
        <v>368.22</v>
      </c>
      <c r="BO3882">
        <v>368.22</v>
      </c>
      <c r="BQ3882" t="s">
        <v>483</v>
      </c>
      <c r="BR3882" t="s">
        <v>84</v>
      </c>
      <c r="BS3882" s="3">
        <v>45866</v>
      </c>
      <c r="BT3882" s="4">
        <v>0.41666666666666669</v>
      </c>
      <c r="BU3882" t="s">
        <v>1061</v>
      </c>
      <c r="BV3882" t="s">
        <v>86</v>
      </c>
      <c r="BY3882">
        <v>21760</v>
      </c>
      <c r="CC3882" t="s">
        <v>136</v>
      </c>
      <c r="CD3882">
        <v>3201</v>
      </c>
      <c r="CE3882" t="s">
        <v>145</v>
      </c>
      <c r="CF3882" s="3">
        <v>45867</v>
      </c>
      <c r="CI3882">
        <v>1</v>
      </c>
      <c r="CJ3882">
        <v>2</v>
      </c>
      <c r="CK3882">
        <v>21</v>
      </c>
      <c r="CL3882" t="s">
        <v>86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"080066777187"</f>
        <v>080066777187</v>
      </c>
      <c r="F3883" s="3">
        <v>45862</v>
      </c>
      <c r="G3883">
        <v>202604</v>
      </c>
      <c r="H3883" t="s">
        <v>75</v>
      </c>
      <c r="I3883" t="s">
        <v>76</v>
      </c>
      <c r="J3883" t="s">
        <v>77</v>
      </c>
      <c r="K3883" t="s">
        <v>78</v>
      </c>
      <c r="L3883" t="s">
        <v>542</v>
      </c>
      <c r="M3883" t="s">
        <v>543</v>
      </c>
      <c r="N3883" t="s">
        <v>352</v>
      </c>
      <c r="O3883" t="s">
        <v>82</v>
      </c>
      <c r="P3883" t="str">
        <f>"4170051084                    "</f>
        <v xml:space="preserve">4170051084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17.649999999999999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55.61</v>
      </c>
      <c r="BM3883">
        <v>8.34</v>
      </c>
      <c r="BN3883">
        <v>63.95</v>
      </c>
      <c r="BO3883">
        <v>63.95</v>
      </c>
      <c r="BQ3883" t="s">
        <v>353</v>
      </c>
      <c r="BR3883" t="s">
        <v>84</v>
      </c>
      <c r="BS3883" s="3">
        <v>45863</v>
      </c>
      <c r="BT3883" s="4">
        <v>0.36805555555555558</v>
      </c>
      <c r="BU3883" t="s">
        <v>3340</v>
      </c>
      <c r="BV3883" t="s">
        <v>98</v>
      </c>
      <c r="BY3883">
        <v>1200</v>
      </c>
      <c r="CA3883" t="s">
        <v>748</v>
      </c>
      <c r="CC3883" t="s">
        <v>543</v>
      </c>
      <c r="CD3883">
        <v>1451</v>
      </c>
      <c r="CE3883" t="s">
        <v>121</v>
      </c>
      <c r="CF3883" s="3">
        <v>45863</v>
      </c>
      <c r="CI3883">
        <v>1</v>
      </c>
      <c r="CJ3883">
        <v>1</v>
      </c>
      <c r="CK3883">
        <v>22</v>
      </c>
      <c r="CL3883" t="s">
        <v>86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"080066777189"</f>
        <v>080066777189</v>
      </c>
      <c r="F3884" s="3">
        <v>45862</v>
      </c>
      <c r="G3884">
        <v>202604</v>
      </c>
      <c r="H3884" t="s">
        <v>75</v>
      </c>
      <c r="I3884" t="s">
        <v>76</v>
      </c>
      <c r="J3884" t="s">
        <v>77</v>
      </c>
      <c r="K3884" t="s">
        <v>78</v>
      </c>
      <c r="L3884" t="s">
        <v>122</v>
      </c>
      <c r="M3884" t="s">
        <v>123</v>
      </c>
      <c r="N3884" t="s">
        <v>184</v>
      </c>
      <c r="O3884" t="s">
        <v>95</v>
      </c>
      <c r="P3884" t="str">
        <f>"4170050962                    "</f>
        <v xml:space="preserve">4170050962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74.37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2</v>
      </c>
      <c r="BI3884">
        <v>32</v>
      </c>
      <c r="BJ3884">
        <v>18</v>
      </c>
      <c r="BK3884">
        <v>32</v>
      </c>
      <c r="BL3884">
        <v>240.18</v>
      </c>
      <c r="BM3884">
        <v>36.03</v>
      </c>
      <c r="BN3884">
        <v>276.20999999999998</v>
      </c>
      <c r="BO3884">
        <v>276.20999999999998</v>
      </c>
      <c r="BQ3884" t="s">
        <v>185</v>
      </c>
      <c r="BR3884" t="s">
        <v>84</v>
      </c>
      <c r="BS3884" s="3">
        <v>45863</v>
      </c>
      <c r="BT3884" s="4">
        <v>0.40277777777777779</v>
      </c>
      <c r="BU3884" t="s">
        <v>186</v>
      </c>
      <c r="BV3884" t="s">
        <v>98</v>
      </c>
      <c r="BY3884">
        <v>44928</v>
      </c>
      <c r="CA3884" t="s">
        <v>187</v>
      </c>
      <c r="CC3884" t="s">
        <v>123</v>
      </c>
      <c r="CD3884">
        <v>3610</v>
      </c>
      <c r="CE3884" t="s">
        <v>2802</v>
      </c>
      <c r="CF3884" s="3">
        <v>45864</v>
      </c>
      <c r="CI3884">
        <v>1</v>
      </c>
      <c r="CJ3884">
        <v>1</v>
      </c>
      <c r="CK3884">
        <v>41</v>
      </c>
      <c r="CL3884" t="s">
        <v>86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"080066777199"</f>
        <v>080066777199</v>
      </c>
      <c r="F3885" s="3">
        <v>45862</v>
      </c>
      <c r="G3885">
        <v>202604</v>
      </c>
      <c r="H3885" t="s">
        <v>75</v>
      </c>
      <c r="I3885" t="s">
        <v>76</v>
      </c>
      <c r="J3885" t="s">
        <v>77</v>
      </c>
      <c r="K3885" t="s">
        <v>78</v>
      </c>
      <c r="L3885" t="s">
        <v>168</v>
      </c>
      <c r="M3885" t="s">
        <v>169</v>
      </c>
      <c r="N3885" t="s">
        <v>206</v>
      </c>
      <c r="O3885" t="s">
        <v>82</v>
      </c>
      <c r="P3885" t="str">
        <f>"4170051002                    "</f>
        <v xml:space="preserve">4170051002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22.6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71.2</v>
      </c>
      <c r="BM3885">
        <v>10.68</v>
      </c>
      <c r="BN3885">
        <v>81.88</v>
      </c>
      <c r="BO3885">
        <v>81.88</v>
      </c>
      <c r="BQ3885" t="s">
        <v>207</v>
      </c>
      <c r="BR3885" t="s">
        <v>84</v>
      </c>
      <c r="BS3885" s="3">
        <v>45863</v>
      </c>
      <c r="BT3885" s="4">
        <v>0.41041666666666665</v>
      </c>
      <c r="BU3885" t="s">
        <v>2957</v>
      </c>
      <c r="BV3885" t="s">
        <v>98</v>
      </c>
      <c r="BY3885">
        <v>1200</v>
      </c>
      <c r="CA3885" t="s">
        <v>196</v>
      </c>
      <c r="CC3885" t="s">
        <v>169</v>
      </c>
      <c r="CD3885">
        <v>6001</v>
      </c>
      <c r="CE3885" t="s">
        <v>121</v>
      </c>
      <c r="CF3885" s="3">
        <v>45863</v>
      </c>
      <c r="CI3885">
        <v>1</v>
      </c>
      <c r="CJ3885">
        <v>1</v>
      </c>
      <c r="CK3885">
        <v>21</v>
      </c>
      <c r="CL3885" t="s">
        <v>86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"080066777216"</f>
        <v>080066777216</v>
      </c>
      <c r="F3886" s="3">
        <v>45862</v>
      </c>
      <c r="G3886">
        <v>202604</v>
      </c>
      <c r="H3886" t="s">
        <v>75</v>
      </c>
      <c r="I3886" t="s">
        <v>76</v>
      </c>
      <c r="J3886" t="s">
        <v>77</v>
      </c>
      <c r="K3886" t="s">
        <v>78</v>
      </c>
      <c r="L3886" t="s">
        <v>554</v>
      </c>
      <c r="M3886" t="s">
        <v>555</v>
      </c>
      <c r="N3886" t="s">
        <v>2163</v>
      </c>
      <c r="O3886" t="s">
        <v>82</v>
      </c>
      <c r="P3886" t="str">
        <f>"4170051124                    "</f>
        <v xml:space="preserve">4170051124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22.6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71.2</v>
      </c>
      <c r="BM3886">
        <v>10.68</v>
      </c>
      <c r="BN3886">
        <v>81.88</v>
      </c>
      <c r="BO3886">
        <v>81.88</v>
      </c>
      <c r="BQ3886" t="s">
        <v>2164</v>
      </c>
      <c r="BR3886" t="s">
        <v>84</v>
      </c>
      <c r="BS3886" s="3">
        <v>45863</v>
      </c>
      <c r="BT3886" s="4">
        <v>0.62569444444444444</v>
      </c>
      <c r="BU3886" t="s">
        <v>3537</v>
      </c>
      <c r="BV3886" t="s">
        <v>98</v>
      </c>
      <c r="BY3886">
        <v>1200</v>
      </c>
      <c r="CA3886" t="s">
        <v>2332</v>
      </c>
      <c r="CC3886" t="s">
        <v>555</v>
      </c>
      <c r="CD3886" s="5" t="s">
        <v>560</v>
      </c>
      <c r="CE3886" t="s">
        <v>121</v>
      </c>
      <c r="CF3886" s="3">
        <v>45863</v>
      </c>
      <c r="CI3886">
        <v>1</v>
      </c>
      <c r="CJ3886">
        <v>1</v>
      </c>
      <c r="CK3886">
        <v>21</v>
      </c>
      <c r="CL3886" t="s">
        <v>86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"080066777218"</f>
        <v>080066777218</v>
      </c>
      <c r="F3887" s="3">
        <v>45862</v>
      </c>
      <c r="G3887">
        <v>202604</v>
      </c>
      <c r="H3887" t="s">
        <v>75</v>
      </c>
      <c r="I3887" t="s">
        <v>76</v>
      </c>
      <c r="J3887" t="s">
        <v>77</v>
      </c>
      <c r="K3887" t="s">
        <v>78</v>
      </c>
      <c r="L3887" t="s">
        <v>79</v>
      </c>
      <c r="M3887" t="s">
        <v>80</v>
      </c>
      <c r="N3887" t="s">
        <v>1414</v>
      </c>
      <c r="O3887" t="s">
        <v>82</v>
      </c>
      <c r="P3887" t="str">
        <f>"4170050970                    "</f>
        <v xml:space="preserve">4170050970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67.760000000000005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2</v>
      </c>
      <c r="BI3887">
        <v>4</v>
      </c>
      <c r="BJ3887">
        <v>5.6</v>
      </c>
      <c r="BK3887">
        <v>6</v>
      </c>
      <c r="BL3887">
        <v>213.48</v>
      </c>
      <c r="BM3887">
        <v>32.020000000000003</v>
      </c>
      <c r="BN3887">
        <v>245.5</v>
      </c>
      <c r="BO3887">
        <v>245.5</v>
      </c>
      <c r="BQ3887" t="s">
        <v>1415</v>
      </c>
      <c r="BR3887" t="s">
        <v>84</v>
      </c>
      <c r="BS3887" s="3">
        <v>45863</v>
      </c>
      <c r="BT3887" s="4">
        <v>0.48888888888888887</v>
      </c>
      <c r="BU3887" t="s">
        <v>3538</v>
      </c>
      <c r="BV3887" t="s">
        <v>86</v>
      </c>
      <c r="BY3887">
        <v>27940</v>
      </c>
      <c r="CC3887" t="s">
        <v>80</v>
      </c>
      <c r="CD3887">
        <v>7460</v>
      </c>
      <c r="CE3887" t="s">
        <v>145</v>
      </c>
      <c r="CF3887" s="3">
        <v>45866</v>
      </c>
      <c r="CI3887">
        <v>1</v>
      </c>
      <c r="CJ3887">
        <v>1</v>
      </c>
      <c r="CK3887">
        <v>21</v>
      </c>
      <c r="CL3887" t="s">
        <v>86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"080066777229"</f>
        <v>080066777229</v>
      </c>
      <c r="F3888" s="3">
        <v>45862</v>
      </c>
      <c r="G3888">
        <v>202604</v>
      </c>
      <c r="H3888" t="s">
        <v>75</v>
      </c>
      <c r="I3888" t="s">
        <v>76</v>
      </c>
      <c r="J3888" t="s">
        <v>77</v>
      </c>
      <c r="K3888" t="s">
        <v>78</v>
      </c>
      <c r="L3888" t="s">
        <v>135</v>
      </c>
      <c r="M3888" t="s">
        <v>136</v>
      </c>
      <c r="N3888" t="s">
        <v>482</v>
      </c>
      <c r="O3888" t="s">
        <v>82</v>
      </c>
      <c r="P3888" t="str">
        <f>"4170050986                    "</f>
        <v xml:space="preserve">4170050986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22.6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71.2</v>
      </c>
      <c r="BM3888">
        <v>10.68</v>
      </c>
      <c r="BN3888">
        <v>81.88</v>
      </c>
      <c r="BO3888">
        <v>81.88</v>
      </c>
      <c r="BQ3888" t="s">
        <v>483</v>
      </c>
      <c r="BR3888" t="s">
        <v>84</v>
      </c>
      <c r="BS3888" s="3">
        <v>45866</v>
      </c>
      <c r="BT3888" s="4">
        <v>0.41666666666666669</v>
      </c>
      <c r="BU3888" t="s">
        <v>1061</v>
      </c>
      <c r="BV3888" t="s">
        <v>86</v>
      </c>
      <c r="BY3888">
        <v>1200</v>
      </c>
      <c r="CC3888" t="s">
        <v>136</v>
      </c>
      <c r="CD3888">
        <v>3201</v>
      </c>
      <c r="CE3888" t="s">
        <v>121</v>
      </c>
      <c r="CF3888" s="3">
        <v>45867</v>
      </c>
      <c r="CI3888">
        <v>1</v>
      </c>
      <c r="CJ3888">
        <v>2</v>
      </c>
      <c r="CK3888">
        <v>21</v>
      </c>
      <c r="CL3888" t="s">
        <v>86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"080066777234"</f>
        <v>080066777234</v>
      </c>
      <c r="F3889" s="3">
        <v>45862</v>
      </c>
      <c r="G3889">
        <v>202604</v>
      </c>
      <c r="H3889" t="s">
        <v>75</v>
      </c>
      <c r="I3889" t="s">
        <v>76</v>
      </c>
      <c r="J3889" t="s">
        <v>77</v>
      </c>
      <c r="K3889" t="s">
        <v>78</v>
      </c>
      <c r="L3889" t="s">
        <v>79</v>
      </c>
      <c r="M3889" t="s">
        <v>80</v>
      </c>
      <c r="N3889" t="s">
        <v>1101</v>
      </c>
      <c r="O3889" t="s">
        <v>82</v>
      </c>
      <c r="P3889" t="str">
        <f>"4170051028                    "</f>
        <v xml:space="preserve">4170051028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101.63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5</v>
      </c>
      <c r="BJ3889">
        <v>8.9</v>
      </c>
      <c r="BK3889">
        <v>9</v>
      </c>
      <c r="BL3889">
        <v>320.19</v>
      </c>
      <c r="BM3889">
        <v>48.03</v>
      </c>
      <c r="BN3889">
        <v>368.22</v>
      </c>
      <c r="BO3889">
        <v>368.22</v>
      </c>
      <c r="BQ3889" t="s">
        <v>1102</v>
      </c>
      <c r="BR3889" t="s">
        <v>84</v>
      </c>
      <c r="BS3889" s="3">
        <v>45863</v>
      </c>
      <c r="BT3889" s="4">
        <v>0.3298611111111111</v>
      </c>
      <c r="BU3889" t="s">
        <v>3404</v>
      </c>
      <c r="BV3889" t="s">
        <v>98</v>
      </c>
      <c r="BY3889">
        <v>44640</v>
      </c>
      <c r="CA3889" t="s">
        <v>289</v>
      </c>
      <c r="CC3889" t="s">
        <v>80</v>
      </c>
      <c r="CD3889">
        <v>7530</v>
      </c>
      <c r="CE3889" t="s">
        <v>145</v>
      </c>
      <c r="CF3889" s="3">
        <v>45866</v>
      </c>
      <c r="CI3889">
        <v>1</v>
      </c>
      <c r="CJ3889">
        <v>1</v>
      </c>
      <c r="CK3889">
        <v>21</v>
      </c>
      <c r="CL3889" t="s">
        <v>86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"080066777247"</f>
        <v>080066777247</v>
      </c>
      <c r="F3890" s="3">
        <v>45862</v>
      </c>
      <c r="G3890">
        <v>202604</v>
      </c>
      <c r="H3890" t="s">
        <v>75</v>
      </c>
      <c r="I3890" t="s">
        <v>76</v>
      </c>
      <c r="J3890" t="s">
        <v>77</v>
      </c>
      <c r="K3890" t="s">
        <v>78</v>
      </c>
      <c r="L3890" t="s">
        <v>390</v>
      </c>
      <c r="M3890" t="s">
        <v>391</v>
      </c>
      <c r="N3890" t="s">
        <v>3490</v>
      </c>
      <c r="O3890" t="s">
        <v>82</v>
      </c>
      <c r="P3890" t="str">
        <f>"4170051076                    "</f>
        <v xml:space="preserve">4170051076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17.649999999999999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55.61</v>
      </c>
      <c r="BM3890">
        <v>8.34</v>
      </c>
      <c r="BN3890">
        <v>63.95</v>
      </c>
      <c r="BO3890">
        <v>63.95</v>
      </c>
      <c r="BQ3890" t="s">
        <v>3491</v>
      </c>
      <c r="BR3890" t="s">
        <v>84</v>
      </c>
      <c r="BS3890" s="3">
        <v>45863</v>
      </c>
      <c r="BT3890" s="4">
        <v>0.34027777777777779</v>
      </c>
      <c r="BU3890" t="s">
        <v>2195</v>
      </c>
      <c r="BV3890" t="s">
        <v>98</v>
      </c>
      <c r="BY3890">
        <v>1200</v>
      </c>
      <c r="CA3890" t="s">
        <v>1943</v>
      </c>
      <c r="CC3890" t="s">
        <v>391</v>
      </c>
      <c r="CD3890">
        <v>1724</v>
      </c>
      <c r="CE3890" t="s">
        <v>121</v>
      </c>
      <c r="CF3890" s="3">
        <v>45863</v>
      </c>
      <c r="CI3890">
        <v>1</v>
      </c>
      <c r="CJ3890">
        <v>1</v>
      </c>
      <c r="CK3890">
        <v>22</v>
      </c>
      <c r="CL3890" t="s">
        <v>86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"080066777251"</f>
        <v>080066777251</v>
      </c>
      <c r="F3891" s="3">
        <v>45862</v>
      </c>
      <c r="G3891">
        <v>202604</v>
      </c>
      <c r="H3891" t="s">
        <v>75</v>
      </c>
      <c r="I3891" t="s">
        <v>76</v>
      </c>
      <c r="J3891" t="s">
        <v>77</v>
      </c>
      <c r="K3891" t="s">
        <v>78</v>
      </c>
      <c r="L3891" t="s">
        <v>305</v>
      </c>
      <c r="M3891" t="s">
        <v>306</v>
      </c>
      <c r="N3891" t="s">
        <v>640</v>
      </c>
      <c r="O3891" t="s">
        <v>82</v>
      </c>
      <c r="P3891" t="str">
        <f>"4170051020                    "</f>
        <v xml:space="preserve">4170051020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67.760000000000005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6</v>
      </c>
      <c r="BJ3891">
        <v>3.4</v>
      </c>
      <c r="BK3891">
        <v>6</v>
      </c>
      <c r="BL3891">
        <v>213.48</v>
      </c>
      <c r="BM3891">
        <v>32.020000000000003</v>
      </c>
      <c r="BN3891">
        <v>245.5</v>
      </c>
      <c r="BO3891">
        <v>245.5</v>
      </c>
      <c r="BQ3891" t="s">
        <v>641</v>
      </c>
      <c r="BR3891" t="s">
        <v>84</v>
      </c>
      <c r="BS3891" s="3">
        <v>45863</v>
      </c>
      <c r="BT3891" s="4">
        <v>0.47916666666666669</v>
      </c>
      <c r="BU3891" t="s">
        <v>2984</v>
      </c>
      <c r="BV3891" t="s">
        <v>86</v>
      </c>
      <c r="BY3891">
        <v>16965</v>
      </c>
      <c r="CA3891" t="s">
        <v>310</v>
      </c>
      <c r="CC3891" t="s">
        <v>306</v>
      </c>
      <c r="CD3891">
        <v>5201</v>
      </c>
      <c r="CE3891" t="s">
        <v>145</v>
      </c>
      <c r="CF3891" s="3">
        <v>45863</v>
      </c>
      <c r="CI3891">
        <v>1</v>
      </c>
      <c r="CJ3891">
        <v>1</v>
      </c>
      <c r="CK3891">
        <v>21</v>
      </c>
      <c r="CL3891" t="s">
        <v>86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"080066777262"</f>
        <v>080066777262</v>
      </c>
      <c r="F3892" s="3">
        <v>45862</v>
      </c>
      <c r="G3892">
        <v>202604</v>
      </c>
      <c r="H3892" t="s">
        <v>75</v>
      </c>
      <c r="I3892" t="s">
        <v>76</v>
      </c>
      <c r="J3892" t="s">
        <v>77</v>
      </c>
      <c r="K3892" t="s">
        <v>78</v>
      </c>
      <c r="L3892" t="s">
        <v>151</v>
      </c>
      <c r="M3892" t="s">
        <v>152</v>
      </c>
      <c r="N3892" t="s">
        <v>515</v>
      </c>
      <c r="O3892" t="s">
        <v>82</v>
      </c>
      <c r="P3892" t="str">
        <f>"4170051085                    "</f>
        <v xml:space="preserve">4170051085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22.6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71.2</v>
      </c>
      <c r="BM3892">
        <v>10.68</v>
      </c>
      <c r="BN3892">
        <v>81.88</v>
      </c>
      <c r="BO3892">
        <v>81.88</v>
      </c>
      <c r="BQ3892" t="s">
        <v>516</v>
      </c>
      <c r="BR3892" t="s">
        <v>84</v>
      </c>
      <c r="BS3892" s="3">
        <v>45863</v>
      </c>
      <c r="BT3892" s="4">
        <v>0.43680555555555556</v>
      </c>
      <c r="BU3892" t="s">
        <v>2103</v>
      </c>
      <c r="BV3892" t="s">
        <v>98</v>
      </c>
      <c r="BY3892">
        <v>1200</v>
      </c>
      <c r="CC3892" t="s">
        <v>152</v>
      </c>
      <c r="CD3892" s="5" t="s">
        <v>157</v>
      </c>
      <c r="CE3892" t="s">
        <v>121</v>
      </c>
      <c r="CF3892" s="3">
        <v>45863</v>
      </c>
      <c r="CI3892">
        <v>1</v>
      </c>
      <c r="CJ3892">
        <v>1</v>
      </c>
      <c r="CK3892">
        <v>21</v>
      </c>
      <c r="CL3892" t="s">
        <v>86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"080066777279"</f>
        <v>080066777279</v>
      </c>
      <c r="F3893" s="3">
        <v>45862</v>
      </c>
      <c r="G3893">
        <v>202604</v>
      </c>
      <c r="H3893" t="s">
        <v>75</v>
      </c>
      <c r="I3893" t="s">
        <v>76</v>
      </c>
      <c r="J3893" t="s">
        <v>77</v>
      </c>
      <c r="K3893" t="s">
        <v>78</v>
      </c>
      <c r="L3893" t="s">
        <v>146</v>
      </c>
      <c r="M3893" t="s">
        <v>146</v>
      </c>
      <c r="N3893" t="s">
        <v>1134</v>
      </c>
      <c r="O3893" t="s">
        <v>82</v>
      </c>
      <c r="P3893" t="str">
        <f>"4170050917                    "</f>
        <v xml:space="preserve">4170050917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43.78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137.94</v>
      </c>
      <c r="BM3893">
        <v>20.69</v>
      </c>
      <c r="BN3893">
        <v>158.63</v>
      </c>
      <c r="BO3893">
        <v>158.63</v>
      </c>
      <c r="BQ3893" t="s">
        <v>1135</v>
      </c>
      <c r="BR3893" t="s">
        <v>84</v>
      </c>
      <c r="BS3893" s="3">
        <v>45863</v>
      </c>
      <c r="BT3893" s="4">
        <v>0.53749999999999998</v>
      </c>
      <c r="BU3893" t="s">
        <v>3539</v>
      </c>
      <c r="BV3893" t="s">
        <v>98</v>
      </c>
      <c r="BY3893">
        <v>1200</v>
      </c>
      <c r="CA3893" t="s">
        <v>150</v>
      </c>
      <c r="CC3893" t="s">
        <v>146</v>
      </c>
      <c r="CD3893">
        <v>7646</v>
      </c>
      <c r="CE3893" t="s">
        <v>121</v>
      </c>
      <c r="CF3893" s="3">
        <v>45866</v>
      </c>
      <c r="CI3893">
        <v>1</v>
      </c>
      <c r="CJ3893">
        <v>1</v>
      </c>
      <c r="CK3893">
        <v>23</v>
      </c>
      <c r="CL3893" t="s">
        <v>86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"080066777280"</f>
        <v>080066777280</v>
      </c>
      <c r="F3894" s="3">
        <v>45862</v>
      </c>
      <c r="G3894">
        <v>202604</v>
      </c>
      <c r="H3894" t="s">
        <v>75</v>
      </c>
      <c r="I3894" t="s">
        <v>76</v>
      </c>
      <c r="J3894" t="s">
        <v>77</v>
      </c>
      <c r="K3894" t="s">
        <v>78</v>
      </c>
      <c r="L3894" t="s">
        <v>295</v>
      </c>
      <c r="M3894" t="s">
        <v>296</v>
      </c>
      <c r="N3894" t="s">
        <v>962</v>
      </c>
      <c r="O3894" t="s">
        <v>311</v>
      </c>
      <c r="P3894" t="str">
        <f>"4170051045                    "</f>
        <v xml:space="preserve">4170051045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25.58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2</v>
      </c>
      <c r="BI3894">
        <v>12</v>
      </c>
      <c r="BJ3894">
        <v>5.7</v>
      </c>
      <c r="BK3894">
        <v>12</v>
      </c>
      <c r="BL3894">
        <v>80.59</v>
      </c>
      <c r="BM3894">
        <v>12.09</v>
      </c>
      <c r="BN3894">
        <v>92.68</v>
      </c>
      <c r="BO3894">
        <v>92.68</v>
      </c>
      <c r="BQ3894" t="s">
        <v>963</v>
      </c>
      <c r="BR3894" t="s">
        <v>84</v>
      </c>
      <c r="BS3894" s="3">
        <v>45863</v>
      </c>
      <c r="BT3894" s="4">
        <v>0.3659722222222222</v>
      </c>
      <c r="BU3894" t="s">
        <v>2211</v>
      </c>
      <c r="BV3894" t="s">
        <v>98</v>
      </c>
      <c r="BY3894">
        <v>28360</v>
      </c>
      <c r="CA3894" t="s">
        <v>529</v>
      </c>
      <c r="CC3894" t="s">
        <v>296</v>
      </c>
      <c r="CD3894">
        <v>1459</v>
      </c>
      <c r="CE3894" t="s">
        <v>145</v>
      </c>
      <c r="CF3894" s="3">
        <v>45863</v>
      </c>
      <c r="CI3894">
        <v>1</v>
      </c>
      <c r="CJ3894">
        <v>1</v>
      </c>
      <c r="CK3894">
        <v>32</v>
      </c>
      <c r="CL3894" t="s">
        <v>86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"080066777292"</f>
        <v>080066777292</v>
      </c>
      <c r="F3895" s="3">
        <v>45862</v>
      </c>
      <c r="G3895">
        <v>202604</v>
      </c>
      <c r="H3895" t="s">
        <v>75</v>
      </c>
      <c r="I3895" t="s">
        <v>76</v>
      </c>
      <c r="J3895" t="s">
        <v>77</v>
      </c>
      <c r="K3895" t="s">
        <v>78</v>
      </c>
      <c r="L3895" t="s">
        <v>168</v>
      </c>
      <c r="M3895" t="s">
        <v>169</v>
      </c>
      <c r="N3895" t="s">
        <v>3540</v>
      </c>
      <c r="O3895" t="s">
        <v>82</v>
      </c>
      <c r="P3895" t="str">
        <f>"4170051043                    "</f>
        <v xml:space="preserve">4170051043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22.6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71.2</v>
      </c>
      <c r="BM3895">
        <v>10.68</v>
      </c>
      <c r="BN3895">
        <v>81.88</v>
      </c>
      <c r="BO3895">
        <v>81.88</v>
      </c>
      <c r="BQ3895" t="s">
        <v>3541</v>
      </c>
      <c r="BR3895" t="s">
        <v>84</v>
      </c>
      <c r="BS3895" s="3">
        <v>45863</v>
      </c>
      <c r="BT3895" s="4">
        <v>0.43680555555555556</v>
      </c>
      <c r="BU3895" t="s">
        <v>3542</v>
      </c>
      <c r="BV3895" t="s">
        <v>98</v>
      </c>
      <c r="BY3895">
        <v>1200</v>
      </c>
      <c r="CA3895" t="s">
        <v>282</v>
      </c>
      <c r="CC3895" t="s">
        <v>169</v>
      </c>
      <c r="CD3895">
        <v>6001</v>
      </c>
      <c r="CE3895" t="s">
        <v>121</v>
      </c>
      <c r="CF3895" s="3">
        <v>45863</v>
      </c>
      <c r="CI3895">
        <v>1</v>
      </c>
      <c r="CJ3895">
        <v>1</v>
      </c>
      <c r="CK3895">
        <v>21</v>
      </c>
      <c r="CL3895" t="s">
        <v>86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"080066777299"</f>
        <v>080066777299</v>
      </c>
      <c r="F3896" s="3">
        <v>45862</v>
      </c>
      <c r="G3896">
        <v>202604</v>
      </c>
      <c r="H3896" t="s">
        <v>75</v>
      </c>
      <c r="I3896" t="s">
        <v>76</v>
      </c>
      <c r="J3896" t="s">
        <v>77</v>
      </c>
      <c r="K3896" t="s">
        <v>78</v>
      </c>
      <c r="L3896" t="s">
        <v>79</v>
      </c>
      <c r="M3896" t="s">
        <v>80</v>
      </c>
      <c r="N3896" t="s">
        <v>492</v>
      </c>
      <c r="O3896" t="s">
        <v>82</v>
      </c>
      <c r="P3896" t="str">
        <f>"4170051016                    "</f>
        <v xml:space="preserve">4170051016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22.6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0.6</v>
      </c>
      <c r="BK3896">
        <v>2</v>
      </c>
      <c r="BL3896">
        <v>71.2</v>
      </c>
      <c r="BM3896">
        <v>10.68</v>
      </c>
      <c r="BN3896">
        <v>81.88</v>
      </c>
      <c r="BO3896">
        <v>81.88</v>
      </c>
      <c r="BQ3896" t="s">
        <v>493</v>
      </c>
      <c r="BR3896" t="s">
        <v>84</v>
      </c>
      <c r="BS3896" s="3">
        <v>45863</v>
      </c>
      <c r="BT3896" s="4">
        <v>0.41666666666666669</v>
      </c>
      <c r="BU3896" t="s">
        <v>3523</v>
      </c>
      <c r="BV3896" t="s">
        <v>98</v>
      </c>
      <c r="BY3896">
        <v>3192</v>
      </c>
      <c r="CA3896" t="s">
        <v>495</v>
      </c>
      <c r="CC3896" t="s">
        <v>80</v>
      </c>
      <c r="CD3896">
        <v>7800</v>
      </c>
      <c r="CE3896" t="s">
        <v>145</v>
      </c>
      <c r="CF3896" s="3">
        <v>45866</v>
      </c>
      <c r="CI3896">
        <v>1</v>
      </c>
      <c r="CJ3896">
        <v>1</v>
      </c>
      <c r="CK3896">
        <v>21</v>
      </c>
      <c r="CL3896" t="s">
        <v>86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"080066777319"</f>
        <v>080066777319</v>
      </c>
      <c r="F3897" s="3">
        <v>45862</v>
      </c>
      <c r="G3897">
        <v>202604</v>
      </c>
      <c r="H3897" t="s">
        <v>75</v>
      </c>
      <c r="I3897" t="s">
        <v>76</v>
      </c>
      <c r="J3897" t="s">
        <v>77</v>
      </c>
      <c r="K3897" t="s">
        <v>78</v>
      </c>
      <c r="L3897" t="s">
        <v>168</v>
      </c>
      <c r="M3897" t="s">
        <v>169</v>
      </c>
      <c r="N3897" t="s">
        <v>726</v>
      </c>
      <c r="O3897" t="s">
        <v>82</v>
      </c>
      <c r="P3897" t="str">
        <f>"4170051083                    "</f>
        <v xml:space="preserve">4170051083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22.6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0.9</v>
      </c>
      <c r="BK3897">
        <v>1</v>
      </c>
      <c r="BL3897">
        <v>71.2</v>
      </c>
      <c r="BM3897">
        <v>10.68</v>
      </c>
      <c r="BN3897">
        <v>81.88</v>
      </c>
      <c r="BO3897">
        <v>81.88</v>
      </c>
      <c r="BQ3897" t="s">
        <v>727</v>
      </c>
      <c r="BR3897" t="s">
        <v>84</v>
      </c>
      <c r="BS3897" s="3">
        <v>45863</v>
      </c>
      <c r="BT3897" s="4">
        <v>0.41458333333333336</v>
      </c>
      <c r="BU3897" t="s">
        <v>3543</v>
      </c>
      <c r="BV3897" t="s">
        <v>98</v>
      </c>
      <c r="BY3897">
        <v>4275</v>
      </c>
      <c r="CA3897" t="s">
        <v>3373</v>
      </c>
      <c r="CC3897" t="s">
        <v>169</v>
      </c>
      <c r="CD3897">
        <v>6001</v>
      </c>
      <c r="CE3897" t="s">
        <v>259</v>
      </c>
      <c r="CF3897" s="3">
        <v>45863</v>
      </c>
      <c r="CI3897">
        <v>1</v>
      </c>
      <c r="CJ3897">
        <v>1</v>
      </c>
      <c r="CK3897">
        <v>21</v>
      </c>
      <c r="CL3897" t="s">
        <v>86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"080066777337"</f>
        <v>080066777337</v>
      </c>
      <c r="F3898" s="3">
        <v>45862</v>
      </c>
      <c r="G3898">
        <v>202604</v>
      </c>
      <c r="H3898" t="s">
        <v>75</v>
      </c>
      <c r="I3898" t="s">
        <v>76</v>
      </c>
      <c r="J3898" t="s">
        <v>77</v>
      </c>
      <c r="K3898" t="s">
        <v>78</v>
      </c>
      <c r="L3898" t="s">
        <v>168</v>
      </c>
      <c r="M3898" t="s">
        <v>169</v>
      </c>
      <c r="N3898" t="s">
        <v>1252</v>
      </c>
      <c r="O3898" t="s">
        <v>82</v>
      </c>
      <c r="P3898" t="str">
        <f>"4170051107                    "</f>
        <v xml:space="preserve">4170051107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28.24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2</v>
      </c>
      <c r="BJ3898">
        <v>2.1</v>
      </c>
      <c r="BK3898">
        <v>2.5</v>
      </c>
      <c r="BL3898">
        <v>88.98</v>
      </c>
      <c r="BM3898">
        <v>13.35</v>
      </c>
      <c r="BN3898">
        <v>102.33</v>
      </c>
      <c r="BO3898">
        <v>102.33</v>
      </c>
      <c r="BQ3898" t="s">
        <v>1545</v>
      </c>
      <c r="BR3898" t="s">
        <v>84</v>
      </c>
      <c r="BS3898" s="3">
        <v>45863</v>
      </c>
      <c r="BT3898" s="4">
        <v>0.43402777777777779</v>
      </c>
      <c r="BU3898" t="s">
        <v>635</v>
      </c>
      <c r="BV3898" t="s">
        <v>98</v>
      </c>
      <c r="BY3898">
        <v>10260</v>
      </c>
      <c r="CA3898" t="s">
        <v>423</v>
      </c>
      <c r="CC3898" t="s">
        <v>169</v>
      </c>
      <c r="CD3898">
        <v>6045</v>
      </c>
      <c r="CE3898" t="s">
        <v>145</v>
      </c>
      <c r="CF3898" s="3">
        <v>45863</v>
      </c>
      <c r="CI3898">
        <v>1</v>
      </c>
      <c r="CJ3898">
        <v>1</v>
      </c>
      <c r="CK3898">
        <v>21</v>
      </c>
      <c r="CL3898" t="s">
        <v>86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"080066777379"</f>
        <v>080066777379</v>
      </c>
      <c r="F3899" s="3">
        <v>45862</v>
      </c>
      <c r="G3899">
        <v>202604</v>
      </c>
      <c r="H3899" t="s">
        <v>75</v>
      </c>
      <c r="I3899" t="s">
        <v>76</v>
      </c>
      <c r="J3899" t="s">
        <v>77</v>
      </c>
      <c r="K3899" t="s">
        <v>78</v>
      </c>
      <c r="L3899" t="s">
        <v>75</v>
      </c>
      <c r="M3899" t="s">
        <v>76</v>
      </c>
      <c r="N3899" t="s">
        <v>562</v>
      </c>
      <c r="O3899" t="s">
        <v>82</v>
      </c>
      <c r="P3899" t="str">
        <f>"4170051104                    "</f>
        <v xml:space="preserve">4170051104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17.649999999999999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3</v>
      </c>
      <c r="BJ3899">
        <v>1.7</v>
      </c>
      <c r="BK3899">
        <v>3</v>
      </c>
      <c r="BL3899">
        <v>55.61</v>
      </c>
      <c r="BM3899">
        <v>8.34</v>
      </c>
      <c r="BN3899">
        <v>63.95</v>
      </c>
      <c r="BO3899">
        <v>63.95</v>
      </c>
      <c r="BQ3899" t="s">
        <v>563</v>
      </c>
      <c r="BR3899" t="s">
        <v>84</v>
      </c>
      <c r="BS3899" s="3">
        <v>45863</v>
      </c>
      <c r="BT3899" s="4">
        <v>0.40555555555555556</v>
      </c>
      <c r="BU3899" t="s">
        <v>2570</v>
      </c>
      <c r="BV3899" t="s">
        <v>98</v>
      </c>
      <c r="BY3899">
        <v>8512</v>
      </c>
      <c r="CA3899" t="s">
        <v>1613</v>
      </c>
      <c r="CC3899" t="s">
        <v>76</v>
      </c>
      <c r="CD3899">
        <v>1619</v>
      </c>
      <c r="CE3899" t="s">
        <v>145</v>
      </c>
      <c r="CF3899" s="3">
        <v>45864</v>
      </c>
      <c r="CI3899">
        <v>1</v>
      </c>
      <c r="CJ3899">
        <v>1</v>
      </c>
      <c r="CK3899">
        <v>22</v>
      </c>
      <c r="CL3899" t="s">
        <v>86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"080066777399"</f>
        <v>080066777399</v>
      </c>
      <c r="F3900" s="3">
        <v>45862</v>
      </c>
      <c r="G3900">
        <v>202604</v>
      </c>
      <c r="H3900" t="s">
        <v>75</v>
      </c>
      <c r="I3900" t="s">
        <v>76</v>
      </c>
      <c r="J3900" t="s">
        <v>77</v>
      </c>
      <c r="K3900" t="s">
        <v>78</v>
      </c>
      <c r="L3900" t="s">
        <v>75</v>
      </c>
      <c r="M3900" t="s">
        <v>76</v>
      </c>
      <c r="N3900" t="s">
        <v>118</v>
      </c>
      <c r="O3900" t="s">
        <v>82</v>
      </c>
      <c r="P3900" t="str">
        <f>"4170051010                    "</f>
        <v xml:space="preserve">4170051010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17.649999999999999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3.1</v>
      </c>
      <c r="BK3900">
        <v>4</v>
      </c>
      <c r="BL3900">
        <v>55.61</v>
      </c>
      <c r="BM3900">
        <v>8.34</v>
      </c>
      <c r="BN3900">
        <v>63.95</v>
      </c>
      <c r="BO3900">
        <v>63.95</v>
      </c>
      <c r="BQ3900" t="s">
        <v>119</v>
      </c>
      <c r="BR3900" t="s">
        <v>84</v>
      </c>
      <c r="BS3900" s="3">
        <v>45863</v>
      </c>
      <c r="BT3900" s="4">
        <v>0.35138888888888886</v>
      </c>
      <c r="BU3900" t="s">
        <v>1363</v>
      </c>
      <c r="BV3900" t="s">
        <v>98</v>
      </c>
      <c r="BY3900">
        <v>15360</v>
      </c>
      <c r="CA3900" t="s">
        <v>213</v>
      </c>
      <c r="CC3900" t="s">
        <v>76</v>
      </c>
      <c r="CD3900">
        <v>1600</v>
      </c>
      <c r="CE3900" t="s">
        <v>145</v>
      </c>
      <c r="CF3900" s="3">
        <v>45863</v>
      </c>
      <c r="CI3900">
        <v>1</v>
      </c>
      <c r="CJ3900">
        <v>1</v>
      </c>
      <c r="CK3900">
        <v>22</v>
      </c>
      <c r="CL3900" t="s">
        <v>86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"080066777435"</f>
        <v>080066777435</v>
      </c>
      <c r="F3901" s="3">
        <v>45862</v>
      </c>
      <c r="G3901">
        <v>202604</v>
      </c>
      <c r="H3901" t="s">
        <v>75</v>
      </c>
      <c r="I3901" t="s">
        <v>76</v>
      </c>
      <c r="J3901" t="s">
        <v>77</v>
      </c>
      <c r="K3901" t="s">
        <v>78</v>
      </c>
      <c r="L3901" t="s">
        <v>305</v>
      </c>
      <c r="M3901" t="s">
        <v>306</v>
      </c>
      <c r="N3901" t="s">
        <v>640</v>
      </c>
      <c r="O3901" t="s">
        <v>82</v>
      </c>
      <c r="P3901" t="str">
        <f>"4170050998                    "</f>
        <v xml:space="preserve">4170050998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39.53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3.1</v>
      </c>
      <c r="BK3901">
        <v>3.5</v>
      </c>
      <c r="BL3901">
        <v>124.55</v>
      </c>
      <c r="BM3901">
        <v>18.68</v>
      </c>
      <c r="BN3901">
        <v>143.22999999999999</v>
      </c>
      <c r="BO3901">
        <v>143.22999999999999</v>
      </c>
      <c r="BQ3901" t="s">
        <v>641</v>
      </c>
      <c r="BR3901" t="s">
        <v>84</v>
      </c>
      <c r="BS3901" s="3">
        <v>45863</v>
      </c>
      <c r="BT3901" s="4">
        <v>0.4861111111111111</v>
      </c>
      <c r="BU3901" t="s">
        <v>3544</v>
      </c>
      <c r="BV3901" t="s">
        <v>86</v>
      </c>
      <c r="BY3901">
        <v>15360</v>
      </c>
      <c r="CA3901" t="s">
        <v>310</v>
      </c>
      <c r="CC3901" t="s">
        <v>306</v>
      </c>
      <c r="CD3901">
        <v>5201</v>
      </c>
      <c r="CE3901" t="s">
        <v>145</v>
      </c>
      <c r="CF3901" s="3">
        <v>45863</v>
      </c>
      <c r="CI3901">
        <v>1</v>
      </c>
      <c r="CJ3901">
        <v>1</v>
      </c>
      <c r="CK3901">
        <v>21</v>
      </c>
      <c r="CL3901" t="s">
        <v>86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"080066777454"</f>
        <v>080066777454</v>
      </c>
      <c r="F3902" s="3">
        <v>45862</v>
      </c>
      <c r="G3902">
        <v>202604</v>
      </c>
      <c r="H3902" t="s">
        <v>75</v>
      </c>
      <c r="I3902" t="s">
        <v>76</v>
      </c>
      <c r="J3902" t="s">
        <v>77</v>
      </c>
      <c r="K3902" t="s">
        <v>78</v>
      </c>
      <c r="L3902" t="s">
        <v>79</v>
      </c>
      <c r="M3902" t="s">
        <v>80</v>
      </c>
      <c r="N3902" t="s">
        <v>286</v>
      </c>
      <c r="O3902" t="s">
        <v>82</v>
      </c>
      <c r="P3902" t="str">
        <f>"4170051023                    "</f>
        <v xml:space="preserve">4170051023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56.47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5</v>
      </c>
      <c r="BJ3902">
        <v>2.2999999999999998</v>
      </c>
      <c r="BK3902">
        <v>5</v>
      </c>
      <c r="BL3902">
        <v>177.91</v>
      </c>
      <c r="BM3902">
        <v>26.69</v>
      </c>
      <c r="BN3902">
        <v>204.6</v>
      </c>
      <c r="BO3902">
        <v>204.6</v>
      </c>
      <c r="BQ3902" t="s">
        <v>287</v>
      </c>
      <c r="BR3902" t="s">
        <v>84</v>
      </c>
      <c r="BS3902" s="3">
        <v>45863</v>
      </c>
      <c r="BT3902" s="4">
        <v>0.30972222222222223</v>
      </c>
      <c r="BU3902" t="s">
        <v>288</v>
      </c>
      <c r="BV3902" t="s">
        <v>98</v>
      </c>
      <c r="BY3902">
        <v>11368</v>
      </c>
      <c r="CA3902" t="s">
        <v>289</v>
      </c>
      <c r="CC3902" t="s">
        <v>80</v>
      </c>
      <c r="CD3902">
        <v>7530</v>
      </c>
      <c r="CE3902" t="s">
        <v>91</v>
      </c>
      <c r="CF3902" s="3">
        <v>45866</v>
      </c>
      <c r="CI3902">
        <v>1</v>
      </c>
      <c r="CJ3902">
        <v>1</v>
      </c>
      <c r="CK3902">
        <v>21</v>
      </c>
      <c r="CL3902" t="s">
        <v>86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"080066777482"</f>
        <v>080066777482</v>
      </c>
      <c r="F3903" s="3">
        <v>45862</v>
      </c>
      <c r="G3903">
        <v>202604</v>
      </c>
      <c r="H3903" t="s">
        <v>75</v>
      </c>
      <c r="I3903" t="s">
        <v>76</v>
      </c>
      <c r="J3903" t="s">
        <v>77</v>
      </c>
      <c r="K3903" t="s">
        <v>78</v>
      </c>
      <c r="L3903" t="s">
        <v>79</v>
      </c>
      <c r="M3903" t="s">
        <v>80</v>
      </c>
      <c r="N3903" t="s">
        <v>1816</v>
      </c>
      <c r="O3903" t="s">
        <v>82</v>
      </c>
      <c r="P3903" t="str">
        <f>"4170051014                    "</f>
        <v xml:space="preserve">4170051014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39.53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3</v>
      </c>
      <c r="BJ3903">
        <v>3.4</v>
      </c>
      <c r="BK3903">
        <v>3.5</v>
      </c>
      <c r="BL3903">
        <v>124.55</v>
      </c>
      <c r="BM3903">
        <v>18.68</v>
      </c>
      <c r="BN3903">
        <v>143.22999999999999</v>
      </c>
      <c r="BO3903">
        <v>143.22999999999999</v>
      </c>
      <c r="BQ3903" t="s">
        <v>1817</v>
      </c>
      <c r="BR3903" t="s">
        <v>84</v>
      </c>
      <c r="BS3903" s="3">
        <v>45868</v>
      </c>
      <c r="BT3903" s="4">
        <v>0.41666666666666669</v>
      </c>
      <c r="BU3903" t="s">
        <v>3545</v>
      </c>
      <c r="BV3903" t="s">
        <v>86</v>
      </c>
      <c r="BW3903" t="s">
        <v>87</v>
      </c>
      <c r="BX3903" t="s">
        <v>88</v>
      </c>
      <c r="BY3903">
        <v>16965</v>
      </c>
      <c r="CC3903" t="s">
        <v>80</v>
      </c>
      <c r="CD3903">
        <v>7550</v>
      </c>
      <c r="CE3903" t="s">
        <v>145</v>
      </c>
      <c r="CF3903" s="3">
        <v>45869</v>
      </c>
      <c r="CI3903">
        <v>1</v>
      </c>
      <c r="CJ3903">
        <v>4</v>
      </c>
      <c r="CK3903">
        <v>21</v>
      </c>
      <c r="CL3903" t="s">
        <v>86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"080066777513"</f>
        <v>080066777513</v>
      </c>
      <c r="F3904" s="3">
        <v>45862</v>
      </c>
      <c r="G3904">
        <v>202604</v>
      </c>
      <c r="H3904" t="s">
        <v>75</v>
      </c>
      <c r="I3904" t="s">
        <v>76</v>
      </c>
      <c r="J3904" t="s">
        <v>77</v>
      </c>
      <c r="K3904" t="s">
        <v>78</v>
      </c>
      <c r="L3904" t="s">
        <v>542</v>
      </c>
      <c r="M3904" t="s">
        <v>543</v>
      </c>
      <c r="N3904" t="s">
        <v>745</v>
      </c>
      <c r="O3904" t="s">
        <v>82</v>
      </c>
      <c r="P3904" t="str">
        <f>"4170050748                    "</f>
        <v xml:space="preserve">4170050748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17.649999999999999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55.61</v>
      </c>
      <c r="BM3904">
        <v>8.34</v>
      </c>
      <c r="BN3904">
        <v>63.95</v>
      </c>
      <c r="BO3904">
        <v>63.95</v>
      </c>
      <c r="BQ3904" t="s">
        <v>746</v>
      </c>
      <c r="BR3904" t="s">
        <v>84</v>
      </c>
      <c r="BS3904" s="3">
        <v>45863</v>
      </c>
      <c r="BT3904" s="4">
        <v>0.36805555555555558</v>
      </c>
      <c r="BU3904" t="s">
        <v>747</v>
      </c>
      <c r="BV3904" t="s">
        <v>98</v>
      </c>
      <c r="BY3904">
        <v>1200</v>
      </c>
      <c r="CA3904" t="s">
        <v>748</v>
      </c>
      <c r="CC3904" t="s">
        <v>543</v>
      </c>
      <c r="CD3904">
        <v>1451</v>
      </c>
      <c r="CE3904" t="s">
        <v>121</v>
      </c>
      <c r="CF3904" s="3">
        <v>45863</v>
      </c>
      <c r="CI3904">
        <v>1</v>
      </c>
      <c r="CJ3904">
        <v>1</v>
      </c>
      <c r="CK3904">
        <v>22</v>
      </c>
      <c r="CL3904" t="s">
        <v>86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"080066777529"</f>
        <v>080066777529</v>
      </c>
      <c r="F3905" s="3">
        <v>45862</v>
      </c>
      <c r="G3905">
        <v>202604</v>
      </c>
      <c r="H3905" t="s">
        <v>75</v>
      </c>
      <c r="I3905" t="s">
        <v>76</v>
      </c>
      <c r="J3905" t="s">
        <v>77</v>
      </c>
      <c r="K3905" t="s">
        <v>78</v>
      </c>
      <c r="L3905" t="s">
        <v>168</v>
      </c>
      <c r="M3905" t="s">
        <v>169</v>
      </c>
      <c r="N3905" t="s">
        <v>1192</v>
      </c>
      <c r="O3905" t="s">
        <v>82</v>
      </c>
      <c r="P3905" t="str">
        <f>"4170051013                    "</f>
        <v xml:space="preserve">4170051013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84.7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3</v>
      </c>
      <c r="BJ3905">
        <v>7.5</v>
      </c>
      <c r="BK3905">
        <v>7.5</v>
      </c>
      <c r="BL3905">
        <v>266.83999999999997</v>
      </c>
      <c r="BM3905">
        <v>40.03</v>
      </c>
      <c r="BN3905">
        <v>306.87</v>
      </c>
      <c r="BO3905">
        <v>306.87</v>
      </c>
      <c r="BQ3905" t="s">
        <v>1193</v>
      </c>
      <c r="BR3905" t="s">
        <v>84</v>
      </c>
      <c r="BS3905" s="3">
        <v>45863</v>
      </c>
      <c r="BT3905" s="4">
        <v>0.40694444444444444</v>
      </c>
      <c r="BU3905" t="s">
        <v>3546</v>
      </c>
      <c r="BV3905" t="s">
        <v>98</v>
      </c>
      <c r="BY3905">
        <v>37323</v>
      </c>
      <c r="CA3905" t="s">
        <v>3373</v>
      </c>
      <c r="CC3905" t="s">
        <v>169</v>
      </c>
      <c r="CD3905">
        <v>6001</v>
      </c>
      <c r="CE3905" t="s">
        <v>145</v>
      </c>
      <c r="CF3905" s="3">
        <v>45863</v>
      </c>
      <c r="CI3905">
        <v>1</v>
      </c>
      <c r="CJ3905">
        <v>1</v>
      </c>
      <c r="CK3905">
        <v>21</v>
      </c>
      <c r="CL3905" t="s">
        <v>86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"080066777540"</f>
        <v>080066777540</v>
      </c>
      <c r="F3906" s="3">
        <v>45862</v>
      </c>
      <c r="G3906">
        <v>202604</v>
      </c>
      <c r="H3906" t="s">
        <v>75</v>
      </c>
      <c r="I3906" t="s">
        <v>76</v>
      </c>
      <c r="J3906" t="s">
        <v>77</v>
      </c>
      <c r="K3906" t="s">
        <v>78</v>
      </c>
      <c r="L3906" t="s">
        <v>79</v>
      </c>
      <c r="M3906" t="s">
        <v>80</v>
      </c>
      <c r="N3906" t="s">
        <v>286</v>
      </c>
      <c r="O3906" t="s">
        <v>82</v>
      </c>
      <c r="P3906" t="str">
        <f>"4170051047                    "</f>
        <v xml:space="preserve">4170051047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22.6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71.2</v>
      </c>
      <c r="BM3906">
        <v>10.68</v>
      </c>
      <c r="BN3906">
        <v>81.88</v>
      </c>
      <c r="BO3906">
        <v>81.88</v>
      </c>
      <c r="BQ3906" t="s">
        <v>287</v>
      </c>
      <c r="BR3906" t="s">
        <v>84</v>
      </c>
      <c r="BS3906" s="3">
        <v>45863</v>
      </c>
      <c r="BT3906" s="4">
        <v>0.30972222222222223</v>
      </c>
      <c r="BU3906" t="s">
        <v>288</v>
      </c>
      <c r="BV3906" t="s">
        <v>98</v>
      </c>
      <c r="BY3906">
        <v>1200</v>
      </c>
      <c r="CA3906" t="s">
        <v>289</v>
      </c>
      <c r="CC3906" t="s">
        <v>80</v>
      </c>
      <c r="CD3906">
        <v>7530</v>
      </c>
      <c r="CE3906" t="s">
        <v>121</v>
      </c>
      <c r="CF3906" s="3">
        <v>45869</v>
      </c>
      <c r="CI3906">
        <v>1</v>
      </c>
      <c r="CJ3906">
        <v>1</v>
      </c>
      <c r="CK3906">
        <v>21</v>
      </c>
      <c r="CL3906" t="s">
        <v>86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"080066777560"</f>
        <v>080066777560</v>
      </c>
      <c r="F3907" s="3">
        <v>45862</v>
      </c>
      <c r="G3907">
        <v>202604</v>
      </c>
      <c r="H3907" t="s">
        <v>75</v>
      </c>
      <c r="I3907" t="s">
        <v>76</v>
      </c>
      <c r="J3907" t="s">
        <v>77</v>
      </c>
      <c r="K3907" t="s">
        <v>78</v>
      </c>
      <c r="L3907" t="s">
        <v>174</v>
      </c>
      <c r="M3907" t="s">
        <v>175</v>
      </c>
      <c r="N3907" t="s">
        <v>176</v>
      </c>
      <c r="O3907" t="s">
        <v>82</v>
      </c>
      <c r="P3907" t="str">
        <f>"4170051078                    "</f>
        <v xml:space="preserve">4170051078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180.66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16</v>
      </c>
      <c r="BJ3907">
        <v>12</v>
      </c>
      <c r="BK3907">
        <v>16</v>
      </c>
      <c r="BL3907">
        <v>569.17999999999995</v>
      </c>
      <c r="BM3907">
        <v>85.38</v>
      </c>
      <c r="BN3907">
        <v>654.55999999999995</v>
      </c>
      <c r="BO3907">
        <v>654.55999999999995</v>
      </c>
      <c r="BQ3907" t="s">
        <v>177</v>
      </c>
      <c r="BR3907" t="s">
        <v>84</v>
      </c>
      <c r="BS3907" s="3">
        <v>45863</v>
      </c>
      <c r="BT3907" s="4">
        <v>0.4201388888888889</v>
      </c>
      <c r="BU3907" t="s">
        <v>3417</v>
      </c>
      <c r="BV3907" t="s">
        <v>98</v>
      </c>
      <c r="BY3907">
        <v>60000</v>
      </c>
      <c r="CA3907" t="s">
        <v>3373</v>
      </c>
      <c r="CC3907" t="s">
        <v>175</v>
      </c>
      <c r="CD3907">
        <v>6220</v>
      </c>
      <c r="CE3907" t="s">
        <v>145</v>
      </c>
      <c r="CF3907" s="3">
        <v>45863</v>
      </c>
      <c r="CI3907">
        <v>1</v>
      </c>
      <c r="CJ3907">
        <v>1</v>
      </c>
      <c r="CK3907">
        <v>21</v>
      </c>
      <c r="CL3907" t="s">
        <v>86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"080066777562"</f>
        <v>080066777562</v>
      </c>
      <c r="F3908" s="3">
        <v>45862</v>
      </c>
      <c r="G3908">
        <v>202604</v>
      </c>
      <c r="H3908" t="s">
        <v>75</v>
      </c>
      <c r="I3908" t="s">
        <v>76</v>
      </c>
      <c r="J3908" t="s">
        <v>77</v>
      </c>
      <c r="K3908" t="s">
        <v>78</v>
      </c>
      <c r="L3908" t="s">
        <v>452</v>
      </c>
      <c r="M3908" t="s">
        <v>453</v>
      </c>
      <c r="N3908" t="s">
        <v>3547</v>
      </c>
      <c r="O3908" t="s">
        <v>82</v>
      </c>
      <c r="P3908" t="str">
        <f>"4170050993                    "</f>
        <v xml:space="preserve">4170050993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17.649999999999999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55.61</v>
      </c>
      <c r="BM3908">
        <v>8.34</v>
      </c>
      <c r="BN3908">
        <v>63.95</v>
      </c>
      <c r="BO3908">
        <v>63.95</v>
      </c>
      <c r="BQ3908" t="s">
        <v>3548</v>
      </c>
      <c r="BR3908" t="s">
        <v>84</v>
      </c>
      <c r="BS3908" s="3">
        <v>45863</v>
      </c>
      <c r="BT3908" s="4">
        <v>0.40277777777777779</v>
      </c>
      <c r="BU3908" t="s">
        <v>3549</v>
      </c>
      <c r="BV3908" t="s">
        <v>98</v>
      </c>
      <c r="BY3908">
        <v>1200</v>
      </c>
      <c r="CA3908" t="s">
        <v>3550</v>
      </c>
      <c r="CC3908" t="s">
        <v>453</v>
      </c>
      <c r="CD3908">
        <v>1559</v>
      </c>
      <c r="CE3908" t="s">
        <v>121</v>
      </c>
      <c r="CF3908" s="3">
        <v>45863</v>
      </c>
      <c r="CI3908">
        <v>1</v>
      </c>
      <c r="CJ3908">
        <v>1</v>
      </c>
      <c r="CK3908">
        <v>22</v>
      </c>
      <c r="CL3908" t="s">
        <v>86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"080066777595"</f>
        <v>080066777595</v>
      </c>
      <c r="F3909" s="3">
        <v>45862</v>
      </c>
      <c r="G3909">
        <v>202604</v>
      </c>
      <c r="H3909" t="s">
        <v>75</v>
      </c>
      <c r="I3909" t="s">
        <v>76</v>
      </c>
      <c r="J3909" t="s">
        <v>77</v>
      </c>
      <c r="K3909" t="s">
        <v>78</v>
      </c>
      <c r="L3909" t="s">
        <v>75</v>
      </c>
      <c r="M3909" t="s">
        <v>76</v>
      </c>
      <c r="N3909" t="s">
        <v>1046</v>
      </c>
      <c r="O3909" t="s">
        <v>82</v>
      </c>
      <c r="P3909" t="str">
        <f>"4170051072                    "</f>
        <v xml:space="preserve">4170051072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17.649999999999999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55.61</v>
      </c>
      <c r="BM3909">
        <v>8.34</v>
      </c>
      <c r="BN3909">
        <v>63.95</v>
      </c>
      <c r="BO3909">
        <v>63.95</v>
      </c>
      <c r="BQ3909" t="s">
        <v>1047</v>
      </c>
      <c r="BR3909" t="s">
        <v>84</v>
      </c>
      <c r="BS3909" s="3">
        <v>45863</v>
      </c>
      <c r="BT3909" s="4">
        <v>0.38680555555555557</v>
      </c>
      <c r="BU3909" t="s">
        <v>1048</v>
      </c>
      <c r="BV3909" t="s">
        <v>98</v>
      </c>
      <c r="BY3909">
        <v>1200</v>
      </c>
      <c r="CA3909" t="s">
        <v>213</v>
      </c>
      <c r="CC3909" t="s">
        <v>76</v>
      </c>
      <c r="CD3909">
        <v>1625</v>
      </c>
      <c r="CE3909" t="s">
        <v>121</v>
      </c>
      <c r="CF3909" s="3">
        <v>45863</v>
      </c>
      <c r="CI3909">
        <v>1</v>
      </c>
      <c r="CJ3909">
        <v>1</v>
      </c>
      <c r="CK3909">
        <v>22</v>
      </c>
      <c r="CL3909" t="s">
        <v>86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"080066777597"</f>
        <v>080066777597</v>
      </c>
      <c r="F3910" s="3">
        <v>45862</v>
      </c>
      <c r="G3910">
        <v>202604</v>
      </c>
      <c r="H3910" t="s">
        <v>75</v>
      </c>
      <c r="I3910" t="s">
        <v>76</v>
      </c>
      <c r="J3910" t="s">
        <v>77</v>
      </c>
      <c r="K3910" t="s">
        <v>78</v>
      </c>
      <c r="L3910" t="s">
        <v>168</v>
      </c>
      <c r="M3910" t="s">
        <v>169</v>
      </c>
      <c r="N3910" t="s">
        <v>202</v>
      </c>
      <c r="O3910" t="s">
        <v>82</v>
      </c>
      <c r="P3910" t="str">
        <f>"4170051080                    "</f>
        <v xml:space="preserve">4170051080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84.7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3</v>
      </c>
      <c r="BJ3910">
        <v>7.2</v>
      </c>
      <c r="BK3910">
        <v>7.5</v>
      </c>
      <c r="BL3910">
        <v>266.83999999999997</v>
      </c>
      <c r="BM3910">
        <v>40.03</v>
      </c>
      <c r="BN3910">
        <v>306.87</v>
      </c>
      <c r="BO3910">
        <v>306.87</v>
      </c>
      <c r="BQ3910" t="s">
        <v>203</v>
      </c>
      <c r="BR3910" t="s">
        <v>84</v>
      </c>
      <c r="BS3910" s="3">
        <v>45863</v>
      </c>
      <c r="BT3910" s="4">
        <v>0.38333333333333336</v>
      </c>
      <c r="BU3910" t="s">
        <v>1127</v>
      </c>
      <c r="BV3910" t="s">
        <v>98</v>
      </c>
      <c r="BY3910">
        <v>36000</v>
      </c>
      <c r="CA3910" t="s">
        <v>205</v>
      </c>
      <c r="CC3910" t="s">
        <v>169</v>
      </c>
      <c r="CD3910">
        <v>6001</v>
      </c>
      <c r="CE3910" t="s">
        <v>145</v>
      </c>
      <c r="CF3910" s="3">
        <v>45863</v>
      </c>
      <c r="CI3910">
        <v>1</v>
      </c>
      <c r="CJ3910">
        <v>1</v>
      </c>
      <c r="CK3910">
        <v>21</v>
      </c>
      <c r="CL3910" t="s">
        <v>86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"080066777624"</f>
        <v>080066777624</v>
      </c>
      <c r="F3911" s="3">
        <v>45862</v>
      </c>
      <c r="G3911">
        <v>202604</v>
      </c>
      <c r="H3911" t="s">
        <v>75</v>
      </c>
      <c r="I3911" t="s">
        <v>76</v>
      </c>
      <c r="J3911" t="s">
        <v>77</v>
      </c>
      <c r="K3911" t="s">
        <v>78</v>
      </c>
      <c r="L3911" t="s">
        <v>580</v>
      </c>
      <c r="M3911" t="s">
        <v>581</v>
      </c>
      <c r="N3911" t="s">
        <v>582</v>
      </c>
      <c r="O3911" t="s">
        <v>82</v>
      </c>
      <c r="P3911" t="str">
        <f>"4170051064                    "</f>
        <v xml:space="preserve">4170051064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22.6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71.2</v>
      </c>
      <c r="BM3911">
        <v>10.68</v>
      </c>
      <c r="BN3911">
        <v>81.88</v>
      </c>
      <c r="BO3911">
        <v>81.88</v>
      </c>
      <c r="BQ3911" t="s">
        <v>583</v>
      </c>
      <c r="BR3911" t="s">
        <v>84</v>
      </c>
      <c r="BS3911" s="3">
        <v>45863</v>
      </c>
      <c r="BT3911" s="4">
        <v>0.4201388888888889</v>
      </c>
      <c r="BU3911" t="s">
        <v>3481</v>
      </c>
      <c r="BV3911" t="s">
        <v>98</v>
      </c>
      <c r="BY3911">
        <v>1200</v>
      </c>
      <c r="CA3911" t="s">
        <v>585</v>
      </c>
      <c r="CC3911" t="s">
        <v>581</v>
      </c>
      <c r="CD3911">
        <v>4302</v>
      </c>
      <c r="CE3911" t="s">
        <v>3551</v>
      </c>
      <c r="CF3911" s="3">
        <v>45863</v>
      </c>
      <c r="CI3911">
        <v>1</v>
      </c>
      <c r="CJ3911">
        <v>1</v>
      </c>
      <c r="CK3911">
        <v>21</v>
      </c>
      <c r="CL3911" t="s">
        <v>86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"080066777626"</f>
        <v>080066777626</v>
      </c>
      <c r="F3912" s="3">
        <v>45862</v>
      </c>
      <c r="G3912">
        <v>202604</v>
      </c>
      <c r="H3912" t="s">
        <v>75</v>
      </c>
      <c r="I3912" t="s">
        <v>76</v>
      </c>
      <c r="J3912" t="s">
        <v>77</v>
      </c>
      <c r="K3912" t="s">
        <v>78</v>
      </c>
      <c r="L3912" t="s">
        <v>146</v>
      </c>
      <c r="M3912" t="s">
        <v>146</v>
      </c>
      <c r="N3912" t="s">
        <v>147</v>
      </c>
      <c r="O3912" t="s">
        <v>82</v>
      </c>
      <c r="P3912" t="str">
        <f>"4170051077                    "</f>
        <v xml:space="preserve">4170051077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290.93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11</v>
      </c>
      <c r="BJ3912">
        <v>14.4</v>
      </c>
      <c r="BK3912">
        <v>14.5</v>
      </c>
      <c r="BL3912">
        <v>916.59</v>
      </c>
      <c r="BM3912">
        <v>137.49</v>
      </c>
      <c r="BN3912">
        <v>1054.08</v>
      </c>
      <c r="BO3912">
        <v>1054.08</v>
      </c>
      <c r="BQ3912" t="s">
        <v>764</v>
      </c>
      <c r="BR3912" t="s">
        <v>84</v>
      </c>
      <c r="BS3912" s="3">
        <v>45863</v>
      </c>
      <c r="BT3912" s="4">
        <v>0.52708333333333335</v>
      </c>
      <c r="BU3912" t="s">
        <v>149</v>
      </c>
      <c r="BV3912" t="s">
        <v>98</v>
      </c>
      <c r="BY3912">
        <v>72000</v>
      </c>
      <c r="CA3912" t="s">
        <v>150</v>
      </c>
      <c r="CC3912" t="s">
        <v>146</v>
      </c>
      <c r="CD3912">
        <v>7646</v>
      </c>
      <c r="CE3912" t="s">
        <v>145</v>
      </c>
      <c r="CF3912" s="3">
        <v>45866</v>
      </c>
      <c r="CI3912">
        <v>1</v>
      </c>
      <c r="CJ3912">
        <v>1</v>
      </c>
      <c r="CK3912">
        <v>23</v>
      </c>
      <c r="CL3912" t="s">
        <v>86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"080066777647"</f>
        <v>080066777647</v>
      </c>
      <c r="F3913" s="3">
        <v>45862</v>
      </c>
      <c r="G3913">
        <v>202604</v>
      </c>
      <c r="H3913" t="s">
        <v>75</v>
      </c>
      <c r="I3913" t="s">
        <v>76</v>
      </c>
      <c r="J3913" t="s">
        <v>77</v>
      </c>
      <c r="K3913" t="s">
        <v>78</v>
      </c>
      <c r="L3913" t="s">
        <v>168</v>
      </c>
      <c r="M3913" t="s">
        <v>169</v>
      </c>
      <c r="N3913" t="s">
        <v>726</v>
      </c>
      <c r="O3913" t="s">
        <v>82</v>
      </c>
      <c r="P3913" t="str">
        <f>"4170051019                    "</f>
        <v xml:space="preserve">4170051019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22.6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71.2</v>
      </c>
      <c r="BM3913">
        <v>10.68</v>
      </c>
      <c r="BN3913">
        <v>81.88</v>
      </c>
      <c r="BO3913">
        <v>81.88</v>
      </c>
      <c r="BQ3913" t="s">
        <v>727</v>
      </c>
      <c r="BR3913" t="s">
        <v>84</v>
      </c>
      <c r="BS3913" s="3">
        <v>45863</v>
      </c>
      <c r="BT3913" s="4">
        <v>0.41458333333333336</v>
      </c>
      <c r="BU3913" t="s">
        <v>3543</v>
      </c>
      <c r="BV3913" t="s">
        <v>98</v>
      </c>
      <c r="BY3913">
        <v>1200</v>
      </c>
      <c r="CA3913" t="s">
        <v>3373</v>
      </c>
      <c r="CC3913" t="s">
        <v>169</v>
      </c>
      <c r="CD3913">
        <v>6001</v>
      </c>
      <c r="CE3913" t="s">
        <v>121</v>
      </c>
      <c r="CF3913" s="3">
        <v>45863</v>
      </c>
      <c r="CI3913">
        <v>1</v>
      </c>
      <c r="CJ3913">
        <v>1</v>
      </c>
      <c r="CK3913">
        <v>21</v>
      </c>
      <c r="CL3913" t="s">
        <v>86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"080066777671"</f>
        <v>080066777671</v>
      </c>
      <c r="F3914" s="3">
        <v>45862</v>
      </c>
      <c r="G3914">
        <v>202604</v>
      </c>
      <c r="H3914" t="s">
        <v>75</v>
      </c>
      <c r="I3914" t="s">
        <v>76</v>
      </c>
      <c r="J3914" t="s">
        <v>77</v>
      </c>
      <c r="K3914" t="s">
        <v>78</v>
      </c>
      <c r="L3914" t="s">
        <v>79</v>
      </c>
      <c r="M3914" t="s">
        <v>80</v>
      </c>
      <c r="N3914" t="s">
        <v>1218</v>
      </c>
      <c r="O3914" t="s">
        <v>82</v>
      </c>
      <c r="P3914" t="str">
        <f>"4170051009                    "</f>
        <v xml:space="preserve">4170051009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22.6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71.2</v>
      </c>
      <c r="BM3914">
        <v>10.68</v>
      </c>
      <c r="BN3914">
        <v>81.88</v>
      </c>
      <c r="BO3914">
        <v>81.88</v>
      </c>
      <c r="BQ3914" t="s">
        <v>1219</v>
      </c>
      <c r="BR3914" t="s">
        <v>84</v>
      </c>
      <c r="BS3914" s="3">
        <v>45863</v>
      </c>
      <c r="BT3914" s="4">
        <v>0.33333333333333331</v>
      </c>
      <c r="BU3914" t="s">
        <v>2275</v>
      </c>
      <c r="BV3914" t="s">
        <v>98</v>
      </c>
      <c r="BY3914">
        <v>1200</v>
      </c>
      <c r="CA3914" t="s">
        <v>3433</v>
      </c>
      <c r="CC3914" t="s">
        <v>80</v>
      </c>
      <c r="CD3914">
        <v>7764</v>
      </c>
      <c r="CE3914" t="s">
        <v>121</v>
      </c>
      <c r="CF3914" s="3">
        <v>45866</v>
      </c>
      <c r="CI3914">
        <v>1</v>
      </c>
      <c r="CJ3914">
        <v>1</v>
      </c>
      <c r="CK3914">
        <v>21</v>
      </c>
      <c r="CL3914" t="s">
        <v>86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"080066777690"</f>
        <v>080066777690</v>
      </c>
      <c r="F3915" s="3">
        <v>45862</v>
      </c>
      <c r="G3915">
        <v>202604</v>
      </c>
      <c r="H3915" t="s">
        <v>75</v>
      </c>
      <c r="I3915" t="s">
        <v>76</v>
      </c>
      <c r="J3915" t="s">
        <v>77</v>
      </c>
      <c r="K3915" t="s">
        <v>78</v>
      </c>
      <c r="L3915" t="s">
        <v>168</v>
      </c>
      <c r="M3915" t="s">
        <v>169</v>
      </c>
      <c r="N3915" t="s">
        <v>438</v>
      </c>
      <c r="O3915" t="s">
        <v>82</v>
      </c>
      <c r="P3915" t="str">
        <f>"4170051018                    "</f>
        <v xml:space="preserve">4170051018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22.6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71.2</v>
      </c>
      <c r="BM3915">
        <v>10.68</v>
      </c>
      <c r="BN3915">
        <v>81.88</v>
      </c>
      <c r="BO3915">
        <v>81.88</v>
      </c>
      <c r="BQ3915" t="s">
        <v>439</v>
      </c>
      <c r="BR3915" t="s">
        <v>84</v>
      </c>
      <c r="BS3915" s="3">
        <v>45863</v>
      </c>
      <c r="BT3915" s="4">
        <v>0.39583333333333331</v>
      </c>
      <c r="BU3915" t="s">
        <v>440</v>
      </c>
      <c r="BV3915" t="s">
        <v>98</v>
      </c>
      <c r="BY3915">
        <v>1200</v>
      </c>
      <c r="CA3915" t="s">
        <v>423</v>
      </c>
      <c r="CC3915" t="s">
        <v>169</v>
      </c>
      <c r="CD3915">
        <v>6001</v>
      </c>
      <c r="CE3915" t="s">
        <v>121</v>
      </c>
      <c r="CF3915" s="3">
        <v>45863</v>
      </c>
      <c r="CI3915">
        <v>1</v>
      </c>
      <c r="CJ3915">
        <v>1</v>
      </c>
      <c r="CK3915">
        <v>21</v>
      </c>
      <c r="CL3915" t="s">
        <v>86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"080066777696"</f>
        <v>080066777696</v>
      </c>
      <c r="F3916" s="3">
        <v>45862</v>
      </c>
      <c r="G3916">
        <v>202604</v>
      </c>
      <c r="H3916" t="s">
        <v>75</v>
      </c>
      <c r="I3916" t="s">
        <v>76</v>
      </c>
      <c r="J3916" t="s">
        <v>77</v>
      </c>
      <c r="K3916" t="s">
        <v>78</v>
      </c>
      <c r="L3916" t="s">
        <v>75</v>
      </c>
      <c r="M3916" t="s">
        <v>76</v>
      </c>
      <c r="N3916" t="s">
        <v>666</v>
      </c>
      <c r="O3916" t="s">
        <v>82</v>
      </c>
      <c r="P3916" t="str">
        <f>"4170050992                    "</f>
        <v xml:space="preserve">4170050992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21.88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4</v>
      </c>
      <c r="BJ3916">
        <v>9.1</v>
      </c>
      <c r="BK3916">
        <v>10</v>
      </c>
      <c r="BL3916">
        <v>68.94</v>
      </c>
      <c r="BM3916">
        <v>10.34</v>
      </c>
      <c r="BN3916">
        <v>79.28</v>
      </c>
      <c r="BO3916">
        <v>79.28</v>
      </c>
      <c r="BQ3916" t="s">
        <v>3552</v>
      </c>
      <c r="BR3916" t="s">
        <v>84</v>
      </c>
      <c r="BS3916" s="3">
        <v>45863</v>
      </c>
      <c r="BT3916" s="4">
        <v>0.42569444444444443</v>
      </c>
      <c r="BU3916" t="s">
        <v>635</v>
      </c>
      <c r="BV3916" t="s">
        <v>98</v>
      </c>
      <c r="BY3916">
        <v>45632</v>
      </c>
      <c r="CA3916" t="s">
        <v>1799</v>
      </c>
      <c r="CC3916" t="s">
        <v>76</v>
      </c>
      <c r="CD3916">
        <v>1614</v>
      </c>
      <c r="CE3916" t="s">
        <v>145</v>
      </c>
      <c r="CF3916" s="3">
        <v>45863</v>
      </c>
      <c r="CI3916">
        <v>1</v>
      </c>
      <c r="CJ3916">
        <v>1</v>
      </c>
      <c r="CK3916">
        <v>22</v>
      </c>
      <c r="CL3916" t="s">
        <v>86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"080066777757"</f>
        <v>080066777757</v>
      </c>
      <c r="F3917" s="3">
        <v>45862</v>
      </c>
      <c r="G3917">
        <v>202604</v>
      </c>
      <c r="H3917" t="s">
        <v>75</v>
      </c>
      <c r="I3917" t="s">
        <v>76</v>
      </c>
      <c r="J3917" t="s">
        <v>77</v>
      </c>
      <c r="K3917" t="s">
        <v>78</v>
      </c>
      <c r="L3917" t="s">
        <v>75</v>
      </c>
      <c r="M3917" t="s">
        <v>76</v>
      </c>
      <c r="N3917" t="s">
        <v>3553</v>
      </c>
      <c r="O3917" t="s">
        <v>95</v>
      </c>
      <c r="P3917" t="str">
        <f>"4170050988                    "</f>
        <v xml:space="preserve">4170050988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50.48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11</v>
      </c>
      <c r="BJ3917">
        <v>31.6</v>
      </c>
      <c r="BK3917">
        <v>32</v>
      </c>
      <c r="BL3917">
        <v>164.91</v>
      </c>
      <c r="BM3917">
        <v>24.74</v>
      </c>
      <c r="BN3917">
        <v>189.65</v>
      </c>
      <c r="BO3917">
        <v>189.65</v>
      </c>
      <c r="BQ3917" t="s">
        <v>667</v>
      </c>
      <c r="BR3917" t="s">
        <v>84</v>
      </c>
      <c r="BS3917" s="3">
        <v>45863</v>
      </c>
      <c r="BT3917" s="4">
        <v>0.42569444444444443</v>
      </c>
      <c r="BU3917" t="s">
        <v>635</v>
      </c>
      <c r="BV3917" t="s">
        <v>98</v>
      </c>
      <c r="BY3917">
        <v>157920</v>
      </c>
      <c r="CA3917" t="s">
        <v>1799</v>
      </c>
      <c r="CC3917" t="s">
        <v>76</v>
      </c>
      <c r="CD3917">
        <v>1614</v>
      </c>
      <c r="CE3917" t="s">
        <v>145</v>
      </c>
      <c r="CF3917" s="3">
        <v>45863</v>
      </c>
      <c r="CI3917">
        <v>1</v>
      </c>
      <c r="CJ3917">
        <v>1</v>
      </c>
      <c r="CK3917">
        <v>42</v>
      </c>
      <c r="CL3917" t="s">
        <v>86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"080066791019"</f>
        <v>080066791019</v>
      </c>
      <c r="F3918" s="3">
        <v>45863</v>
      </c>
      <c r="G3918">
        <v>202604</v>
      </c>
      <c r="H3918" t="s">
        <v>75</v>
      </c>
      <c r="I3918" t="s">
        <v>76</v>
      </c>
      <c r="J3918" t="s">
        <v>77</v>
      </c>
      <c r="K3918" t="s">
        <v>78</v>
      </c>
      <c r="L3918" t="s">
        <v>295</v>
      </c>
      <c r="M3918" t="s">
        <v>296</v>
      </c>
      <c r="N3918" t="s">
        <v>1837</v>
      </c>
      <c r="O3918" t="s">
        <v>82</v>
      </c>
      <c r="P3918" t="str">
        <f>"4170051035                    "</f>
        <v xml:space="preserve">4170051035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17.649999999999999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2</v>
      </c>
      <c r="BJ3918">
        <v>3.2</v>
      </c>
      <c r="BK3918">
        <v>4</v>
      </c>
      <c r="BL3918">
        <v>55.61</v>
      </c>
      <c r="BM3918">
        <v>8.34</v>
      </c>
      <c r="BN3918">
        <v>63.95</v>
      </c>
      <c r="BO3918">
        <v>63.95</v>
      </c>
      <c r="BQ3918" t="s">
        <v>1838</v>
      </c>
      <c r="BR3918" t="s">
        <v>84</v>
      </c>
      <c r="BS3918" s="3">
        <v>45866</v>
      </c>
      <c r="BT3918" s="4">
        <v>0.35416666666666669</v>
      </c>
      <c r="BU3918" t="s">
        <v>3554</v>
      </c>
      <c r="BV3918" t="s">
        <v>98</v>
      </c>
      <c r="BY3918">
        <v>16240</v>
      </c>
      <c r="CC3918" t="s">
        <v>296</v>
      </c>
      <c r="CD3918">
        <v>1459</v>
      </c>
      <c r="CE3918" t="s">
        <v>91</v>
      </c>
      <c r="CF3918" s="3">
        <v>45866</v>
      </c>
      <c r="CI3918">
        <v>1</v>
      </c>
      <c r="CJ3918">
        <v>1</v>
      </c>
      <c r="CK3918">
        <v>22</v>
      </c>
      <c r="CL3918" t="s">
        <v>86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"080066791134"</f>
        <v>080066791134</v>
      </c>
      <c r="F3919" s="3">
        <v>45863</v>
      </c>
      <c r="G3919">
        <v>202604</v>
      </c>
      <c r="H3919" t="s">
        <v>75</v>
      </c>
      <c r="I3919" t="s">
        <v>76</v>
      </c>
      <c r="J3919" t="s">
        <v>77</v>
      </c>
      <c r="K3919" t="s">
        <v>78</v>
      </c>
      <c r="L3919" t="s">
        <v>79</v>
      </c>
      <c r="M3919" t="s">
        <v>80</v>
      </c>
      <c r="N3919" t="s">
        <v>2400</v>
      </c>
      <c r="O3919" t="s">
        <v>82</v>
      </c>
      <c r="P3919" t="str">
        <f>"4170050754                    "</f>
        <v xml:space="preserve">4170050754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22.6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71.2</v>
      </c>
      <c r="BM3919">
        <v>10.68</v>
      </c>
      <c r="BN3919">
        <v>81.88</v>
      </c>
      <c r="BO3919">
        <v>81.88</v>
      </c>
      <c r="BQ3919" t="s">
        <v>2401</v>
      </c>
      <c r="BR3919" t="s">
        <v>84</v>
      </c>
      <c r="BS3919" s="3">
        <v>45866</v>
      </c>
      <c r="BT3919" s="4">
        <v>0.42916666666666664</v>
      </c>
      <c r="BU3919" t="s">
        <v>3555</v>
      </c>
      <c r="BV3919" t="s">
        <v>98</v>
      </c>
      <c r="BY3919">
        <v>1200</v>
      </c>
      <c r="CC3919" t="s">
        <v>80</v>
      </c>
      <c r="CD3919">
        <v>8001</v>
      </c>
      <c r="CE3919" t="s">
        <v>121</v>
      </c>
      <c r="CF3919" s="3">
        <v>45867</v>
      </c>
      <c r="CI3919">
        <v>1</v>
      </c>
      <c r="CJ3919">
        <v>1</v>
      </c>
      <c r="CK3919">
        <v>21</v>
      </c>
      <c r="CL3919" t="s">
        <v>86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"080066791190"</f>
        <v>080066791190</v>
      </c>
      <c r="F3920" s="3">
        <v>45863</v>
      </c>
      <c r="G3920">
        <v>202604</v>
      </c>
      <c r="H3920" t="s">
        <v>75</v>
      </c>
      <c r="I3920" t="s">
        <v>76</v>
      </c>
      <c r="J3920" t="s">
        <v>77</v>
      </c>
      <c r="K3920" t="s">
        <v>78</v>
      </c>
      <c r="L3920" t="s">
        <v>135</v>
      </c>
      <c r="M3920" t="s">
        <v>136</v>
      </c>
      <c r="N3920" t="s">
        <v>416</v>
      </c>
      <c r="O3920" t="s">
        <v>82</v>
      </c>
      <c r="P3920" t="str">
        <f>"4170051128                    "</f>
        <v xml:space="preserve">4170051128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22.6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71.2</v>
      </c>
      <c r="BM3920">
        <v>10.68</v>
      </c>
      <c r="BN3920">
        <v>81.88</v>
      </c>
      <c r="BO3920">
        <v>81.88</v>
      </c>
      <c r="BQ3920" t="s">
        <v>417</v>
      </c>
      <c r="BR3920" t="s">
        <v>84</v>
      </c>
      <c r="BS3920" s="3">
        <v>45866</v>
      </c>
      <c r="BT3920" s="4">
        <v>0.41666666666666669</v>
      </c>
      <c r="BU3920" t="s">
        <v>3556</v>
      </c>
      <c r="BV3920" t="s">
        <v>98</v>
      </c>
      <c r="BY3920">
        <v>1200</v>
      </c>
      <c r="CC3920" t="s">
        <v>136</v>
      </c>
      <c r="CD3920">
        <v>3201</v>
      </c>
      <c r="CE3920" t="s">
        <v>121</v>
      </c>
      <c r="CF3920" s="3">
        <v>45867</v>
      </c>
      <c r="CI3920">
        <v>1</v>
      </c>
      <c r="CJ3920">
        <v>1</v>
      </c>
      <c r="CK3920">
        <v>21</v>
      </c>
      <c r="CL3920" t="s">
        <v>86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"080066791272"</f>
        <v>080066791272</v>
      </c>
      <c r="F3921" s="3">
        <v>45863</v>
      </c>
      <c r="G3921">
        <v>202604</v>
      </c>
      <c r="H3921" t="s">
        <v>75</v>
      </c>
      <c r="I3921" t="s">
        <v>76</v>
      </c>
      <c r="J3921" t="s">
        <v>77</v>
      </c>
      <c r="K3921" t="s">
        <v>78</v>
      </c>
      <c r="L3921" t="s">
        <v>566</v>
      </c>
      <c r="M3921" t="s">
        <v>567</v>
      </c>
      <c r="N3921" t="s">
        <v>568</v>
      </c>
      <c r="O3921" t="s">
        <v>95</v>
      </c>
      <c r="P3921" t="str">
        <f>"4170051082                    "</f>
        <v xml:space="preserve">4170051082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65.900000000000006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2</v>
      </c>
      <c r="BI3921">
        <v>23</v>
      </c>
      <c r="BJ3921">
        <v>28.7</v>
      </c>
      <c r="BK3921">
        <v>29</v>
      </c>
      <c r="BL3921">
        <v>213.5</v>
      </c>
      <c r="BM3921">
        <v>32.03</v>
      </c>
      <c r="BN3921">
        <v>245.53</v>
      </c>
      <c r="BO3921">
        <v>245.53</v>
      </c>
      <c r="BQ3921" t="s">
        <v>569</v>
      </c>
      <c r="BR3921" t="s">
        <v>84</v>
      </c>
      <c r="BS3921" s="3">
        <v>45866</v>
      </c>
      <c r="BT3921" s="4">
        <v>0.32222222222222224</v>
      </c>
      <c r="BU3921" t="s">
        <v>3557</v>
      </c>
      <c r="BV3921" t="s">
        <v>98</v>
      </c>
      <c r="BY3921">
        <v>143552</v>
      </c>
      <c r="CC3921" t="s">
        <v>567</v>
      </c>
      <c r="CD3921">
        <v>2210</v>
      </c>
      <c r="CE3921" t="s">
        <v>121</v>
      </c>
      <c r="CF3921" s="3">
        <v>45866</v>
      </c>
      <c r="CI3921">
        <v>1</v>
      </c>
      <c r="CJ3921">
        <v>1</v>
      </c>
      <c r="CK3921">
        <v>44</v>
      </c>
      <c r="CL3921" t="s">
        <v>86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"080066791461"</f>
        <v>080066791461</v>
      </c>
      <c r="F3922" s="3">
        <v>45863</v>
      </c>
      <c r="G3922">
        <v>202604</v>
      </c>
      <c r="H3922" t="s">
        <v>75</v>
      </c>
      <c r="I3922" t="s">
        <v>76</v>
      </c>
      <c r="J3922" t="s">
        <v>77</v>
      </c>
      <c r="K3922" t="s">
        <v>78</v>
      </c>
      <c r="L3922" t="s">
        <v>75</v>
      </c>
      <c r="M3922" t="s">
        <v>76</v>
      </c>
      <c r="N3922" t="s">
        <v>1795</v>
      </c>
      <c r="O3922" t="s">
        <v>82</v>
      </c>
      <c r="P3922" t="str">
        <f>"4170050895                    "</f>
        <v xml:space="preserve">4170050895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17.649999999999999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55.61</v>
      </c>
      <c r="BM3922">
        <v>8.34</v>
      </c>
      <c r="BN3922">
        <v>63.95</v>
      </c>
      <c r="BO3922">
        <v>63.95</v>
      </c>
      <c r="BQ3922" t="s">
        <v>1796</v>
      </c>
      <c r="BR3922" t="s">
        <v>84</v>
      </c>
      <c r="BS3922" s="3">
        <v>45866</v>
      </c>
      <c r="BT3922" s="4">
        <v>0.31944444444444442</v>
      </c>
      <c r="BU3922" t="s">
        <v>3558</v>
      </c>
      <c r="BV3922" t="s">
        <v>98</v>
      </c>
      <c r="BY3922">
        <v>1200</v>
      </c>
      <c r="CC3922" t="s">
        <v>76</v>
      </c>
      <c r="CD3922">
        <v>1600</v>
      </c>
      <c r="CE3922" t="s">
        <v>121</v>
      </c>
      <c r="CF3922" s="3">
        <v>45866</v>
      </c>
      <c r="CI3922">
        <v>1</v>
      </c>
      <c r="CJ3922">
        <v>1</v>
      </c>
      <c r="CK3922">
        <v>22</v>
      </c>
      <c r="CL3922" t="s">
        <v>86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"080066791491"</f>
        <v>080066791491</v>
      </c>
      <c r="F3923" s="3">
        <v>45863</v>
      </c>
      <c r="G3923">
        <v>202604</v>
      </c>
      <c r="H3923" t="s">
        <v>75</v>
      </c>
      <c r="I3923" t="s">
        <v>76</v>
      </c>
      <c r="J3923" t="s">
        <v>77</v>
      </c>
      <c r="K3923" t="s">
        <v>78</v>
      </c>
      <c r="L3923" t="s">
        <v>75</v>
      </c>
      <c r="M3923" t="s">
        <v>76</v>
      </c>
      <c r="N3923" t="s">
        <v>1795</v>
      </c>
      <c r="O3923" t="s">
        <v>82</v>
      </c>
      <c r="P3923" t="str">
        <f>"4170050898                    "</f>
        <v xml:space="preserve">4170050898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17.649999999999999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55.61</v>
      </c>
      <c r="BM3923">
        <v>8.34</v>
      </c>
      <c r="BN3923">
        <v>63.95</v>
      </c>
      <c r="BO3923">
        <v>63.95</v>
      </c>
      <c r="BQ3923" t="s">
        <v>1796</v>
      </c>
      <c r="BR3923" t="s">
        <v>84</v>
      </c>
      <c r="BS3923" s="3">
        <v>45866</v>
      </c>
      <c r="BT3923" s="4">
        <v>0.31944444444444442</v>
      </c>
      <c r="BU3923" t="s">
        <v>3558</v>
      </c>
      <c r="BV3923" t="s">
        <v>98</v>
      </c>
      <c r="BY3923">
        <v>1200</v>
      </c>
      <c r="CC3923" t="s">
        <v>76</v>
      </c>
      <c r="CD3923">
        <v>1600</v>
      </c>
      <c r="CE3923" t="s">
        <v>121</v>
      </c>
      <c r="CF3923" s="3">
        <v>45866</v>
      </c>
      <c r="CI3923">
        <v>1</v>
      </c>
      <c r="CJ3923">
        <v>1</v>
      </c>
      <c r="CK3923">
        <v>22</v>
      </c>
      <c r="CL3923" t="s">
        <v>86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"080066791535"</f>
        <v>080066791535</v>
      </c>
      <c r="F3924" s="3">
        <v>45863</v>
      </c>
      <c r="G3924">
        <v>202604</v>
      </c>
      <c r="H3924" t="s">
        <v>75</v>
      </c>
      <c r="I3924" t="s">
        <v>76</v>
      </c>
      <c r="J3924" t="s">
        <v>77</v>
      </c>
      <c r="K3924" t="s">
        <v>78</v>
      </c>
      <c r="L3924" t="s">
        <v>135</v>
      </c>
      <c r="M3924" t="s">
        <v>136</v>
      </c>
      <c r="N3924" t="s">
        <v>379</v>
      </c>
      <c r="O3924" t="s">
        <v>82</v>
      </c>
      <c r="P3924" t="str">
        <f>"4170051310                    "</f>
        <v xml:space="preserve">4170051310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22.6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71.2</v>
      </c>
      <c r="BM3924">
        <v>10.68</v>
      </c>
      <c r="BN3924">
        <v>81.88</v>
      </c>
      <c r="BO3924">
        <v>81.88</v>
      </c>
      <c r="BQ3924" t="s">
        <v>380</v>
      </c>
      <c r="BR3924" t="s">
        <v>84</v>
      </c>
      <c r="BS3924" s="3">
        <v>45866</v>
      </c>
      <c r="BT3924" s="4">
        <v>0.4375</v>
      </c>
      <c r="BU3924" t="s">
        <v>2019</v>
      </c>
      <c r="BV3924" t="s">
        <v>98</v>
      </c>
      <c r="BY3924">
        <v>1200</v>
      </c>
      <c r="CA3924" t="s">
        <v>382</v>
      </c>
      <c r="CC3924" t="s">
        <v>136</v>
      </c>
      <c r="CD3924">
        <v>3212</v>
      </c>
      <c r="CE3924" t="s">
        <v>121</v>
      </c>
      <c r="CF3924" s="3">
        <v>45866</v>
      </c>
      <c r="CI3924">
        <v>2</v>
      </c>
      <c r="CJ3924">
        <v>1</v>
      </c>
      <c r="CK3924">
        <v>21</v>
      </c>
      <c r="CL3924" t="s">
        <v>86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"080066791665"</f>
        <v>080066791665</v>
      </c>
      <c r="F3925" s="3">
        <v>45863</v>
      </c>
      <c r="G3925">
        <v>202604</v>
      </c>
      <c r="H3925" t="s">
        <v>75</v>
      </c>
      <c r="I3925" t="s">
        <v>76</v>
      </c>
      <c r="J3925" t="s">
        <v>77</v>
      </c>
      <c r="K3925" t="s">
        <v>78</v>
      </c>
      <c r="L3925" t="s">
        <v>168</v>
      </c>
      <c r="M3925" t="s">
        <v>169</v>
      </c>
      <c r="N3925" t="s">
        <v>206</v>
      </c>
      <c r="O3925" t="s">
        <v>82</v>
      </c>
      <c r="P3925" t="str">
        <f>"4170051027                    "</f>
        <v xml:space="preserve">4170051027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101.63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3</v>
      </c>
      <c r="BJ3925">
        <v>8.9</v>
      </c>
      <c r="BK3925">
        <v>9</v>
      </c>
      <c r="BL3925">
        <v>320.19</v>
      </c>
      <c r="BM3925">
        <v>48.03</v>
      </c>
      <c r="BN3925">
        <v>368.22</v>
      </c>
      <c r="BO3925">
        <v>368.22</v>
      </c>
      <c r="BQ3925" t="s">
        <v>207</v>
      </c>
      <c r="BR3925" t="s">
        <v>84</v>
      </c>
      <c r="BS3925" s="3">
        <v>45866</v>
      </c>
      <c r="BT3925" s="4">
        <v>0.39444444444444443</v>
      </c>
      <c r="BU3925" t="s">
        <v>208</v>
      </c>
      <c r="BV3925" t="s">
        <v>98</v>
      </c>
      <c r="BY3925">
        <v>44640</v>
      </c>
      <c r="CA3925" t="s">
        <v>196</v>
      </c>
      <c r="CC3925" t="s">
        <v>169</v>
      </c>
      <c r="CD3925">
        <v>6001</v>
      </c>
      <c r="CE3925" t="s">
        <v>110</v>
      </c>
      <c r="CF3925" s="3">
        <v>45866</v>
      </c>
      <c r="CI3925">
        <v>1</v>
      </c>
      <c r="CJ3925">
        <v>1</v>
      </c>
      <c r="CK3925">
        <v>21</v>
      </c>
      <c r="CL3925" t="s">
        <v>86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"080066791710"</f>
        <v>080066791710</v>
      </c>
      <c r="F3926" s="3">
        <v>45863</v>
      </c>
      <c r="G3926">
        <v>202604</v>
      </c>
      <c r="H3926" t="s">
        <v>75</v>
      </c>
      <c r="I3926" t="s">
        <v>76</v>
      </c>
      <c r="J3926" t="s">
        <v>77</v>
      </c>
      <c r="K3926" t="s">
        <v>78</v>
      </c>
      <c r="L3926" t="s">
        <v>151</v>
      </c>
      <c r="M3926" t="s">
        <v>152</v>
      </c>
      <c r="N3926" t="s">
        <v>510</v>
      </c>
      <c r="O3926" t="s">
        <v>82</v>
      </c>
      <c r="P3926" t="str">
        <f>"4170050759                    "</f>
        <v xml:space="preserve">4170050759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33.89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3</v>
      </c>
      <c r="BJ3926">
        <v>1.7</v>
      </c>
      <c r="BK3926">
        <v>3</v>
      </c>
      <c r="BL3926">
        <v>106.77</v>
      </c>
      <c r="BM3926">
        <v>16.02</v>
      </c>
      <c r="BN3926">
        <v>122.79</v>
      </c>
      <c r="BO3926">
        <v>122.79</v>
      </c>
      <c r="BQ3926" t="s">
        <v>511</v>
      </c>
      <c r="BR3926" t="s">
        <v>84</v>
      </c>
      <c r="BS3926" s="3">
        <v>45866</v>
      </c>
      <c r="BT3926" s="4">
        <v>0.38194444444444442</v>
      </c>
      <c r="BU3926" t="s">
        <v>1702</v>
      </c>
      <c r="BV3926" t="s">
        <v>98</v>
      </c>
      <c r="BY3926">
        <v>8512</v>
      </c>
      <c r="CA3926" t="s">
        <v>513</v>
      </c>
      <c r="CC3926" t="s">
        <v>152</v>
      </c>
      <c r="CD3926" s="5" t="s">
        <v>389</v>
      </c>
      <c r="CE3926" t="s">
        <v>110</v>
      </c>
      <c r="CF3926" s="3">
        <v>45866</v>
      </c>
      <c r="CI3926">
        <v>1</v>
      </c>
      <c r="CJ3926">
        <v>1</v>
      </c>
      <c r="CK3926">
        <v>21</v>
      </c>
      <c r="CL3926" t="s">
        <v>86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"080066791897"</f>
        <v>080066791897</v>
      </c>
      <c r="F3927" s="3">
        <v>45863</v>
      </c>
      <c r="G3927">
        <v>202604</v>
      </c>
      <c r="H3927" t="s">
        <v>75</v>
      </c>
      <c r="I3927" t="s">
        <v>76</v>
      </c>
      <c r="J3927" t="s">
        <v>77</v>
      </c>
      <c r="K3927" t="s">
        <v>78</v>
      </c>
      <c r="L3927" t="s">
        <v>168</v>
      </c>
      <c r="M3927" t="s">
        <v>169</v>
      </c>
      <c r="N3927" t="s">
        <v>3559</v>
      </c>
      <c r="O3927" t="s">
        <v>82</v>
      </c>
      <c r="P3927" t="str">
        <f>"4170051221                    "</f>
        <v xml:space="preserve">4170051221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101.63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4</v>
      </c>
      <c r="BJ3927">
        <v>8.9</v>
      </c>
      <c r="BK3927">
        <v>9</v>
      </c>
      <c r="BL3927">
        <v>320.19</v>
      </c>
      <c r="BM3927">
        <v>48.03</v>
      </c>
      <c r="BN3927">
        <v>368.22</v>
      </c>
      <c r="BO3927">
        <v>368.22</v>
      </c>
      <c r="BQ3927" t="s">
        <v>3560</v>
      </c>
      <c r="BR3927" t="s">
        <v>84</v>
      </c>
      <c r="BS3927" s="3">
        <v>45866</v>
      </c>
      <c r="BT3927" s="4">
        <v>0.43055555555555558</v>
      </c>
      <c r="BU3927" t="s">
        <v>961</v>
      </c>
      <c r="BV3927" t="s">
        <v>98</v>
      </c>
      <c r="BY3927">
        <v>44640</v>
      </c>
      <c r="CA3927" t="s">
        <v>345</v>
      </c>
      <c r="CC3927" t="s">
        <v>169</v>
      </c>
      <c r="CD3927">
        <v>6001</v>
      </c>
      <c r="CE3927" t="s">
        <v>145</v>
      </c>
      <c r="CF3927" s="3">
        <v>45866</v>
      </c>
      <c r="CI3927">
        <v>1</v>
      </c>
      <c r="CJ3927">
        <v>1</v>
      </c>
      <c r="CK3927">
        <v>21</v>
      </c>
      <c r="CL3927" t="s">
        <v>86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"080066791923"</f>
        <v>080066791923</v>
      </c>
      <c r="F3928" s="3">
        <v>45863</v>
      </c>
      <c r="G3928">
        <v>202604</v>
      </c>
      <c r="H3928" t="s">
        <v>75</v>
      </c>
      <c r="I3928" t="s">
        <v>76</v>
      </c>
      <c r="J3928" t="s">
        <v>77</v>
      </c>
      <c r="K3928" t="s">
        <v>78</v>
      </c>
      <c r="L3928" t="s">
        <v>580</v>
      </c>
      <c r="M3928" t="s">
        <v>581</v>
      </c>
      <c r="N3928" t="s">
        <v>582</v>
      </c>
      <c r="O3928" t="s">
        <v>82</v>
      </c>
      <c r="P3928" t="str">
        <f>"4170051165                    "</f>
        <v xml:space="preserve">4170051165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33.89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2</v>
      </c>
      <c r="BJ3928">
        <v>2.9</v>
      </c>
      <c r="BK3928">
        <v>3</v>
      </c>
      <c r="BL3928">
        <v>106.77</v>
      </c>
      <c r="BM3928">
        <v>16.02</v>
      </c>
      <c r="BN3928">
        <v>122.79</v>
      </c>
      <c r="BO3928">
        <v>122.79</v>
      </c>
      <c r="BQ3928" t="s">
        <v>583</v>
      </c>
      <c r="BR3928" t="s">
        <v>84</v>
      </c>
      <c r="BS3928" s="3">
        <v>45866</v>
      </c>
      <c r="BT3928" s="4">
        <v>0.40972222222222221</v>
      </c>
      <c r="BU3928" t="s">
        <v>584</v>
      </c>
      <c r="BV3928" t="s">
        <v>98</v>
      </c>
      <c r="BY3928">
        <v>14652</v>
      </c>
      <c r="CA3928" t="s">
        <v>585</v>
      </c>
      <c r="CC3928" t="s">
        <v>581</v>
      </c>
      <c r="CD3928">
        <v>4302</v>
      </c>
      <c r="CE3928" t="s">
        <v>91</v>
      </c>
      <c r="CF3928" s="3">
        <v>45867</v>
      </c>
      <c r="CI3928">
        <v>1</v>
      </c>
      <c r="CJ3928">
        <v>1</v>
      </c>
      <c r="CK3928">
        <v>21</v>
      </c>
      <c r="CL3928" t="s">
        <v>86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"080066791942"</f>
        <v>080066791942</v>
      </c>
      <c r="F3929" s="3">
        <v>45863</v>
      </c>
      <c r="G3929">
        <v>202604</v>
      </c>
      <c r="H3929" t="s">
        <v>75</v>
      </c>
      <c r="I3929" t="s">
        <v>76</v>
      </c>
      <c r="J3929" t="s">
        <v>77</v>
      </c>
      <c r="K3929" t="s">
        <v>78</v>
      </c>
      <c r="L3929" t="s">
        <v>102</v>
      </c>
      <c r="M3929" t="s">
        <v>103</v>
      </c>
      <c r="N3929" t="s">
        <v>2293</v>
      </c>
      <c r="O3929" t="s">
        <v>82</v>
      </c>
      <c r="P3929" t="str">
        <f>"4170051182                    "</f>
        <v xml:space="preserve">4170051182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31.78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2</v>
      </c>
      <c r="BJ3929">
        <v>1.1000000000000001</v>
      </c>
      <c r="BK3929">
        <v>2</v>
      </c>
      <c r="BL3929">
        <v>100.13</v>
      </c>
      <c r="BM3929">
        <v>15.02</v>
      </c>
      <c r="BN3929">
        <v>115.15</v>
      </c>
      <c r="BO3929">
        <v>115.15</v>
      </c>
      <c r="BQ3929" t="s">
        <v>2294</v>
      </c>
      <c r="BR3929" t="s">
        <v>84</v>
      </c>
      <c r="BS3929" s="3">
        <v>45866</v>
      </c>
      <c r="BT3929" s="4">
        <v>0.47430555555555554</v>
      </c>
      <c r="BU3929" t="s">
        <v>3561</v>
      </c>
      <c r="BV3929" t="s">
        <v>98</v>
      </c>
      <c r="BY3929">
        <v>5320</v>
      </c>
      <c r="CC3929" t="s">
        <v>103</v>
      </c>
      <c r="CD3929">
        <v>1739</v>
      </c>
      <c r="CE3929" t="s">
        <v>145</v>
      </c>
      <c r="CF3929" s="3">
        <v>45867</v>
      </c>
      <c r="CI3929">
        <v>1</v>
      </c>
      <c r="CJ3929">
        <v>1</v>
      </c>
      <c r="CK3929">
        <v>24</v>
      </c>
      <c r="CL3929" t="s">
        <v>86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"080066791974"</f>
        <v>080066791974</v>
      </c>
      <c r="F3930" s="3">
        <v>45863</v>
      </c>
      <c r="G3930">
        <v>202604</v>
      </c>
      <c r="H3930" t="s">
        <v>75</v>
      </c>
      <c r="I3930" t="s">
        <v>76</v>
      </c>
      <c r="J3930" t="s">
        <v>77</v>
      </c>
      <c r="K3930" t="s">
        <v>78</v>
      </c>
      <c r="L3930" t="s">
        <v>1462</v>
      </c>
      <c r="M3930" t="s">
        <v>1463</v>
      </c>
      <c r="N3930" t="s">
        <v>3562</v>
      </c>
      <c r="O3930" t="s">
        <v>82</v>
      </c>
      <c r="P3930" t="str">
        <f>"4170051071                    "</f>
        <v xml:space="preserve">4170051071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43.78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137.94</v>
      </c>
      <c r="BM3930">
        <v>20.69</v>
      </c>
      <c r="BN3930">
        <v>158.63</v>
      </c>
      <c r="BO3930">
        <v>158.63</v>
      </c>
      <c r="BQ3930" t="s">
        <v>3563</v>
      </c>
      <c r="BR3930" t="s">
        <v>84</v>
      </c>
      <c r="BS3930" s="3">
        <v>45866</v>
      </c>
      <c r="BT3930" s="4">
        <v>0.41666666666666669</v>
      </c>
      <c r="BU3930" t="s">
        <v>3564</v>
      </c>
      <c r="BV3930" t="s">
        <v>98</v>
      </c>
      <c r="BY3930">
        <v>1200</v>
      </c>
      <c r="CC3930" t="s">
        <v>1463</v>
      </c>
      <c r="CD3930">
        <v>3280</v>
      </c>
      <c r="CE3930" t="s">
        <v>121</v>
      </c>
      <c r="CF3930" s="3">
        <v>45866</v>
      </c>
      <c r="CI3930">
        <v>1</v>
      </c>
      <c r="CJ3930">
        <v>1</v>
      </c>
      <c r="CK3930">
        <v>23</v>
      </c>
      <c r="CL3930" t="s">
        <v>86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"080066792227"</f>
        <v>080066792227</v>
      </c>
      <c r="F3931" s="3">
        <v>45863</v>
      </c>
      <c r="G3931">
        <v>202604</v>
      </c>
      <c r="H3931" t="s">
        <v>75</v>
      </c>
      <c r="I3931" t="s">
        <v>76</v>
      </c>
      <c r="J3931" t="s">
        <v>77</v>
      </c>
      <c r="K3931" t="s">
        <v>78</v>
      </c>
      <c r="L3931" t="s">
        <v>1768</v>
      </c>
      <c r="M3931" t="s">
        <v>1769</v>
      </c>
      <c r="N3931" t="s">
        <v>1928</v>
      </c>
      <c r="O3931" t="s">
        <v>82</v>
      </c>
      <c r="P3931" t="str">
        <f>"4170051123                    "</f>
        <v xml:space="preserve">4170051123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43.78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137.94</v>
      </c>
      <c r="BM3931">
        <v>20.69</v>
      </c>
      <c r="BN3931">
        <v>158.63</v>
      </c>
      <c r="BO3931">
        <v>158.63</v>
      </c>
      <c r="BQ3931" t="s">
        <v>1929</v>
      </c>
      <c r="BR3931" t="s">
        <v>84</v>
      </c>
      <c r="BS3931" s="3">
        <v>45866</v>
      </c>
      <c r="BT3931" s="4">
        <v>0.43402777777777779</v>
      </c>
      <c r="BU3931" t="s">
        <v>3565</v>
      </c>
      <c r="BV3931" t="s">
        <v>98</v>
      </c>
      <c r="BY3931">
        <v>1200</v>
      </c>
      <c r="CA3931" t="s">
        <v>3249</v>
      </c>
      <c r="CC3931" t="s">
        <v>1769</v>
      </c>
      <c r="CD3931">
        <v>2302</v>
      </c>
      <c r="CE3931" t="s">
        <v>121</v>
      </c>
      <c r="CF3931" s="3">
        <v>45866</v>
      </c>
      <c r="CI3931">
        <v>1</v>
      </c>
      <c r="CJ3931">
        <v>1</v>
      </c>
      <c r="CK3931">
        <v>23</v>
      </c>
      <c r="CL3931" t="s">
        <v>86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"080066792289"</f>
        <v>080066792289</v>
      </c>
      <c r="F3932" s="3">
        <v>45863</v>
      </c>
      <c r="G3932">
        <v>202604</v>
      </c>
      <c r="H3932" t="s">
        <v>75</v>
      </c>
      <c r="I3932" t="s">
        <v>76</v>
      </c>
      <c r="J3932" t="s">
        <v>77</v>
      </c>
      <c r="K3932" t="s">
        <v>78</v>
      </c>
      <c r="L3932" t="s">
        <v>79</v>
      </c>
      <c r="M3932" t="s">
        <v>80</v>
      </c>
      <c r="N3932" t="s">
        <v>1775</v>
      </c>
      <c r="O3932" t="s">
        <v>82</v>
      </c>
      <c r="P3932" t="str">
        <f>"4170051008                    "</f>
        <v xml:space="preserve">4170051008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50.82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3</v>
      </c>
      <c r="BJ3932">
        <v>4.5</v>
      </c>
      <c r="BK3932">
        <v>4.5</v>
      </c>
      <c r="BL3932">
        <v>160.12</v>
      </c>
      <c r="BM3932">
        <v>24.02</v>
      </c>
      <c r="BN3932">
        <v>184.14</v>
      </c>
      <c r="BO3932">
        <v>184.14</v>
      </c>
      <c r="BQ3932" t="s">
        <v>1776</v>
      </c>
      <c r="BR3932" t="s">
        <v>84</v>
      </c>
      <c r="BS3932" s="3">
        <v>45866</v>
      </c>
      <c r="BT3932" s="4">
        <v>0.40347222222222223</v>
      </c>
      <c r="BU3932" t="s">
        <v>933</v>
      </c>
      <c r="BV3932" t="s">
        <v>98</v>
      </c>
      <c r="BY3932">
        <v>22620</v>
      </c>
      <c r="CA3932" t="s">
        <v>934</v>
      </c>
      <c r="CC3932" t="s">
        <v>80</v>
      </c>
      <c r="CD3932">
        <v>7530</v>
      </c>
      <c r="CE3932" t="s">
        <v>145</v>
      </c>
      <c r="CF3932" s="3">
        <v>45867</v>
      </c>
      <c r="CI3932">
        <v>1</v>
      </c>
      <c r="CJ3932">
        <v>1</v>
      </c>
      <c r="CK3932">
        <v>21</v>
      </c>
      <c r="CL3932" t="s">
        <v>86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"080066792313"</f>
        <v>080066792313</v>
      </c>
      <c r="F3933" s="3">
        <v>45863</v>
      </c>
      <c r="G3933">
        <v>202604</v>
      </c>
      <c r="H3933" t="s">
        <v>75</v>
      </c>
      <c r="I3933" t="s">
        <v>76</v>
      </c>
      <c r="J3933" t="s">
        <v>77</v>
      </c>
      <c r="K3933" t="s">
        <v>78</v>
      </c>
      <c r="L3933" t="s">
        <v>197</v>
      </c>
      <c r="M3933" t="s">
        <v>198</v>
      </c>
      <c r="N3933" t="s">
        <v>1209</v>
      </c>
      <c r="O3933" t="s">
        <v>82</v>
      </c>
      <c r="P3933" t="str">
        <f>"4170049416                    "</f>
        <v xml:space="preserve">4170049416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17.649999999999999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55.61</v>
      </c>
      <c r="BM3933">
        <v>8.34</v>
      </c>
      <c r="BN3933">
        <v>63.95</v>
      </c>
      <c r="BO3933">
        <v>63.95</v>
      </c>
      <c r="BQ3933" t="s">
        <v>1210</v>
      </c>
      <c r="BR3933" t="s">
        <v>84</v>
      </c>
      <c r="BS3933" s="3">
        <v>45866</v>
      </c>
      <c r="BT3933" s="4">
        <v>0.35625000000000001</v>
      </c>
      <c r="BU3933" t="s">
        <v>3566</v>
      </c>
      <c r="BV3933" t="s">
        <v>98</v>
      </c>
      <c r="BY3933">
        <v>1200</v>
      </c>
      <c r="CA3933" t="s">
        <v>522</v>
      </c>
      <c r="CC3933" t="s">
        <v>198</v>
      </c>
      <c r="CD3933">
        <v>1406</v>
      </c>
      <c r="CE3933" t="s">
        <v>121</v>
      </c>
      <c r="CF3933" s="3">
        <v>45866</v>
      </c>
      <c r="CI3933">
        <v>1</v>
      </c>
      <c r="CJ3933">
        <v>1</v>
      </c>
      <c r="CK3933">
        <v>22</v>
      </c>
      <c r="CL3933" t="s">
        <v>86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"080066792320"</f>
        <v>080066792320</v>
      </c>
      <c r="F3934" s="3">
        <v>45863</v>
      </c>
      <c r="G3934">
        <v>202604</v>
      </c>
      <c r="H3934" t="s">
        <v>75</v>
      </c>
      <c r="I3934" t="s">
        <v>76</v>
      </c>
      <c r="J3934" t="s">
        <v>77</v>
      </c>
      <c r="K3934" t="s">
        <v>78</v>
      </c>
      <c r="L3934" t="s">
        <v>305</v>
      </c>
      <c r="M3934" t="s">
        <v>306</v>
      </c>
      <c r="N3934" t="s">
        <v>640</v>
      </c>
      <c r="O3934" t="s">
        <v>82</v>
      </c>
      <c r="P3934" t="str">
        <f>"4170051065                    "</f>
        <v xml:space="preserve">4170051065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33.89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3</v>
      </c>
      <c r="BJ3934">
        <v>1.1000000000000001</v>
      </c>
      <c r="BK3934">
        <v>3</v>
      </c>
      <c r="BL3934">
        <v>106.77</v>
      </c>
      <c r="BM3934">
        <v>16.02</v>
      </c>
      <c r="BN3934">
        <v>122.79</v>
      </c>
      <c r="BO3934">
        <v>122.79</v>
      </c>
      <c r="BQ3934" t="s">
        <v>641</v>
      </c>
      <c r="BR3934" t="s">
        <v>84</v>
      </c>
      <c r="BS3934" s="3">
        <v>45866</v>
      </c>
      <c r="BT3934" s="4">
        <v>0.33194444444444443</v>
      </c>
      <c r="BU3934" t="s">
        <v>3567</v>
      </c>
      <c r="BV3934" t="s">
        <v>98</v>
      </c>
      <c r="BY3934">
        <v>5320</v>
      </c>
      <c r="CA3934" t="s">
        <v>310</v>
      </c>
      <c r="CC3934" t="s">
        <v>306</v>
      </c>
      <c r="CD3934">
        <v>5201</v>
      </c>
      <c r="CE3934" t="s">
        <v>3284</v>
      </c>
      <c r="CF3934" s="3">
        <v>45867</v>
      </c>
      <c r="CI3934">
        <v>1</v>
      </c>
      <c r="CJ3934">
        <v>1</v>
      </c>
      <c r="CK3934">
        <v>21</v>
      </c>
      <c r="CL3934" t="s">
        <v>86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"080066792335"</f>
        <v>080066792335</v>
      </c>
      <c r="F3935" s="3">
        <v>45863</v>
      </c>
      <c r="G3935">
        <v>202604</v>
      </c>
      <c r="H3935" t="s">
        <v>75</v>
      </c>
      <c r="I3935" t="s">
        <v>76</v>
      </c>
      <c r="J3935" t="s">
        <v>77</v>
      </c>
      <c r="K3935" t="s">
        <v>78</v>
      </c>
      <c r="L3935" t="s">
        <v>79</v>
      </c>
      <c r="M3935" t="s">
        <v>80</v>
      </c>
      <c r="N3935" t="s">
        <v>286</v>
      </c>
      <c r="O3935" t="s">
        <v>82</v>
      </c>
      <c r="P3935" t="str">
        <f>"4170050716                    "</f>
        <v xml:space="preserve">4170050716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22.6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71.2</v>
      </c>
      <c r="BM3935">
        <v>10.68</v>
      </c>
      <c r="BN3935">
        <v>81.88</v>
      </c>
      <c r="BO3935">
        <v>81.88</v>
      </c>
      <c r="BQ3935" t="s">
        <v>287</v>
      </c>
      <c r="BR3935" t="s">
        <v>84</v>
      </c>
      <c r="BS3935" s="3">
        <v>45866</v>
      </c>
      <c r="BT3935" s="4">
        <v>0.31319444444444444</v>
      </c>
      <c r="BU3935" t="s">
        <v>288</v>
      </c>
      <c r="BV3935" t="s">
        <v>98</v>
      </c>
      <c r="BY3935">
        <v>1200</v>
      </c>
      <c r="CA3935" t="s">
        <v>289</v>
      </c>
      <c r="CC3935" t="s">
        <v>80</v>
      </c>
      <c r="CD3935">
        <v>7530</v>
      </c>
      <c r="CE3935" t="s">
        <v>121</v>
      </c>
      <c r="CF3935" s="3">
        <v>45867</v>
      </c>
      <c r="CI3935">
        <v>1</v>
      </c>
      <c r="CJ3935">
        <v>1</v>
      </c>
      <c r="CK3935">
        <v>21</v>
      </c>
      <c r="CL3935" t="s">
        <v>86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"080066792344"</f>
        <v>080066792344</v>
      </c>
      <c r="F3936" s="3">
        <v>45863</v>
      </c>
      <c r="G3936">
        <v>202604</v>
      </c>
      <c r="H3936" t="s">
        <v>75</v>
      </c>
      <c r="I3936" t="s">
        <v>76</v>
      </c>
      <c r="J3936" t="s">
        <v>77</v>
      </c>
      <c r="K3936" t="s">
        <v>78</v>
      </c>
      <c r="L3936" t="s">
        <v>75</v>
      </c>
      <c r="M3936" t="s">
        <v>76</v>
      </c>
      <c r="N3936" t="s">
        <v>1324</v>
      </c>
      <c r="O3936" t="s">
        <v>82</v>
      </c>
      <c r="P3936" t="str">
        <f>"4170051063                    "</f>
        <v xml:space="preserve">4170051063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17.649999999999999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3</v>
      </c>
      <c r="BJ3936">
        <v>1.1000000000000001</v>
      </c>
      <c r="BK3936">
        <v>3</v>
      </c>
      <c r="BL3936">
        <v>55.61</v>
      </c>
      <c r="BM3936">
        <v>8.34</v>
      </c>
      <c r="BN3936">
        <v>63.95</v>
      </c>
      <c r="BO3936">
        <v>63.95</v>
      </c>
      <c r="BQ3936" t="s">
        <v>1325</v>
      </c>
      <c r="BR3936" t="s">
        <v>84</v>
      </c>
      <c r="BS3936" s="3">
        <v>45866</v>
      </c>
      <c r="BT3936" s="4">
        <v>0.2986111111111111</v>
      </c>
      <c r="BU3936" t="s">
        <v>3558</v>
      </c>
      <c r="BV3936" t="s">
        <v>98</v>
      </c>
      <c r="BY3936">
        <v>5320</v>
      </c>
      <c r="CC3936" t="s">
        <v>76</v>
      </c>
      <c r="CD3936">
        <v>1600</v>
      </c>
      <c r="CE3936" t="s">
        <v>145</v>
      </c>
      <c r="CF3936" s="3">
        <v>45866</v>
      </c>
      <c r="CI3936">
        <v>1</v>
      </c>
      <c r="CJ3936">
        <v>1</v>
      </c>
      <c r="CK3936">
        <v>22</v>
      </c>
      <c r="CL3936" t="s">
        <v>86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"080066792354"</f>
        <v>080066792354</v>
      </c>
      <c r="F3937" s="3">
        <v>45863</v>
      </c>
      <c r="G3937">
        <v>202604</v>
      </c>
      <c r="H3937" t="s">
        <v>75</v>
      </c>
      <c r="I3937" t="s">
        <v>76</v>
      </c>
      <c r="J3937" t="s">
        <v>77</v>
      </c>
      <c r="K3937" t="s">
        <v>78</v>
      </c>
      <c r="L3937" t="s">
        <v>75</v>
      </c>
      <c r="M3937" t="s">
        <v>76</v>
      </c>
      <c r="N3937" t="s">
        <v>118</v>
      </c>
      <c r="O3937" t="s">
        <v>82</v>
      </c>
      <c r="P3937" t="str">
        <f>"4170050919                    "</f>
        <v xml:space="preserve">4170050919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17.649999999999999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55.61</v>
      </c>
      <c r="BM3937">
        <v>8.34</v>
      </c>
      <c r="BN3937">
        <v>63.95</v>
      </c>
      <c r="BO3937">
        <v>63.95</v>
      </c>
      <c r="BQ3937" t="s">
        <v>119</v>
      </c>
      <c r="BR3937" t="s">
        <v>84</v>
      </c>
      <c r="BS3937" s="3">
        <v>45866</v>
      </c>
      <c r="BT3937" s="4">
        <v>0.32777777777777778</v>
      </c>
      <c r="BU3937" t="s">
        <v>2216</v>
      </c>
      <c r="BV3937" t="s">
        <v>98</v>
      </c>
      <c r="BY3937">
        <v>1200</v>
      </c>
      <c r="CC3937" t="s">
        <v>76</v>
      </c>
      <c r="CD3937">
        <v>1600</v>
      </c>
      <c r="CE3937" t="s">
        <v>121</v>
      </c>
      <c r="CF3937" s="3">
        <v>45866</v>
      </c>
      <c r="CI3937">
        <v>1</v>
      </c>
      <c r="CJ3937">
        <v>1</v>
      </c>
      <c r="CK3937">
        <v>22</v>
      </c>
      <c r="CL3937" t="s">
        <v>86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"080066792381"</f>
        <v>080066792381</v>
      </c>
      <c r="F3938" s="3">
        <v>45863</v>
      </c>
      <c r="G3938">
        <v>202604</v>
      </c>
      <c r="H3938" t="s">
        <v>75</v>
      </c>
      <c r="I3938" t="s">
        <v>76</v>
      </c>
      <c r="J3938" t="s">
        <v>77</v>
      </c>
      <c r="K3938" t="s">
        <v>78</v>
      </c>
      <c r="L3938" t="s">
        <v>92</v>
      </c>
      <c r="M3938" t="s">
        <v>93</v>
      </c>
      <c r="N3938" t="s">
        <v>749</v>
      </c>
      <c r="O3938" t="s">
        <v>82</v>
      </c>
      <c r="P3938" t="str">
        <f>"4170051201                    "</f>
        <v xml:space="preserve">4170051201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22.6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1.7</v>
      </c>
      <c r="BK3938">
        <v>2</v>
      </c>
      <c r="BL3938">
        <v>71.2</v>
      </c>
      <c r="BM3938">
        <v>10.68</v>
      </c>
      <c r="BN3938">
        <v>81.88</v>
      </c>
      <c r="BO3938">
        <v>81.88</v>
      </c>
      <c r="BQ3938" t="s">
        <v>3214</v>
      </c>
      <c r="BR3938" t="s">
        <v>84</v>
      </c>
      <c r="BS3938" s="3">
        <v>45866</v>
      </c>
      <c r="BT3938" s="4">
        <v>0.38750000000000001</v>
      </c>
      <c r="BU3938" t="s">
        <v>3568</v>
      </c>
      <c r="BV3938" t="s">
        <v>98</v>
      </c>
      <c r="BY3938">
        <v>8512</v>
      </c>
      <c r="CA3938" t="s">
        <v>2430</v>
      </c>
      <c r="CC3938" t="s">
        <v>93</v>
      </c>
      <c r="CD3938">
        <v>4001</v>
      </c>
      <c r="CE3938" t="s">
        <v>145</v>
      </c>
      <c r="CF3938" s="3">
        <v>45866</v>
      </c>
      <c r="CI3938">
        <v>1</v>
      </c>
      <c r="CJ3938">
        <v>1</v>
      </c>
      <c r="CK3938">
        <v>21</v>
      </c>
      <c r="CL3938" t="s">
        <v>86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"080066792387"</f>
        <v>080066792387</v>
      </c>
      <c r="F3939" s="3">
        <v>45863</v>
      </c>
      <c r="G3939">
        <v>202604</v>
      </c>
      <c r="H3939" t="s">
        <v>75</v>
      </c>
      <c r="I3939" t="s">
        <v>76</v>
      </c>
      <c r="J3939" t="s">
        <v>77</v>
      </c>
      <c r="K3939" t="s">
        <v>78</v>
      </c>
      <c r="L3939" t="s">
        <v>168</v>
      </c>
      <c r="M3939" t="s">
        <v>169</v>
      </c>
      <c r="N3939" t="s">
        <v>202</v>
      </c>
      <c r="O3939" t="s">
        <v>82</v>
      </c>
      <c r="P3939" t="str">
        <f>"4170050882                    "</f>
        <v xml:space="preserve">4170050882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22.6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71.2</v>
      </c>
      <c r="BM3939">
        <v>10.68</v>
      </c>
      <c r="BN3939">
        <v>81.88</v>
      </c>
      <c r="BO3939">
        <v>81.88</v>
      </c>
      <c r="BQ3939" t="s">
        <v>203</v>
      </c>
      <c r="BR3939" t="s">
        <v>84</v>
      </c>
      <c r="BS3939" s="3">
        <v>45866</v>
      </c>
      <c r="BT3939" s="4">
        <v>0.3972222222222222</v>
      </c>
      <c r="BU3939" t="s">
        <v>1713</v>
      </c>
      <c r="BV3939" t="s">
        <v>98</v>
      </c>
      <c r="BY3939">
        <v>1200</v>
      </c>
      <c r="CA3939" t="s">
        <v>205</v>
      </c>
      <c r="CC3939" t="s">
        <v>169</v>
      </c>
      <c r="CD3939">
        <v>6001</v>
      </c>
      <c r="CE3939" t="s">
        <v>121</v>
      </c>
      <c r="CF3939" s="3">
        <v>45866</v>
      </c>
      <c r="CI3939">
        <v>1</v>
      </c>
      <c r="CJ3939">
        <v>1</v>
      </c>
      <c r="CK3939">
        <v>21</v>
      </c>
      <c r="CL3939" t="s">
        <v>86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"080066792405"</f>
        <v>080066792405</v>
      </c>
      <c r="F3940" s="3">
        <v>45863</v>
      </c>
      <c r="G3940">
        <v>202604</v>
      </c>
      <c r="H3940" t="s">
        <v>75</v>
      </c>
      <c r="I3940" t="s">
        <v>76</v>
      </c>
      <c r="J3940" t="s">
        <v>77</v>
      </c>
      <c r="K3940" t="s">
        <v>78</v>
      </c>
      <c r="L3940" t="s">
        <v>79</v>
      </c>
      <c r="M3940" t="s">
        <v>80</v>
      </c>
      <c r="N3940" t="s">
        <v>188</v>
      </c>
      <c r="O3940" t="s">
        <v>82</v>
      </c>
      <c r="P3940" t="str">
        <f>"4170050902                    "</f>
        <v xml:space="preserve">4170050902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22.6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71.2</v>
      </c>
      <c r="BM3940">
        <v>10.68</v>
      </c>
      <c r="BN3940">
        <v>81.88</v>
      </c>
      <c r="BO3940">
        <v>81.88</v>
      </c>
      <c r="BQ3940" t="s">
        <v>189</v>
      </c>
      <c r="BR3940" t="s">
        <v>84</v>
      </c>
      <c r="BS3940" s="3">
        <v>45866</v>
      </c>
      <c r="BT3940" s="4">
        <v>0.39444444444444443</v>
      </c>
      <c r="BU3940" t="s">
        <v>3569</v>
      </c>
      <c r="BV3940" t="s">
        <v>98</v>
      </c>
      <c r="BY3940">
        <v>1200</v>
      </c>
      <c r="CC3940" t="s">
        <v>80</v>
      </c>
      <c r="CD3940">
        <v>7441</v>
      </c>
      <c r="CE3940" t="s">
        <v>121</v>
      </c>
      <c r="CF3940" s="3">
        <v>45867</v>
      </c>
      <c r="CI3940">
        <v>1</v>
      </c>
      <c r="CJ3940">
        <v>1</v>
      </c>
      <c r="CK3940">
        <v>21</v>
      </c>
      <c r="CL3940" t="s">
        <v>86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"080066792411"</f>
        <v>080066792411</v>
      </c>
      <c r="F3941" s="3">
        <v>45863</v>
      </c>
      <c r="G3941">
        <v>202604</v>
      </c>
      <c r="H3941" t="s">
        <v>75</v>
      </c>
      <c r="I3941" t="s">
        <v>76</v>
      </c>
      <c r="J3941" t="s">
        <v>77</v>
      </c>
      <c r="K3941" t="s">
        <v>78</v>
      </c>
      <c r="L3941" t="s">
        <v>122</v>
      </c>
      <c r="M3941" t="s">
        <v>123</v>
      </c>
      <c r="N3941" t="s">
        <v>267</v>
      </c>
      <c r="O3941" t="s">
        <v>82</v>
      </c>
      <c r="P3941" t="str">
        <f>"4170051005                    "</f>
        <v xml:space="preserve">4170051005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135.5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12</v>
      </c>
      <c r="BJ3941">
        <v>8.9</v>
      </c>
      <c r="BK3941">
        <v>12</v>
      </c>
      <c r="BL3941">
        <v>426.9</v>
      </c>
      <c r="BM3941">
        <v>64.040000000000006</v>
      </c>
      <c r="BN3941">
        <v>490.94</v>
      </c>
      <c r="BO3941">
        <v>490.94</v>
      </c>
      <c r="BQ3941" t="s">
        <v>268</v>
      </c>
      <c r="BR3941" t="s">
        <v>84</v>
      </c>
      <c r="BS3941" s="3">
        <v>45866</v>
      </c>
      <c r="BT3941" s="4">
        <v>0.51458333333333328</v>
      </c>
      <c r="BU3941" t="s">
        <v>722</v>
      </c>
      <c r="BV3941" t="s">
        <v>98</v>
      </c>
      <c r="BY3941">
        <v>44640</v>
      </c>
      <c r="CA3941" t="s">
        <v>166</v>
      </c>
      <c r="CC3941" t="s">
        <v>123</v>
      </c>
      <c r="CD3941">
        <v>3610</v>
      </c>
      <c r="CE3941" t="s">
        <v>145</v>
      </c>
      <c r="CF3941" s="3">
        <v>45866</v>
      </c>
      <c r="CI3941">
        <v>1</v>
      </c>
      <c r="CJ3941">
        <v>1</v>
      </c>
      <c r="CK3941">
        <v>21</v>
      </c>
      <c r="CL3941" t="s">
        <v>86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"080066792431"</f>
        <v>080066792431</v>
      </c>
      <c r="F3942" s="3">
        <v>45863</v>
      </c>
      <c r="G3942">
        <v>202604</v>
      </c>
      <c r="H3942" t="s">
        <v>75</v>
      </c>
      <c r="I3942" t="s">
        <v>76</v>
      </c>
      <c r="J3942" t="s">
        <v>77</v>
      </c>
      <c r="K3942" t="s">
        <v>78</v>
      </c>
      <c r="L3942" t="s">
        <v>329</v>
      </c>
      <c r="M3942" t="s">
        <v>330</v>
      </c>
      <c r="N3942" t="s">
        <v>331</v>
      </c>
      <c r="O3942" t="s">
        <v>82</v>
      </c>
      <c r="P3942" t="str">
        <f>"4170050722                    "</f>
        <v xml:space="preserve">4170050722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43.78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137.94</v>
      </c>
      <c r="BM3942">
        <v>20.69</v>
      </c>
      <c r="BN3942">
        <v>158.63</v>
      </c>
      <c r="BO3942">
        <v>158.63</v>
      </c>
      <c r="BQ3942" t="s">
        <v>332</v>
      </c>
      <c r="BR3942" t="s">
        <v>84</v>
      </c>
      <c r="BS3942" s="3">
        <v>45866</v>
      </c>
      <c r="BT3942" s="4">
        <v>0.54374999999999996</v>
      </c>
      <c r="BU3942" t="s">
        <v>2900</v>
      </c>
      <c r="BV3942" t="s">
        <v>98</v>
      </c>
      <c r="BY3942">
        <v>1200</v>
      </c>
      <c r="CA3942" t="s">
        <v>1153</v>
      </c>
      <c r="CC3942" t="s">
        <v>330</v>
      </c>
      <c r="CD3942">
        <v>6300</v>
      </c>
      <c r="CE3942" t="s">
        <v>121</v>
      </c>
      <c r="CF3942" s="3">
        <v>45866</v>
      </c>
      <c r="CI3942">
        <v>2</v>
      </c>
      <c r="CJ3942">
        <v>1</v>
      </c>
      <c r="CK3942">
        <v>23</v>
      </c>
      <c r="CL3942" t="s">
        <v>86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"080066792461"</f>
        <v>080066792461</v>
      </c>
      <c r="F3943" s="3">
        <v>45863</v>
      </c>
      <c r="G3943">
        <v>202604</v>
      </c>
      <c r="H3943" t="s">
        <v>75</v>
      </c>
      <c r="I3943" t="s">
        <v>76</v>
      </c>
      <c r="J3943" t="s">
        <v>77</v>
      </c>
      <c r="K3943" t="s">
        <v>78</v>
      </c>
      <c r="L3943" t="s">
        <v>168</v>
      </c>
      <c r="M3943" t="s">
        <v>169</v>
      </c>
      <c r="N3943" t="s">
        <v>206</v>
      </c>
      <c r="O3943" t="s">
        <v>95</v>
      </c>
      <c r="P3943" t="str">
        <f>"4170050995                    "</f>
        <v xml:space="preserve">4170050995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133.91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3</v>
      </c>
      <c r="BI3943">
        <v>31</v>
      </c>
      <c r="BJ3943">
        <v>64.099999999999994</v>
      </c>
      <c r="BK3943">
        <v>65</v>
      </c>
      <c r="BL3943">
        <v>427.76</v>
      </c>
      <c r="BM3943">
        <v>64.16</v>
      </c>
      <c r="BN3943">
        <v>491.92</v>
      </c>
      <c r="BO3943">
        <v>491.92</v>
      </c>
      <c r="BQ3943" t="s">
        <v>207</v>
      </c>
      <c r="BR3943" t="s">
        <v>84</v>
      </c>
      <c r="BS3943" s="3">
        <v>45866</v>
      </c>
      <c r="BT3943" s="4">
        <v>0.39444444444444443</v>
      </c>
      <c r="BU3943" t="s">
        <v>208</v>
      </c>
      <c r="BV3943" t="s">
        <v>98</v>
      </c>
      <c r="BY3943">
        <v>161952</v>
      </c>
      <c r="CA3943" t="s">
        <v>196</v>
      </c>
      <c r="CC3943" t="s">
        <v>169</v>
      </c>
      <c r="CD3943">
        <v>6001</v>
      </c>
      <c r="CE3943" t="s">
        <v>259</v>
      </c>
      <c r="CF3943" s="3">
        <v>45866</v>
      </c>
      <c r="CI3943">
        <v>3</v>
      </c>
      <c r="CJ3943">
        <v>1</v>
      </c>
      <c r="CK3943">
        <v>41</v>
      </c>
      <c r="CL3943" t="s">
        <v>86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"080066792505"</f>
        <v>080066792505</v>
      </c>
      <c r="F3944" s="3">
        <v>45863</v>
      </c>
      <c r="G3944">
        <v>202604</v>
      </c>
      <c r="H3944" t="s">
        <v>75</v>
      </c>
      <c r="I3944" t="s">
        <v>76</v>
      </c>
      <c r="J3944" t="s">
        <v>77</v>
      </c>
      <c r="K3944" t="s">
        <v>78</v>
      </c>
      <c r="L3944" t="s">
        <v>406</v>
      </c>
      <c r="M3944" t="s">
        <v>407</v>
      </c>
      <c r="N3944" t="s">
        <v>1283</v>
      </c>
      <c r="O3944" t="s">
        <v>95</v>
      </c>
      <c r="P3944" t="str">
        <f>"4170050937                    "</f>
        <v xml:space="preserve">4170050937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67.930000000000007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17</v>
      </c>
      <c r="BJ3944">
        <v>16.3</v>
      </c>
      <c r="BK3944">
        <v>17</v>
      </c>
      <c r="BL3944">
        <v>219.89</v>
      </c>
      <c r="BM3944">
        <v>32.979999999999997</v>
      </c>
      <c r="BN3944">
        <v>252.87</v>
      </c>
      <c r="BO3944">
        <v>252.87</v>
      </c>
      <c r="BQ3944" t="s">
        <v>1284</v>
      </c>
      <c r="BR3944" t="s">
        <v>84</v>
      </c>
      <c r="BS3944" s="3">
        <v>45866</v>
      </c>
      <c r="BT3944" s="4">
        <v>0.4909722222222222</v>
      </c>
      <c r="BU3944" t="s">
        <v>3570</v>
      </c>
      <c r="BV3944" t="s">
        <v>98</v>
      </c>
      <c r="BY3944">
        <v>81648</v>
      </c>
      <c r="CA3944" t="s">
        <v>1286</v>
      </c>
      <c r="CC3944" t="s">
        <v>407</v>
      </c>
      <c r="CD3944">
        <v>4400</v>
      </c>
      <c r="CE3944" t="s">
        <v>2742</v>
      </c>
      <c r="CF3944" s="3">
        <v>45867</v>
      </c>
      <c r="CI3944">
        <v>1</v>
      </c>
      <c r="CJ3944">
        <v>1</v>
      </c>
      <c r="CK3944">
        <v>43</v>
      </c>
      <c r="CL3944" t="s">
        <v>86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"080066792811"</f>
        <v>080066792811</v>
      </c>
      <c r="F3945" s="3">
        <v>45863</v>
      </c>
      <c r="G3945">
        <v>202604</v>
      </c>
      <c r="H3945" t="s">
        <v>75</v>
      </c>
      <c r="I3945" t="s">
        <v>76</v>
      </c>
      <c r="J3945" t="s">
        <v>77</v>
      </c>
      <c r="K3945" t="s">
        <v>78</v>
      </c>
      <c r="L3945" t="s">
        <v>75</v>
      </c>
      <c r="M3945" t="s">
        <v>76</v>
      </c>
      <c r="N3945" t="s">
        <v>3571</v>
      </c>
      <c r="O3945" t="s">
        <v>95</v>
      </c>
      <c r="P3945" t="str">
        <f>"4170051134                    "</f>
        <v xml:space="preserve">4170051134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36.68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12</v>
      </c>
      <c r="BJ3945">
        <v>17.7</v>
      </c>
      <c r="BK3945">
        <v>18</v>
      </c>
      <c r="BL3945">
        <v>121.43</v>
      </c>
      <c r="BM3945">
        <v>18.21</v>
      </c>
      <c r="BN3945">
        <v>139.63999999999999</v>
      </c>
      <c r="BO3945">
        <v>139.63999999999999</v>
      </c>
      <c r="BQ3945" t="s">
        <v>3572</v>
      </c>
      <c r="BR3945" t="s">
        <v>84</v>
      </c>
      <c r="BS3945" s="3">
        <v>45866</v>
      </c>
      <c r="BT3945" s="4">
        <v>0.4375</v>
      </c>
      <c r="BU3945" t="s">
        <v>3573</v>
      </c>
      <c r="BV3945" t="s">
        <v>98</v>
      </c>
      <c r="BY3945">
        <v>88320</v>
      </c>
      <c r="CA3945" t="s">
        <v>522</v>
      </c>
      <c r="CC3945" t="s">
        <v>76</v>
      </c>
      <c r="CD3945">
        <v>1614</v>
      </c>
      <c r="CE3945" t="s">
        <v>145</v>
      </c>
      <c r="CF3945" s="3">
        <v>45866</v>
      </c>
      <c r="CI3945">
        <v>1</v>
      </c>
      <c r="CJ3945">
        <v>1</v>
      </c>
      <c r="CK3945">
        <v>42</v>
      </c>
      <c r="CL3945" t="s">
        <v>86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"080066792825"</f>
        <v>080066792825</v>
      </c>
      <c r="F3946" s="3">
        <v>45863</v>
      </c>
      <c r="G3946">
        <v>202604</v>
      </c>
      <c r="H3946" t="s">
        <v>75</v>
      </c>
      <c r="I3946" t="s">
        <v>76</v>
      </c>
      <c r="J3946" t="s">
        <v>77</v>
      </c>
      <c r="K3946" t="s">
        <v>78</v>
      </c>
      <c r="L3946" t="s">
        <v>221</v>
      </c>
      <c r="M3946" t="s">
        <v>222</v>
      </c>
      <c r="N3946" t="s">
        <v>223</v>
      </c>
      <c r="O3946" t="s">
        <v>82</v>
      </c>
      <c r="P3946" t="str">
        <f>"4170051074                    "</f>
        <v xml:space="preserve">4170051074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142.63999999999999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3</v>
      </c>
      <c r="BJ3946">
        <v>6.9</v>
      </c>
      <c r="BK3946">
        <v>7</v>
      </c>
      <c r="BL3946">
        <v>449.4</v>
      </c>
      <c r="BM3946">
        <v>67.41</v>
      </c>
      <c r="BN3946">
        <v>516.80999999999995</v>
      </c>
      <c r="BO3946">
        <v>516.80999999999995</v>
      </c>
      <c r="BQ3946" t="s">
        <v>224</v>
      </c>
      <c r="BR3946" t="s">
        <v>84</v>
      </c>
      <c r="BS3946" s="3">
        <v>45866</v>
      </c>
      <c r="BT3946" s="4">
        <v>0.3263888888888889</v>
      </c>
      <c r="BU3946" t="s">
        <v>1707</v>
      </c>
      <c r="BV3946" t="s">
        <v>98</v>
      </c>
      <c r="BY3946">
        <v>34656</v>
      </c>
      <c r="CC3946" t="s">
        <v>222</v>
      </c>
      <c r="CD3946">
        <v>2740</v>
      </c>
      <c r="CE3946" t="s">
        <v>145</v>
      </c>
      <c r="CF3946" s="3">
        <v>45867</v>
      </c>
      <c r="CI3946">
        <v>1</v>
      </c>
      <c r="CJ3946">
        <v>1</v>
      </c>
      <c r="CK3946">
        <v>23</v>
      </c>
      <c r="CL3946" t="s">
        <v>86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"080066792833"</f>
        <v>080066792833</v>
      </c>
      <c r="F3947" s="3">
        <v>45863</v>
      </c>
      <c r="G3947">
        <v>202604</v>
      </c>
      <c r="H3947" t="s">
        <v>75</v>
      </c>
      <c r="I3947" t="s">
        <v>76</v>
      </c>
      <c r="J3947" t="s">
        <v>77</v>
      </c>
      <c r="K3947" t="s">
        <v>78</v>
      </c>
      <c r="L3947" t="s">
        <v>503</v>
      </c>
      <c r="M3947" t="s">
        <v>504</v>
      </c>
      <c r="N3947" t="s">
        <v>505</v>
      </c>
      <c r="O3947" t="s">
        <v>82</v>
      </c>
      <c r="P3947" t="str">
        <f>"4170051176                    "</f>
        <v xml:space="preserve">4170051176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43.78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1.7</v>
      </c>
      <c r="BK3947">
        <v>2</v>
      </c>
      <c r="BL3947">
        <v>137.94</v>
      </c>
      <c r="BM3947">
        <v>20.69</v>
      </c>
      <c r="BN3947">
        <v>158.63</v>
      </c>
      <c r="BO3947">
        <v>158.63</v>
      </c>
      <c r="BQ3947" t="s">
        <v>506</v>
      </c>
      <c r="BR3947" t="s">
        <v>84</v>
      </c>
      <c r="BS3947" s="3">
        <v>45866</v>
      </c>
      <c r="BT3947" s="4">
        <v>0.50138888888888888</v>
      </c>
      <c r="BU3947" t="s">
        <v>507</v>
      </c>
      <c r="BV3947" t="s">
        <v>98</v>
      </c>
      <c r="BY3947">
        <v>8550</v>
      </c>
      <c r="CA3947" t="s">
        <v>508</v>
      </c>
      <c r="CC3947" t="s">
        <v>504</v>
      </c>
      <c r="CD3947">
        <v>7130</v>
      </c>
      <c r="CE3947" t="s">
        <v>145</v>
      </c>
      <c r="CF3947" s="3">
        <v>45867</v>
      </c>
      <c r="CI3947">
        <v>1</v>
      </c>
      <c r="CJ3947">
        <v>1</v>
      </c>
      <c r="CK3947">
        <v>23</v>
      </c>
      <c r="CL3947" t="s">
        <v>86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"080066792858"</f>
        <v>080066792858</v>
      </c>
      <c r="F3948" s="3">
        <v>45863</v>
      </c>
      <c r="G3948">
        <v>202604</v>
      </c>
      <c r="H3948" t="s">
        <v>75</v>
      </c>
      <c r="I3948" t="s">
        <v>76</v>
      </c>
      <c r="J3948" t="s">
        <v>77</v>
      </c>
      <c r="K3948" t="s">
        <v>78</v>
      </c>
      <c r="L3948" t="s">
        <v>122</v>
      </c>
      <c r="M3948" t="s">
        <v>123</v>
      </c>
      <c r="N3948" t="s">
        <v>184</v>
      </c>
      <c r="O3948" t="s">
        <v>95</v>
      </c>
      <c r="P3948" t="str">
        <f>"4170050963                    "</f>
        <v xml:space="preserve">4170050963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70.760000000000005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2</v>
      </c>
      <c r="BI3948">
        <v>30</v>
      </c>
      <c r="BJ3948">
        <v>17.7</v>
      </c>
      <c r="BK3948">
        <v>30</v>
      </c>
      <c r="BL3948">
        <v>228.81</v>
      </c>
      <c r="BM3948">
        <v>34.32</v>
      </c>
      <c r="BN3948">
        <v>263.13</v>
      </c>
      <c r="BO3948">
        <v>263.13</v>
      </c>
      <c r="BQ3948" t="s">
        <v>185</v>
      </c>
      <c r="BR3948" t="s">
        <v>84</v>
      </c>
      <c r="BS3948" s="3">
        <v>45866</v>
      </c>
      <c r="BT3948" s="4">
        <v>0.43125000000000002</v>
      </c>
      <c r="BU3948" t="s">
        <v>186</v>
      </c>
      <c r="BV3948" t="s">
        <v>98</v>
      </c>
      <c r="BY3948">
        <v>44352</v>
      </c>
      <c r="CA3948" t="s">
        <v>187</v>
      </c>
      <c r="CC3948" t="s">
        <v>123</v>
      </c>
      <c r="CD3948">
        <v>3610</v>
      </c>
      <c r="CE3948" t="s">
        <v>145</v>
      </c>
      <c r="CF3948" s="3">
        <v>45866</v>
      </c>
      <c r="CI3948">
        <v>1</v>
      </c>
      <c r="CJ3948">
        <v>1</v>
      </c>
      <c r="CK3948">
        <v>41</v>
      </c>
      <c r="CL3948" t="s">
        <v>86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"080066792862"</f>
        <v>080066792862</v>
      </c>
      <c r="F3949" s="3">
        <v>45863</v>
      </c>
      <c r="G3949">
        <v>202604</v>
      </c>
      <c r="H3949" t="s">
        <v>75</v>
      </c>
      <c r="I3949" t="s">
        <v>76</v>
      </c>
      <c r="J3949" t="s">
        <v>77</v>
      </c>
      <c r="K3949" t="s">
        <v>78</v>
      </c>
      <c r="L3949" t="s">
        <v>168</v>
      </c>
      <c r="M3949" t="s">
        <v>169</v>
      </c>
      <c r="N3949" t="s">
        <v>726</v>
      </c>
      <c r="O3949" t="s">
        <v>95</v>
      </c>
      <c r="P3949" t="str">
        <f>"4170051169                    "</f>
        <v xml:space="preserve">4170051169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49.11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8</v>
      </c>
      <c r="BJ3949">
        <v>17.7</v>
      </c>
      <c r="BK3949">
        <v>18</v>
      </c>
      <c r="BL3949">
        <v>160.6</v>
      </c>
      <c r="BM3949">
        <v>24.09</v>
      </c>
      <c r="BN3949">
        <v>184.69</v>
      </c>
      <c r="BO3949">
        <v>184.69</v>
      </c>
      <c r="BQ3949" t="s">
        <v>727</v>
      </c>
      <c r="BR3949" t="s">
        <v>84</v>
      </c>
      <c r="BS3949" s="3">
        <v>45866</v>
      </c>
      <c r="BT3949" s="4">
        <v>0.6069444444444444</v>
      </c>
      <c r="BU3949" t="s">
        <v>3574</v>
      </c>
      <c r="BV3949" t="s">
        <v>98</v>
      </c>
      <c r="BY3949">
        <v>88320</v>
      </c>
      <c r="CA3949" t="s">
        <v>2935</v>
      </c>
      <c r="CC3949" t="s">
        <v>169</v>
      </c>
      <c r="CD3949">
        <v>6001</v>
      </c>
      <c r="CE3949" t="s">
        <v>145</v>
      </c>
      <c r="CF3949" s="3">
        <v>45867</v>
      </c>
      <c r="CI3949">
        <v>3</v>
      </c>
      <c r="CJ3949">
        <v>1</v>
      </c>
      <c r="CK3949">
        <v>41</v>
      </c>
      <c r="CL3949" t="s">
        <v>86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"080066792889"</f>
        <v>080066792889</v>
      </c>
      <c r="F3950" s="3">
        <v>45863</v>
      </c>
      <c r="G3950">
        <v>202604</v>
      </c>
      <c r="H3950" t="s">
        <v>75</v>
      </c>
      <c r="I3950" t="s">
        <v>76</v>
      </c>
      <c r="J3950" t="s">
        <v>77</v>
      </c>
      <c r="K3950" t="s">
        <v>78</v>
      </c>
      <c r="L3950" t="s">
        <v>503</v>
      </c>
      <c r="M3950" t="s">
        <v>504</v>
      </c>
      <c r="N3950" t="s">
        <v>505</v>
      </c>
      <c r="O3950" t="s">
        <v>82</v>
      </c>
      <c r="P3950" t="str">
        <f>"4170051167                    "</f>
        <v xml:space="preserve">4170051167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43.78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1.7</v>
      </c>
      <c r="BK3950">
        <v>2</v>
      </c>
      <c r="BL3950">
        <v>137.94</v>
      </c>
      <c r="BM3950">
        <v>20.69</v>
      </c>
      <c r="BN3950">
        <v>158.63</v>
      </c>
      <c r="BO3950">
        <v>158.63</v>
      </c>
      <c r="BQ3950" t="s">
        <v>506</v>
      </c>
      <c r="BR3950" t="s">
        <v>84</v>
      </c>
      <c r="BS3950" s="3">
        <v>45866</v>
      </c>
      <c r="BT3950" s="4">
        <v>0.50138888888888888</v>
      </c>
      <c r="BU3950" t="s">
        <v>507</v>
      </c>
      <c r="BV3950" t="s">
        <v>98</v>
      </c>
      <c r="BY3950">
        <v>8550</v>
      </c>
      <c r="CA3950" t="s">
        <v>508</v>
      </c>
      <c r="CC3950" t="s">
        <v>504</v>
      </c>
      <c r="CD3950">
        <v>7130</v>
      </c>
      <c r="CE3950" t="s">
        <v>145</v>
      </c>
      <c r="CF3950" s="3">
        <v>45867</v>
      </c>
      <c r="CI3950">
        <v>1</v>
      </c>
      <c r="CJ3950">
        <v>1</v>
      </c>
      <c r="CK3950">
        <v>23</v>
      </c>
      <c r="CL3950" t="s">
        <v>86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"080066792893"</f>
        <v>080066792893</v>
      </c>
      <c r="F3951" s="3">
        <v>45863</v>
      </c>
      <c r="G3951">
        <v>202604</v>
      </c>
      <c r="H3951" t="s">
        <v>75</v>
      </c>
      <c r="I3951" t="s">
        <v>76</v>
      </c>
      <c r="J3951" t="s">
        <v>77</v>
      </c>
      <c r="K3951" t="s">
        <v>78</v>
      </c>
      <c r="L3951" t="s">
        <v>240</v>
      </c>
      <c r="M3951" t="s">
        <v>241</v>
      </c>
      <c r="N3951" t="s">
        <v>628</v>
      </c>
      <c r="O3951" t="s">
        <v>82</v>
      </c>
      <c r="P3951" t="str">
        <f>"4170050916                    "</f>
        <v xml:space="preserve">4170050916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17.649999999999999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1.9</v>
      </c>
      <c r="BK3951">
        <v>2</v>
      </c>
      <c r="BL3951">
        <v>55.61</v>
      </c>
      <c r="BM3951">
        <v>8.34</v>
      </c>
      <c r="BN3951">
        <v>63.95</v>
      </c>
      <c r="BO3951">
        <v>63.95</v>
      </c>
      <c r="BQ3951" t="s">
        <v>629</v>
      </c>
      <c r="BR3951" t="s">
        <v>84</v>
      </c>
      <c r="BS3951" s="3">
        <v>45866</v>
      </c>
      <c r="BT3951" s="4">
        <v>0.41666666666666669</v>
      </c>
      <c r="BU3951" t="s">
        <v>3575</v>
      </c>
      <c r="BV3951" t="s">
        <v>98</v>
      </c>
      <c r="BY3951">
        <v>9576</v>
      </c>
      <c r="CC3951" t="s">
        <v>241</v>
      </c>
      <c r="CD3951">
        <v>2013</v>
      </c>
      <c r="CE3951" t="s">
        <v>145</v>
      </c>
      <c r="CF3951" s="3">
        <v>45867</v>
      </c>
      <c r="CI3951">
        <v>1</v>
      </c>
      <c r="CJ3951">
        <v>1</v>
      </c>
      <c r="CK3951">
        <v>22</v>
      </c>
      <c r="CL3951" t="s">
        <v>86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"080066792906"</f>
        <v>080066792906</v>
      </c>
      <c r="F3952" s="3">
        <v>45863</v>
      </c>
      <c r="G3952">
        <v>202604</v>
      </c>
      <c r="H3952" t="s">
        <v>75</v>
      </c>
      <c r="I3952" t="s">
        <v>76</v>
      </c>
      <c r="J3952" t="s">
        <v>77</v>
      </c>
      <c r="K3952" t="s">
        <v>78</v>
      </c>
      <c r="L3952" t="s">
        <v>122</v>
      </c>
      <c r="M3952" t="s">
        <v>123</v>
      </c>
      <c r="N3952" t="s">
        <v>267</v>
      </c>
      <c r="O3952" t="s">
        <v>82</v>
      </c>
      <c r="P3952" t="str">
        <f>"4170050888                    "</f>
        <v xml:space="preserve">4170050888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45.18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4</v>
      </c>
      <c r="BJ3952">
        <v>2.2999999999999998</v>
      </c>
      <c r="BK3952">
        <v>4</v>
      </c>
      <c r="BL3952">
        <v>142.34</v>
      </c>
      <c r="BM3952">
        <v>21.35</v>
      </c>
      <c r="BN3952">
        <v>163.69</v>
      </c>
      <c r="BO3952">
        <v>163.69</v>
      </c>
      <c r="BQ3952" t="s">
        <v>268</v>
      </c>
      <c r="BR3952" t="s">
        <v>84</v>
      </c>
      <c r="BS3952" s="3">
        <v>45866</v>
      </c>
      <c r="BT3952" s="4">
        <v>0.51458333333333328</v>
      </c>
      <c r="BU3952" t="s">
        <v>722</v>
      </c>
      <c r="BV3952" t="s">
        <v>98</v>
      </c>
      <c r="BY3952">
        <v>11704</v>
      </c>
      <c r="CA3952" t="s">
        <v>166</v>
      </c>
      <c r="CC3952" t="s">
        <v>123</v>
      </c>
      <c r="CD3952">
        <v>3610</v>
      </c>
      <c r="CE3952" t="s">
        <v>145</v>
      </c>
      <c r="CF3952" s="3">
        <v>45866</v>
      </c>
      <c r="CI3952">
        <v>1</v>
      </c>
      <c r="CJ3952">
        <v>1</v>
      </c>
      <c r="CK3952">
        <v>21</v>
      </c>
      <c r="CL3952" t="s">
        <v>86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"080066792910"</f>
        <v>080066792910</v>
      </c>
      <c r="F3953" s="3">
        <v>45863</v>
      </c>
      <c r="G3953">
        <v>202604</v>
      </c>
      <c r="H3953" t="s">
        <v>75</v>
      </c>
      <c r="I3953" t="s">
        <v>76</v>
      </c>
      <c r="J3953" t="s">
        <v>77</v>
      </c>
      <c r="K3953" t="s">
        <v>78</v>
      </c>
      <c r="L3953" t="s">
        <v>580</v>
      </c>
      <c r="M3953" t="s">
        <v>581</v>
      </c>
      <c r="N3953" t="s">
        <v>582</v>
      </c>
      <c r="O3953" t="s">
        <v>82</v>
      </c>
      <c r="P3953" t="str">
        <f>"4170050904                    "</f>
        <v xml:space="preserve">4170050904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191.95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17</v>
      </c>
      <c r="BJ3953">
        <v>9.1</v>
      </c>
      <c r="BK3953">
        <v>17</v>
      </c>
      <c r="BL3953">
        <v>604.75</v>
      </c>
      <c r="BM3953">
        <v>90.71</v>
      </c>
      <c r="BN3953">
        <v>695.46</v>
      </c>
      <c r="BO3953">
        <v>695.46</v>
      </c>
      <c r="BQ3953" t="s">
        <v>583</v>
      </c>
      <c r="BR3953" t="s">
        <v>84</v>
      </c>
      <c r="BS3953" s="3">
        <v>45866</v>
      </c>
      <c r="BT3953" s="4">
        <v>0.40972222222222221</v>
      </c>
      <c r="BU3953" t="s">
        <v>584</v>
      </c>
      <c r="BV3953" t="s">
        <v>98</v>
      </c>
      <c r="BY3953">
        <v>45632</v>
      </c>
      <c r="CA3953" t="s">
        <v>585</v>
      </c>
      <c r="CC3953" t="s">
        <v>581</v>
      </c>
      <c r="CD3953">
        <v>4302</v>
      </c>
      <c r="CE3953" t="s">
        <v>145</v>
      </c>
      <c r="CF3953" s="3">
        <v>45867</v>
      </c>
      <c r="CI3953">
        <v>1</v>
      </c>
      <c r="CJ3953">
        <v>1</v>
      </c>
      <c r="CK3953">
        <v>21</v>
      </c>
      <c r="CL3953" t="s">
        <v>86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"080066792935"</f>
        <v>080066792935</v>
      </c>
      <c r="F3954" s="3">
        <v>45863</v>
      </c>
      <c r="G3954">
        <v>202604</v>
      </c>
      <c r="H3954" t="s">
        <v>75</v>
      </c>
      <c r="I3954" t="s">
        <v>76</v>
      </c>
      <c r="J3954" t="s">
        <v>77</v>
      </c>
      <c r="K3954" t="s">
        <v>78</v>
      </c>
      <c r="L3954" t="s">
        <v>92</v>
      </c>
      <c r="M3954" t="s">
        <v>93</v>
      </c>
      <c r="N3954" t="s">
        <v>334</v>
      </c>
      <c r="O3954" t="s">
        <v>82</v>
      </c>
      <c r="P3954" t="str">
        <f>"4170051144                    "</f>
        <v xml:space="preserve">4170051144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22.6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2</v>
      </c>
      <c r="BJ3954">
        <v>1.1000000000000001</v>
      </c>
      <c r="BK3954">
        <v>2</v>
      </c>
      <c r="BL3954">
        <v>71.2</v>
      </c>
      <c r="BM3954">
        <v>10.68</v>
      </c>
      <c r="BN3954">
        <v>81.88</v>
      </c>
      <c r="BO3954">
        <v>81.88</v>
      </c>
      <c r="BQ3954" t="s">
        <v>335</v>
      </c>
      <c r="BR3954" t="s">
        <v>84</v>
      </c>
      <c r="BS3954" s="3">
        <v>45866</v>
      </c>
      <c r="BT3954" s="4">
        <v>0.38263888888888886</v>
      </c>
      <c r="BU3954" t="s">
        <v>2849</v>
      </c>
      <c r="BV3954" t="s">
        <v>98</v>
      </c>
      <c r="BY3954">
        <v>5320</v>
      </c>
      <c r="CA3954" t="s">
        <v>337</v>
      </c>
      <c r="CC3954" t="s">
        <v>93</v>
      </c>
      <c r="CD3954">
        <v>4052</v>
      </c>
      <c r="CE3954" t="s">
        <v>145</v>
      </c>
      <c r="CF3954" s="3">
        <v>45867</v>
      </c>
      <c r="CI3954">
        <v>1</v>
      </c>
      <c r="CJ3954">
        <v>1</v>
      </c>
      <c r="CK3954">
        <v>21</v>
      </c>
      <c r="CL3954" t="s">
        <v>86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"080066793136"</f>
        <v>080066793136</v>
      </c>
      <c r="F3955" s="3">
        <v>45863</v>
      </c>
      <c r="G3955">
        <v>202604</v>
      </c>
      <c r="H3955" t="s">
        <v>75</v>
      </c>
      <c r="I3955" t="s">
        <v>76</v>
      </c>
      <c r="J3955" t="s">
        <v>77</v>
      </c>
      <c r="K3955" t="s">
        <v>78</v>
      </c>
      <c r="L3955" t="s">
        <v>277</v>
      </c>
      <c r="M3955" t="s">
        <v>278</v>
      </c>
      <c r="N3955" t="s">
        <v>462</v>
      </c>
      <c r="O3955" t="s">
        <v>82</v>
      </c>
      <c r="P3955" t="str">
        <f>"4170051118                    "</f>
        <v xml:space="preserve">4170051118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33.89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3</v>
      </c>
      <c r="BJ3955">
        <v>1.5</v>
      </c>
      <c r="BK3955">
        <v>3</v>
      </c>
      <c r="BL3955">
        <v>106.77</v>
      </c>
      <c r="BM3955">
        <v>16.02</v>
      </c>
      <c r="BN3955">
        <v>122.79</v>
      </c>
      <c r="BO3955">
        <v>122.79</v>
      </c>
      <c r="BQ3955" t="s">
        <v>463</v>
      </c>
      <c r="BR3955" t="s">
        <v>84</v>
      </c>
      <c r="BS3955" s="3">
        <v>45866</v>
      </c>
      <c r="BT3955" s="4">
        <v>0.43263888888888891</v>
      </c>
      <c r="BU3955" t="s">
        <v>2140</v>
      </c>
      <c r="BV3955" t="s">
        <v>98</v>
      </c>
      <c r="BY3955">
        <v>7448</v>
      </c>
      <c r="CA3955" t="s">
        <v>282</v>
      </c>
      <c r="CC3955" t="s">
        <v>278</v>
      </c>
      <c r="CD3955">
        <v>6229</v>
      </c>
      <c r="CE3955" t="s">
        <v>91</v>
      </c>
      <c r="CF3955" s="3">
        <v>45866</v>
      </c>
      <c r="CI3955">
        <v>1</v>
      </c>
      <c r="CJ3955">
        <v>1</v>
      </c>
      <c r="CK3955">
        <v>21</v>
      </c>
      <c r="CL3955" t="s">
        <v>86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"080066793154"</f>
        <v>080066793154</v>
      </c>
      <c r="F3956" s="3">
        <v>45863</v>
      </c>
      <c r="G3956">
        <v>202604</v>
      </c>
      <c r="H3956" t="s">
        <v>75</v>
      </c>
      <c r="I3956" t="s">
        <v>76</v>
      </c>
      <c r="J3956" t="s">
        <v>77</v>
      </c>
      <c r="K3956" t="s">
        <v>78</v>
      </c>
      <c r="L3956" t="s">
        <v>197</v>
      </c>
      <c r="M3956" t="s">
        <v>198</v>
      </c>
      <c r="N3956" t="s">
        <v>1055</v>
      </c>
      <c r="O3956" t="s">
        <v>82</v>
      </c>
      <c r="P3956" t="str">
        <f>"4170051200                    "</f>
        <v xml:space="preserve">4170051200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17.649999999999999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0.6</v>
      </c>
      <c r="BK3956">
        <v>2</v>
      </c>
      <c r="BL3956">
        <v>55.61</v>
      </c>
      <c r="BM3956">
        <v>8.34</v>
      </c>
      <c r="BN3956">
        <v>63.95</v>
      </c>
      <c r="BO3956">
        <v>63.95</v>
      </c>
      <c r="BQ3956" t="s">
        <v>1056</v>
      </c>
      <c r="BR3956" t="s">
        <v>84</v>
      </c>
      <c r="BS3956" s="3">
        <v>45866</v>
      </c>
      <c r="BT3956" s="4">
        <v>0.36875000000000002</v>
      </c>
      <c r="BU3956" t="s">
        <v>3576</v>
      </c>
      <c r="BV3956" t="s">
        <v>98</v>
      </c>
      <c r="BY3956">
        <v>3192</v>
      </c>
      <c r="CC3956" t="s">
        <v>198</v>
      </c>
      <c r="CD3956">
        <v>1401</v>
      </c>
      <c r="CE3956" t="s">
        <v>259</v>
      </c>
      <c r="CF3956" s="3">
        <v>45866</v>
      </c>
      <c r="CI3956">
        <v>1</v>
      </c>
      <c r="CJ3956">
        <v>1</v>
      </c>
      <c r="CK3956">
        <v>22</v>
      </c>
      <c r="CL3956" t="s">
        <v>86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"080066793158"</f>
        <v>080066793158</v>
      </c>
      <c r="F3957" s="3">
        <v>45863</v>
      </c>
      <c r="G3957">
        <v>202604</v>
      </c>
      <c r="H3957" t="s">
        <v>75</v>
      </c>
      <c r="I3957" t="s">
        <v>76</v>
      </c>
      <c r="J3957" t="s">
        <v>77</v>
      </c>
      <c r="K3957" t="s">
        <v>78</v>
      </c>
      <c r="L3957" t="s">
        <v>75</v>
      </c>
      <c r="M3957" t="s">
        <v>76</v>
      </c>
      <c r="N3957" t="s">
        <v>1241</v>
      </c>
      <c r="O3957" t="s">
        <v>82</v>
      </c>
      <c r="P3957" t="str">
        <f>"4170051170                    "</f>
        <v xml:space="preserve">4170051170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17.649999999999999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55.61</v>
      </c>
      <c r="BM3957">
        <v>8.34</v>
      </c>
      <c r="BN3957">
        <v>63.95</v>
      </c>
      <c r="BO3957">
        <v>63.95</v>
      </c>
      <c r="BQ3957" t="s">
        <v>1242</v>
      </c>
      <c r="BR3957" t="s">
        <v>84</v>
      </c>
      <c r="BS3957" s="3">
        <v>45866</v>
      </c>
      <c r="BT3957" s="4">
        <v>0.42291666666666666</v>
      </c>
      <c r="BU3957" t="s">
        <v>1243</v>
      </c>
      <c r="BV3957" t="s">
        <v>98</v>
      </c>
      <c r="BY3957">
        <v>1200</v>
      </c>
      <c r="CC3957" t="s">
        <v>76</v>
      </c>
      <c r="CD3957">
        <v>1624</v>
      </c>
      <c r="CE3957" t="s">
        <v>121</v>
      </c>
      <c r="CF3957" s="3">
        <v>45866</v>
      </c>
      <c r="CI3957">
        <v>1</v>
      </c>
      <c r="CJ3957">
        <v>1</v>
      </c>
      <c r="CK3957">
        <v>22</v>
      </c>
      <c r="CL3957" t="s">
        <v>86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"080066793212"</f>
        <v>080066793212</v>
      </c>
      <c r="F3958" s="3">
        <v>45863</v>
      </c>
      <c r="G3958">
        <v>202604</v>
      </c>
      <c r="H3958" t="s">
        <v>75</v>
      </c>
      <c r="I3958" t="s">
        <v>76</v>
      </c>
      <c r="J3958" t="s">
        <v>77</v>
      </c>
      <c r="K3958" t="s">
        <v>78</v>
      </c>
      <c r="L3958" t="s">
        <v>75</v>
      </c>
      <c r="M3958" t="s">
        <v>76</v>
      </c>
      <c r="N3958" t="s">
        <v>118</v>
      </c>
      <c r="O3958" t="s">
        <v>82</v>
      </c>
      <c r="P3958" t="str">
        <f>"4170050921                    "</f>
        <v xml:space="preserve">4170050921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17.649999999999999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55.61</v>
      </c>
      <c r="BM3958">
        <v>8.34</v>
      </c>
      <c r="BN3958">
        <v>63.95</v>
      </c>
      <c r="BO3958">
        <v>63.95</v>
      </c>
      <c r="BQ3958" t="s">
        <v>119</v>
      </c>
      <c r="BR3958" t="s">
        <v>84</v>
      </c>
      <c r="BS3958" s="3">
        <v>45866</v>
      </c>
      <c r="BT3958" s="4">
        <v>0.41111111111111109</v>
      </c>
      <c r="BU3958" t="s">
        <v>2216</v>
      </c>
      <c r="BV3958" t="s">
        <v>98</v>
      </c>
      <c r="BY3958">
        <v>1200</v>
      </c>
      <c r="CC3958" t="s">
        <v>76</v>
      </c>
      <c r="CD3958">
        <v>1600</v>
      </c>
      <c r="CE3958" t="s">
        <v>121</v>
      </c>
      <c r="CF3958" s="3">
        <v>45866</v>
      </c>
      <c r="CI3958">
        <v>1</v>
      </c>
      <c r="CJ3958">
        <v>1</v>
      </c>
      <c r="CK3958">
        <v>22</v>
      </c>
      <c r="CL3958" t="s">
        <v>86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"080066793228"</f>
        <v>080066793228</v>
      </c>
      <c r="F3959" s="3">
        <v>45863</v>
      </c>
      <c r="G3959">
        <v>202604</v>
      </c>
      <c r="H3959" t="s">
        <v>75</v>
      </c>
      <c r="I3959" t="s">
        <v>76</v>
      </c>
      <c r="J3959" t="s">
        <v>77</v>
      </c>
      <c r="K3959" t="s">
        <v>78</v>
      </c>
      <c r="L3959" t="s">
        <v>240</v>
      </c>
      <c r="M3959" t="s">
        <v>241</v>
      </c>
      <c r="N3959" t="s">
        <v>242</v>
      </c>
      <c r="O3959" t="s">
        <v>82</v>
      </c>
      <c r="P3959" t="str">
        <f>"4170051094                    "</f>
        <v xml:space="preserve">4170051094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17.649999999999999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0.9</v>
      </c>
      <c r="BK3959">
        <v>1</v>
      </c>
      <c r="BL3959">
        <v>55.61</v>
      </c>
      <c r="BM3959">
        <v>8.34</v>
      </c>
      <c r="BN3959">
        <v>63.95</v>
      </c>
      <c r="BO3959">
        <v>63.95</v>
      </c>
      <c r="BQ3959" t="s">
        <v>243</v>
      </c>
      <c r="BR3959" t="s">
        <v>84</v>
      </c>
      <c r="BS3959" s="3">
        <v>45866</v>
      </c>
      <c r="BT3959" s="4">
        <v>0.41666666666666669</v>
      </c>
      <c r="BU3959" t="s">
        <v>3577</v>
      </c>
      <c r="BV3959" t="s">
        <v>98</v>
      </c>
      <c r="BY3959">
        <v>4560</v>
      </c>
      <c r="CC3959" t="s">
        <v>241</v>
      </c>
      <c r="CD3959">
        <v>2091</v>
      </c>
      <c r="CE3959" t="s">
        <v>259</v>
      </c>
      <c r="CF3959" s="3">
        <v>45867</v>
      </c>
      <c r="CI3959">
        <v>1</v>
      </c>
      <c r="CJ3959">
        <v>1</v>
      </c>
      <c r="CK3959">
        <v>22</v>
      </c>
      <c r="CL3959" t="s">
        <v>86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"080066793242"</f>
        <v>080066793242</v>
      </c>
      <c r="F3960" s="3">
        <v>45863</v>
      </c>
      <c r="G3960">
        <v>202604</v>
      </c>
      <c r="H3960" t="s">
        <v>75</v>
      </c>
      <c r="I3960" t="s">
        <v>76</v>
      </c>
      <c r="J3960" t="s">
        <v>77</v>
      </c>
      <c r="K3960" t="s">
        <v>78</v>
      </c>
      <c r="L3960" t="s">
        <v>295</v>
      </c>
      <c r="M3960" t="s">
        <v>296</v>
      </c>
      <c r="N3960" t="s">
        <v>942</v>
      </c>
      <c r="O3960" t="s">
        <v>82</v>
      </c>
      <c r="P3960" t="str">
        <f>"4170050713                    "</f>
        <v xml:space="preserve">4170050713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17.649999999999999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55.61</v>
      </c>
      <c r="BM3960">
        <v>8.34</v>
      </c>
      <c r="BN3960">
        <v>63.95</v>
      </c>
      <c r="BO3960">
        <v>63.95</v>
      </c>
      <c r="BQ3960" t="s">
        <v>943</v>
      </c>
      <c r="BR3960" t="s">
        <v>84</v>
      </c>
      <c r="BS3960" s="3">
        <v>45866</v>
      </c>
      <c r="BT3960" s="4">
        <v>0.33194444444444443</v>
      </c>
      <c r="BU3960" t="s">
        <v>1147</v>
      </c>
      <c r="BV3960" t="s">
        <v>98</v>
      </c>
      <c r="BY3960">
        <v>1200</v>
      </c>
      <c r="CC3960" t="s">
        <v>296</v>
      </c>
      <c r="CD3960">
        <v>1460</v>
      </c>
      <c r="CE3960" t="s">
        <v>121</v>
      </c>
      <c r="CF3960" s="3">
        <v>45866</v>
      </c>
      <c r="CI3960">
        <v>1</v>
      </c>
      <c r="CJ3960">
        <v>1</v>
      </c>
      <c r="CK3960">
        <v>22</v>
      </c>
      <c r="CL3960" t="s">
        <v>86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"080066793261"</f>
        <v>080066793261</v>
      </c>
      <c r="F3961" s="3">
        <v>45863</v>
      </c>
      <c r="G3961">
        <v>202604</v>
      </c>
      <c r="H3961" t="s">
        <v>75</v>
      </c>
      <c r="I3961" t="s">
        <v>76</v>
      </c>
      <c r="J3961" t="s">
        <v>77</v>
      </c>
      <c r="K3961" t="s">
        <v>78</v>
      </c>
      <c r="L3961" t="s">
        <v>197</v>
      </c>
      <c r="M3961" t="s">
        <v>198</v>
      </c>
      <c r="N3961" t="s">
        <v>1209</v>
      </c>
      <c r="O3961" t="s">
        <v>82</v>
      </c>
      <c r="P3961" t="str">
        <f>"4170050907                    "</f>
        <v xml:space="preserve">4170050907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17.649999999999999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5</v>
      </c>
      <c r="BJ3961">
        <v>3.4</v>
      </c>
      <c r="BK3961">
        <v>5</v>
      </c>
      <c r="BL3961">
        <v>55.61</v>
      </c>
      <c r="BM3961">
        <v>8.34</v>
      </c>
      <c r="BN3961">
        <v>63.95</v>
      </c>
      <c r="BO3961">
        <v>63.95</v>
      </c>
      <c r="BQ3961" t="s">
        <v>1210</v>
      </c>
      <c r="BR3961" t="s">
        <v>84</v>
      </c>
      <c r="BS3961" s="3">
        <v>45866</v>
      </c>
      <c r="BT3961" s="4">
        <v>0.4375</v>
      </c>
      <c r="BU3961" t="s">
        <v>3566</v>
      </c>
      <c r="BV3961" t="s">
        <v>98</v>
      </c>
      <c r="BY3961">
        <v>16965</v>
      </c>
      <c r="CA3961" t="s">
        <v>522</v>
      </c>
      <c r="CC3961" t="s">
        <v>198</v>
      </c>
      <c r="CD3961">
        <v>1406</v>
      </c>
      <c r="CE3961" t="s">
        <v>145</v>
      </c>
      <c r="CF3961" s="3">
        <v>45866</v>
      </c>
      <c r="CI3961">
        <v>1</v>
      </c>
      <c r="CJ3961">
        <v>1</v>
      </c>
      <c r="CK3961">
        <v>22</v>
      </c>
      <c r="CL3961" t="s">
        <v>86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"080066793277"</f>
        <v>080066793277</v>
      </c>
      <c r="F3962" s="3">
        <v>45863</v>
      </c>
      <c r="G3962">
        <v>202604</v>
      </c>
      <c r="H3962" t="s">
        <v>75</v>
      </c>
      <c r="I3962" t="s">
        <v>76</v>
      </c>
      <c r="J3962" t="s">
        <v>77</v>
      </c>
      <c r="K3962" t="s">
        <v>78</v>
      </c>
      <c r="L3962" t="s">
        <v>1291</v>
      </c>
      <c r="M3962" t="s">
        <v>1292</v>
      </c>
      <c r="N3962" t="s">
        <v>2924</v>
      </c>
      <c r="O3962" t="s">
        <v>82</v>
      </c>
      <c r="P3962" t="str">
        <f>"4170051178                    "</f>
        <v xml:space="preserve">4170051178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43.78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137.94</v>
      </c>
      <c r="BM3962">
        <v>20.69</v>
      </c>
      <c r="BN3962">
        <v>158.63</v>
      </c>
      <c r="BO3962">
        <v>158.63</v>
      </c>
      <c r="BQ3962" t="s">
        <v>2925</v>
      </c>
      <c r="BR3962" t="s">
        <v>84</v>
      </c>
      <c r="BS3962" s="3">
        <v>45866</v>
      </c>
      <c r="BT3962" s="4">
        <v>0.68402777777777779</v>
      </c>
      <c r="BU3962" t="s">
        <v>2926</v>
      </c>
      <c r="BV3962" t="s">
        <v>98</v>
      </c>
      <c r="BY3962">
        <v>1200</v>
      </c>
      <c r="CA3962" t="s">
        <v>1296</v>
      </c>
      <c r="CC3962" t="s">
        <v>1292</v>
      </c>
      <c r="CD3962">
        <v>3370</v>
      </c>
      <c r="CE3962" t="s">
        <v>121</v>
      </c>
      <c r="CF3962" s="3">
        <v>45867</v>
      </c>
      <c r="CI3962">
        <v>2</v>
      </c>
      <c r="CJ3962">
        <v>1</v>
      </c>
      <c r="CK3962">
        <v>23</v>
      </c>
      <c r="CL3962" t="s">
        <v>86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"080066793307"</f>
        <v>080066793307</v>
      </c>
      <c r="F3963" s="3">
        <v>45863</v>
      </c>
      <c r="G3963">
        <v>202604</v>
      </c>
      <c r="H3963" t="s">
        <v>75</v>
      </c>
      <c r="I3963" t="s">
        <v>76</v>
      </c>
      <c r="J3963" t="s">
        <v>77</v>
      </c>
      <c r="K3963" t="s">
        <v>78</v>
      </c>
      <c r="L3963" t="s">
        <v>252</v>
      </c>
      <c r="M3963" t="s">
        <v>253</v>
      </c>
      <c r="N3963" t="s">
        <v>254</v>
      </c>
      <c r="O3963" t="s">
        <v>82</v>
      </c>
      <c r="P3963" t="str">
        <f>"4170050751                    "</f>
        <v xml:space="preserve">4170050751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43.78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1.3</v>
      </c>
      <c r="BK3963">
        <v>1.5</v>
      </c>
      <c r="BL3963">
        <v>137.94</v>
      </c>
      <c r="BM3963">
        <v>20.69</v>
      </c>
      <c r="BN3963">
        <v>158.63</v>
      </c>
      <c r="BO3963">
        <v>158.63</v>
      </c>
      <c r="BQ3963" t="s">
        <v>255</v>
      </c>
      <c r="BR3963" t="s">
        <v>84</v>
      </c>
      <c r="BS3963" s="3">
        <v>45866</v>
      </c>
      <c r="BT3963" s="4">
        <v>0.35902777777777778</v>
      </c>
      <c r="BU3963" t="s">
        <v>2874</v>
      </c>
      <c r="BV3963" t="s">
        <v>98</v>
      </c>
      <c r="BY3963">
        <v>6384</v>
      </c>
      <c r="CA3963" t="s">
        <v>265</v>
      </c>
      <c r="CC3963" t="s">
        <v>253</v>
      </c>
      <c r="CD3963">
        <v>1947</v>
      </c>
      <c r="CE3963" t="s">
        <v>145</v>
      </c>
      <c r="CF3963" s="3">
        <v>45866</v>
      </c>
      <c r="CI3963">
        <v>1</v>
      </c>
      <c r="CJ3963">
        <v>1</v>
      </c>
      <c r="CK3963">
        <v>23</v>
      </c>
      <c r="CL3963" t="s">
        <v>86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"080066793335"</f>
        <v>080066793335</v>
      </c>
      <c r="F3964" s="3">
        <v>45863</v>
      </c>
      <c r="G3964">
        <v>202604</v>
      </c>
      <c r="H3964" t="s">
        <v>75</v>
      </c>
      <c r="I3964" t="s">
        <v>76</v>
      </c>
      <c r="J3964" t="s">
        <v>77</v>
      </c>
      <c r="K3964" t="s">
        <v>78</v>
      </c>
      <c r="L3964" t="s">
        <v>179</v>
      </c>
      <c r="M3964" t="s">
        <v>180</v>
      </c>
      <c r="N3964" t="s">
        <v>3578</v>
      </c>
      <c r="O3964" t="s">
        <v>82</v>
      </c>
      <c r="P3964" t="str">
        <f>"4170051196                    "</f>
        <v xml:space="preserve">4170051196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43.78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137.94</v>
      </c>
      <c r="BM3964">
        <v>20.69</v>
      </c>
      <c r="BN3964">
        <v>158.63</v>
      </c>
      <c r="BO3964">
        <v>158.63</v>
      </c>
      <c r="BQ3964" t="s">
        <v>3579</v>
      </c>
      <c r="BR3964" t="s">
        <v>84</v>
      </c>
      <c r="BS3964" s="3">
        <v>45866</v>
      </c>
      <c r="BT3964" s="4">
        <v>0.41666666666666669</v>
      </c>
      <c r="BU3964" t="s">
        <v>3580</v>
      </c>
      <c r="BV3964" t="s">
        <v>98</v>
      </c>
      <c r="BY3964">
        <v>1200</v>
      </c>
      <c r="CA3964" t="s">
        <v>522</v>
      </c>
      <c r="CC3964" t="s">
        <v>180</v>
      </c>
      <c r="CD3964">
        <v>3310</v>
      </c>
      <c r="CE3964" t="s">
        <v>121</v>
      </c>
      <c r="CF3964" s="3">
        <v>45867</v>
      </c>
      <c r="CI3964">
        <v>1</v>
      </c>
      <c r="CJ3964">
        <v>1</v>
      </c>
      <c r="CK3964">
        <v>23</v>
      </c>
      <c r="CL3964" t="s">
        <v>86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"080066793347"</f>
        <v>080066793347</v>
      </c>
      <c r="F3965" s="3">
        <v>45863</v>
      </c>
      <c r="G3965">
        <v>202604</v>
      </c>
      <c r="H3965" t="s">
        <v>75</v>
      </c>
      <c r="I3965" t="s">
        <v>76</v>
      </c>
      <c r="J3965" t="s">
        <v>77</v>
      </c>
      <c r="K3965" t="s">
        <v>78</v>
      </c>
      <c r="L3965" t="s">
        <v>240</v>
      </c>
      <c r="M3965" t="s">
        <v>241</v>
      </c>
      <c r="N3965" t="s">
        <v>403</v>
      </c>
      <c r="O3965" t="s">
        <v>82</v>
      </c>
      <c r="P3965" t="str">
        <f>"4170051093                    "</f>
        <v xml:space="preserve">4170051093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17.649999999999999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2</v>
      </c>
      <c r="BJ3965">
        <v>0.9</v>
      </c>
      <c r="BK3965">
        <v>2</v>
      </c>
      <c r="BL3965">
        <v>55.61</v>
      </c>
      <c r="BM3965">
        <v>8.34</v>
      </c>
      <c r="BN3965">
        <v>63.95</v>
      </c>
      <c r="BO3965">
        <v>63.95</v>
      </c>
      <c r="BQ3965" t="s">
        <v>404</v>
      </c>
      <c r="BR3965" t="s">
        <v>84</v>
      </c>
      <c r="BS3965" s="3">
        <v>45866</v>
      </c>
      <c r="BT3965" s="4">
        <v>0.37291666666666667</v>
      </c>
      <c r="BU3965" t="s">
        <v>3581</v>
      </c>
      <c r="BV3965" t="s">
        <v>98</v>
      </c>
      <c r="BY3965">
        <v>4560</v>
      </c>
      <c r="CC3965" t="s">
        <v>241</v>
      </c>
      <c r="CD3965">
        <v>2013</v>
      </c>
      <c r="CE3965" t="s">
        <v>145</v>
      </c>
      <c r="CF3965" s="3">
        <v>45867</v>
      </c>
      <c r="CI3965">
        <v>1</v>
      </c>
      <c r="CJ3965">
        <v>1</v>
      </c>
      <c r="CK3965">
        <v>22</v>
      </c>
      <c r="CL3965" t="s">
        <v>86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"080066793524"</f>
        <v>080066793524</v>
      </c>
      <c r="F3966" s="3">
        <v>45863</v>
      </c>
      <c r="G3966">
        <v>202604</v>
      </c>
      <c r="H3966" t="s">
        <v>75</v>
      </c>
      <c r="I3966" t="s">
        <v>76</v>
      </c>
      <c r="J3966" t="s">
        <v>77</v>
      </c>
      <c r="K3966" t="s">
        <v>78</v>
      </c>
      <c r="L3966" t="s">
        <v>79</v>
      </c>
      <c r="M3966" t="s">
        <v>80</v>
      </c>
      <c r="N3966" t="s">
        <v>188</v>
      </c>
      <c r="O3966" t="s">
        <v>82</v>
      </c>
      <c r="P3966" t="str">
        <f>"4170051098                    "</f>
        <v xml:space="preserve">4170051098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22.6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71.2</v>
      </c>
      <c r="BM3966">
        <v>10.68</v>
      </c>
      <c r="BN3966">
        <v>81.88</v>
      </c>
      <c r="BO3966">
        <v>81.88</v>
      </c>
      <c r="BQ3966" t="s">
        <v>189</v>
      </c>
      <c r="BR3966" t="s">
        <v>84</v>
      </c>
      <c r="BS3966" s="3">
        <v>45866</v>
      </c>
      <c r="BT3966" s="4">
        <v>0.39444444444444443</v>
      </c>
      <c r="BU3966" t="s">
        <v>3569</v>
      </c>
      <c r="BV3966" t="s">
        <v>98</v>
      </c>
      <c r="BY3966">
        <v>1200</v>
      </c>
      <c r="CC3966" t="s">
        <v>80</v>
      </c>
      <c r="CD3966">
        <v>7441</v>
      </c>
      <c r="CE3966" t="s">
        <v>121</v>
      </c>
      <c r="CF3966" s="3">
        <v>45867</v>
      </c>
      <c r="CI3966">
        <v>1</v>
      </c>
      <c r="CJ3966">
        <v>1</v>
      </c>
      <c r="CK3966">
        <v>21</v>
      </c>
      <c r="CL3966" t="s">
        <v>86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"080066793546"</f>
        <v>080066793546</v>
      </c>
      <c r="F3967" s="3">
        <v>45863</v>
      </c>
      <c r="G3967">
        <v>202604</v>
      </c>
      <c r="H3967" t="s">
        <v>75</v>
      </c>
      <c r="I3967" t="s">
        <v>76</v>
      </c>
      <c r="J3967" t="s">
        <v>77</v>
      </c>
      <c r="K3967" t="s">
        <v>78</v>
      </c>
      <c r="L3967" t="s">
        <v>168</v>
      </c>
      <c r="M3967" t="s">
        <v>169</v>
      </c>
      <c r="N3967" t="s">
        <v>206</v>
      </c>
      <c r="O3967" t="s">
        <v>82</v>
      </c>
      <c r="P3967" t="str">
        <f>"4170051105                    "</f>
        <v xml:space="preserve">4170051105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22.6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71.2</v>
      </c>
      <c r="BM3967">
        <v>10.68</v>
      </c>
      <c r="BN3967">
        <v>81.88</v>
      </c>
      <c r="BO3967">
        <v>81.88</v>
      </c>
      <c r="BQ3967" t="s">
        <v>207</v>
      </c>
      <c r="BR3967" t="s">
        <v>84</v>
      </c>
      <c r="BS3967" s="3">
        <v>45866</v>
      </c>
      <c r="BT3967" s="4">
        <v>0.39444444444444443</v>
      </c>
      <c r="BU3967" t="s">
        <v>208</v>
      </c>
      <c r="BV3967" t="s">
        <v>98</v>
      </c>
      <c r="BY3967">
        <v>1200</v>
      </c>
      <c r="CA3967" t="s">
        <v>196</v>
      </c>
      <c r="CC3967" t="s">
        <v>169</v>
      </c>
      <c r="CD3967">
        <v>6001</v>
      </c>
      <c r="CE3967" t="s">
        <v>121</v>
      </c>
      <c r="CF3967" s="3">
        <v>45866</v>
      </c>
      <c r="CI3967">
        <v>1</v>
      </c>
      <c r="CJ3967">
        <v>1</v>
      </c>
      <c r="CK3967">
        <v>21</v>
      </c>
      <c r="CL3967" t="s">
        <v>86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"080066793600"</f>
        <v>080066793600</v>
      </c>
      <c r="F3968" s="3">
        <v>45863</v>
      </c>
      <c r="G3968">
        <v>202604</v>
      </c>
      <c r="H3968" t="s">
        <v>75</v>
      </c>
      <c r="I3968" t="s">
        <v>76</v>
      </c>
      <c r="J3968" t="s">
        <v>77</v>
      </c>
      <c r="K3968" t="s">
        <v>78</v>
      </c>
      <c r="L3968" t="s">
        <v>295</v>
      </c>
      <c r="M3968" t="s">
        <v>296</v>
      </c>
      <c r="N3968" t="s">
        <v>433</v>
      </c>
      <c r="O3968" t="s">
        <v>82</v>
      </c>
      <c r="P3968" t="str">
        <f>"4170051164                    "</f>
        <v xml:space="preserve">4170051164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17.649999999999999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55.61</v>
      </c>
      <c r="BM3968">
        <v>8.34</v>
      </c>
      <c r="BN3968">
        <v>63.95</v>
      </c>
      <c r="BO3968">
        <v>63.95</v>
      </c>
      <c r="BQ3968" t="s">
        <v>434</v>
      </c>
      <c r="BR3968" t="s">
        <v>84</v>
      </c>
      <c r="BS3968" s="3">
        <v>45866</v>
      </c>
      <c r="BT3968" s="4">
        <v>0.30208333333333331</v>
      </c>
      <c r="BU3968" t="s">
        <v>3582</v>
      </c>
      <c r="BV3968" t="s">
        <v>98</v>
      </c>
      <c r="BY3968">
        <v>1200</v>
      </c>
      <c r="CC3968" t="s">
        <v>296</v>
      </c>
      <c r="CD3968">
        <v>1459</v>
      </c>
      <c r="CE3968" t="s">
        <v>121</v>
      </c>
      <c r="CF3968" s="3">
        <v>45866</v>
      </c>
      <c r="CI3968">
        <v>1</v>
      </c>
      <c r="CJ3968">
        <v>1</v>
      </c>
      <c r="CK3968">
        <v>22</v>
      </c>
      <c r="CL3968" t="s">
        <v>86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"080066793612"</f>
        <v>080066793612</v>
      </c>
      <c r="F3969" s="3">
        <v>45863</v>
      </c>
      <c r="G3969">
        <v>202604</v>
      </c>
      <c r="H3969" t="s">
        <v>75</v>
      </c>
      <c r="I3969" t="s">
        <v>76</v>
      </c>
      <c r="J3969" t="s">
        <v>77</v>
      </c>
      <c r="K3969" t="s">
        <v>78</v>
      </c>
      <c r="L3969" t="s">
        <v>122</v>
      </c>
      <c r="M3969" t="s">
        <v>123</v>
      </c>
      <c r="N3969" t="s">
        <v>283</v>
      </c>
      <c r="O3969" t="s">
        <v>82</v>
      </c>
      <c r="P3969" t="str">
        <f>"4170051209                    "</f>
        <v xml:space="preserve">4170051209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101.63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9</v>
      </c>
      <c r="BJ3969">
        <v>3.4</v>
      </c>
      <c r="BK3969">
        <v>9</v>
      </c>
      <c r="BL3969">
        <v>320.19</v>
      </c>
      <c r="BM3969">
        <v>48.03</v>
      </c>
      <c r="BN3969">
        <v>368.22</v>
      </c>
      <c r="BO3969">
        <v>368.22</v>
      </c>
      <c r="BQ3969" t="s">
        <v>284</v>
      </c>
      <c r="BR3969" t="s">
        <v>84</v>
      </c>
      <c r="BS3969" s="3">
        <v>45866</v>
      </c>
      <c r="BT3969" s="4">
        <v>0.40555555555555556</v>
      </c>
      <c r="BU3969" t="s">
        <v>285</v>
      </c>
      <c r="BV3969" t="s">
        <v>98</v>
      </c>
      <c r="BY3969">
        <v>16965</v>
      </c>
      <c r="CA3969" t="s">
        <v>187</v>
      </c>
      <c r="CC3969" t="s">
        <v>123</v>
      </c>
      <c r="CD3969">
        <v>3608</v>
      </c>
      <c r="CE3969" t="s">
        <v>145</v>
      </c>
      <c r="CF3969" s="3">
        <v>45866</v>
      </c>
      <c r="CI3969">
        <v>1</v>
      </c>
      <c r="CJ3969">
        <v>1</v>
      </c>
      <c r="CK3969">
        <v>21</v>
      </c>
      <c r="CL3969" t="s">
        <v>86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"080066793625"</f>
        <v>080066793625</v>
      </c>
      <c r="F3970" s="3">
        <v>45863</v>
      </c>
      <c r="G3970">
        <v>202604</v>
      </c>
      <c r="H3970" t="s">
        <v>75</v>
      </c>
      <c r="I3970" t="s">
        <v>76</v>
      </c>
      <c r="J3970" t="s">
        <v>77</v>
      </c>
      <c r="K3970" t="s">
        <v>78</v>
      </c>
      <c r="L3970" t="s">
        <v>179</v>
      </c>
      <c r="M3970" t="s">
        <v>180</v>
      </c>
      <c r="N3970" t="s">
        <v>3583</v>
      </c>
      <c r="O3970" t="s">
        <v>82</v>
      </c>
      <c r="P3970" t="str">
        <f>"4170051242                    "</f>
        <v xml:space="preserve">4170051242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43.78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137.94</v>
      </c>
      <c r="BM3970">
        <v>20.69</v>
      </c>
      <c r="BN3970">
        <v>158.63</v>
      </c>
      <c r="BO3970">
        <v>158.63</v>
      </c>
      <c r="BQ3970" t="s">
        <v>3584</v>
      </c>
      <c r="BR3970" t="s">
        <v>84</v>
      </c>
      <c r="BS3970" s="3">
        <v>45866</v>
      </c>
      <c r="BT3970" s="4">
        <v>0.41666666666666669</v>
      </c>
      <c r="BU3970" t="s">
        <v>3585</v>
      </c>
      <c r="BV3970" t="s">
        <v>98</v>
      </c>
      <c r="BY3970">
        <v>1200</v>
      </c>
      <c r="CA3970" t="s">
        <v>522</v>
      </c>
      <c r="CC3970" t="s">
        <v>180</v>
      </c>
      <c r="CD3970">
        <v>3310</v>
      </c>
      <c r="CE3970" t="s">
        <v>121</v>
      </c>
      <c r="CF3970" s="3">
        <v>45867</v>
      </c>
      <c r="CI3970">
        <v>1</v>
      </c>
      <c r="CJ3970">
        <v>1</v>
      </c>
      <c r="CK3970">
        <v>23</v>
      </c>
      <c r="CL3970" t="s">
        <v>86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"080066793638"</f>
        <v>080066793638</v>
      </c>
      <c r="F3971" s="3">
        <v>45863</v>
      </c>
      <c r="G3971">
        <v>202604</v>
      </c>
      <c r="H3971" t="s">
        <v>75</v>
      </c>
      <c r="I3971" t="s">
        <v>76</v>
      </c>
      <c r="J3971" t="s">
        <v>77</v>
      </c>
      <c r="K3971" t="s">
        <v>78</v>
      </c>
      <c r="L3971" t="s">
        <v>240</v>
      </c>
      <c r="M3971" t="s">
        <v>241</v>
      </c>
      <c r="N3971" t="s">
        <v>851</v>
      </c>
      <c r="O3971" t="s">
        <v>82</v>
      </c>
      <c r="P3971" t="str">
        <f>"4170051206                    "</f>
        <v xml:space="preserve">4170051206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17.649999999999999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55.61</v>
      </c>
      <c r="BM3971">
        <v>8.34</v>
      </c>
      <c r="BN3971">
        <v>63.95</v>
      </c>
      <c r="BO3971">
        <v>63.95</v>
      </c>
      <c r="BQ3971" t="s">
        <v>852</v>
      </c>
      <c r="BR3971" t="s">
        <v>84</v>
      </c>
      <c r="BS3971" s="3">
        <v>45866</v>
      </c>
      <c r="BT3971" s="4">
        <v>0.35</v>
      </c>
      <c r="BU3971" t="s">
        <v>3586</v>
      </c>
      <c r="BV3971" t="s">
        <v>98</v>
      </c>
      <c r="BY3971">
        <v>1200</v>
      </c>
      <c r="CC3971" t="s">
        <v>241</v>
      </c>
      <c r="CD3971">
        <v>2094</v>
      </c>
      <c r="CE3971" t="s">
        <v>121</v>
      </c>
      <c r="CF3971" s="3">
        <v>45866</v>
      </c>
      <c r="CI3971">
        <v>1</v>
      </c>
      <c r="CJ3971">
        <v>1</v>
      </c>
      <c r="CK3971">
        <v>22</v>
      </c>
      <c r="CL3971" t="s">
        <v>86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"080066793658"</f>
        <v>080066793658</v>
      </c>
      <c r="F3972" s="3">
        <v>45863</v>
      </c>
      <c r="G3972">
        <v>202604</v>
      </c>
      <c r="H3972" t="s">
        <v>75</v>
      </c>
      <c r="I3972" t="s">
        <v>76</v>
      </c>
      <c r="J3972" t="s">
        <v>77</v>
      </c>
      <c r="K3972" t="s">
        <v>78</v>
      </c>
      <c r="L3972" t="s">
        <v>2045</v>
      </c>
      <c r="M3972" t="s">
        <v>2046</v>
      </c>
      <c r="N3972" t="s">
        <v>2487</v>
      </c>
      <c r="O3972" t="s">
        <v>82</v>
      </c>
      <c r="P3972" t="str">
        <f>"4170050897                    "</f>
        <v xml:space="preserve">4170050897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22.6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2</v>
      </c>
      <c r="BJ3972">
        <v>1.1000000000000001</v>
      </c>
      <c r="BK3972">
        <v>2</v>
      </c>
      <c r="BL3972">
        <v>71.2</v>
      </c>
      <c r="BM3972">
        <v>10.68</v>
      </c>
      <c r="BN3972">
        <v>81.88</v>
      </c>
      <c r="BO3972">
        <v>81.88</v>
      </c>
      <c r="BQ3972" t="s">
        <v>2488</v>
      </c>
      <c r="BR3972" t="s">
        <v>84</v>
      </c>
      <c r="BS3972" s="3">
        <v>45866</v>
      </c>
      <c r="BT3972" s="4">
        <v>0.50347222222222221</v>
      </c>
      <c r="BU3972" t="s">
        <v>3311</v>
      </c>
      <c r="BV3972" t="s">
        <v>98</v>
      </c>
      <c r="BY3972">
        <v>5320</v>
      </c>
      <c r="CA3972" t="s">
        <v>2048</v>
      </c>
      <c r="CC3972" t="s">
        <v>2046</v>
      </c>
      <c r="CD3972">
        <v>4126</v>
      </c>
      <c r="CE3972" t="s">
        <v>145</v>
      </c>
      <c r="CF3972" s="3">
        <v>45867</v>
      </c>
      <c r="CI3972">
        <v>1</v>
      </c>
      <c r="CJ3972">
        <v>1</v>
      </c>
      <c r="CK3972">
        <v>21</v>
      </c>
      <c r="CL3972" t="s">
        <v>86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"080066793659"</f>
        <v>080066793659</v>
      </c>
      <c r="F3973" s="3">
        <v>45863</v>
      </c>
      <c r="G3973">
        <v>202604</v>
      </c>
      <c r="H3973" t="s">
        <v>75</v>
      </c>
      <c r="I3973" t="s">
        <v>76</v>
      </c>
      <c r="J3973" t="s">
        <v>77</v>
      </c>
      <c r="K3973" t="s">
        <v>78</v>
      </c>
      <c r="L3973" t="s">
        <v>122</v>
      </c>
      <c r="M3973" t="s">
        <v>123</v>
      </c>
      <c r="N3973" t="s">
        <v>3587</v>
      </c>
      <c r="O3973" t="s">
        <v>82</v>
      </c>
      <c r="P3973" t="str">
        <f>"4170051184                    "</f>
        <v xml:space="preserve">4170051184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22.6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71.2</v>
      </c>
      <c r="BM3973">
        <v>10.68</v>
      </c>
      <c r="BN3973">
        <v>81.88</v>
      </c>
      <c r="BO3973">
        <v>81.88</v>
      </c>
      <c r="BQ3973" t="s">
        <v>3588</v>
      </c>
      <c r="BR3973" t="s">
        <v>84</v>
      </c>
      <c r="BS3973" s="3">
        <v>45866</v>
      </c>
      <c r="BT3973" s="4">
        <v>0.37847222222222221</v>
      </c>
      <c r="BU3973" t="s">
        <v>3589</v>
      </c>
      <c r="BV3973" t="s">
        <v>98</v>
      </c>
      <c r="BY3973">
        <v>1200</v>
      </c>
      <c r="CA3973" t="s">
        <v>187</v>
      </c>
      <c r="CC3973" t="s">
        <v>123</v>
      </c>
      <c r="CD3973">
        <v>3600</v>
      </c>
      <c r="CE3973" t="s">
        <v>121</v>
      </c>
      <c r="CF3973" s="3">
        <v>45866</v>
      </c>
      <c r="CI3973">
        <v>1</v>
      </c>
      <c r="CJ3973">
        <v>1</v>
      </c>
      <c r="CK3973">
        <v>21</v>
      </c>
      <c r="CL3973" t="s">
        <v>86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"080066793687"</f>
        <v>080066793687</v>
      </c>
      <c r="F3974" s="3">
        <v>45863</v>
      </c>
      <c r="G3974">
        <v>202604</v>
      </c>
      <c r="H3974" t="s">
        <v>75</v>
      </c>
      <c r="I3974" t="s">
        <v>76</v>
      </c>
      <c r="J3974" t="s">
        <v>77</v>
      </c>
      <c r="K3974" t="s">
        <v>78</v>
      </c>
      <c r="L3974" t="s">
        <v>168</v>
      </c>
      <c r="M3974" t="s">
        <v>169</v>
      </c>
      <c r="N3974" t="s">
        <v>2157</v>
      </c>
      <c r="O3974" t="s">
        <v>82</v>
      </c>
      <c r="P3974" t="str">
        <f>"4170050914                    "</f>
        <v xml:space="preserve">4170050914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22.6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71.2</v>
      </c>
      <c r="BM3974">
        <v>10.68</v>
      </c>
      <c r="BN3974">
        <v>81.88</v>
      </c>
      <c r="BO3974">
        <v>81.88</v>
      </c>
      <c r="BQ3974" t="s">
        <v>2158</v>
      </c>
      <c r="BR3974" t="s">
        <v>84</v>
      </c>
      <c r="BS3974" s="3">
        <v>45866</v>
      </c>
      <c r="BT3974" s="4">
        <v>0.38055555555555554</v>
      </c>
      <c r="BU3974" t="s">
        <v>3590</v>
      </c>
      <c r="BV3974" t="s">
        <v>98</v>
      </c>
      <c r="BY3974">
        <v>1200</v>
      </c>
      <c r="CA3974" t="s">
        <v>415</v>
      </c>
      <c r="CC3974" t="s">
        <v>169</v>
      </c>
      <c r="CD3974">
        <v>6001</v>
      </c>
      <c r="CE3974" t="s">
        <v>121</v>
      </c>
      <c r="CF3974" s="3">
        <v>45866</v>
      </c>
      <c r="CI3974">
        <v>1</v>
      </c>
      <c r="CJ3974">
        <v>1</v>
      </c>
      <c r="CK3974">
        <v>21</v>
      </c>
      <c r="CL3974" t="s">
        <v>86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"080066793749"</f>
        <v>080066793749</v>
      </c>
      <c r="F3975" s="3">
        <v>45863</v>
      </c>
      <c r="G3975">
        <v>202604</v>
      </c>
      <c r="H3975" t="s">
        <v>75</v>
      </c>
      <c r="I3975" t="s">
        <v>76</v>
      </c>
      <c r="J3975" t="s">
        <v>77</v>
      </c>
      <c r="K3975" t="s">
        <v>78</v>
      </c>
      <c r="L3975" t="s">
        <v>79</v>
      </c>
      <c r="M3975" t="s">
        <v>80</v>
      </c>
      <c r="N3975" t="s">
        <v>3591</v>
      </c>
      <c r="O3975" t="s">
        <v>82</v>
      </c>
      <c r="P3975" t="str">
        <f>"4170051230                    "</f>
        <v xml:space="preserve">4170051230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22.6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71.2</v>
      </c>
      <c r="BM3975">
        <v>10.68</v>
      </c>
      <c r="BN3975">
        <v>81.88</v>
      </c>
      <c r="BO3975">
        <v>81.88</v>
      </c>
      <c r="BQ3975" t="s">
        <v>3592</v>
      </c>
      <c r="BR3975" t="s">
        <v>84</v>
      </c>
      <c r="BS3975" s="3">
        <v>45866</v>
      </c>
      <c r="BT3975" s="4">
        <v>0.38611111111111113</v>
      </c>
      <c r="BU3975" t="s">
        <v>3593</v>
      </c>
      <c r="BV3975" t="s">
        <v>98</v>
      </c>
      <c r="BY3975">
        <v>1200</v>
      </c>
      <c r="CA3975" t="s">
        <v>579</v>
      </c>
      <c r="CC3975" t="s">
        <v>80</v>
      </c>
      <c r="CD3975">
        <v>7460</v>
      </c>
      <c r="CE3975" t="s">
        <v>121</v>
      </c>
      <c r="CF3975" s="3">
        <v>45867</v>
      </c>
      <c r="CI3975">
        <v>1</v>
      </c>
      <c r="CJ3975">
        <v>1</v>
      </c>
      <c r="CK3975">
        <v>21</v>
      </c>
      <c r="CL3975" t="s">
        <v>86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"080066793797"</f>
        <v>080066793797</v>
      </c>
      <c r="F3976" s="3">
        <v>45863</v>
      </c>
      <c r="G3976">
        <v>202604</v>
      </c>
      <c r="H3976" t="s">
        <v>75</v>
      </c>
      <c r="I3976" t="s">
        <v>76</v>
      </c>
      <c r="J3976" t="s">
        <v>77</v>
      </c>
      <c r="K3976" t="s">
        <v>78</v>
      </c>
      <c r="L3976" t="s">
        <v>79</v>
      </c>
      <c r="M3976" t="s">
        <v>80</v>
      </c>
      <c r="N3976" t="s">
        <v>1218</v>
      </c>
      <c r="O3976" t="s">
        <v>82</v>
      </c>
      <c r="P3976" t="str">
        <f>"4170051168                    "</f>
        <v xml:space="preserve">4170051168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22.6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71.2</v>
      </c>
      <c r="BM3976">
        <v>10.68</v>
      </c>
      <c r="BN3976">
        <v>81.88</v>
      </c>
      <c r="BO3976">
        <v>81.88</v>
      </c>
      <c r="BQ3976" t="s">
        <v>1219</v>
      </c>
      <c r="BR3976" t="s">
        <v>84</v>
      </c>
      <c r="BS3976" s="3">
        <v>45866</v>
      </c>
      <c r="BT3976" s="4">
        <v>0.33333333333333331</v>
      </c>
      <c r="BU3976" t="s">
        <v>2275</v>
      </c>
      <c r="BV3976" t="s">
        <v>98</v>
      </c>
      <c r="BY3976">
        <v>1200</v>
      </c>
      <c r="CA3976" t="s">
        <v>3433</v>
      </c>
      <c r="CC3976" t="s">
        <v>80</v>
      </c>
      <c r="CD3976">
        <v>7764</v>
      </c>
      <c r="CE3976" t="s">
        <v>121</v>
      </c>
      <c r="CF3976" s="3">
        <v>45867</v>
      </c>
      <c r="CI3976">
        <v>1</v>
      </c>
      <c r="CJ3976">
        <v>1</v>
      </c>
      <c r="CK3976">
        <v>21</v>
      </c>
      <c r="CL3976" t="s">
        <v>86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"080066793864"</f>
        <v>080066793864</v>
      </c>
      <c r="F3977" s="3">
        <v>45863</v>
      </c>
      <c r="G3977">
        <v>202604</v>
      </c>
      <c r="H3977" t="s">
        <v>75</v>
      </c>
      <c r="I3977" t="s">
        <v>76</v>
      </c>
      <c r="J3977" t="s">
        <v>77</v>
      </c>
      <c r="K3977" t="s">
        <v>78</v>
      </c>
      <c r="L3977" t="s">
        <v>79</v>
      </c>
      <c r="M3977" t="s">
        <v>80</v>
      </c>
      <c r="N3977" t="s">
        <v>141</v>
      </c>
      <c r="O3977" t="s">
        <v>82</v>
      </c>
      <c r="P3977" t="str">
        <f>"4170051135                    "</f>
        <v xml:space="preserve">4170051135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22.6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71.2</v>
      </c>
      <c r="BM3977">
        <v>10.68</v>
      </c>
      <c r="BN3977">
        <v>81.88</v>
      </c>
      <c r="BO3977">
        <v>81.88</v>
      </c>
      <c r="BQ3977" t="s">
        <v>142</v>
      </c>
      <c r="BR3977" t="s">
        <v>84</v>
      </c>
      <c r="BS3977" s="3">
        <v>45866</v>
      </c>
      <c r="BT3977" s="4">
        <v>0.41597222222222224</v>
      </c>
      <c r="BU3977" t="s">
        <v>2437</v>
      </c>
      <c r="BV3977" t="s">
        <v>98</v>
      </c>
      <c r="BY3977">
        <v>1200</v>
      </c>
      <c r="CA3977" t="s">
        <v>144</v>
      </c>
      <c r="CC3977" t="s">
        <v>80</v>
      </c>
      <c r="CD3977">
        <v>7441</v>
      </c>
      <c r="CE3977" t="s">
        <v>121</v>
      </c>
      <c r="CF3977" s="3">
        <v>45867</v>
      </c>
      <c r="CI3977">
        <v>1</v>
      </c>
      <c r="CJ3977">
        <v>1</v>
      </c>
      <c r="CK3977">
        <v>21</v>
      </c>
      <c r="CL3977" t="s">
        <v>86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"080066793889"</f>
        <v>080066793889</v>
      </c>
      <c r="F3978" s="3">
        <v>45863</v>
      </c>
      <c r="G3978">
        <v>202604</v>
      </c>
      <c r="H3978" t="s">
        <v>75</v>
      </c>
      <c r="I3978" t="s">
        <v>76</v>
      </c>
      <c r="J3978" t="s">
        <v>77</v>
      </c>
      <c r="K3978" t="s">
        <v>78</v>
      </c>
      <c r="L3978" t="s">
        <v>79</v>
      </c>
      <c r="M3978" t="s">
        <v>80</v>
      </c>
      <c r="N3978" t="s">
        <v>931</v>
      </c>
      <c r="O3978" t="s">
        <v>82</v>
      </c>
      <c r="P3978" t="str">
        <f>"4170051106                    "</f>
        <v xml:space="preserve">4170051106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22.6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71.2</v>
      </c>
      <c r="BM3978">
        <v>10.68</v>
      </c>
      <c r="BN3978">
        <v>81.88</v>
      </c>
      <c r="BO3978">
        <v>81.88</v>
      </c>
      <c r="BQ3978" t="s">
        <v>932</v>
      </c>
      <c r="BR3978" t="s">
        <v>84</v>
      </c>
      <c r="BS3978" s="3">
        <v>45866</v>
      </c>
      <c r="BT3978" s="4">
        <v>0.40347222222222223</v>
      </c>
      <c r="BU3978" t="s">
        <v>933</v>
      </c>
      <c r="BV3978" t="s">
        <v>98</v>
      </c>
      <c r="BY3978">
        <v>1200</v>
      </c>
      <c r="CA3978" t="s">
        <v>934</v>
      </c>
      <c r="CC3978" t="s">
        <v>80</v>
      </c>
      <c r="CD3978">
        <v>7535</v>
      </c>
      <c r="CE3978" t="s">
        <v>121</v>
      </c>
      <c r="CF3978" s="3">
        <v>45867</v>
      </c>
      <c r="CI3978">
        <v>1</v>
      </c>
      <c r="CJ3978">
        <v>1</v>
      </c>
      <c r="CK3978">
        <v>21</v>
      </c>
      <c r="CL3978" t="s">
        <v>86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"080066793922"</f>
        <v>080066793922</v>
      </c>
      <c r="F3979" s="3">
        <v>45863</v>
      </c>
      <c r="G3979">
        <v>202604</v>
      </c>
      <c r="H3979" t="s">
        <v>75</v>
      </c>
      <c r="I3979" t="s">
        <v>76</v>
      </c>
      <c r="J3979" t="s">
        <v>77</v>
      </c>
      <c r="K3979" t="s">
        <v>78</v>
      </c>
      <c r="L3979" t="s">
        <v>135</v>
      </c>
      <c r="M3979" t="s">
        <v>136</v>
      </c>
      <c r="N3979" t="s">
        <v>379</v>
      </c>
      <c r="O3979" t="s">
        <v>82</v>
      </c>
      <c r="P3979" t="str">
        <f>"4170051187                    "</f>
        <v xml:space="preserve">4170051187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22.6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71.2</v>
      </c>
      <c r="BM3979">
        <v>10.68</v>
      </c>
      <c r="BN3979">
        <v>81.88</v>
      </c>
      <c r="BO3979">
        <v>81.88</v>
      </c>
      <c r="BQ3979" t="s">
        <v>380</v>
      </c>
      <c r="BR3979" t="s">
        <v>84</v>
      </c>
      <c r="BS3979" s="3">
        <v>45866</v>
      </c>
      <c r="BT3979" s="4">
        <v>0.4513888888888889</v>
      </c>
      <c r="BU3979" t="s">
        <v>2019</v>
      </c>
      <c r="BV3979" t="s">
        <v>98</v>
      </c>
      <c r="BY3979">
        <v>1200</v>
      </c>
      <c r="CA3979" t="s">
        <v>382</v>
      </c>
      <c r="CC3979" t="s">
        <v>136</v>
      </c>
      <c r="CD3979">
        <v>3212</v>
      </c>
      <c r="CE3979" t="s">
        <v>121</v>
      </c>
      <c r="CF3979" s="3">
        <v>45866</v>
      </c>
      <c r="CI3979">
        <v>2</v>
      </c>
      <c r="CJ3979">
        <v>1</v>
      </c>
      <c r="CK3979">
        <v>21</v>
      </c>
      <c r="CL3979" t="s">
        <v>86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"080066793983"</f>
        <v>080066793983</v>
      </c>
      <c r="F3980" s="3">
        <v>45863</v>
      </c>
      <c r="G3980">
        <v>202604</v>
      </c>
      <c r="H3980" t="s">
        <v>75</v>
      </c>
      <c r="I3980" t="s">
        <v>76</v>
      </c>
      <c r="J3980" t="s">
        <v>77</v>
      </c>
      <c r="K3980" t="s">
        <v>78</v>
      </c>
      <c r="L3980" t="s">
        <v>240</v>
      </c>
      <c r="M3980" t="s">
        <v>241</v>
      </c>
      <c r="N3980" t="s">
        <v>272</v>
      </c>
      <c r="O3980" t="s">
        <v>311</v>
      </c>
      <c r="P3980" t="str">
        <f>"4170050911                    "</f>
        <v xml:space="preserve">4170050911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180.08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16.739999999999998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8.4</v>
      </c>
      <c r="BJ3980">
        <v>3.9</v>
      </c>
      <c r="BK3980">
        <v>8.5</v>
      </c>
      <c r="BL3980">
        <v>584.09</v>
      </c>
      <c r="BM3980">
        <v>87.61</v>
      </c>
      <c r="BN3980">
        <v>671.7</v>
      </c>
      <c r="BO3980">
        <v>671.7</v>
      </c>
      <c r="BQ3980" t="s">
        <v>273</v>
      </c>
      <c r="BR3980" t="s">
        <v>84</v>
      </c>
      <c r="BS3980" s="3">
        <v>45866</v>
      </c>
      <c r="BT3980" s="4">
        <v>0.41805555555555557</v>
      </c>
      <c r="BU3980" t="s">
        <v>3594</v>
      </c>
      <c r="BV3980" t="s">
        <v>98</v>
      </c>
      <c r="BY3980">
        <v>19264</v>
      </c>
      <c r="BZ3980" t="s">
        <v>30</v>
      </c>
      <c r="CA3980" t="s">
        <v>3595</v>
      </c>
      <c r="CC3980" t="s">
        <v>241</v>
      </c>
      <c r="CD3980">
        <v>1832</v>
      </c>
      <c r="CE3980" t="s">
        <v>91</v>
      </c>
      <c r="CF3980" s="3">
        <v>45867</v>
      </c>
      <c r="CI3980">
        <v>0</v>
      </c>
      <c r="CJ3980">
        <v>0</v>
      </c>
      <c r="CK3980">
        <v>31</v>
      </c>
      <c r="CL3980" t="s">
        <v>86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"080066794032"</f>
        <v>080066794032</v>
      </c>
      <c r="F3981" s="3">
        <v>45863</v>
      </c>
      <c r="G3981">
        <v>202604</v>
      </c>
      <c r="H3981" t="s">
        <v>75</v>
      </c>
      <c r="I3981" t="s">
        <v>76</v>
      </c>
      <c r="J3981" t="s">
        <v>77</v>
      </c>
      <c r="K3981" t="s">
        <v>78</v>
      </c>
      <c r="L3981" t="s">
        <v>295</v>
      </c>
      <c r="M3981" t="s">
        <v>296</v>
      </c>
      <c r="N3981" t="s">
        <v>433</v>
      </c>
      <c r="O3981" t="s">
        <v>82</v>
      </c>
      <c r="P3981" t="str">
        <f>"4170051163                    "</f>
        <v xml:space="preserve">4170051163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17.649999999999999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1.1000000000000001</v>
      </c>
      <c r="BK3981">
        <v>2</v>
      </c>
      <c r="BL3981">
        <v>55.61</v>
      </c>
      <c r="BM3981">
        <v>8.34</v>
      </c>
      <c r="BN3981">
        <v>63.95</v>
      </c>
      <c r="BO3981">
        <v>63.95</v>
      </c>
      <c r="BQ3981" t="s">
        <v>434</v>
      </c>
      <c r="BR3981" t="s">
        <v>84</v>
      </c>
      <c r="BS3981" s="3">
        <v>45866</v>
      </c>
      <c r="BT3981" s="4">
        <v>0.30208333333333331</v>
      </c>
      <c r="BU3981" t="s">
        <v>3596</v>
      </c>
      <c r="BV3981" t="s">
        <v>98</v>
      </c>
      <c r="BY3981">
        <v>5320</v>
      </c>
      <c r="BZ3981" t="s">
        <v>89</v>
      </c>
      <c r="CC3981" t="s">
        <v>296</v>
      </c>
      <c r="CD3981">
        <v>1459</v>
      </c>
      <c r="CE3981" t="s">
        <v>117</v>
      </c>
      <c r="CF3981" s="3">
        <v>45866</v>
      </c>
      <c r="CI3981">
        <v>1</v>
      </c>
      <c r="CJ3981">
        <v>1</v>
      </c>
      <c r="CK3981">
        <v>22</v>
      </c>
      <c r="CL3981" t="s">
        <v>86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"080066794134"</f>
        <v>080066794134</v>
      </c>
      <c r="F3982" s="3">
        <v>45863</v>
      </c>
      <c r="G3982">
        <v>202604</v>
      </c>
      <c r="H3982" t="s">
        <v>75</v>
      </c>
      <c r="I3982" t="s">
        <v>76</v>
      </c>
      <c r="J3982" t="s">
        <v>77</v>
      </c>
      <c r="K3982" t="s">
        <v>78</v>
      </c>
      <c r="L3982" t="s">
        <v>542</v>
      </c>
      <c r="M3982" t="s">
        <v>543</v>
      </c>
      <c r="N3982" t="s">
        <v>352</v>
      </c>
      <c r="O3982" t="s">
        <v>82</v>
      </c>
      <c r="P3982" t="str">
        <f>"4170051220                    "</f>
        <v xml:space="preserve">4170051220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17.649999999999999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5</v>
      </c>
      <c r="BJ3982">
        <v>1.7</v>
      </c>
      <c r="BK3982">
        <v>5</v>
      </c>
      <c r="BL3982">
        <v>55.61</v>
      </c>
      <c r="BM3982">
        <v>8.34</v>
      </c>
      <c r="BN3982">
        <v>63.95</v>
      </c>
      <c r="BO3982">
        <v>63.95</v>
      </c>
      <c r="BQ3982" t="s">
        <v>353</v>
      </c>
      <c r="BR3982" t="s">
        <v>84</v>
      </c>
      <c r="BS3982" s="3">
        <v>45866</v>
      </c>
      <c r="BT3982" s="4">
        <v>0.40833333333333333</v>
      </c>
      <c r="BU3982" t="s">
        <v>2747</v>
      </c>
      <c r="BV3982" t="s">
        <v>98</v>
      </c>
      <c r="BY3982">
        <v>8512</v>
      </c>
      <c r="BZ3982" t="s">
        <v>89</v>
      </c>
      <c r="CC3982" t="s">
        <v>543</v>
      </c>
      <c r="CD3982">
        <v>1451</v>
      </c>
      <c r="CE3982" t="s">
        <v>117</v>
      </c>
      <c r="CF3982" s="3">
        <v>45866</v>
      </c>
      <c r="CI3982">
        <v>1</v>
      </c>
      <c r="CJ3982">
        <v>1</v>
      </c>
      <c r="CK3982">
        <v>22</v>
      </c>
      <c r="CL3982" t="s">
        <v>86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"080066794181"</f>
        <v>080066794181</v>
      </c>
      <c r="F3983" s="3">
        <v>45863</v>
      </c>
      <c r="G3983">
        <v>202604</v>
      </c>
      <c r="H3983" t="s">
        <v>75</v>
      </c>
      <c r="I3983" t="s">
        <v>76</v>
      </c>
      <c r="J3983" t="s">
        <v>77</v>
      </c>
      <c r="K3983" t="s">
        <v>78</v>
      </c>
      <c r="L3983" t="s">
        <v>168</v>
      </c>
      <c r="M3983" t="s">
        <v>169</v>
      </c>
      <c r="N3983" t="s">
        <v>420</v>
      </c>
      <c r="O3983" t="s">
        <v>82</v>
      </c>
      <c r="P3983" t="str">
        <f>"4170051115                    "</f>
        <v xml:space="preserve">4170051115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22.6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2</v>
      </c>
      <c r="BJ3983">
        <v>1.7</v>
      </c>
      <c r="BK3983">
        <v>2</v>
      </c>
      <c r="BL3983">
        <v>71.2</v>
      </c>
      <c r="BM3983">
        <v>10.68</v>
      </c>
      <c r="BN3983">
        <v>81.88</v>
      </c>
      <c r="BO3983">
        <v>81.88</v>
      </c>
      <c r="BQ3983" t="s">
        <v>421</v>
      </c>
      <c r="BR3983" t="s">
        <v>84</v>
      </c>
      <c r="BS3983" s="3">
        <v>45866</v>
      </c>
      <c r="BT3983" s="4">
        <v>0.43402777777777779</v>
      </c>
      <c r="BU3983" t="s">
        <v>1121</v>
      </c>
      <c r="BV3983" t="s">
        <v>98</v>
      </c>
      <c r="BY3983">
        <v>8512</v>
      </c>
      <c r="CA3983" t="s">
        <v>423</v>
      </c>
      <c r="CC3983" t="s">
        <v>169</v>
      </c>
      <c r="CD3983">
        <v>6001</v>
      </c>
      <c r="CE3983" t="s">
        <v>145</v>
      </c>
      <c r="CF3983" s="3">
        <v>45866</v>
      </c>
      <c r="CI3983">
        <v>1</v>
      </c>
      <c r="CJ3983">
        <v>1</v>
      </c>
      <c r="CK3983">
        <v>21</v>
      </c>
      <c r="CL3983" t="s">
        <v>86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"080066794235"</f>
        <v>080066794235</v>
      </c>
      <c r="F3984" s="3">
        <v>45863</v>
      </c>
      <c r="G3984">
        <v>202604</v>
      </c>
      <c r="H3984" t="s">
        <v>75</v>
      </c>
      <c r="I3984" t="s">
        <v>76</v>
      </c>
      <c r="J3984" t="s">
        <v>77</v>
      </c>
      <c r="K3984" t="s">
        <v>78</v>
      </c>
      <c r="L3984" t="s">
        <v>168</v>
      </c>
      <c r="M3984" t="s">
        <v>169</v>
      </c>
      <c r="N3984" t="s">
        <v>206</v>
      </c>
      <c r="O3984" t="s">
        <v>82</v>
      </c>
      <c r="P3984" t="str">
        <f>"4170051095                    "</f>
        <v xml:space="preserve">4170051095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39.53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3</v>
      </c>
      <c r="BJ3984">
        <v>3.4</v>
      </c>
      <c r="BK3984">
        <v>3.5</v>
      </c>
      <c r="BL3984">
        <v>124.55</v>
      </c>
      <c r="BM3984">
        <v>18.68</v>
      </c>
      <c r="BN3984">
        <v>143.22999999999999</v>
      </c>
      <c r="BO3984">
        <v>143.22999999999999</v>
      </c>
      <c r="BQ3984" t="s">
        <v>207</v>
      </c>
      <c r="BR3984" t="s">
        <v>84</v>
      </c>
      <c r="BS3984" s="3">
        <v>45866</v>
      </c>
      <c r="BT3984" s="4">
        <v>0.39444444444444443</v>
      </c>
      <c r="BU3984" t="s">
        <v>208</v>
      </c>
      <c r="BV3984" t="s">
        <v>98</v>
      </c>
      <c r="BY3984">
        <v>16965</v>
      </c>
      <c r="CA3984" t="s">
        <v>196</v>
      </c>
      <c r="CC3984" t="s">
        <v>169</v>
      </c>
      <c r="CD3984">
        <v>6001</v>
      </c>
      <c r="CE3984" t="s">
        <v>145</v>
      </c>
      <c r="CF3984" s="3">
        <v>45866</v>
      </c>
      <c r="CI3984">
        <v>1</v>
      </c>
      <c r="CJ3984">
        <v>1</v>
      </c>
      <c r="CK3984">
        <v>21</v>
      </c>
      <c r="CL3984" t="s">
        <v>86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"080066794265"</f>
        <v>080066794265</v>
      </c>
      <c r="F3985" s="3">
        <v>45863</v>
      </c>
      <c r="G3985">
        <v>202604</v>
      </c>
      <c r="H3985" t="s">
        <v>75</v>
      </c>
      <c r="I3985" t="s">
        <v>76</v>
      </c>
      <c r="J3985" t="s">
        <v>77</v>
      </c>
      <c r="K3985" t="s">
        <v>78</v>
      </c>
      <c r="L3985" t="s">
        <v>79</v>
      </c>
      <c r="M3985" t="s">
        <v>80</v>
      </c>
      <c r="N3985" t="s">
        <v>698</v>
      </c>
      <c r="O3985" t="s">
        <v>82</v>
      </c>
      <c r="P3985" t="str">
        <f>"4170050893                    "</f>
        <v xml:space="preserve">4170050893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90.34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8</v>
      </c>
      <c r="BJ3985">
        <v>1.8</v>
      </c>
      <c r="BK3985">
        <v>8</v>
      </c>
      <c r="BL3985">
        <v>284.62</v>
      </c>
      <c r="BM3985">
        <v>42.69</v>
      </c>
      <c r="BN3985">
        <v>327.31</v>
      </c>
      <c r="BO3985">
        <v>327.31</v>
      </c>
      <c r="BQ3985" t="s">
        <v>699</v>
      </c>
      <c r="BR3985" t="s">
        <v>84</v>
      </c>
      <c r="BS3985" s="3">
        <v>45866</v>
      </c>
      <c r="BT3985" s="4">
        <v>0.35902777777777778</v>
      </c>
      <c r="BU3985" t="s">
        <v>558</v>
      </c>
      <c r="BV3985" t="s">
        <v>98</v>
      </c>
      <c r="BY3985">
        <v>9120</v>
      </c>
      <c r="CA3985" t="s">
        <v>289</v>
      </c>
      <c r="CC3985" t="s">
        <v>80</v>
      </c>
      <c r="CD3985">
        <v>7561</v>
      </c>
      <c r="CE3985" t="s">
        <v>145</v>
      </c>
      <c r="CF3985" s="3">
        <v>45867</v>
      </c>
      <c r="CI3985">
        <v>1</v>
      </c>
      <c r="CJ3985">
        <v>1</v>
      </c>
      <c r="CK3985">
        <v>21</v>
      </c>
      <c r="CL3985" t="s">
        <v>86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"080066794362"</f>
        <v>080066794362</v>
      </c>
      <c r="F3986" s="3">
        <v>45863</v>
      </c>
      <c r="G3986">
        <v>202604</v>
      </c>
      <c r="H3986" t="s">
        <v>75</v>
      </c>
      <c r="I3986" t="s">
        <v>76</v>
      </c>
      <c r="J3986" t="s">
        <v>77</v>
      </c>
      <c r="K3986" t="s">
        <v>78</v>
      </c>
      <c r="L3986" t="s">
        <v>168</v>
      </c>
      <c r="M3986" t="s">
        <v>169</v>
      </c>
      <c r="N3986" t="s">
        <v>202</v>
      </c>
      <c r="O3986" t="s">
        <v>82</v>
      </c>
      <c r="P3986" t="str">
        <f>"4170050890                    "</f>
        <v xml:space="preserve">4170050890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22.6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2</v>
      </c>
      <c r="BJ3986">
        <v>1.1000000000000001</v>
      </c>
      <c r="BK3986">
        <v>2</v>
      </c>
      <c r="BL3986">
        <v>71.2</v>
      </c>
      <c r="BM3986">
        <v>10.68</v>
      </c>
      <c r="BN3986">
        <v>81.88</v>
      </c>
      <c r="BO3986">
        <v>81.88</v>
      </c>
      <c r="BQ3986" t="s">
        <v>203</v>
      </c>
      <c r="BR3986" t="s">
        <v>84</v>
      </c>
      <c r="BS3986" s="3">
        <v>45866</v>
      </c>
      <c r="BT3986" s="4">
        <v>0.39791666666666664</v>
      </c>
      <c r="BU3986" t="s">
        <v>1713</v>
      </c>
      <c r="BV3986" t="s">
        <v>98</v>
      </c>
      <c r="BY3986">
        <v>5320</v>
      </c>
      <c r="CA3986" t="s">
        <v>205</v>
      </c>
      <c r="CC3986" t="s">
        <v>169</v>
      </c>
      <c r="CD3986">
        <v>6001</v>
      </c>
      <c r="CE3986" t="s">
        <v>145</v>
      </c>
      <c r="CF3986" s="3">
        <v>45866</v>
      </c>
      <c r="CI3986">
        <v>1</v>
      </c>
      <c r="CJ3986">
        <v>1</v>
      </c>
      <c r="CK3986">
        <v>21</v>
      </c>
      <c r="CL3986" t="s">
        <v>86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"080066794390"</f>
        <v>080066794390</v>
      </c>
      <c r="F3987" s="3">
        <v>45863</v>
      </c>
      <c r="G3987">
        <v>202604</v>
      </c>
      <c r="H3987" t="s">
        <v>75</v>
      </c>
      <c r="I3987" t="s">
        <v>76</v>
      </c>
      <c r="J3987" t="s">
        <v>77</v>
      </c>
      <c r="K3987" t="s">
        <v>78</v>
      </c>
      <c r="L3987" t="s">
        <v>305</v>
      </c>
      <c r="M3987" t="s">
        <v>306</v>
      </c>
      <c r="N3987" t="s">
        <v>1820</v>
      </c>
      <c r="O3987" t="s">
        <v>82</v>
      </c>
      <c r="P3987" t="str">
        <f>"4170050719                    "</f>
        <v xml:space="preserve">4170050719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45.18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4</v>
      </c>
      <c r="BJ3987">
        <v>0.9</v>
      </c>
      <c r="BK3987">
        <v>4</v>
      </c>
      <c r="BL3987">
        <v>142.34</v>
      </c>
      <c r="BM3987">
        <v>21.35</v>
      </c>
      <c r="BN3987">
        <v>163.69</v>
      </c>
      <c r="BO3987">
        <v>163.69</v>
      </c>
      <c r="BQ3987" t="s">
        <v>1821</v>
      </c>
      <c r="BR3987" t="s">
        <v>84</v>
      </c>
      <c r="BS3987" s="3">
        <v>45866</v>
      </c>
      <c r="BT3987" s="4">
        <v>0.45416666666666666</v>
      </c>
      <c r="BU3987" t="s">
        <v>3597</v>
      </c>
      <c r="BV3987" t="s">
        <v>86</v>
      </c>
      <c r="BY3987">
        <v>4256</v>
      </c>
      <c r="CA3987" t="s">
        <v>1877</v>
      </c>
      <c r="CC3987" t="s">
        <v>306</v>
      </c>
      <c r="CD3987">
        <v>5200</v>
      </c>
      <c r="CE3987" t="s">
        <v>110</v>
      </c>
      <c r="CF3987" s="3">
        <v>45867</v>
      </c>
      <c r="CI3987">
        <v>1</v>
      </c>
      <c r="CJ3987">
        <v>1</v>
      </c>
      <c r="CK3987">
        <v>21</v>
      </c>
      <c r="CL3987" t="s">
        <v>86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"080066794406"</f>
        <v>080066794406</v>
      </c>
      <c r="F3988" s="3">
        <v>45863</v>
      </c>
      <c r="G3988">
        <v>202604</v>
      </c>
      <c r="H3988" t="s">
        <v>75</v>
      </c>
      <c r="I3988" t="s">
        <v>76</v>
      </c>
      <c r="J3988" t="s">
        <v>77</v>
      </c>
      <c r="K3988" t="s">
        <v>78</v>
      </c>
      <c r="L3988" t="s">
        <v>758</v>
      </c>
      <c r="M3988" t="s">
        <v>759</v>
      </c>
      <c r="N3988" t="s">
        <v>760</v>
      </c>
      <c r="O3988" t="s">
        <v>82</v>
      </c>
      <c r="P3988" t="str">
        <f>"4170051222                    "</f>
        <v xml:space="preserve">4170051222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43.78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137.94</v>
      </c>
      <c r="BM3988">
        <v>20.69</v>
      </c>
      <c r="BN3988">
        <v>158.63</v>
      </c>
      <c r="BO3988">
        <v>158.63</v>
      </c>
      <c r="BQ3988" t="s">
        <v>761</v>
      </c>
      <c r="BR3988" t="s">
        <v>84</v>
      </c>
      <c r="BS3988" s="3">
        <v>45866</v>
      </c>
      <c r="BT3988" s="4">
        <v>0.46319444444444446</v>
      </c>
      <c r="BU3988" t="s">
        <v>1819</v>
      </c>
      <c r="BV3988" t="s">
        <v>98</v>
      </c>
      <c r="BY3988">
        <v>1200</v>
      </c>
      <c r="CA3988" t="s">
        <v>3015</v>
      </c>
      <c r="CC3988" t="s">
        <v>759</v>
      </c>
      <c r="CD3988">
        <v>2531</v>
      </c>
      <c r="CE3988" t="s">
        <v>110</v>
      </c>
      <c r="CF3988" s="3">
        <v>45867</v>
      </c>
      <c r="CI3988">
        <v>1</v>
      </c>
      <c r="CJ3988">
        <v>1</v>
      </c>
      <c r="CK3988">
        <v>23</v>
      </c>
      <c r="CL3988" t="s">
        <v>86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"080066794422"</f>
        <v>080066794422</v>
      </c>
      <c r="F3989" s="3">
        <v>45863</v>
      </c>
      <c r="G3989">
        <v>202604</v>
      </c>
      <c r="H3989" t="s">
        <v>75</v>
      </c>
      <c r="I3989" t="s">
        <v>76</v>
      </c>
      <c r="J3989" t="s">
        <v>77</v>
      </c>
      <c r="K3989" t="s">
        <v>78</v>
      </c>
      <c r="L3989" t="s">
        <v>92</v>
      </c>
      <c r="M3989" t="s">
        <v>93</v>
      </c>
      <c r="N3989" t="s">
        <v>291</v>
      </c>
      <c r="O3989" t="s">
        <v>82</v>
      </c>
      <c r="P3989" t="str">
        <f>"4170051157                    "</f>
        <v xml:space="preserve">4170051157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22.6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71.2</v>
      </c>
      <c r="BM3989">
        <v>10.68</v>
      </c>
      <c r="BN3989">
        <v>81.88</v>
      </c>
      <c r="BO3989">
        <v>81.88</v>
      </c>
      <c r="BQ3989" t="s">
        <v>292</v>
      </c>
      <c r="BR3989" t="s">
        <v>84</v>
      </c>
      <c r="BS3989" s="3">
        <v>45866</v>
      </c>
      <c r="BT3989" s="4">
        <v>0.32777777777777778</v>
      </c>
      <c r="BU3989" t="s">
        <v>971</v>
      </c>
      <c r="BV3989" t="s">
        <v>98</v>
      </c>
      <c r="BY3989">
        <v>1200</v>
      </c>
      <c r="CA3989" t="s">
        <v>294</v>
      </c>
      <c r="CC3989" t="s">
        <v>93</v>
      </c>
      <c r="CD3989">
        <v>4000</v>
      </c>
      <c r="CE3989" t="s">
        <v>110</v>
      </c>
      <c r="CF3989" s="3">
        <v>45866</v>
      </c>
      <c r="CI3989">
        <v>1</v>
      </c>
      <c r="CJ3989">
        <v>1</v>
      </c>
      <c r="CK3989">
        <v>21</v>
      </c>
      <c r="CL3989" t="s">
        <v>86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"080066794435"</f>
        <v>080066794435</v>
      </c>
      <c r="F3990" s="3">
        <v>45863</v>
      </c>
      <c r="G3990">
        <v>202604</v>
      </c>
      <c r="H3990" t="s">
        <v>75</v>
      </c>
      <c r="I3990" t="s">
        <v>76</v>
      </c>
      <c r="J3990" t="s">
        <v>77</v>
      </c>
      <c r="K3990" t="s">
        <v>78</v>
      </c>
      <c r="L3990" t="s">
        <v>168</v>
      </c>
      <c r="M3990" t="s">
        <v>169</v>
      </c>
      <c r="N3990" t="s">
        <v>170</v>
      </c>
      <c r="O3990" t="s">
        <v>82</v>
      </c>
      <c r="P3990" t="str">
        <f>"4170050906                    "</f>
        <v xml:space="preserve">4170050906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22.6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71.2</v>
      </c>
      <c r="BM3990">
        <v>10.68</v>
      </c>
      <c r="BN3990">
        <v>81.88</v>
      </c>
      <c r="BO3990">
        <v>81.88</v>
      </c>
      <c r="BQ3990" t="s">
        <v>171</v>
      </c>
      <c r="BR3990" t="s">
        <v>84</v>
      </c>
      <c r="BS3990" s="3">
        <v>45866</v>
      </c>
      <c r="BT3990" s="4">
        <v>0.35972222222222222</v>
      </c>
      <c r="BU3990" t="s">
        <v>1878</v>
      </c>
      <c r="BV3990" t="s">
        <v>98</v>
      </c>
      <c r="BY3990">
        <v>1200</v>
      </c>
      <c r="CA3990" t="s">
        <v>173</v>
      </c>
      <c r="CC3990" t="s">
        <v>169</v>
      </c>
      <c r="CD3990">
        <v>6001</v>
      </c>
      <c r="CE3990" t="s">
        <v>110</v>
      </c>
      <c r="CF3990" s="3">
        <v>45866</v>
      </c>
      <c r="CI3990">
        <v>1</v>
      </c>
      <c r="CJ3990">
        <v>1</v>
      </c>
      <c r="CK3990">
        <v>21</v>
      </c>
      <c r="CL3990" t="s">
        <v>86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"080066794446"</f>
        <v>080066794446</v>
      </c>
      <c r="F3991" s="3">
        <v>45863</v>
      </c>
      <c r="G3991">
        <v>202604</v>
      </c>
      <c r="H3991" t="s">
        <v>75</v>
      </c>
      <c r="I3991" t="s">
        <v>76</v>
      </c>
      <c r="J3991" t="s">
        <v>77</v>
      </c>
      <c r="K3991" t="s">
        <v>78</v>
      </c>
      <c r="L3991" t="s">
        <v>75</v>
      </c>
      <c r="M3991" t="s">
        <v>76</v>
      </c>
      <c r="N3991" t="s">
        <v>1324</v>
      </c>
      <c r="O3991" t="s">
        <v>82</v>
      </c>
      <c r="P3991" t="str">
        <f>"4170051112                    "</f>
        <v xml:space="preserve">4170051112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17.649999999999999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1.2</v>
      </c>
      <c r="BK3991">
        <v>2</v>
      </c>
      <c r="BL3991">
        <v>55.61</v>
      </c>
      <c r="BM3991">
        <v>8.34</v>
      </c>
      <c r="BN3991">
        <v>63.95</v>
      </c>
      <c r="BO3991">
        <v>63.95</v>
      </c>
      <c r="BQ3991" t="s">
        <v>1325</v>
      </c>
      <c r="BR3991" t="s">
        <v>84</v>
      </c>
      <c r="BS3991" s="3">
        <v>45866</v>
      </c>
      <c r="BT3991" s="4">
        <v>0.2986111111111111</v>
      </c>
      <c r="BU3991" t="s">
        <v>3598</v>
      </c>
      <c r="BV3991" t="s">
        <v>98</v>
      </c>
      <c r="BY3991">
        <v>6000</v>
      </c>
      <c r="CC3991" t="s">
        <v>76</v>
      </c>
      <c r="CD3991">
        <v>1600</v>
      </c>
      <c r="CE3991" t="s">
        <v>110</v>
      </c>
      <c r="CF3991" s="3">
        <v>45866</v>
      </c>
      <c r="CI3991">
        <v>1</v>
      </c>
      <c r="CJ3991">
        <v>1</v>
      </c>
      <c r="CK3991">
        <v>22</v>
      </c>
      <c r="CL3991" t="s">
        <v>86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"080066794449"</f>
        <v>080066794449</v>
      </c>
      <c r="F3992" s="3">
        <v>45863</v>
      </c>
      <c r="G3992">
        <v>202604</v>
      </c>
      <c r="H3992" t="s">
        <v>75</v>
      </c>
      <c r="I3992" t="s">
        <v>76</v>
      </c>
      <c r="J3992" t="s">
        <v>77</v>
      </c>
      <c r="K3992" t="s">
        <v>78</v>
      </c>
      <c r="L3992" t="s">
        <v>168</v>
      </c>
      <c r="M3992" t="s">
        <v>169</v>
      </c>
      <c r="N3992" t="s">
        <v>202</v>
      </c>
      <c r="O3992" t="s">
        <v>82</v>
      </c>
      <c r="P3992" t="str">
        <f>"4170050922                    "</f>
        <v xml:space="preserve">4170050922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22.6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71.2</v>
      </c>
      <c r="BM3992">
        <v>10.68</v>
      </c>
      <c r="BN3992">
        <v>81.88</v>
      </c>
      <c r="BO3992">
        <v>81.88</v>
      </c>
      <c r="BQ3992" t="s">
        <v>203</v>
      </c>
      <c r="BR3992" t="s">
        <v>84</v>
      </c>
      <c r="BS3992" s="3">
        <v>45866</v>
      </c>
      <c r="BT3992" s="4">
        <v>0.39652777777777776</v>
      </c>
      <c r="BU3992" t="s">
        <v>1713</v>
      </c>
      <c r="BV3992" t="s">
        <v>98</v>
      </c>
      <c r="BY3992">
        <v>1200</v>
      </c>
      <c r="CA3992" t="s">
        <v>205</v>
      </c>
      <c r="CC3992" t="s">
        <v>169</v>
      </c>
      <c r="CD3992">
        <v>6001</v>
      </c>
      <c r="CE3992" t="s">
        <v>110</v>
      </c>
      <c r="CF3992" s="3">
        <v>45866</v>
      </c>
      <c r="CI3992">
        <v>1</v>
      </c>
      <c r="CJ3992">
        <v>1</v>
      </c>
      <c r="CK3992">
        <v>21</v>
      </c>
      <c r="CL3992" t="s">
        <v>86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"080066794465"</f>
        <v>080066794465</v>
      </c>
      <c r="F3993" s="3">
        <v>45863</v>
      </c>
      <c r="G3993">
        <v>202604</v>
      </c>
      <c r="H3993" t="s">
        <v>75</v>
      </c>
      <c r="I3993" t="s">
        <v>76</v>
      </c>
      <c r="J3993" t="s">
        <v>77</v>
      </c>
      <c r="K3993" t="s">
        <v>78</v>
      </c>
      <c r="L3993" t="s">
        <v>92</v>
      </c>
      <c r="M3993" t="s">
        <v>93</v>
      </c>
      <c r="N3993" t="s">
        <v>3599</v>
      </c>
      <c r="O3993" t="s">
        <v>82</v>
      </c>
      <c r="P3993" t="str">
        <f>"4170051225                    "</f>
        <v xml:space="preserve">4170051225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22.6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71.2</v>
      </c>
      <c r="BM3993">
        <v>10.68</v>
      </c>
      <c r="BN3993">
        <v>81.88</v>
      </c>
      <c r="BO3993">
        <v>81.88</v>
      </c>
      <c r="BQ3993" t="s">
        <v>750</v>
      </c>
      <c r="BR3993" t="s">
        <v>84</v>
      </c>
      <c r="BS3993" s="3">
        <v>45866</v>
      </c>
      <c r="BT3993" s="4">
        <v>0.38750000000000001</v>
      </c>
      <c r="BU3993" t="s">
        <v>3568</v>
      </c>
      <c r="BV3993" t="s">
        <v>98</v>
      </c>
      <c r="BY3993">
        <v>1200</v>
      </c>
      <c r="CA3993" t="s">
        <v>2430</v>
      </c>
      <c r="CC3993" t="s">
        <v>93</v>
      </c>
      <c r="CD3993">
        <v>4000</v>
      </c>
      <c r="CE3993" t="s">
        <v>121</v>
      </c>
      <c r="CF3993" s="3">
        <v>45866</v>
      </c>
      <c r="CI3993">
        <v>1</v>
      </c>
      <c r="CJ3993">
        <v>1</v>
      </c>
      <c r="CK3993">
        <v>21</v>
      </c>
      <c r="CL3993" t="s">
        <v>86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"080066794467"</f>
        <v>080066794467</v>
      </c>
      <c r="F3994" s="3">
        <v>45863</v>
      </c>
      <c r="G3994">
        <v>202604</v>
      </c>
      <c r="H3994" t="s">
        <v>75</v>
      </c>
      <c r="I3994" t="s">
        <v>76</v>
      </c>
      <c r="J3994" t="s">
        <v>77</v>
      </c>
      <c r="K3994" t="s">
        <v>78</v>
      </c>
      <c r="L3994" t="s">
        <v>240</v>
      </c>
      <c r="M3994" t="s">
        <v>241</v>
      </c>
      <c r="N3994" t="s">
        <v>3600</v>
      </c>
      <c r="O3994" t="s">
        <v>82</v>
      </c>
      <c r="P3994" t="str">
        <f>"4170051090                    "</f>
        <v xml:space="preserve">4170051090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17.649999999999999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55.61</v>
      </c>
      <c r="BM3994">
        <v>8.34</v>
      </c>
      <c r="BN3994">
        <v>63.95</v>
      </c>
      <c r="BO3994">
        <v>63.95</v>
      </c>
      <c r="BQ3994" t="s">
        <v>3601</v>
      </c>
      <c r="BR3994" t="s">
        <v>84</v>
      </c>
      <c r="BS3994" s="3">
        <v>45866</v>
      </c>
      <c r="BT3994" s="4">
        <v>0.40138888888888891</v>
      </c>
      <c r="BU3994" t="s">
        <v>3602</v>
      </c>
      <c r="BV3994" t="s">
        <v>98</v>
      </c>
      <c r="BY3994">
        <v>1200</v>
      </c>
      <c r="CC3994" t="s">
        <v>241</v>
      </c>
      <c r="CD3994">
        <v>2021</v>
      </c>
      <c r="CE3994" t="s">
        <v>121</v>
      </c>
      <c r="CF3994" s="3">
        <v>45866</v>
      </c>
      <c r="CI3994">
        <v>1</v>
      </c>
      <c r="CJ3994">
        <v>1</v>
      </c>
      <c r="CK3994">
        <v>22</v>
      </c>
      <c r="CL3994" t="s">
        <v>86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"080066794499"</f>
        <v>080066794499</v>
      </c>
      <c r="F3995" s="3">
        <v>45863</v>
      </c>
      <c r="G3995">
        <v>202604</v>
      </c>
      <c r="H3995" t="s">
        <v>75</v>
      </c>
      <c r="I3995" t="s">
        <v>76</v>
      </c>
      <c r="J3995" t="s">
        <v>77</v>
      </c>
      <c r="K3995" t="s">
        <v>78</v>
      </c>
      <c r="L3995" t="s">
        <v>128</v>
      </c>
      <c r="M3995" t="s">
        <v>129</v>
      </c>
      <c r="N3995" t="s">
        <v>2038</v>
      </c>
      <c r="O3995" t="s">
        <v>82</v>
      </c>
      <c r="P3995" t="str">
        <f>"4170050912                    "</f>
        <v xml:space="preserve">4170050912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43.78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137.94</v>
      </c>
      <c r="BM3995">
        <v>20.69</v>
      </c>
      <c r="BN3995">
        <v>158.63</v>
      </c>
      <c r="BO3995">
        <v>158.63</v>
      </c>
      <c r="BQ3995" t="s">
        <v>2039</v>
      </c>
      <c r="BR3995" t="s">
        <v>84</v>
      </c>
      <c r="BS3995" s="3">
        <v>45866</v>
      </c>
      <c r="BT3995" s="4">
        <v>0.40902777777777777</v>
      </c>
      <c r="BU3995" t="s">
        <v>2795</v>
      </c>
      <c r="BV3995" t="s">
        <v>98</v>
      </c>
      <c r="BY3995">
        <v>1200</v>
      </c>
      <c r="CA3995" t="s">
        <v>2284</v>
      </c>
      <c r="CC3995" t="s">
        <v>129</v>
      </c>
      <c r="CD3995" s="5" t="s">
        <v>134</v>
      </c>
      <c r="CE3995" t="s">
        <v>121</v>
      </c>
      <c r="CF3995" s="3">
        <v>45867</v>
      </c>
      <c r="CI3995">
        <v>1</v>
      </c>
      <c r="CJ3995">
        <v>1</v>
      </c>
      <c r="CK3995">
        <v>23</v>
      </c>
      <c r="CL3995" t="s">
        <v>86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"080066794513"</f>
        <v>080066794513</v>
      </c>
      <c r="F3996" s="3">
        <v>45863</v>
      </c>
      <c r="G3996">
        <v>202604</v>
      </c>
      <c r="H3996" t="s">
        <v>75</v>
      </c>
      <c r="I3996" t="s">
        <v>76</v>
      </c>
      <c r="J3996" t="s">
        <v>77</v>
      </c>
      <c r="K3996" t="s">
        <v>78</v>
      </c>
      <c r="L3996" t="s">
        <v>580</v>
      </c>
      <c r="M3996" t="s">
        <v>581</v>
      </c>
      <c r="N3996" t="s">
        <v>582</v>
      </c>
      <c r="O3996" t="s">
        <v>82</v>
      </c>
      <c r="P3996" t="str">
        <f>"4170051003                    "</f>
        <v xml:space="preserve">4170051003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22.6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1</v>
      </c>
      <c r="BJ3996">
        <v>0.2</v>
      </c>
      <c r="BK3996">
        <v>1</v>
      </c>
      <c r="BL3996">
        <v>71.2</v>
      </c>
      <c r="BM3996">
        <v>10.68</v>
      </c>
      <c r="BN3996">
        <v>81.88</v>
      </c>
      <c r="BO3996">
        <v>81.88</v>
      </c>
      <c r="BQ3996" t="s">
        <v>583</v>
      </c>
      <c r="BR3996" t="s">
        <v>84</v>
      </c>
      <c r="BS3996" s="3">
        <v>45868</v>
      </c>
      <c r="BT3996" s="4">
        <v>0.43680555555555556</v>
      </c>
      <c r="BU3996" t="s">
        <v>584</v>
      </c>
      <c r="BV3996" t="s">
        <v>86</v>
      </c>
      <c r="BW3996" t="s">
        <v>194</v>
      </c>
      <c r="BX3996" t="s">
        <v>1174</v>
      </c>
      <c r="BY3996">
        <v>1200</v>
      </c>
      <c r="CA3996" t="s">
        <v>585</v>
      </c>
      <c r="CC3996" t="s">
        <v>581</v>
      </c>
      <c r="CD3996">
        <v>4302</v>
      </c>
      <c r="CE3996" t="s">
        <v>121</v>
      </c>
      <c r="CF3996" s="3">
        <v>45868</v>
      </c>
      <c r="CI3996">
        <v>1</v>
      </c>
      <c r="CJ3996">
        <v>3</v>
      </c>
      <c r="CK3996">
        <v>21</v>
      </c>
      <c r="CL3996" t="s">
        <v>86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"080066794757"</f>
        <v>080066794757</v>
      </c>
      <c r="F3997" s="3">
        <v>45863</v>
      </c>
      <c r="G3997">
        <v>202604</v>
      </c>
      <c r="H3997" t="s">
        <v>75</v>
      </c>
      <c r="I3997" t="s">
        <v>76</v>
      </c>
      <c r="J3997" t="s">
        <v>77</v>
      </c>
      <c r="K3997" t="s">
        <v>78</v>
      </c>
      <c r="L3997" t="s">
        <v>240</v>
      </c>
      <c r="M3997" t="s">
        <v>241</v>
      </c>
      <c r="N3997" t="s">
        <v>2314</v>
      </c>
      <c r="O3997" t="s">
        <v>95</v>
      </c>
      <c r="P3997" t="str">
        <f>"4170050710                    "</f>
        <v xml:space="preserve">4170050710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55.41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4</v>
      </c>
      <c r="BI3997">
        <v>32</v>
      </c>
      <c r="BJ3997">
        <v>36.5</v>
      </c>
      <c r="BK3997">
        <v>37</v>
      </c>
      <c r="BL3997">
        <v>180.44</v>
      </c>
      <c r="BM3997">
        <v>27.07</v>
      </c>
      <c r="BN3997">
        <v>207.51</v>
      </c>
      <c r="BO3997">
        <v>207.51</v>
      </c>
      <c r="BQ3997" t="s">
        <v>2315</v>
      </c>
      <c r="BR3997" t="s">
        <v>84</v>
      </c>
      <c r="BS3997" s="3">
        <v>45863</v>
      </c>
      <c r="BT3997" s="4">
        <v>0.38194444444444442</v>
      </c>
      <c r="BU3997" t="s">
        <v>3603</v>
      </c>
      <c r="BV3997" t="s">
        <v>98</v>
      </c>
      <c r="BY3997">
        <v>45632</v>
      </c>
      <c r="CC3997" t="s">
        <v>241</v>
      </c>
      <c r="CD3997">
        <v>2094</v>
      </c>
      <c r="CE3997" t="s">
        <v>145</v>
      </c>
      <c r="CF3997" s="3">
        <v>45867</v>
      </c>
      <c r="CI3997">
        <v>1</v>
      </c>
      <c r="CJ3997">
        <v>0</v>
      </c>
      <c r="CK3997">
        <v>42</v>
      </c>
      <c r="CL3997" t="s">
        <v>86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"080066794758"</f>
        <v>080066794758</v>
      </c>
      <c r="F3998" s="3">
        <v>45863</v>
      </c>
      <c r="G3998">
        <v>202604</v>
      </c>
      <c r="H3998" t="s">
        <v>75</v>
      </c>
      <c r="I3998" t="s">
        <v>76</v>
      </c>
      <c r="J3998" t="s">
        <v>77</v>
      </c>
      <c r="K3998" t="s">
        <v>78</v>
      </c>
      <c r="L3998" t="s">
        <v>221</v>
      </c>
      <c r="M3998" t="s">
        <v>222</v>
      </c>
      <c r="N3998" t="s">
        <v>223</v>
      </c>
      <c r="O3998" t="s">
        <v>95</v>
      </c>
      <c r="P3998" t="str">
        <f>"4170051226                    "</f>
        <v xml:space="preserve">4170051226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108.86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2</v>
      </c>
      <c r="BI3998">
        <v>22</v>
      </c>
      <c r="BJ3998">
        <v>29.2</v>
      </c>
      <c r="BK3998">
        <v>30</v>
      </c>
      <c r="BL3998">
        <v>348.83</v>
      </c>
      <c r="BM3998">
        <v>52.32</v>
      </c>
      <c r="BN3998">
        <v>401.15</v>
      </c>
      <c r="BO3998">
        <v>401.15</v>
      </c>
      <c r="BQ3998" t="s">
        <v>224</v>
      </c>
      <c r="BR3998" t="s">
        <v>84</v>
      </c>
      <c r="BS3998" s="3">
        <v>45866</v>
      </c>
      <c r="BT3998" s="4">
        <v>0.3263888888888889</v>
      </c>
      <c r="BU3998" t="s">
        <v>2632</v>
      </c>
      <c r="BV3998" t="s">
        <v>98</v>
      </c>
      <c r="BY3998">
        <v>73008</v>
      </c>
      <c r="CC3998" t="s">
        <v>222</v>
      </c>
      <c r="CD3998">
        <v>2740</v>
      </c>
      <c r="CE3998" t="s">
        <v>2966</v>
      </c>
      <c r="CF3998" s="3">
        <v>45867</v>
      </c>
      <c r="CI3998">
        <v>1</v>
      </c>
      <c r="CJ3998">
        <v>1</v>
      </c>
      <c r="CK3998">
        <v>43</v>
      </c>
      <c r="CL3998" t="s">
        <v>86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"080066794778"</f>
        <v>080066794778</v>
      </c>
      <c r="F3999" s="3">
        <v>45863</v>
      </c>
      <c r="G3999">
        <v>202604</v>
      </c>
      <c r="H3999" t="s">
        <v>75</v>
      </c>
      <c r="I3999" t="s">
        <v>76</v>
      </c>
      <c r="J3999" t="s">
        <v>77</v>
      </c>
      <c r="K3999" t="s">
        <v>78</v>
      </c>
      <c r="L3999" t="s">
        <v>604</v>
      </c>
      <c r="M3999" t="s">
        <v>605</v>
      </c>
      <c r="N3999" t="s">
        <v>3355</v>
      </c>
      <c r="O3999" t="s">
        <v>82</v>
      </c>
      <c r="P3999" t="str">
        <f>"4170051129                    "</f>
        <v xml:space="preserve">4170051129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73.44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3</v>
      </c>
      <c r="BJ3999">
        <v>3.1</v>
      </c>
      <c r="BK3999">
        <v>3.5</v>
      </c>
      <c r="BL3999">
        <v>231.38</v>
      </c>
      <c r="BM3999">
        <v>34.71</v>
      </c>
      <c r="BN3999">
        <v>266.08999999999997</v>
      </c>
      <c r="BO3999">
        <v>266.08999999999997</v>
      </c>
      <c r="BQ3999" t="s">
        <v>3356</v>
      </c>
      <c r="BR3999" t="s">
        <v>84</v>
      </c>
      <c r="BS3999" s="3">
        <v>45866</v>
      </c>
      <c r="BT3999" s="4">
        <v>0.43541666666666667</v>
      </c>
      <c r="BU3999" t="s">
        <v>3604</v>
      </c>
      <c r="BV3999" t="s">
        <v>98</v>
      </c>
      <c r="BY3999">
        <v>15360</v>
      </c>
      <c r="CA3999" t="s">
        <v>3605</v>
      </c>
      <c r="CC3999" t="s">
        <v>605</v>
      </c>
      <c r="CD3999">
        <v>4490</v>
      </c>
      <c r="CE3999" t="s">
        <v>91</v>
      </c>
      <c r="CF3999" s="3">
        <v>45866</v>
      </c>
      <c r="CI3999">
        <v>5</v>
      </c>
      <c r="CJ3999">
        <v>1</v>
      </c>
      <c r="CK3999">
        <v>23</v>
      </c>
      <c r="CL3999" t="s">
        <v>86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"080066794793"</f>
        <v>080066794793</v>
      </c>
      <c r="F4000" s="3">
        <v>45863</v>
      </c>
      <c r="G4000">
        <v>202604</v>
      </c>
      <c r="H4000" t="s">
        <v>75</v>
      </c>
      <c r="I4000" t="s">
        <v>76</v>
      </c>
      <c r="J4000" t="s">
        <v>77</v>
      </c>
      <c r="K4000" t="s">
        <v>78</v>
      </c>
      <c r="L4000" t="s">
        <v>174</v>
      </c>
      <c r="M4000" t="s">
        <v>175</v>
      </c>
      <c r="N4000" t="s">
        <v>176</v>
      </c>
      <c r="O4000" t="s">
        <v>82</v>
      </c>
      <c r="P4000" t="str">
        <f>"4170051156                    "</f>
        <v xml:space="preserve">4170051156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22.6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71.2</v>
      </c>
      <c r="BM4000">
        <v>10.68</v>
      </c>
      <c r="BN4000">
        <v>81.88</v>
      </c>
      <c r="BO4000">
        <v>81.88</v>
      </c>
      <c r="BQ4000" t="s">
        <v>177</v>
      </c>
      <c r="BR4000" t="s">
        <v>84</v>
      </c>
      <c r="BS4000" s="3">
        <v>45866</v>
      </c>
      <c r="BT4000" s="4">
        <v>0.40972222222222221</v>
      </c>
      <c r="BU4000" t="s">
        <v>178</v>
      </c>
      <c r="BV4000" t="s">
        <v>98</v>
      </c>
      <c r="BY4000">
        <v>1200</v>
      </c>
      <c r="CA4000" t="s">
        <v>173</v>
      </c>
      <c r="CC4000" t="s">
        <v>175</v>
      </c>
      <c r="CD4000">
        <v>6220</v>
      </c>
      <c r="CE4000" t="s">
        <v>110</v>
      </c>
      <c r="CF4000" s="3">
        <v>45866</v>
      </c>
      <c r="CI4000">
        <v>1</v>
      </c>
      <c r="CJ4000">
        <v>1</v>
      </c>
      <c r="CK4000">
        <v>21</v>
      </c>
      <c r="CL4000" t="s">
        <v>86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"080066794866"</f>
        <v>080066794866</v>
      </c>
      <c r="F4001" s="3">
        <v>45863</v>
      </c>
      <c r="G4001">
        <v>202604</v>
      </c>
      <c r="H4001" t="s">
        <v>75</v>
      </c>
      <c r="I4001" t="s">
        <v>76</v>
      </c>
      <c r="J4001" t="s">
        <v>77</v>
      </c>
      <c r="K4001" t="s">
        <v>78</v>
      </c>
      <c r="L4001" t="s">
        <v>1677</v>
      </c>
      <c r="M4001" t="s">
        <v>1678</v>
      </c>
      <c r="N4001" t="s">
        <v>3606</v>
      </c>
      <c r="O4001" t="s">
        <v>82</v>
      </c>
      <c r="P4001" t="str">
        <f>"4170051153                    "</f>
        <v xml:space="preserve">4170051153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43.78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2</v>
      </c>
      <c r="BJ4001">
        <v>1.7</v>
      </c>
      <c r="BK4001">
        <v>2</v>
      </c>
      <c r="BL4001">
        <v>137.94</v>
      </c>
      <c r="BM4001">
        <v>20.69</v>
      </c>
      <c r="BN4001">
        <v>158.63</v>
      </c>
      <c r="BO4001">
        <v>158.63</v>
      </c>
      <c r="BQ4001" t="s">
        <v>3607</v>
      </c>
      <c r="BR4001" t="s">
        <v>84</v>
      </c>
      <c r="BS4001" s="3">
        <v>45866</v>
      </c>
      <c r="BT4001" s="4">
        <v>0.42499999999999999</v>
      </c>
      <c r="BU4001" t="s">
        <v>3608</v>
      </c>
      <c r="BV4001" t="s">
        <v>98</v>
      </c>
      <c r="BY4001">
        <v>8512</v>
      </c>
      <c r="CA4001" t="s">
        <v>3609</v>
      </c>
      <c r="CC4001" t="s">
        <v>1678</v>
      </c>
      <c r="CD4001">
        <v>1035</v>
      </c>
      <c r="CE4001" t="s">
        <v>145</v>
      </c>
      <c r="CF4001" s="3">
        <v>45866</v>
      </c>
      <c r="CI4001">
        <v>1</v>
      </c>
      <c r="CJ4001">
        <v>1</v>
      </c>
      <c r="CK4001">
        <v>23</v>
      </c>
      <c r="CL4001" t="s">
        <v>86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"080066794894"</f>
        <v>080066794894</v>
      </c>
      <c r="F4002" s="3">
        <v>45863</v>
      </c>
      <c r="G4002">
        <v>202604</v>
      </c>
      <c r="H4002" t="s">
        <v>75</v>
      </c>
      <c r="I4002" t="s">
        <v>76</v>
      </c>
      <c r="J4002" t="s">
        <v>77</v>
      </c>
      <c r="K4002" t="s">
        <v>78</v>
      </c>
      <c r="L4002" t="s">
        <v>79</v>
      </c>
      <c r="M4002" t="s">
        <v>80</v>
      </c>
      <c r="N4002" t="s">
        <v>2883</v>
      </c>
      <c r="O4002" t="s">
        <v>82</v>
      </c>
      <c r="P4002" t="str">
        <f>"4170051173                    "</f>
        <v xml:space="preserve">4170051173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22.6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2</v>
      </c>
      <c r="BJ4002">
        <v>1.7</v>
      </c>
      <c r="BK4002">
        <v>2</v>
      </c>
      <c r="BL4002">
        <v>71.2</v>
      </c>
      <c r="BM4002">
        <v>10.68</v>
      </c>
      <c r="BN4002">
        <v>81.88</v>
      </c>
      <c r="BO4002">
        <v>81.88</v>
      </c>
      <c r="BQ4002" t="s">
        <v>2884</v>
      </c>
      <c r="BR4002" t="s">
        <v>84</v>
      </c>
      <c r="BS4002" s="3">
        <v>45866</v>
      </c>
      <c r="BT4002" s="4">
        <v>0.3923611111111111</v>
      </c>
      <c r="BU4002" t="s">
        <v>2940</v>
      </c>
      <c r="BV4002" t="s">
        <v>98</v>
      </c>
      <c r="BY4002">
        <v>8512</v>
      </c>
      <c r="CA4002" t="s">
        <v>3610</v>
      </c>
      <c r="CC4002" t="s">
        <v>80</v>
      </c>
      <c r="CD4002">
        <v>7925</v>
      </c>
      <c r="CE4002" t="s">
        <v>145</v>
      </c>
      <c r="CF4002" s="3">
        <v>45867</v>
      </c>
      <c r="CI4002">
        <v>1</v>
      </c>
      <c r="CJ4002">
        <v>1</v>
      </c>
      <c r="CK4002">
        <v>21</v>
      </c>
      <c r="CL4002" t="s">
        <v>86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"080066794920"</f>
        <v>080066794920</v>
      </c>
      <c r="F4003" s="3">
        <v>45863</v>
      </c>
      <c r="G4003">
        <v>202604</v>
      </c>
      <c r="H4003" t="s">
        <v>75</v>
      </c>
      <c r="I4003" t="s">
        <v>76</v>
      </c>
      <c r="J4003" t="s">
        <v>77</v>
      </c>
      <c r="K4003" t="s">
        <v>78</v>
      </c>
      <c r="L4003" t="s">
        <v>277</v>
      </c>
      <c r="M4003" t="s">
        <v>278</v>
      </c>
      <c r="N4003" t="s">
        <v>279</v>
      </c>
      <c r="O4003" t="s">
        <v>82</v>
      </c>
      <c r="P4003" t="str">
        <f>"4170051152                    "</f>
        <v xml:space="preserve">4170051152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22.6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1.1000000000000001</v>
      </c>
      <c r="BK4003">
        <v>1.5</v>
      </c>
      <c r="BL4003">
        <v>71.2</v>
      </c>
      <c r="BM4003">
        <v>10.68</v>
      </c>
      <c r="BN4003">
        <v>81.88</v>
      </c>
      <c r="BO4003">
        <v>81.88</v>
      </c>
      <c r="BQ4003" t="s">
        <v>280</v>
      </c>
      <c r="BR4003" t="s">
        <v>84</v>
      </c>
      <c r="BS4003" s="3">
        <v>45866</v>
      </c>
      <c r="BT4003" s="4">
        <v>0.39444444444444443</v>
      </c>
      <c r="BU4003" t="s">
        <v>1124</v>
      </c>
      <c r="BV4003" t="s">
        <v>98</v>
      </c>
      <c r="BY4003">
        <v>5320</v>
      </c>
      <c r="CA4003" t="s">
        <v>282</v>
      </c>
      <c r="CC4003" t="s">
        <v>278</v>
      </c>
      <c r="CD4003">
        <v>6230</v>
      </c>
      <c r="CE4003" t="s">
        <v>145</v>
      </c>
      <c r="CF4003" s="3">
        <v>45866</v>
      </c>
      <c r="CI4003">
        <v>1</v>
      </c>
      <c r="CJ4003">
        <v>1</v>
      </c>
      <c r="CK4003">
        <v>21</v>
      </c>
      <c r="CL4003" t="s">
        <v>86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"080066795051"</f>
        <v>080066795051</v>
      </c>
      <c r="F4004" s="3">
        <v>45863</v>
      </c>
      <c r="G4004">
        <v>202604</v>
      </c>
      <c r="H4004" t="s">
        <v>75</v>
      </c>
      <c r="I4004" t="s">
        <v>76</v>
      </c>
      <c r="J4004" t="s">
        <v>77</v>
      </c>
      <c r="K4004" t="s">
        <v>78</v>
      </c>
      <c r="L4004" t="s">
        <v>168</v>
      </c>
      <c r="M4004" t="s">
        <v>169</v>
      </c>
      <c r="N4004" t="s">
        <v>726</v>
      </c>
      <c r="O4004" t="s">
        <v>82</v>
      </c>
      <c r="P4004" t="str">
        <f>"4170051177                    "</f>
        <v xml:space="preserve">4170051177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22.6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2</v>
      </c>
      <c r="BJ4004">
        <v>1.1000000000000001</v>
      </c>
      <c r="BK4004">
        <v>2</v>
      </c>
      <c r="BL4004">
        <v>71.2</v>
      </c>
      <c r="BM4004">
        <v>10.68</v>
      </c>
      <c r="BN4004">
        <v>81.88</v>
      </c>
      <c r="BO4004">
        <v>81.88</v>
      </c>
      <c r="BQ4004" t="s">
        <v>727</v>
      </c>
      <c r="BR4004" t="s">
        <v>84</v>
      </c>
      <c r="BS4004" s="3">
        <v>45866</v>
      </c>
      <c r="BT4004" s="4">
        <v>0.42291666666666666</v>
      </c>
      <c r="BU4004" t="s">
        <v>3611</v>
      </c>
      <c r="BV4004" t="s">
        <v>98</v>
      </c>
      <c r="BY4004">
        <v>5320</v>
      </c>
      <c r="BZ4004" t="s">
        <v>89</v>
      </c>
      <c r="CA4004" t="s">
        <v>423</v>
      </c>
      <c r="CC4004" t="s">
        <v>169</v>
      </c>
      <c r="CD4004">
        <v>6001</v>
      </c>
      <c r="CE4004" t="s">
        <v>145</v>
      </c>
      <c r="CF4004" s="3">
        <v>45866</v>
      </c>
      <c r="CI4004">
        <v>1</v>
      </c>
      <c r="CJ4004">
        <v>1</v>
      </c>
      <c r="CK4004">
        <v>21</v>
      </c>
      <c r="CL4004" t="s">
        <v>86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"080066795062"</f>
        <v>080066795062</v>
      </c>
      <c r="F4005" s="3">
        <v>45863</v>
      </c>
      <c r="G4005">
        <v>202604</v>
      </c>
      <c r="H4005" t="s">
        <v>75</v>
      </c>
      <c r="I4005" t="s">
        <v>76</v>
      </c>
      <c r="J4005" t="s">
        <v>77</v>
      </c>
      <c r="K4005" t="s">
        <v>78</v>
      </c>
      <c r="L4005" t="s">
        <v>151</v>
      </c>
      <c r="M4005" t="s">
        <v>152</v>
      </c>
      <c r="N4005" t="s">
        <v>515</v>
      </c>
      <c r="O4005" t="s">
        <v>82</v>
      </c>
      <c r="P4005" t="str">
        <f>"4170051159                    "</f>
        <v xml:space="preserve">4170051159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22.6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71.2</v>
      </c>
      <c r="BM4005">
        <v>10.68</v>
      </c>
      <c r="BN4005">
        <v>81.88</v>
      </c>
      <c r="BO4005">
        <v>81.88</v>
      </c>
      <c r="BQ4005" t="s">
        <v>516</v>
      </c>
      <c r="BR4005" t="s">
        <v>84</v>
      </c>
      <c r="BS4005" s="3">
        <v>45866</v>
      </c>
      <c r="BT4005" s="4">
        <v>0.43472222222222223</v>
      </c>
      <c r="BU4005" t="s">
        <v>3207</v>
      </c>
      <c r="BV4005" t="s">
        <v>98</v>
      </c>
      <c r="BY4005">
        <v>1200</v>
      </c>
      <c r="BZ4005" t="s">
        <v>89</v>
      </c>
      <c r="CA4005" t="s">
        <v>3612</v>
      </c>
      <c r="CC4005" t="s">
        <v>152</v>
      </c>
      <c r="CD4005" s="5" t="s">
        <v>157</v>
      </c>
      <c r="CE4005" t="s">
        <v>121</v>
      </c>
      <c r="CF4005" s="3">
        <v>45866</v>
      </c>
      <c r="CI4005">
        <v>1</v>
      </c>
      <c r="CJ4005">
        <v>1</v>
      </c>
      <c r="CK4005">
        <v>21</v>
      </c>
      <c r="CL4005" t="s">
        <v>86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"080066795068"</f>
        <v>080066795068</v>
      </c>
      <c r="F4006" s="3">
        <v>45863</v>
      </c>
      <c r="G4006">
        <v>202604</v>
      </c>
      <c r="H4006" t="s">
        <v>75</v>
      </c>
      <c r="I4006" t="s">
        <v>76</v>
      </c>
      <c r="J4006" t="s">
        <v>77</v>
      </c>
      <c r="K4006" t="s">
        <v>78</v>
      </c>
      <c r="L4006" t="s">
        <v>197</v>
      </c>
      <c r="M4006" t="s">
        <v>198</v>
      </c>
      <c r="N4006" t="s">
        <v>315</v>
      </c>
      <c r="O4006" t="s">
        <v>82</v>
      </c>
      <c r="P4006" t="str">
        <f>"4170051087                    "</f>
        <v xml:space="preserve">4170051087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17.649999999999999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3</v>
      </c>
      <c r="BJ4006">
        <v>1.1000000000000001</v>
      </c>
      <c r="BK4006">
        <v>3</v>
      </c>
      <c r="BL4006">
        <v>55.61</v>
      </c>
      <c r="BM4006">
        <v>8.34</v>
      </c>
      <c r="BN4006">
        <v>63.95</v>
      </c>
      <c r="BO4006">
        <v>63.95</v>
      </c>
      <c r="BQ4006" t="s">
        <v>316</v>
      </c>
      <c r="BR4006" t="s">
        <v>84</v>
      </c>
      <c r="BS4006" s="3">
        <v>45866</v>
      </c>
      <c r="BT4006" s="4">
        <v>0.43402777777777779</v>
      </c>
      <c r="BU4006" t="s">
        <v>3613</v>
      </c>
      <c r="BV4006" t="s">
        <v>98</v>
      </c>
      <c r="BY4006">
        <v>5320</v>
      </c>
      <c r="BZ4006" t="s">
        <v>89</v>
      </c>
      <c r="CC4006" t="s">
        <v>198</v>
      </c>
      <c r="CD4006">
        <v>1401</v>
      </c>
      <c r="CE4006" t="s">
        <v>145</v>
      </c>
      <c r="CF4006" s="3">
        <v>45866</v>
      </c>
      <c r="CI4006">
        <v>1</v>
      </c>
      <c r="CJ4006">
        <v>1</v>
      </c>
      <c r="CK4006">
        <v>22</v>
      </c>
      <c r="CL4006" t="s">
        <v>86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"080066795077"</f>
        <v>080066795077</v>
      </c>
      <c r="F4007" s="3">
        <v>45863</v>
      </c>
      <c r="G4007">
        <v>202604</v>
      </c>
      <c r="H4007" t="s">
        <v>75</v>
      </c>
      <c r="I4007" t="s">
        <v>76</v>
      </c>
      <c r="J4007" t="s">
        <v>77</v>
      </c>
      <c r="K4007" t="s">
        <v>78</v>
      </c>
      <c r="L4007" t="s">
        <v>240</v>
      </c>
      <c r="M4007" t="s">
        <v>241</v>
      </c>
      <c r="N4007" t="s">
        <v>610</v>
      </c>
      <c r="O4007" t="s">
        <v>82</v>
      </c>
      <c r="P4007" t="str">
        <f>"4170051217                    "</f>
        <v xml:space="preserve">4170051217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17.649999999999999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55.61</v>
      </c>
      <c r="BM4007">
        <v>8.34</v>
      </c>
      <c r="BN4007">
        <v>63.95</v>
      </c>
      <c r="BO4007">
        <v>63.95</v>
      </c>
      <c r="BQ4007" t="s">
        <v>611</v>
      </c>
      <c r="BR4007" t="s">
        <v>84</v>
      </c>
      <c r="BS4007" s="3">
        <v>45866</v>
      </c>
      <c r="BT4007" s="4">
        <v>0.37083333333333335</v>
      </c>
      <c r="BU4007" t="s">
        <v>3614</v>
      </c>
      <c r="BV4007" t="s">
        <v>98</v>
      </c>
      <c r="BY4007">
        <v>1200</v>
      </c>
      <c r="CC4007" t="s">
        <v>241</v>
      </c>
      <c r="CD4007">
        <v>2197</v>
      </c>
      <c r="CE4007" t="s">
        <v>121</v>
      </c>
      <c r="CF4007" s="3">
        <v>45866</v>
      </c>
      <c r="CI4007">
        <v>1</v>
      </c>
      <c r="CJ4007">
        <v>1</v>
      </c>
      <c r="CK4007">
        <v>22</v>
      </c>
      <c r="CL4007" t="s">
        <v>86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"080066795098"</f>
        <v>080066795098</v>
      </c>
      <c r="F4008" s="3">
        <v>45863</v>
      </c>
      <c r="G4008">
        <v>202604</v>
      </c>
      <c r="H4008" t="s">
        <v>75</v>
      </c>
      <c r="I4008" t="s">
        <v>76</v>
      </c>
      <c r="J4008" t="s">
        <v>77</v>
      </c>
      <c r="K4008" t="s">
        <v>78</v>
      </c>
      <c r="L4008" t="s">
        <v>122</v>
      </c>
      <c r="M4008" t="s">
        <v>123</v>
      </c>
      <c r="N4008" t="s">
        <v>1825</v>
      </c>
      <c r="O4008" t="s">
        <v>82</v>
      </c>
      <c r="P4008" t="str">
        <f>"4170051189                    "</f>
        <v xml:space="preserve">4170051189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22.6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71.2</v>
      </c>
      <c r="BM4008">
        <v>10.68</v>
      </c>
      <c r="BN4008">
        <v>81.88</v>
      </c>
      <c r="BO4008">
        <v>81.88</v>
      </c>
      <c r="BQ4008" t="s">
        <v>1826</v>
      </c>
      <c r="BR4008" t="s">
        <v>84</v>
      </c>
      <c r="BS4008" s="3">
        <v>45866</v>
      </c>
      <c r="BT4008" s="4">
        <v>0.55208333333333337</v>
      </c>
      <c r="BU4008" t="s">
        <v>3143</v>
      </c>
      <c r="BV4008" t="s">
        <v>86</v>
      </c>
      <c r="BW4008" t="s">
        <v>194</v>
      </c>
      <c r="BX4008" t="s">
        <v>1174</v>
      </c>
      <c r="BY4008">
        <v>1200</v>
      </c>
      <c r="CA4008" t="s">
        <v>166</v>
      </c>
      <c r="CC4008" t="s">
        <v>123</v>
      </c>
      <c r="CD4008">
        <v>3610</v>
      </c>
      <c r="CE4008" t="s">
        <v>121</v>
      </c>
      <c r="CF4008" s="3">
        <v>45866</v>
      </c>
      <c r="CI4008">
        <v>1</v>
      </c>
      <c r="CJ4008">
        <v>1</v>
      </c>
      <c r="CK4008">
        <v>21</v>
      </c>
      <c r="CL4008" t="s">
        <v>86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"080066795124"</f>
        <v>080066795124</v>
      </c>
      <c r="F4009" s="3">
        <v>45863</v>
      </c>
      <c r="G4009">
        <v>202604</v>
      </c>
      <c r="H4009" t="s">
        <v>75</v>
      </c>
      <c r="I4009" t="s">
        <v>76</v>
      </c>
      <c r="J4009" t="s">
        <v>77</v>
      </c>
      <c r="K4009" t="s">
        <v>78</v>
      </c>
      <c r="L4009" t="s">
        <v>135</v>
      </c>
      <c r="M4009" t="s">
        <v>136</v>
      </c>
      <c r="N4009" t="s">
        <v>2729</v>
      </c>
      <c r="O4009" t="s">
        <v>82</v>
      </c>
      <c r="P4009" t="str">
        <f>"4170051097                    "</f>
        <v xml:space="preserve">4170051097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22.6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71.2</v>
      </c>
      <c r="BM4009">
        <v>10.68</v>
      </c>
      <c r="BN4009">
        <v>81.88</v>
      </c>
      <c r="BO4009">
        <v>81.88</v>
      </c>
      <c r="BQ4009" t="s">
        <v>2730</v>
      </c>
      <c r="BR4009" t="s">
        <v>84</v>
      </c>
      <c r="BS4009" s="3">
        <v>45866</v>
      </c>
      <c r="BT4009" s="4">
        <v>0.41666666666666669</v>
      </c>
      <c r="BU4009" t="s">
        <v>3615</v>
      </c>
      <c r="BV4009" t="s">
        <v>98</v>
      </c>
      <c r="BY4009">
        <v>1200</v>
      </c>
      <c r="CA4009" t="s">
        <v>349</v>
      </c>
      <c r="CC4009" t="s">
        <v>136</v>
      </c>
      <c r="CD4009">
        <v>3200</v>
      </c>
      <c r="CE4009" t="s">
        <v>121</v>
      </c>
      <c r="CF4009" s="3">
        <v>45866</v>
      </c>
      <c r="CI4009">
        <v>1</v>
      </c>
      <c r="CJ4009">
        <v>1</v>
      </c>
      <c r="CK4009">
        <v>21</v>
      </c>
      <c r="CL4009" t="s">
        <v>86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"080066795138"</f>
        <v>080066795138</v>
      </c>
      <c r="F4010" s="3">
        <v>45863</v>
      </c>
      <c r="G4010">
        <v>202604</v>
      </c>
      <c r="H4010" t="s">
        <v>75</v>
      </c>
      <c r="I4010" t="s">
        <v>76</v>
      </c>
      <c r="J4010" t="s">
        <v>77</v>
      </c>
      <c r="K4010" t="s">
        <v>78</v>
      </c>
      <c r="L4010" t="s">
        <v>135</v>
      </c>
      <c r="M4010" t="s">
        <v>136</v>
      </c>
      <c r="N4010" t="s">
        <v>416</v>
      </c>
      <c r="O4010" t="s">
        <v>82</v>
      </c>
      <c r="P4010" t="str">
        <f>"4170051158                    "</f>
        <v xml:space="preserve">4170051158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22.6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71.2</v>
      </c>
      <c r="BM4010">
        <v>10.68</v>
      </c>
      <c r="BN4010">
        <v>81.88</v>
      </c>
      <c r="BO4010">
        <v>81.88</v>
      </c>
      <c r="BQ4010" t="s">
        <v>417</v>
      </c>
      <c r="BR4010" t="s">
        <v>84</v>
      </c>
      <c r="BS4010" s="3">
        <v>45866</v>
      </c>
      <c r="BT4010" s="4">
        <v>0.41666666666666669</v>
      </c>
      <c r="BU4010" t="s">
        <v>3556</v>
      </c>
      <c r="BV4010" t="s">
        <v>98</v>
      </c>
      <c r="BY4010">
        <v>1200</v>
      </c>
      <c r="CC4010" t="s">
        <v>136</v>
      </c>
      <c r="CD4010">
        <v>3201</v>
      </c>
      <c r="CE4010" t="s">
        <v>121</v>
      </c>
      <c r="CF4010" s="3">
        <v>45867</v>
      </c>
      <c r="CI4010">
        <v>1</v>
      </c>
      <c r="CJ4010">
        <v>1</v>
      </c>
      <c r="CK4010">
        <v>21</v>
      </c>
      <c r="CL4010" t="s">
        <v>86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"080066795139"</f>
        <v>080066795139</v>
      </c>
      <c r="F4011" s="3">
        <v>45863</v>
      </c>
      <c r="G4011">
        <v>202604</v>
      </c>
      <c r="H4011" t="s">
        <v>75</v>
      </c>
      <c r="I4011" t="s">
        <v>76</v>
      </c>
      <c r="J4011" t="s">
        <v>77</v>
      </c>
      <c r="K4011" t="s">
        <v>78</v>
      </c>
      <c r="L4011" t="s">
        <v>704</v>
      </c>
      <c r="M4011" t="s">
        <v>705</v>
      </c>
      <c r="N4011" t="s">
        <v>848</v>
      </c>
      <c r="O4011" t="s">
        <v>82</v>
      </c>
      <c r="P4011" t="str">
        <f>"4170051096                    "</f>
        <v xml:space="preserve">4170051096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43.78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137.94</v>
      </c>
      <c r="BM4011">
        <v>20.69</v>
      </c>
      <c r="BN4011">
        <v>158.63</v>
      </c>
      <c r="BO4011">
        <v>158.63</v>
      </c>
      <c r="BQ4011" t="s">
        <v>849</v>
      </c>
      <c r="BR4011" t="s">
        <v>84</v>
      </c>
      <c r="BS4011" s="3">
        <v>45866</v>
      </c>
      <c r="BT4011" s="4">
        <v>0.59513888888888888</v>
      </c>
      <c r="BU4011" t="s">
        <v>3616</v>
      </c>
      <c r="BV4011" t="s">
        <v>98</v>
      </c>
      <c r="BY4011">
        <v>1200</v>
      </c>
      <c r="CA4011" t="s">
        <v>1665</v>
      </c>
      <c r="CC4011" t="s">
        <v>705</v>
      </c>
      <c r="CD4011">
        <v>6850</v>
      </c>
      <c r="CE4011" t="s">
        <v>121</v>
      </c>
      <c r="CF4011" s="3">
        <v>45867</v>
      </c>
      <c r="CI4011">
        <v>2</v>
      </c>
      <c r="CJ4011">
        <v>1</v>
      </c>
      <c r="CK4011">
        <v>23</v>
      </c>
      <c r="CL4011" t="s">
        <v>86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"080066795161"</f>
        <v>080066795161</v>
      </c>
      <c r="F4012" s="3">
        <v>45863</v>
      </c>
      <c r="G4012">
        <v>202604</v>
      </c>
      <c r="H4012" t="s">
        <v>75</v>
      </c>
      <c r="I4012" t="s">
        <v>76</v>
      </c>
      <c r="J4012" t="s">
        <v>77</v>
      </c>
      <c r="K4012" t="s">
        <v>78</v>
      </c>
      <c r="L4012" t="s">
        <v>329</v>
      </c>
      <c r="M4012" t="s">
        <v>330</v>
      </c>
      <c r="N4012" t="s">
        <v>331</v>
      </c>
      <c r="O4012" t="s">
        <v>82</v>
      </c>
      <c r="P4012" t="str">
        <f>"4170051137                    "</f>
        <v xml:space="preserve">4170051137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43.78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137.94</v>
      </c>
      <c r="BM4012">
        <v>20.69</v>
      </c>
      <c r="BN4012">
        <v>158.63</v>
      </c>
      <c r="BO4012">
        <v>158.63</v>
      </c>
      <c r="BQ4012" t="s">
        <v>332</v>
      </c>
      <c r="BR4012" t="s">
        <v>84</v>
      </c>
      <c r="BS4012" s="3">
        <v>45866</v>
      </c>
      <c r="BT4012" s="4">
        <v>0.54374999999999996</v>
      </c>
      <c r="BU4012" t="s">
        <v>2900</v>
      </c>
      <c r="BV4012" t="s">
        <v>98</v>
      </c>
      <c r="BY4012">
        <v>1200</v>
      </c>
      <c r="CA4012" t="s">
        <v>1153</v>
      </c>
      <c r="CC4012" t="s">
        <v>330</v>
      </c>
      <c r="CD4012">
        <v>6300</v>
      </c>
      <c r="CE4012" t="s">
        <v>121</v>
      </c>
      <c r="CF4012" s="3">
        <v>45866</v>
      </c>
      <c r="CI4012">
        <v>2</v>
      </c>
      <c r="CJ4012">
        <v>1</v>
      </c>
      <c r="CK4012">
        <v>23</v>
      </c>
      <c r="CL4012" t="s">
        <v>86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"080066795169"</f>
        <v>080066795169</v>
      </c>
      <c r="F4013" s="3">
        <v>45863</v>
      </c>
      <c r="G4013">
        <v>202604</v>
      </c>
      <c r="H4013" t="s">
        <v>75</v>
      </c>
      <c r="I4013" t="s">
        <v>76</v>
      </c>
      <c r="J4013" t="s">
        <v>77</v>
      </c>
      <c r="K4013" t="s">
        <v>78</v>
      </c>
      <c r="L4013" t="s">
        <v>363</v>
      </c>
      <c r="M4013" t="s">
        <v>364</v>
      </c>
      <c r="N4013" t="s">
        <v>365</v>
      </c>
      <c r="O4013" t="s">
        <v>82</v>
      </c>
      <c r="P4013" t="str">
        <f>"4170051151                    "</f>
        <v xml:space="preserve">4170051151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43.78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137.94</v>
      </c>
      <c r="BM4013">
        <v>20.69</v>
      </c>
      <c r="BN4013">
        <v>158.63</v>
      </c>
      <c r="BO4013">
        <v>158.63</v>
      </c>
      <c r="BQ4013" t="s">
        <v>1118</v>
      </c>
      <c r="BR4013" t="s">
        <v>84</v>
      </c>
      <c r="BS4013" s="3">
        <v>45866</v>
      </c>
      <c r="BT4013" s="4">
        <v>0.68402777777777779</v>
      </c>
      <c r="BU4013" t="s">
        <v>916</v>
      </c>
      <c r="BV4013" t="s">
        <v>98</v>
      </c>
      <c r="BY4013">
        <v>1200</v>
      </c>
      <c r="CC4013" t="s">
        <v>364</v>
      </c>
      <c r="CD4013">
        <v>7300</v>
      </c>
      <c r="CE4013" t="s">
        <v>121</v>
      </c>
      <c r="CF4013" s="3">
        <v>45867</v>
      </c>
      <c r="CI4013">
        <v>1</v>
      </c>
      <c r="CJ4013">
        <v>1</v>
      </c>
      <c r="CK4013">
        <v>23</v>
      </c>
      <c r="CL4013" t="s">
        <v>86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"080066795177"</f>
        <v>080066795177</v>
      </c>
      <c r="F4014" s="3">
        <v>45863</v>
      </c>
      <c r="G4014">
        <v>202604</v>
      </c>
      <c r="H4014" t="s">
        <v>75</v>
      </c>
      <c r="I4014" t="s">
        <v>76</v>
      </c>
      <c r="J4014" t="s">
        <v>77</v>
      </c>
      <c r="K4014" t="s">
        <v>78</v>
      </c>
      <c r="L4014" t="s">
        <v>92</v>
      </c>
      <c r="M4014" t="s">
        <v>93</v>
      </c>
      <c r="N4014" t="s">
        <v>291</v>
      </c>
      <c r="O4014" t="s">
        <v>82</v>
      </c>
      <c r="P4014" t="str">
        <f>"4170051150                    "</f>
        <v xml:space="preserve">4170051150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22.6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71.2</v>
      </c>
      <c r="BM4014">
        <v>10.68</v>
      </c>
      <c r="BN4014">
        <v>81.88</v>
      </c>
      <c r="BO4014">
        <v>81.88</v>
      </c>
      <c r="BQ4014" t="s">
        <v>292</v>
      </c>
      <c r="BR4014" t="s">
        <v>84</v>
      </c>
      <c r="BS4014" s="3">
        <v>45866</v>
      </c>
      <c r="BT4014" s="4">
        <v>0.32777777777777778</v>
      </c>
      <c r="BU4014" t="s">
        <v>971</v>
      </c>
      <c r="BV4014" t="s">
        <v>98</v>
      </c>
      <c r="BY4014">
        <v>1200</v>
      </c>
      <c r="CA4014" t="s">
        <v>294</v>
      </c>
      <c r="CC4014" t="s">
        <v>93</v>
      </c>
      <c r="CD4014">
        <v>4051</v>
      </c>
      <c r="CE4014" t="s">
        <v>121</v>
      </c>
      <c r="CF4014" s="3">
        <v>45866</v>
      </c>
      <c r="CI4014">
        <v>1</v>
      </c>
      <c r="CJ4014">
        <v>1</v>
      </c>
      <c r="CK4014">
        <v>21</v>
      </c>
      <c r="CL4014" t="s">
        <v>86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"080066795756"</f>
        <v>080066795756</v>
      </c>
      <c r="F4015" s="3">
        <v>45863</v>
      </c>
      <c r="G4015">
        <v>202604</v>
      </c>
      <c r="H4015" t="s">
        <v>75</v>
      </c>
      <c r="I4015" t="s">
        <v>76</v>
      </c>
      <c r="J4015" t="s">
        <v>77</v>
      </c>
      <c r="K4015" t="s">
        <v>78</v>
      </c>
      <c r="L4015" t="s">
        <v>350</v>
      </c>
      <c r="M4015" t="s">
        <v>351</v>
      </c>
      <c r="N4015" t="s">
        <v>3034</v>
      </c>
      <c r="O4015" t="s">
        <v>82</v>
      </c>
      <c r="P4015" t="str">
        <f>"4170051198                    "</f>
        <v xml:space="preserve">4170051198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22.6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2</v>
      </c>
      <c r="BJ4015">
        <v>0.9</v>
      </c>
      <c r="BK4015">
        <v>2</v>
      </c>
      <c r="BL4015">
        <v>71.2</v>
      </c>
      <c r="BM4015">
        <v>10.68</v>
      </c>
      <c r="BN4015">
        <v>81.88</v>
      </c>
      <c r="BO4015">
        <v>81.88</v>
      </c>
      <c r="BQ4015" t="s">
        <v>3035</v>
      </c>
      <c r="BR4015" t="s">
        <v>84</v>
      </c>
      <c r="BS4015" s="3">
        <v>45866</v>
      </c>
      <c r="BT4015" s="4">
        <v>0.52777777777777779</v>
      </c>
      <c r="BU4015" t="s">
        <v>3036</v>
      </c>
      <c r="BV4015" t="s">
        <v>86</v>
      </c>
      <c r="BW4015" t="s">
        <v>194</v>
      </c>
      <c r="BX4015" t="s">
        <v>220</v>
      </c>
      <c r="BY4015">
        <v>4275</v>
      </c>
      <c r="CA4015" t="s">
        <v>337</v>
      </c>
      <c r="CC4015" t="s">
        <v>351</v>
      </c>
      <c r="CD4015">
        <v>4113</v>
      </c>
      <c r="CE4015" t="s">
        <v>259</v>
      </c>
      <c r="CF4015" s="3">
        <v>45867</v>
      </c>
      <c r="CI4015">
        <v>1</v>
      </c>
      <c r="CJ4015">
        <v>1</v>
      </c>
      <c r="CK4015">
        <v>21</v>
      </c>
      <c r="CL4015" t="s">
        <v>86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"080066795764"</f>
        <v>080066795764</v>
      </c>
      <c r="F4016" s="3">
        <v>45863</v>
      </c>
      <c r="G4016">
        <v>202604</v>
      </c>
      <c r="H4016" t="s">
        <v>75</v>
      </c>
      <c r="I4016" t="s">
        <v>76</v>
      </c>
      <c r="J4016" t="s">
        <v>77</v>
      </c>
      <c r="K4016" t="s">
        <v>78</v>
      </c>
      <c r="L4016" t="s">
        <v>151</v>
      </c>
      <c r="M4016" t="s">
        <v>152</v>
      </c>
      <c r="N4016" t="s">
        <v>1568</v>
      </c>
      <c r="O4016" t="s">
        <v>82</v>
      </c>
      <c r="P4016" t="str">
        <f>"4170051205                    "</f>
        <v xml:space="preserve">4170051205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22.6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71.2</v>
      </c>
      <c r="BM4016">
        <v>10.68</v>
      </c>
      <c r="BN4016">
        <v>81.88</v>
      </c>
      <c r="BO4016">
        <v>81.88</v>
      </c>
      <c r="BQ4016" t="s">
        <v>1569</v>
      </c>
      <c r="BR4016" t="s">
        <v>84</v>
      </c>
      <c r="BS4016" s="3">
        <v>45866</v>
      </c>
      <c r="BT4016" s="4">
        <v>0.33333333333333331</v>
      </c>
      <c r="BU4016" t="s">
        <v>3311</v>
      </c>
      <c r="BV4016" t="s">
        <v>98</v>
      </c>
      <c r="BY4016">
        <v>1200</v>
      </c>
      <c r="CA4016" t="s">
        <v>906</v>
      </c>
      <c r="CC4016" t="s">
        <v>152</v>
      </c>
      <c r="CD4016" s="5" t="s">
        <v>907</v>
      </c>
      <c r="CE4016" t="s">
        <v>121</v>
      </c>
      <c r="CF4016" s="3">
        <v>45866</v>
      </c>
      <c r="CI4016">
        <v>1</v>
      </c>
      <c r="CJ4016">
        <v>1</v>
      </c>
      <c r="CK4016">
        <v>21</v>
      </c>
      <c r="CL4016" t="s">
        <v>86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"080066795778"</f>
        <v>080066795778</v>
      </c>
      <c r="F4017" s="3">
        <v>45863</v>
      </c>
      <c r="G4017">
        <v>202604</v>
      </c>
      <c r="H4017" t="s">
        <v>75</v>
      </c>
      <c r="I4017" t="s">
        <v>76</v>
      </c>
      <c r="J4017" t="s">
        <v>77</v>
      </c>
      <c r="K4017" t="s">
        <v>78</v>
      </c>
      <c r="L4017" t="s">
        <v>197</v>
      </c>
      <c r="M4017" t="s">
        <v>198</v>
      </c>
      <c r="N4017" t="s">
        <v>945</v>
      </c>
      <c r="O4017" t="s">
        <v>82</v>
      </c>
      <c r="P4017" t="str">
        <f>"4170051166                    "</f>
        <v xml:space="preserve">4170051166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17.649999999999999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>
        <v>55.61</v>
      </c>
      <c r="BM4017">
        <v>8.34</v>
      </c>
      <c r="BN4017">
        <v>63.95</v>
      </c>
      <c r="BO4017">
        <v>63.95</v>
      </c>
      <c r="BQ4017" t="s">
        <v>946</v>
      </c>
      <c r="BR4017" t="s">
        <v>84</v>
      </c>
      <c r="BS4017" s="3">
        <v>45866</v>
      </c>
      <c r="BT4017" s="4">
        <v>0.36805555555555558</v>
      </c>
      <c r="BU4017" t="s">
        <v>3617</v>
      </c>
      <c r="BV4017" t="s">
        <v>98</v>
      </c>
      <c r="BY4017">
        <v>1200</v>
      </c>
      <c r="CC4017" t="s">
        <v>198</v>
      </c>
      <c r="CD4017">
        <v>1422</v>
      </c>
      <c r="CE4017" t="s">
        <v>121</v>
      </c>
      <c r="CF4017" s="3">
        <v>45866</v>
      </c>
      <c r="CI4017">
        <v>1</v>
      </c>
      <c r="CJ4017">
        <v>1</v>
      </c>
      <c r="CK4017">
        <v>22</v>
      </c>
      <c r="CL4017" t="s">
        <v>86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"080066795782"</f>
        <v>080066795782</v>
      </c>
      <c r="F4018" s="3">
        <v>45863</v>
      </c>
      <c r="G4018">
        <v>202604</v>
      </c>
      <c r="H4018" t="s">
        <v>75</v>
      </c>
      <c r="I4018" t="s">
        <v>76</v>
      </c>
      <c r="J4018" t="s">
        <v>77</v>
      </c>
      <c r="K4018" t="s">
        <v>78</v>
      </c>
      <c r="L4018" t="s">
        <v>79</v>
      </c>
      <c r="M4018" t="s">
        <v>80</v>
      </c>
      <c r="N4018" t="s">
        <v>3618</v>
      </c>
      <c r="O4018" t="s">
        <v>82</v>
      </c>
      <c r="P4018" t="str">
        <f>"4170051204                    "</f>
        <v xml:space="preserve">4170051204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22.6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2</v>
      </c>
      <c r="BJ4018">
        <v>1.7</v>
      </c>
      <c r="BK4018">
        <v>2</v>
      </c>
      <c r="BL4018">
        <v>71.2</v>
      </c>
      <c r="BM4018">
        <v>10.68</v>
      </c>
      <c r="BN4018">
        <v>81.88</v>
      </c>
      <c r="BO4018">
        <v>81.88</v>
      </c>
      <c r="BQ4018" t="s">
        <v>3619</v>
      </c>
      <c r="BR4018" t="s">
        <v>84</v>
      </c>
      <c r="BS4018" s="3">
        <v>45866</v>
      </c>
      <c r="BT4018" s="4">
        <v>0.3611111111111111</v>
      </c>
      <c r="BU4018" t="s">
        <v>3620</v>
      </c>
      <c r="BV4018" t="s">
        <v>98</v>
      </c>
      <c r="BY4018">
        <v>8512</v>
      </c>
      <c r="CA4018" t="s">
        <v>289</v>
      </c>
      <c r="CC4018" t="s">
        <v>80</v>
      </c>
      <c r="CD4018">
        <v>7560</v>
      </c>
      <c r="CE4018" t="s">
        <v>145</v>
      </c>
      <c r="CF4018" s="3">
        <v>45867</v>
      </c>
      <c r="CI4018">
        <v>1</v>
      </c>
      <c r="CJ4018">
        <v>1</v>
      </c>
      <c r="CK4018">
        <v>21</v>
      </c>
      <c r="CL4018" t="s">
        <v>86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"080066795794"</f>
        <v>080066795794</v>
      </c>
      <c r="F4019" s="3">
        <v>45863</v>
      </c>
      <c r="G4019">
        <v>202604</v>
      </c>
      <c r="H4019" t="s">
        <v>75</v>
      </c>
      <c r="I4019" t="s">
        <v>76</v>
      </c>
      <c r="J4019" t="s">
        <v>77</v>
      </c>
      <c r="K4019" t="s">
        <v>78</v>
      </c>
      <c r="L4019" t="s">
        <v>197</v>
      </c>
      <c r="M4019" t="s">
        <v>198</v>
      </c>
      <c r="N4019" t="s">
        <v>2778</v>
      </c>
      <c r="O4019" t="s">
        <v>82</v>
      </c>
      <c r="P4019" t="str">
        <f>"4170051140                    "</f>
        <v xml:space="preserve">4170051140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17.649999999999999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55.61</v>
      </c>
      <c r="BM4019">
        <v>8.34</v>
      </c>
      <c r="BN4019">
        <v>63.95</v>
      </c>
      <c r="BO4019">
        <v>63.95</v>
      </c>
      <c r="BQ4019" t="s">
        <v>2779</v>
      </c>
      <c r="BR4019" t="s">
        <v>84</v>
      </c>
      <c r="BS4019" s="3">
        <v>45866</v>
      </c>
      <c r="BT4019" s="4">
        <v>0.4375</v>
      </c>
      <c r="BU4019" t="s">
        <v>3621</v>
      </c>
      <c r="BV4019" t="s">
        <v>98</v>
      </c>
      <c r="BY4019">
        <v>1200</v>
      </c>
      <c r="CA4019" t="s">
        <v>522</v>
      </c>
      <c r="CC4019" t="s">
        <v>198</v>
      </c>
      <c r="CD4019">
        <v>1401</v>
      </c>
      <c r="CE4019" t="s">
        <v>121</v>
      </c>
      <c r="CF4019" s="3">
        <v>45867</v>
      </c>
      <c r="CI4019">
        <v>1</v>
      </c>
      <c r="CJ4019">
        <v>1</v>
      </c>
      <c r="CK4019">
        <v>22</v>
      </c>
      <c r="CL4019" t="s">
        <v>86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"080066795802"</f>
        <v>080066795802</v>
      </c>
      <c r="F4020" s="3">
        <v>45863</v>
      </c>
      <c r="G4020">
        <v>202604</v>
      </c>
      <c r="H4020" t="s">
        <v>75</v>
      </c>
      <c r="I4020" t="s">
        <v>76</v>
      </c>
      <c r="J4020" t="s">
        <v>77</v>
      </c>
      <c r="K4020" t="s">
        <v>78</v>
      </c>
      <c r="L4020" t="s">
        <v>758</v>
      </c>
      <c r="M4020" t="s">
        <v>759</v>
      </c>
      <c r="N4020" t="s">
        <v>760</v>
      </c>
      <c r="O4020" t="s">
        <v>82</v>
      </c>
      <c r="P4020" t="str">
        <f>"4170051227                    "</f>
        <v xml:space="preserve">4170051227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103.1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5</v>
      </c>
      <c r="BJ4020">
        <v>1.7</v>
      </c>
      <c r="BK4020">
        <v>5</v>
      </c>
      <c r="BL4020">
        <v>324.82</v>
      </c>
      <c r="BM4020">
        <v>48.72</v>
      </c>
      <c r="BN4020">
        <v>373.54</v>
      </c>
      <c r="BO4020">
        <v>373.54</v>
      </c>
      <c r="BQ4020" t="s">
        <v>761</v>
      </c>
      <c r="BR4020" t="s">
        <v>84</v>
      </c>
      <c r="BS4020" s="3">
        <v>45866</v>
      </c>
      <c r="BT4020" s="4">
        <v>0.46250000000000002</v>
      </c>
      <c r="BU4020" t="s">
        <v>1110</v>
      </c>
      <c r="BV4020" t="s">
        <v>98</v>
      </c>
      <c r="BY4020">
        <v>8512</v>
      </c>
      <c r="CA4020" t="s">
        <v>3015</v>
      </c>
      <c r="CC4020" t="s">
        <v>759</v>
      </c>
      <c r="CD4020">
        <v>2531</v>
      </c>
      <c r="CE4020" t="s">
        <v>145</v>
      </c>
      <c r="CF4020" s="3">
        <v>45867</v>
      </c>
      <c r="CI4020">
        <v>1</v>
      </c>
      <c r="CJ4020">
        <v>1</v>
      </c>
      <c r="CK4020">
        <v>23</v>
      </c>
      <c r="CL4020" t="s">
        <v>86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"080066795809"</f>
        <v>080066795809</v>
      </c>
      <c r="F4021" s="3">
        <v>45863</v>
      </c>
      <c r="G4021">
        <v>202604</v>
      </c>
      <c r="H4021" t="s">
        <v>75</v>
      </c>
      <c r="I4021" t="s">
        <v>76</v>
      </c>
      <c r="J4021" t="s">
        <v>77</v>
      </c>
      <c r="K4021" t="s">
        <v>78</v>
      </c>
      <c r="L4021" t="s">
        <v>79</v>
      </c>
      <c r="M4021" t="s">
        <v>80</v>
      </c>
      <c r="N4021" t="s">
        <v>1218</v>
      </c>
      <c r="O4021" t="s">
        <v>82</v>
      </c>
      <c r="P4021" t="str">
        <f>"4170051188                    "</f>
        <v xml:space="preserve">4170051188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22.6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71.2</v>
      </c>
      <c r="BM4021">
        <v>10.68</v>
      </c>
      <c r="BN4021">
        <v>81.88</v>
      </c>
      <c r="BO4021">
        <v>81.88</v>
      </c>
      <c r="BQ4021" t="s">
        <v>1219</v>
      </c>
      <c r="BR4021" t="s">
        <v>84</v>
      </c>
      <c r="BS4021" s="3">
        <v>45866</v>
      </c>
      <c r="BT4021" s="4">
        <v>0.33333333333333331</v>
      </c>
      <c r="BU4021" t="s">
        <v>2275</v>
      </c>
      <c r="BV4021" t="s">
        <v>98</v>
      </c>
      <c r="BY4021">
        <v>1200</v>
      </c>
      <c r="CA4021" t="s">
        <v>3433</v>
      </c>
      <c r="CC4021" t="s">
        <v>80</v>
      </c>
      <c r="CD4021">
        <v>7764</v>
      </c>
      <c r="CE4021" t="s">
        <v>121</v>
      </c>
      <c r="CF4021" s="3">
        <v>45867</v>
      </c>
      <c r="CI4021">
        <v>1</v>
      </c>
      <c r="CJ4021">
        <v>1</v>
      </c>
      <c r="CK4021">
        <v>21</v>
      </c>
      <c r="CL4021" t="s">
        <v>86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"080066795820"</f>
        <v>080066795820</v>
      </c>
      <c r="F4022" s="3">
        <v>45863</v>
      </c>
      <c r="G4022">
        <v>202604</v>
      </c>
      <c r="H4022" t="s">
        <v>75</v>
      </c>
      <c r="I4022" t="s">
        <v>76</v>
      </c>
      <c r="J4022" t="s">
        <v>77</v>
      </c>
      <c r="K4022" t="s">
        <v>78</v>
      </c>
      <c r="L4022" t="s">
        <v>503</v>
      </c>
      <c r="M4022" t="s">
        <v>504</v>
      </c>
      <c r="N4022" t="s">
        <v>505</v>
      </c>
      <c r="O4022" t="s">
        <v>82</v>
      </c>
      <c r="P4022" t="str">
        <f>"4170051321                    "</f>
        <v xml:space="preserve">4170051321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43.78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1</v>
      </c>
      <c r="BJ4022">
        <v>0.2</v>
      </c>
      <c r="BK4022">
        <v>1</v>
      </c>
      <c r="BL4022">
        <v>137.94</v>
      </c>
      <c r="BM4022">
        <v>20.69</v>
      </c>
      <c r="BN4022">
        <v>158.63</v>
      </c>
      <c r="BO4022">
        <v>158.63</v>
      </c>
      <c r="BQ4022" t="s">
        <v>506</v>
      </c>
      <c r="BR4022" t="s">
        <v>84</v>
      </c>
      <c r="BS4022" s="3">
        <v>45866</v>
      </c>
      <c r="BT4022" s="4">
        <v>0.50138888888888888</v>
      </c>
      <c r="BU4022" t="s">
        <v>507</v>
      </c>
      <c r="BV4022" t="s">
        <v>98</v>
      </c>
      <c r="BY4022">
        <v>1200</v>
      </c>
      <c r="CA4022" t="s">
        <v>508</v>
      </c>
      <c r="CC4022" t="s">
        <v>504</v>
      </c>
      <c r="CD4022">
        <v>7130</v>
      </c>
      <c r="CE4022" t="s">
        <v>121</v>
      </c>
      <c r="CF4022" s="3">
        <v>45867</v>
      </c>
      <c r="CI4022">
        <v>1</v>
      </c>
      <c r="CJ4022">
        <v>1</v>
      </c>
      <c r="CK4022">
        <v>23</v>
      </c>
      <c r="CL4022" t="s">
        <v>86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"080066795822"</f>
        <v>080066795822</v>
      </c>
      <c r="F4023" s="3">
        <v>45863</v>
      </c>
      <c r="G4023">
        <v>202604</v>
      </c>
      <c r="H4023" t="s">
        <v>75</v>
      </c>
      <c r="I4023" t="s">
        <v>76</v>
      </c>
      <c r="J4023" t="s">
        <v>77</v>
      </c>
      <c r="K4023" t="s">
        <v>78</v>
      </c>
      <c r="L4023" t="s">
        <v>151</v>
      </c>
      <c r="M4023" t="s">
        <v>152</v>
      </c>
      <c r="N4023" t="s">
        <v>801</v>
      </c>
      <c r="O4023" t="s">
        <v>82</v>
      </c>
      <c r="P4023" t="str">
        <f>"4170051215                    "</f>
        <v xml:space="preserve">4170051215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22.6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0.6</v>
      </c>
      <c r="BK4023">
        <v>1</v>
      </c>
      <c r="BL4023">
        <v>71.2</v>
      </c>
      <c r="BM4023">
        <v>10.68</v>
      </c>
      <c r="BN4023">
        <v>81.88</v>
      </c>
      <c r="BO4023">
        <v>81.88</v>
      </c>
      <c r="BQ4023" t="s">
        <v>802</v>
      </c>
      <c r="BR4023" t="s">
        <v>84</v>
      </c>
      <c r="BS4023" s="3">
        <v>45866</v>
      </c>
      <c r="BT4023" s="4">
        <v>0.42222222222222222</v>
      </c>
      <c r="BU4023" t="s">
        <v>803</v>
      </c>
      <c r="BV4023" t="s">
        <v>98</v>
      </c>
      <c r="BY4023">
        <v>3192</v>
      </c>
      <c r="CA4023" t="s">
        <v>716</v>
      </c>
      <c r="CC4023" t="s">
        <v>152</v>
      </c>
      <c r="CD4023" s="5" t="s">
        <v>717</v>
      </c>
      <c r="CE4023" t="s">
        <v>259</v>
      </c>
      <c r="CF4023" s="3">
        <v>45866</v>
      </c>
      <c r="CI4023">
        <v>1</v>
      </c>
      <c r="CJ4023">
        <v>1</v>
      </c>
      <c r="CK4023">
        <v>21</v>
      </c>
      <c r="CL4023" t="s">
        <v>86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"080066795835"</f>
        <v>080066795835</v>
      </c>
      <c r="F4024" s="3">
        <v>45863</v>
      </c>
      <c r="G4024">
        <v>202604</v>
      </c>
      <c r="H4024" t="s">
        <v>75</v>
      </c>
      <c r="I4024" t="s">
        <v>76</v>
      </c>
      <c r="J4024" t="s">
        <v>77</v>
      </c>
      <c r="K4024" t="s">
        <v>78</v>
      </c>
      <c r="L4024" t="s">
        <v>75</v>
      </c>
      <c r="M4024" t="s">
        <v>76</v>
      </c>
      <c r="N4024" t="s">
        <v>1625</v>
      </c>
      <c r="O4024" t="s">
        <v>82</v>
      </c>
      <c r="P4024" t="str">
        <f>"4170051235                    "</f>
        <v xml:space="preserve">4170051235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17.649999999999999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55.61</v>
      </c>
      <c r="BM4024">
        <v>8.34</v>
      </c>
      <c r="BN4024">
        <v>63.95</v>
      </c>
      <c r="BO4024">
        <v>63.95</v>
      </c>
      <c r="BQ4024" t="s">
        <v>1626</v>
      </c>
      <c r="BR4024" t="s">
        <v>84</v>
      </c>
      <c r="BS4024" s="3">
        <v>45866</v>
      </c>
      <c r="BT4024" s="4">
        <v>0.3923611111111111</v>
      </c>
      <c r="BU4024" t="s">
        <v>1934</v>
      </c>
      <c r="BV4024" t="s">
        <v>98</v>
      </c>
      <c r="BY4024">
        <v>1200</v>
      </c>
      <c r="CC4024" t="s">
        <v>76</v>
      </c>
      <c r="CD4024">
        <v>1600</v>
      </c>
      <c r="CE4024" t="s">
        <v>121</v>
      </c>
      <c r="CF4024" s="3">
        <v>45866</v>
      </c>
      <c r="CI4024">
        <v>1</v>
      </c>
      <c r="CJ4024">
        <v>1</v>
      </c>
      <c r="CK4024">
        <v>22</v>
      </c>
      <c r="CL4024" t="s">
        <v>86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"080066796088"</f>
        <v>080066796088</v>
      </c>
      <c r="F4025" s="3">
        <v>45863</v>
      </c>
      <c r="G4025">
        <v>202604</v>
      </c>
      <c r="H4025" t="s">
        <v>75</v>
      </c>
      <c r="I4025" t="s">
        <v>76</v>
      </c>
      <c r="J4025" t="s">
        <v>77</v>
      </c>
      <c r="K4025" t="s">
        <v>78</v>
      </c>
      <c r="L4025" t="s">
        <v>151</v>
      </c>
      <c r="M4025" t="s">
        <v>152</v>
      </c>
      <c r="N4025" t="s">
        <v>902</v>
      </c>
      <c r="O4025" t="s">
        <v>82</v>
      </c>
      <c r="P4025" t="str">
        <f>"4170051175                    "</f>
        <v xml:space="preserve">4170051175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22.6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71.2</v>
      </c>
      <c r="BM4025">
        <v>10.68</v>
      </c>
      <c r="BN4025">
        <v>81.88</v>
      </c>
      <c r="BO4025">
        <v>81.88</v>
      </c>
      <c r="BQ4025" t="s">
        <v>903</v>
      </c>
      <c r="BR4025" t="s">
        <v>84</v>
      </c>
      <c r="BS4025" s="3">
        <v>45866</v>
      </c>
      <c r="BT4025" s="4">
        <v>0.3611111111111111</v>
      </c>
      <c r="BU4025" t="s">
        <v>274</v>
      </c>
      <c r="BV4025" t="s">
        <v>98</v>
      </c>
      <c r="BY4025">
        <v>1200</v>
      </c>
      <c r="CA4025" t="s">
        <v>906</v>
      </c>
      <c r="CC4025" t="s">
        <v>152</v>
      </c>
      <c r="CD4025" s="5" t="s">
        <v>907</v>
      </c>
      <c r="CE4025" t="s">
        <v>121</v>
      </c>
      <c r="CF4025" s="3">
        <v>45866</v>
      </c>
      <c r="CI4025">
        <v>1</v>
      </c>
      <c r="CJ4025">
        <v>1</v>
      </c>
      <c r="CK4025">
        <v>21</v>
      </c>
      <c r="CL4025" t="s">
        <v>86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"080066796147"</f>
        <v>080066796147</v>
      </c>
      <c r="F4026" s="3">
        <v>45863</v>
      </c>
      <c r="G4026">
        <v>202604</v>
      </c>
      <c r="H4026" t="s">
        <v>75</v>
      </c>
      <c r="I4026" t="s">
        <v>76</v>
      </c>
      <c r="J4026" t="s">
        <v>77</v>
      </c>
      <c r="K4026" t="s">
        <v>78</v>
      </c>
      <c r="L4026" t="s">
        <v>240</v>
      </c>
      <c r="M4026" t="s">
        <v>241</v>
      </c>
      <c r="N4026" t="s">
        <v>1341</v>
      </c>
      <c r="O4026" t="s">
        <v>82</v>
      </c>
      <c r="P4026" t="str">
        <f>"4170051234                    "</f>
        <v xml:space="preserve">4170051234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17.649999999999999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55.61</v>
      </c>
      <c r="BM4026">
        <v>8.34</v>
      </c>
      <c r="BN4026">
        <v>63.95</v>
      </c>
      <c r="BO4026">
        <v>63.95</v>
      </c>
      <c r="BQ4026" t="s">
        <v>1342</v>
      </c>
      <c r="BR4026" t="s">
        <v>84</v>
      </c>
      <c r="BS4026" s="3">
        <v>45866</v>
      </c>
      <c r="BT4026" s="4">
        <v>0.40277777777777779</v>
      </c>
      <c r="BU4026" t="s">
        <v>3622</v>
      </c>
      <c r="BV4026" t="s">
        <v>98</v>
      </c>
      <c r="BY4026">
        <v>1200</v>
      </c>
      <c r="CC4026" t="s">
        <v>241</v>
      </c>
      <c r="CD4026">
        <v>2169</v>
      </c>
      <c r="CE4026" t="s">
        <v>121</v>
      </c>
      <c r="CF4026" s="3">
        <v>45867</v>
      </c>
      <c r="CI4026">
        <v>1</v>
      </c>
      <c r="CJ4026">
        <v>1</v>
      </c>
      <c r="CK4026">
        <v>22</v>
      </c>
      <c r="CL4026" t="s">
        <v>86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"080066796197"</f>
        <v>080066796197</v>
      </c>
      <c r="F4027" s="3">
        <v>45863</v>
      </c>
      <c r="G4027">
        <v>202604</v>
      </c>
      <c r="H4027" t="s">
        <v>75</v>
      </c>
      <c r="I4027" t="s">
        <v>76</v>
      </c>
      <c r="J4027" t="s">
        <v>77</v>
      </c>
      <c r="K4027" t="s">
        <v>78</v>
      </c>
      <c r="L4027" t="s">
        <v>252</v>
      </c>
      <c r="M4027" t="s">
        <v>253</v>
      </c>
      <c r="N4027" t="s">
        <v>254</v>
      </c>
      <c r="O4027" t="s">
        <v>82</v>
      </c>
      <c r="P4027" t="str">
        <f>"4170051276                    "</f>
        <v xml:space="preserve">4170051276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43.78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137.94</v>
      </c>
      <c r="BM4027">
        <v>20.69</v>
      </c>
      <c r="BN4027">
        <v>158.63</v>
      </c>
      <c r="BO4027">
        <v>158.63</v>
      </c>
      <c r="BQ4027" t="s">
        <v>255</v>
      </c>
      <c r="BR4027" t="s">
        <v>84</v>
      </c>
      <c r="BS4027" s="3">
        <v>45866</v>
      </c>
      <c r="BT4027" s="4">
        <v>0.35833333333333334</v>
      </c>
      <c r="BU4027" t="s">
        <v>2874</v>
      </c>
      <c r="BV4027" t="s">
        <v>98</v>
      </c>
      <c r="BY4027">
        <v>1200</v>
      </c>
      <c r="CA4027" t="s">
        <v>265</v>
      </c>
      <c r="CC4027" t="s">
        <v>253</v>
      </c>
      <c r="CD4027">
        <v>1947</v>
      </c>
      <c r="CE4027" t="s">
        <v>121</v>
      </c>
      <c r="CF4027" s="3">
        <v>45866</v>
      </c>
      <c r="CI4027">
        <v>1</v>
      </c>
      <c r="CJ4027">
        <v>1</v>
      </c>
      <c r="CK4027">
        <v>23</v>
      </c>
      <c r="CL4027" t="s">
        <v>86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"080066796250"</f>
        <v>080066796250</v>
      </c>
      <c r="F4028" s="3">
        <v>45863</v>
      </c>
      <c r="G4028">
        <v>202604</v>
      </c>
      <c r="H4028" t="s">
        <v>75</v>
      </c>
      <c r="I4028" t="s">
        <v>76</v>
      </c>
      <c r="J4028" t="s">
        <v>77</v>
      </c>
      <c r="K4028" t="s">
        <v>78</v>
      </c>
      <c r="L4028" t="s">
        <v>197</v>
      </c>
      <c r="M4028" t="s">
        <v>198</v>
      </c>
      <c r="N4028" t="s">
        <v>945</v>
      </c>
      <c r="O4028" t="s">
        <v>311</v>
      </c>
      <c r="P4028" t="str">
        <f>"4170051203                    "</f>
        <v xml:space="preserve">4170051203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17.66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5</v>
      </c>
      <c r="BJ4028">
        <v>1.5</v>
      </c>
      <c r="BK4028">
        <v>5</v>
      </c>
      <c r="BL4028">
        <v>55.63</v>
      </c>
      <c r="BM4028">
        <v>8.34</v>
      </c>
      <c r="BN4028">
        <v>63.97</v>
      </c>
      <c r="BO4028">
        <v>63.97</v>
      </c>
      <c r="BQ4028" t="s">
        <v>946</v>
      </c>
      <c r="BR4028" t="s">
        <v>84</v>
      </c>
      <c r="BS4028" s="3">
        <v>45866</v>
      </c>
      <c r="BT4028" s="4">
        <v>0.34583333333333333</v>
      </c>
      <c r="BU4028" t="s">
        <v>3623</v>
      </c>
      <c r="BV4028" t="s">
        <v>98</v>
      </c>
      <c r="BY4028">
        <v>7680</v>
      </c>
      <c r="CC4028" t="s">
        <v>198</v>
      </c>
      <c r="CD4028">
        <v>1422</v>
      </c>
      <c r="CE4028" t="s">
        <v>91</v>
      </c>
      <c r="CF4028" s="3">
        <v>45866</v>
      </c>
      <c r="CI4028">
        <v>1</v>
      </c>
      <c r="CJ4028">
        <v>1</v>
      </c>
      <c r="CK4028">
        <v>32</v>
      </c>
      <c r="CL4028" t="s">
        <v>86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"080066796265"</f>
        <v>080066796265</v>
      </c>
      <c r="F4029" s="3">
        <v>45863</v>
      </c>
      <c r="G4029">
        <v>202604</v>
      </c>
      <c r="H4029" t="s">
        <v>75</v>
      </c>
      <c r="I4029" t="s">
        <v>76</v>
      </c>
      <c r="J4029" t="s">
        <v>77</v>
      </c>
      <c r="K4029" t="s">
        <v>78</v>
      </c>
      <c r="L4029" t="s">
        <v>179</v>
      </c>
      <c r="M4029" t="s">
        <v>180</v>
      </c>
      <c r="N4029" t="s">
        <v>181</v>
      </c>
      <c r="O4029" t="s">
        <v>82</v>
      </c>
      <c r="P4029" t="str">
        <f>"4170051197                    "</f>
        <v xml:space="preserve">4170051197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43.78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2</v>
      </c>
      <c r="BJ4029">
        <v>1.1000000000000001</v>
      </c>
      <c r="BK4029">
        <v>2</v>
      </c>
      <c r="BL4029">
        <v>137.94</v>
      </c>
      <c r="BM4029">
        <v>20.69</v>
      </c>
      <c r="BN4029">
        <v>158.63</v>
      </c>
      <c r="BO4029">
        <v>158.63</v>
      </c>
      <c r="BQ4029" t="s">
        <v>182</v>
      </c>
      <c r="BR4029" t="s">
        <v>84</v>
      </c>
      <c r="BS4029" s="3">
        <v>45866</v>
      </c>
      <c r="BT4029" s="4">
        <v>0.41666666666666669</v>
      </c>
      <c r="BU4029" t="s">
        <v>3580</v>
      </c>
      <c r="BV4029" t="s">
        <v>98</v>
      </c>
      <c r="BY4029">
        <v>5320</v>
      </c>
      <c r="CA4029" t="s">
        <v>522</v>
      </c>
      <c r="CC4029" t="s">
        <v>180</v>
      </c>
      <c r="CD4029">
        <v>3310</v>
      </c>
      <c r="CE4029" t="s">
        <v>145</v>
      </c>
      <c r="CF4029" s="3">
        <v>45867</v>
      </c>
      <c r="CI4029">
        <v>1</v>
      </c>
      <c r="CJ4029">
        <v>1</v>
      </c>
      <c r="CK4029">
        <v>23</v>
      </c>
      <c r="CL4029" t="s">
        <v>86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"080066796969"</f>
        <v>080066796969</v>
      </c>
      <c r="F4030" s="3">
        <v>45863</v>
      </c>
      <c r="G4030">
        <v>202604</v>
      </c>
      <c r="H4030" t="s">
        <v>75</v>
      </c>
      <c r="I4030" t="s">
        <v>76</v>
      </c>
      <c r="J4030" t="s">
        <v>77</v>
      </c>
      <c r="K4030" t="s">
        <v>78</v>
      </c>
      <c r="L4030" t="s">
        <v>240</v>
      </c>
      <c r="M4030" t="s">
        <v>241</v>
      </c>
      <c r="N4030" t="s">
        <v>1366</v>
      </c>
      <c r="O4030" t="s">
        <v>82</v>
      </c>
      <c r="P4030" t="str">
        <f>"4170051088                    "</f>
        <v xml:space="preserve">4170051088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17.649999999999999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3</v>
      </c>
      <c r="BJ4030">
        <v>5.0999999999999996</v>
      </c>
      <c r="BK4030">
        <v>6</v>
      </c>
      <c r="BL4030">
        <v>55.61</v>
      </c>
      <c r="BM4030">
        <v>8.34</v>
      </c>
      <c r="BN4030">
        <v>63.95</v>
      </c>
      <c r="BO4030">
        <v>63.95</v>
      </c>
      <c r="BQ4030" t="s">
        <v>1367</v>
      </c>
      <c r="BR4030" t="s">
        <v>84</v>
      </c>
      <c r="BS4030" s="3">
        <v>45866</v>
      </c>
      <c r="BT4030" s="4">
        <v>0.35625000000000001</v>
      </c>
      <c r="BU4030" t="s">
        <v>3624</v>
      </c>
      <c r="BV4030" t="s">
        <v>98</v>
      </c>
      <c r="BY4030">
        <v>25432</v>
      </c>
      <c r="CC4030" t="s">
        <v>241</v>
      </c>
      <c r="CD4030">
        <v>2022</v>
      </c>
      <c r="CE4030" t="s">
        <v>145</v>
      </c>
      <c r="CF4030" s="3">
        <v>45866</v>
      </c>
      <c r="CI4030">
        <v>1</v>
      </c>
      <c r="CJ4030">
        <v>1</v>
      </c>
      <c r="CK4030">
        <v>22</v>
      </c>
      <c r="CL4030" t="s">
        <v>86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"080066797117"</f>
        <v>080066797117</v>
      </c>
      <c r="F4031" s="3">
        <v>45863</v>
      </c>
      <c r="G4031">
        <v>202604</v>
      </c>
      <c r="H4031" t="s">
        <v>75</v>
      </c>
      <c r="I4031" t="s">
        <v>76</v>
      </c>
      <c r="J4031" t="s">
        <v>77</v>
      </c>
      <c r="K4031" t="s">
        <v>78</v>
      </c>
      <c r="L4031" t="s">
        <v>135</v>
      </c>
      <c r="M4031" t="s">
        <v>136</v>
      </c>
      <c r="N4031" t="s">
        <v>416</v>
      </c>
      <c r="O4031" t="s">
        <v>82</v>
      </c>
      <c r="P4031" t="str">
        <f>"4170051300                    "</f>
        <v xml:space="preserve">4170051300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146.79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13</v>
      </c>
      <c r="BJ4031">
        <v>10</v>
      </c>
      <c r="BK4031">
        <v>13</v>
      </c>
      <c r="BL4031">
        <v>462.47</v>
      </c>
      <c r="BM4031">
        <v>69.37</v>
      </c>
      <c r="BN4031">
        <v>531.84</v>
      </c>
      <c r="BO4031">
        <v>531.84</v>
      </c>
      <c r="BQ4031" t="s">
        <v>417</v>
      </c>
      <c r="BR4031" t="s">
        <v>84</v>
      </c>
      <c r="BS4031" s="3">
        <v>45866</v>
      </c>
      <c r="BT4031" s="4">
        <v>0.41666666666666669</v>
      </c>
      <c r="BU4031" t="s">
        <v>3556</v>
      </c>
      <c r="BV4031" t="s">
        <v>98</v>
      </c>
      <c r="BY4031">
        <v>50116</v>
      </c>
      <c r="CC4031" t="s">
        <v>136</v>
      </c>
      <c r="CD4031">
        <v>3201</v>
      </c>
      <c r="CE4031" t="s">
        <v>91</v>
      </c>
      <c r="CF4031" s="3">
        <v>45867</v>
      </c>
      <c r="CI4031">
        <v>1</v>
      </c>
      <c r="CJ4031">
        <v>1</v>
      </c>
      <c r="CK4031">
        <v>21</v>
      </c>
      <c r="CL4031" t="s">
        <v>86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"080066797124"</f>
        <v>080066797124</v>
      </c>
      <c r="F4032" s="3">
        <v>45863</v>
      </c>
      <c r="G4032">
        <v>202604</v>
      </c>
      <c r="H4032" t="s">
        <v>75</v>
      </c>
      <c r="I4032" t="s">
        <v>76</v>
      </c>
      <c r="J4032" t="s">
        <v>77</v>
      </c>
      <c r="K4032" t="s">
        <v>78</v>
      </c>
      <c r="L4032" t="s">
        <v>75</v>
      </c>
      <c r="M4032" t="s">
        <v>76</v>
      </c>
      <c r="N4032" t="s">
        <v>701</v>
      </c>
      <c r="O4032" t="s">
        <v>82</v>
      </c>
      <c r="P4032" t="str">
        <f>"4170051160                    "</f>
        <v xml:space="preserve">4170051160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17.649999999999999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4</v>
      </c>
      <c r="BJ4032">
        <v>5.0999999999999996</v>
      </c>
      <c r="BK4032">
        <v>6</v>
      </c>
      <c r="BL4032">
        <v>55.61</v>
      </c>
      <c r="BM4032">
        <v>8.34</v>
      </c>
      <c r="BN4032">
        <v>63.95</v>
      </c>
      <c r="BO4032">
        <v>63.95</v>
      </c>
      <c r="BQ4032" t="s">
        <v>702</v>
      </c>
      <c r="BR4032" t="s">
        <v>84</v>
      </c>
      <c r="BS4032" s="3">
        <v>45866</v>
      </c>
      <c r="BT4032" s="4">
        <v>0.4375</v>
      </c>
      <c r="BU4032" t="s">
        <v>703</v>
      </c>
      <c r="BV4032" t="s">
        <v>98</v>
      </c>
      <c r="BY4032">
        <v>25432</v>
      </c>
      <c r="CC4032" t="s">
        <v>76</v>
      </c>
      <c r="CD4032">
        <v>1645</v>
      </c>
      <c r="CE4032" t="s">
        <v>145</v>
      </c>
      <c r="CF4032" s="3">
        <v>45866</v>
      </c>
      <c r="CI4032">
        <v>1</v>
      </c>
      <c r="CJ4032">
        <v>1</v>
      </c>
      <c r="CK4032">
        <v>22</v>
      </c>
      <c r="CL4032" t="s">
        <v>86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"080066797251"</f>
        <v>080066797251</v>
      </c>
      <c r="F4033" s="3">
        <v>45863</v>
      </c>
      <c r="G4033">
        <v>202604</v>
      </c>
      <c r="H4033" t="s">
        <v>75</v>
      </c>
      <c r="I4033" t="s">
        <v>76</v>
      </c>
      <c r="J4033" t="s">
        <v>77</v>
      </c>
      <c r="K4033" t="s">
        <v>78</v>
      </c>
      <c r="L4033" t="s">
        <v>122</v>
      </c>
      <c r="M4033" t="s">
        <v>123</v>
      </c>
      <c r="N4033" t="s">
        <v>267</v>
      </c>
      <c r="O4033" t="s">
        <v>82</v>
      </c>
      <c r="P4033" t="str">
        <f>"4170051146                    "</f>
        <v xml:space="preserve">4170051146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22.6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1.8</v>
      </c>
      <c r="BK4033">
        <v>2</v>
      </c>
      <c r="BL4033">
        <v>71.2</v>
      </c>
      <c r="BM4033">
        <v>10.68</v>
      </c>
      <c r="BN4033">
        <v>81.88</v>
      </c>
      <c r="BO4033">
        <v>81.88</v>
      </c>
      <c r="BQ4033" t="s">
        <v>268</v>
      </c>
      <c r="BR4033" t="s">
        <v>84</v>
      </c>
      <c r="BS4033" s="3">
        <v>45866</v>
      </c>
      <c r="BT4033" s="4">
        <v>0.51458333333333328</v>
      </c>
      <c r="BU4033" t="s">
        <v>722</v>
      </c>
      <c r="BV4033" t="s">
        <v>98</v>
      </c>
      <c r="BY4033">
        <v>8960</v>
      </c>
      <c r="CA4033" t="s">
        <v>166</v>
      </c>
      <c r="CC4033" t="s">
        <v>123</v>
      </c>
      <c r="CD4033">
        <v>3610</v>
      </c>
      <c r="CE4033" t="s">
        <v>145</v>
      </c>
      <c r="CF4033" s="3">
        <v>45866</v>
      </c>
      <c r="CI4033">
        <v>1</v>
      </c>
      <c r="CJ4033">
        <v>1</v>
      </c>
      <c r="CK4033">
        <v>21</v>
      </c>
      <c r="CL4033" t="s">
        <v>86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"080066797335"</f>
        <v>080066797335</v>
      </c>
      <c r="F4034" s="3">
        <v>45863</v>
      </c>
      <c r="G4034">
        <v>202604</v>
      </c>
      <c r="H4034" t="s">
        <v>75</v>
      </c>
      <c r="I4034" t="s">
        <v>76</v>
      </c>
      <c r="J4034" t="s">
        <v>77</v>
      </c>
      <c r="K4034" t="s">
        <v>78</v>
      </c>
      <c r="L4034" t="s">
        <v>1677</v>
      </c>
      <c r="M4034" t="s">
        <v>1678</v>
      </c>
      <c r="N4034" t="s">
        <v>1890</v>
      </c>
      <c r="O4034" t="s">
        <v>82</v>
      </c>
      <c r="P4034" t="str">
        <f>"4170051295                    "</f>
        <v xml:space="preserve">4170051295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43.78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137.94</v>
      </c>
      <c r="BM4034">
        <v>20.69</v>
      </c>
      <c r="BN4034">
        <v>158.63</v>
      </c>
      <c r="BO4034">
        <v>158.63</v>
      </c>
      <c r="BQ4034" t="s">
        <v>1891</v>
      </c>
      <c r="BR4034" t="s">
        <v>84</v>
      </c>
      <c r="BS4034" s="3">
        <v>45866</v>
      </c>
      <c r="BT4034" s="4">
        <v>0.58333333333333337</v>
      </c>
      <c r="BU4034" t="s">
        <v>3625</v>
      </c>
      <c r="BV4034" t="s">
        <v>86</v>
      </c>
      <c r="BY4034">
        <v>1200</v>
      </c>
      <c r="CA4034" t="s">
        <v>1892</v>
      </c>
      <c r="CC4034" t="s">
        <v>1678</v>
      </c>
      <c r="CD4034">
        <v>1039</v>
      </c>
      <c r="CE4034" t="s">
        <v>121</v>
      </c>
      <c r="CF4034" s="3">
        <v>45866</v>
      </c>
      <c r="CI4034">
        <v>1</v>
      </c>
      <c r="CJ4034">
        <v>1</v>
      </c>
      <c r="CK4034">
        <v>23</v>
      </c>
      <c r="CL4034" t="s">
        <v>86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"080066797439"</f>
        <v>080066797439</v>
      </c>
      <c r="F4035" s="3">
        <v>45863</v>
      </c>
      <c r="G4035">
        <v>202604</v>
      </c>
      <c r="H4035" t="s">
        <v>75</v>
      </c>
      <c r="I4035" t="s">
        <v>76</v>
      </c>
      <c r="J4035" t="s">
        <v>77</v>
      </c>
      <c r="K4035" t="s">
        <v>78</v>
      </c>
      <c r="L4035" t="s">
        <v>75</v>
      </c>
      <c r="M4035" t="s">
        <v>76</v>
      </c>
      <c r="N4035" t="s">
        <v>1633</v>
      </c>
      <c r="O4035" t="s">
        <v>82</v>
      </c>
      <c r="P4035" t="str">
        <f>"4170051100                    "</f>
        <v xml:space="preserve">4170051100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17.649999999999999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55.61</v>
      </c>
      <c r="BM4035">
        <v>8.34</v>
      </c>
      <c r="BN4035">
        <v>63.95</v>
      </c>
      <c r="BO4035">
        <v>63.95</v>
      </c>
      <c r="BQ4035" t="s">
        <v>1634</v>
      </c>
      <c r="BR4035" t="s">
        <v>84</v>
      </c>
      <c r="BS4035" s="3">
        <v>45866</v>
      </c>
      <c r="BT4035" s="4">
        <v>0.41319444444444442</v>
      </c>
      <c r="BU4035" t="s">
        <v>3626</v>
      </c>
      <c r="BV4035" t="s">
        <v>98</v>
      </c>
      <c r="BY4035">
        <v>1200</v>
      </c>
      <c r="CC4035" t="s">
        <v>76</v>
      </c>
      <c r="CD4035">
        <v>1624</v>
      </c>
      <c r="CE4035" t="s">
        <v>121</v>
      </c>
      <c r="CF4035" s="3">
        <v>45866</v>
      </c>
      <c r="CI4035">
        <v>1</v>
      </c>
      <c r="CJ4035">
        <v>1</v>
      </c>
      <c r="CK4035">
        <v>22</v>
      </c>
      <c r="CL4035" t="s">
        <v>86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"080066797541"</f>
        <v>080066797541</v>
      </c>
      <c r="F4036" s="3">
        <v>45863</v>
      </c>
      <c r="G4036">
        <v>202604</v>
      </c>
      <c r="H4036" t="s">
        <v>75</v>
      </c>
      <c r="I4036" t="s">
        <v>76</v>
      </c>
      <c r="J4036" t="s">
        <v>77</v>
      </c>
      <c r="K4036" t="s">
        <v>78</v>
      </c>
      <c r="L4036" t="s">
        <v>319</v>
      </c>
      <c r="M4036" t="s">
        <v>320</v>
      </c>
      <c r="N4036" t="s">
        <v>785</v>
      </c>
      <c r="O4036" t="s">
        <v>82</v>
      </c>
      <c r="P4036" t="str">
        <f>"4170051260                    "</f>
        <v xml:space="preserve">4170051260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43.78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1.1000000000000001</v>
      </c>
      <c r="BK4036">
        <v>1.5</v>
      </c>
      <c r="BL4036">
        <v>137.94</v>
      </c>
      <c r="BM4036">
        <v>20.69</v>
      </c>
      <c r="BN4036">
        <v>158.63</v>
      </c>
      <c r="BO4036">
        <v>158.63</v>
      </c>
      <c r="BQ4036" t="s">
        <v>786</v>
      </c>
      <c r="BR4036" t="s">
        <v>84</v>
      </c>
      <c r="BS4036" s="3">
        <v>45866</v>
      </c>
      <c r="BT4036" s="4">
        <v>0.52013888888888893</v>
      </c>
      <c r="BU4036" t="s">
        <v>787</v>
      </c>
      <c r="BV4036" t="s">
        <v>98</v>
      </c>
      <c r="BY4036">
        <v>5320</v>
      </c>
      <c r="CA4036" t="s">
        <v>1590</v>
      </c>
      <c r="CC4036" t="s">
        <v>320</v>
      </c>
      <c r="CD4036">
        <v>1028</v>
      </c>
      <c r="CE4036" t="s">
        <v>145</v>
      </c>
      <c r="CF4036" s="3">
        <v>45866</v>
      </c>
      <c r="CI4036">
        <v>1</v>
      </c>
      <c r="CJ4036">
        <v>1</v>
      </c>
      <c r="CK4036">
        <v>23</v>
      </c>
      <c r="CL4036" t="s">
        <v>86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"080066797616"</f>
        <v>080066797616</v>
      </c>
      <c r="F4037" s="3">
        <v>45863</v>
      </c>
      <c r="G4037">
        <v>202604</v>
      </c>
      <c r="H4037" t="s">
        <v>75</v>
      </c>
      <c r="I4037" t="s">
        <v>76</v>
      </c>
      <c r="J4037" t="s">
        <v>77</v>
      </c>
      <c r="K4037" t="s">
        <v>78</v>
      </c>
      <c r="L4037" t="s">
        <v>390</v>
      </c>
      <c r="M4037" t="s">
        <v>391</v>
      </c>
      <c r="N4037" t="s">
        <v>3627</v>
      </c>
      <c r="O4037" t="s">
        <v>82</v>
      </c>
      <c r="P4037" t="str">
        <f>"4170051255                    "</f>
        <v xml:space="preserve">4170051255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17.649999999999999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5</v>
      </c>
      <c r="BJ4037">
        <v>3.4</v>
      </c>
      <c r="BK4037">
        <v>5</v>
      </c>
      <c r="BL4037">
        <v>55.61</v>
      </c>
      <c r="BM4037">
        <v>8.34</v>
      </c>
      <c r="BN4037">
        <v>63.95</v>
      </c>
      <c r="BO4037">
        <v>63.95</v>
      </c>
      <c r="BQ4037" t="s">
        <v>3628</v>
      </c>
      <c r="BR4037" t="s">
        <v>84</v>
      </c>
      <c r="BS4037" s="3">
        <v>45866</v>
      </c>
      <c r="BT4037" s="4">
        <v>0.39513888888888887</v>
      </c>
      <c r="BU4037" t="s">
        <v>1601</v>
      </c>
      <c r="BV4037" t="s">
        <v>98</v>
      </c>
      <c r="BY4037">
        <v>16965</v>
      </c>
      <c r="CC4037" t="s">
        <v>391</v>
      </c>
      <c r="CD4037">
        <v>1724</v>
      </c>
      <c r="CE4037" t="s">
        <v>145</v>
      </c>
      <c r="CF4037" s="3">
        <v>45866</v>
      </c>
      <c r="CI4037">
        <v>1</v>
      </c>
      <c r="CJ4037">
        <v>1</v>
      </c>
      <c r="CK4037">
        <v>22</v>
      </c>
      <c r="CL4037" t="s">
        <v>86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"080066797662"</f>
        <v>080066797662</v>
      </c>
      <c r="F4038" s="3">
        <v>45863</v>
      </c>
      <c r="G4038">
        <v>202604</v>
      </c>
      <c r="H4038" t="s">
        <v>75</v>
      </c>
      <c r="I4038" t="s">
        <v>76</v>
      </c>
      <c r="J4038" t="s">
        <v>77</v>
      </c>
      <c r="K4038" t="s">
        <v>78</v>
      </c>
      <c r="L4038" t="s">
        <v>168</v>
      </c>
      <c r="M4038" t="s">
        <v>169</v>
      </c>
      <c r="N4038" t="s">
        <v>202</v>
      </c>
      <c r="O4038" t="s">
        <v>82</v>
      </c>
      <c r="P4038" t="str">
        <f>"4170051139                    "</f>
        <v xml:space="preserve">4170051139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39.53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2</v>
      </c>
      <c r="BJ4038">
        <v>3.2</v>
      </c>
      <c r="BK4038">
        <v>3.5</v>
      </c>
      <c r="BL4038">
        <v>124.55</v>
      </c>
      <c r="BM4038">
        <v>18.68</v>
      </c>
      <c r="BN4038">
        <v>143.22999999999999</v>
      </c>
      <c r="BO4038">
        <v>143.22999999999999</v>
      </c>
      <c r="BQ4038" t="s">
        <v>203</v>
      </c>
      <c r="BR4038" t="s">
        <v>84</v>
      </c>
      <c r="BS4038" s="3">
        <v>45866</v>
      </c>
      <c r="BT4038" s="4">
        <v>0.39791666666666664</v>
      </c>
      <c r="BU4038" t="s">
        <v>1713</v>
      </c>
      <c r="BV4038" t="s">
        <v>98</v>
      </c>
      <c r="BY4038">
        <v>16184</v>
      </c>
      <c r="CA4038" t="s">
        <v>205</v>
      </c>
      <c r="CC4038" t="s">
        <v>169</v>
      </c>
      <c r="CD4038">
        <v>6001</v>
      </c>
      <c r="CE4038" t="s">
        <v>91</v>
      </c>
      <c r="CF4038" s="3">
        <v>45866</v>
      </c>
      <c r="CI4038">
        <v>1</v>
      </c>
      <c r="CJ4038">
        <v>1</v>
      </c>
      <c r="CK4038">
        <v>21</v>
      </c>
      <c r="CL4038" t="s">
        <v>86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"080066797708"</f>
        <v>080066797708</v>
      </c>
      <c r="F4039" s="3">
        <v>45863</v>
      </c>
      <c r="G4039">
        <v>202604</v>
      </c>
      <c r="H4039" t="s">
        <v>75</v>
      </c>
      <c r="I4039" t="s">
        <v>76</v>
      </c>
      <c r="J4039" t="s">
        <v>77</v>
      </c>
      <c r="K4039" t="s">
        <v>78</v>
      </c>
      <c r="L4039" t="s">
        <v>174</v>
      </c>
      <c r="M4039" t="s">
        <v>175</v>
      </c>
      <c r="N4039" t="s">
        <v>352</v>
      </c>
      <c r="O4039" t="s">
        <v>82</v>
      </c>
      <c r="P4039" t="str">
        <f>"4170051251                    "</f>
        <v xml:space="preserve">4170051251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73.400000000000006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4</v>
      </c>
      <c r="BJ4039">
        <v>6.1</v>
      </c>
      <c r="BK4039">
        <v>6.5</v>
      </c>
      <c r="BL4039">
        <v>231.26</v>
      </c>
      <c r="BM4039">
        <v>34.69</v>
      </c>
      <c r="BN4039">
        <v>265.95</v>
      </c>
      <c r="BO4039">
        <v>265.95</v>
      </c>
      <c r="BQ4039" t="s">
        <v>1994</v>
      </c>
      <c r="BR4039" t="s">
        <v>84</v>
      </c>
      <c r="BS4039" s="3">
        <v>45866</v>
      </c>
      <c r="BT4039" s="4">
        <v>0.41805555555555557</v>
      </c>
      <c r="BU4039" t="s">
        <v>1995</v>
      </c>
      <c r="BV4039" t="s">
        <v>98</v>
      </c>
      <c r="BY4039">
        <v>30464</v>
      </c>
      <c r="CA4039" t="s">
        <v>173</v>
      </c>
      <c r="CC4039" t="s">
        <v>175</v>
      </c>
      <c r="CD4039">
        <v>6220</v>
      </c>
      <c r="CE4039" t="s">
        <v>91</v>
      </c>
      <c r="CF4039" s="3">
        <v>45866</v>
      </c>
      <c r="CI4039">
        <v>1</v>
      </c>
      <c r="CJ4039">
        <v>1</v>
      </c>
      <c r="CK4039">
        <v>21</v>
      </c>
      <c r="CL4039" t="s">
        <v>86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"080066797745"</f>
        <v>080066797745</v>
      </c>
      <c r="F4040" s="3">
        <v>45863</v>
      </c>
      <c r="G4040">
        <v>202604</v>
      </c>
      <c r="H4040" t="s">
        <v>75</v>
      </c>
      <c r="I4040" t="s">
        <v>76</v>
      </c>
      <c r="J4040" t="s">
        <v>77</v>
      </c>
      <c r="K4040" t="s">
        <v>78</v>
      </c>
      <c r="L4040" t="s">
        <v>240</v>
      </c>
      <c r="M4040" t="s">
        <v>241</v>
      </c>
      <c r="N4040" t="s">
        <v>1070</v>
      </c>
      <c r="O4040" t="s">
        <v>311</v>
      </c>
      <c r="P4040" t="str">
        <f>"4170051237                    "</f>
        <v xml:space="preserve">4170051237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23.6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5</v>
      </c>
      <c r="BJ4040">
        <v>10.9</v>
      </c>
      <c r="BK4040">
        <v>11</v>
      </c>
      <c r="BL4040">
        <v>74.349999999999994</v>
      </c>
      <c r="BM4040">
        <v>11.15</v>
      </c>
      <c r="BN4040">
        <v>85.5</v>
      </c>
      <c r="BO4040">
        <v>85.5</v>
      </c>
      <c r="BQ4040" t="s">
        <v>1071</v>
      </c>
      <c r="BR4040" t="s">
        <v>84</v>
      </c>
      <c r="BS4040" s="3">
        <v>45866</v>
      </c>
      <c r="BT4040" s="4">
        <v>0.50277777777777777</v>
      </c>
      <c r="BU4040" t="s">
        <v>3629</v>
      </c>
      <c r="BV4040" t="s">
        <v>98</v>
      </c>
      <c r="BY4040">
        <v>54432</v>
      </c>
      <c r="CA4040" t="s">
        <v>522</v>
      </c>
      <c r="CC4040" t="s">
        <v>241</v>
      </c>
      <c r="CD4040">
        <v>2007</v>
      </c>
      <c r="CE4040" t="s">
        <v>91</v>
      </c>
      <c r="CF4040" s="3">
        <v>45866</v>
      </c>
      <c r="CI4040">
        <v>1</v>
      </c>
      <c r="CJ4040">
        <v>1</v>
      </c>
      <c r="CK4040">
        <v>32</v>
      </c>
      <c r="CL4040" t="s">
        <v>86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"080066797919"</f>
        <v>080066797919</v>
      </c>
      <c r="F4041" s="3">
        <v>45863</v>
      </c>
      <c r="G4041">
        <v>202604</v>
      </c>
      <c r="H4041" t="s">
        <v>75</v>
      </c>
      <c r="I4041" t="s">
        <v>76</v>
      </c>
      <c r="J4041" t="s">
        <v>77</v>
      </c>
      <c r="K4041" t="s">
        <v>78</v>
      </c>
      <c r="L4041" t="s">
        <v>135</v>
      </c>
      <c r="M4041" t="s">
        <v>136</v>
      </c>
      <c r="N4041" t="s">
        <v>2213</v>
      </c>
      <c r="O4041" t="s">
        <v>82</v>
      </c>
      <c r="P4041" t="str">
        <f>"4170051099                    "</f>
        <v xml:space="preserve">4170051099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22.6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71.2</v>
      </c>
      <c r="BM4041">
        <v>10.68</v>
      </c>
      <c r="BN4041">
        <v>81.88</v>
      </c>
      <c r="BO4041">
        <v>81.88</v>
      </c>
      <c r="BQ4041" t="s">
        <v>2214</v>
      </c>
      <c r="BR4041" t="s">
        <v>84</v>
      </c>
      <c r="BS4041" s="3">
        <v>45866</v>
      </c>
      <c r="BT4041" s="4">
        <v>0.41666666666666669</v>
      </c>
      <c r="BU4041" t="s">
        <v>2416</v>
      </c>
      <c r="BV4041" t="s">
        <v>98</v>
      </c>
      <c r="BY4041">
        <v>1200</v>
      </c>
      <c r="CA4041" t="s">
        <v>349</v>
      </c>
      <c r="CC4041" t="s">
        <v>136</v>
      </c>
      <c r="CD4041">
        <v>3200</v>
      </c>
      <c r="CE4041" t="s">
        <v>121</v>
      </c>
      <c r="CF4041" s="3">
        <v>45866</v>
      </c>
      <c r="CI4041">
        <v>1</v>
      </c>
      <c r="CJ4041">
        <v>1</v>
      </c>
      <c r="CK4041">
        <v>21</v>
      </c>
      <c r="CL4041" t="s">
        <v>86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"080066797936"</f>
        <v>080066797936</v>
      </c>
      <c r="F4042" s="3">
        <v>45863</v>
      </c>
      <c r="G4042">
        <v>202604</v>
      </c>
      <c r="H4042" t="s">
        <v>75</v>
      </c>
      <c r="I4042" t="s">
        <v>76</v>
      </c>
      <c r="J4042" t="s">
        <v>77</v>
      </c>
      <c r="K4042" t="s">
        <v>78</v>
      </c>
      <c r="L4042" t="s">
        <v>168</v>
      </c>
      <c r="M4042" t="s">
        <v>169</v>
      </c>
      <c r="N4042" t="s">
        <v>206</v>
      </c>
      <c r="O4042" t="s">
        <v>82</v>
      </c>
      <c r="P4042" t="str">
        <f>"4170051292                    "</f>
        <v xml:space="preserve">4170051292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22.6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71.2</v>
      </c>
      <c r="BM4042">
        <v>10.68</v>
      </c>
      <c r="BN4042">
        <v>81.88</v>
      </c>
      <c r="BO4042">
        <v>81.88</v>
      </c>
      <c r="BQ4042" t="s">
        <v>207</v>
      </c>
      <c r="BR4042" t="s">
        <v>84</v>
      </c>
      <c r="BS4042" s="3">
        <v>45866</v>
      </c>
      <c r="BT4042" s="4">
        <v>0.39444444444444443</v>
      </c>
      <c r="BU4042" t="s">
        <v>208</v>
      </c>
      <c r="BV4042" t="s">
        <v>98</v>
      </c>
      <c r="BY4042">
        <v>1200</v>
      </c>
      <c r="CA4042" t="s">
        <v>196</v>
      </c>
      <c r="CC4042" t="s">
        <v>169</v>
      </c>
      <c r="CD4042">
        <v>6001</v>
      </c>
      <c r="CE4042" t="s">
        <v>121</v>
      </c>
      <c r="CF4042" s="3">
        <v>45866</v>
      </c>
      <c r="CI4042">
        <v>1</v>
      </c>
      <c r="CJ4042">
        <v>1</v>
      </c>
      <c r="CK4042">
        <v>21</v>
      </c>
      <c r="CL4042" t="s">
        <v>86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"080066797952"</f>
        <v>080066797952</v>
      </c>
      <c r="F4043" s="3">
        <v>45863</v>
      </c>
      <c r="G4043">
        <v>202604</v>
      </c>
      <c r="H4043" t="s">
        <v>75</v>
      </c>
      <c r="I4043" t="s">
        <v>76</v>
      </c>
      <c r="J4043" t="s">
        <v>77</v>
      </c>
      <c r="K4043" t="s">
        <v>78</v>
      </c>
      <c r="L4043" t="s">
        <v>168</v>
      </c>
      <c r="M4043" t="s">
        <v>169</v>
      </c>
      <c r="N4043" t="s">
        <v>206</v>
      </c>
      <c r="O4043" t="s">
        <v>82</v>
      </c>
      <c r="P4043" t="str">
        <f>"4170051261                    "</f>
        <v xml:space="preserve">4170051261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22.6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71.2</v>
      </c>
      <c r="BM4043">
        <v>10.68</v>
      </c>
      <c r="BN4043">
        <v>81.88</v>
      </c>
      <c r="BO4043">
        <v>81.88</v>
      </c>
      <c r="BQ4043" t="s">
        <v>207</v>
      </c>
      <c r="BR4043" t="s">
        <v>84</v>
      </c>
      <c r="BS4043" s="3">
        <v>45866</v>
      </c>
      <c r="BT4043" s="4">
        <v>0.39444444444444443</v>
      </c>
      <c r="BU4043" t="s">
        <v>208</v>
      </c>
      <c r="BV4043" t="s">
        <v>98</v>
      </c>
      <c r="BY4043">
        <v>1200</v>
      </c>
      <c r="CA4043" t="s">
        <v>196</v>
      </c>
      <c r="CC4043" t="s">
        <v>169</v>
      </c>
      <c r="CD4043">
        <v>6001</v>
      </c>
      <c r="CE4043" t="s">
        <v>110</v>
      </c>
      <c r="CF4043" s="3">
        <v>45866</v>
      </c>
      <c r="CI4043">
        <v>1</v>
      </c>
      <c r="CJ4043">
        <v>1</v>
      </c>
      <c r="CK4043">
        <v>21</v>
      </c>
      <c r="CL4043" t="s">
        <v>86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"080066797980"</f>
        <v>080066797980</v>
      </c>
      <c r="F4044" s="3">
        <v>45863</v>
      </c>
      <c r="G4044">
        <v>202604</v>
      </c>
      <c r="H4044" t="s">
        <v>75</v>
      </c>
      <c r="I4044" t="s">
        <v>76</v>
      </c>
      <c r="J4044" t="s">
        <v>77</v>
      </c>
      <c r="K4044" t="s">
        <v>78</v>
      </c>
      <c r="L4044" t="s">
        <v>240</v>
      </c>
      <c r="M4044" t="s">
        <v>241</v>
      </c>
      <c r="N4044" t="s">
        <v>610</v>
      </c>
      <c r="O4044" t="s">
        <v>82</v>
      </c>
      <c r="P4044" t="str">
        <f>"4170051142                    "</f>
        <v xml:space="preserve">4170051142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17.649999999999999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3</v>
      </c>
      <c r="BJ4044">
        <v>1.7</v>
      </c>
      <c r="BK4044">
        <v>3</v>
      </c>
      <c r="BL4044">
        <v>55.61</v>
      </c>
      <c r="BM4044">
        <v>8.34</v>
      </c>
      <c r="BN4044">
        <v>63.95</v>
      </c>
      <c r="BO4044">
        <v>63.95</v>
      </c>
      <c r="BQ4044" t="s">
        <v>611</v>
      </c>
      <c r="BR4044" t="s">
        <v>84</v>
      </c>
      <c r="BS4044" s="3">
        <v>45866</v>
      </c>
      <c r="BT4044" s="4">
        <v>0.37083333333333335</v>
      </c>
      <c r="BU4044" t="s">
        <v>3614</v>
      </c>
      <c r="BV4044" t="s">
        <v>98</v>
      </c>
      <c r="BY4044">
        <v>8512</v>
      </c>
      <c r="CC4044" t="s">
        <v>241</v>
      </c>
      <c r="CD4044">
        <v>2197</v>
      </c>
      <c r="CE4044" t="s">
        <v>110</v>
      </c>
      <c r="CF4044" s="3">
        <v>45866</v>
      </c>
      <c r="CI4044">
        <v>1</v>
      </c>
      <c r="CJ4044">
        <v>1</v>
      </c>
      <c r="CK4044">
        <v>22</v>
      </c>
      <c r="CL4044" t="s">
        <v>86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"080066797995"</f>
        <v>080066797995</v>
      </c>
      <c r="F4045" s="3">
        <v>45863</v>
      </c>
      <c r="G4045">
        <v>202604</v>
      </c>
      <c r="H4045" t="s">
        <v>75</v>
      </c>
      <c r="I4045" t="s">
        <v>76</v>
      </c>
      <c r="J4045" t="s">
        <v>77</v>
      </c>
      <c r="K4045" t="s">
        <v>78</v>
      </c>
      <c r="L4045" t="s">
        <v>168</v>
      </c>
      <c r="M4045" t="s">
        <v>169</v>
      </c>
      <c r="N4045" t="s">
        <v>191</v>
      </c>
      <c r="O4045" t="s">
        <v>82</v>
      </c>
      <c r="P4045" t="str">
        <f>"4170051288                    "</f>
        <v xml:space="preserve">4170051288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22.6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0.2</v>
      </c>
      <c r="BK4045">
        <v>1</v>
      </c>
      <c r="BL4045">
        <v>71.2</v>
      </c>
      <c r="BM4045">
        <v>10.68</v>
      </c>
      <c r="BN4045">
        <v>81.88</v>
      </c>
      <c r="BO4045">
        <v>81.88</v>
      </c>
      <c r="BQ4045" t="s">
        <v>192</v>
      </c>
      <c r="BR4045" t="s">
        <v>84</v>
      </c>
      <c r="BS4045" s="3">
        <v>45866</v>
      </c>
      <c r="BT4045" s="4">
        <v>0.43125000000000002</v>
      </c>
      <c r="BU4045" t="s">
        <v>193</v>
      </c>
      <c r="BV4045" t="s">
        <v>98</v>
      </c>
      <c r="BY4045">
        <v>1200</v>
      </c>
      <c r="CA4045" t="s">
        <v>196</v>
      </c>
      <c r="CC4045" t="s">
        <v>169</v>
      </c>
      <c r="CD4045">
        <v>6056</v>
      </c>
      <c r="CE4045" t="s">
        <v>110</v>
      </c>
      <c r="CF4045" s="3">
        <v>45866</v>
      </c>
      <c r="CI4045">
        <v>1</v>
      </c>
      <c r="CJ4045">
        <v>1</v>
      </c>
      <c r="CK4045">
        <v>21</v>
      </c>
      <c r="CL4045" t="s">
        <v>86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"080066798011"</f>
        <v>080066798011</v>
      </c>
      <c r="F4046" s="3">
        <v>45863</v>
      </c>
      <c r="G4046">
        <v>202604</v>
      </c>
      <c r="H4046" t="s">
        <v>75</v>
      </c>
      <c r="I4046" t="s">
        <v>76</v>
      </c>
      <c r="J4046" t="s">
        <v>77</v>
      </c>
      <c r="K4046" t="s">
        <v>78</v>
      </c>
      <c r="L4046" t="s">
        <v>240</v>
      </c>
      <c r="M4046" t="s">
        <v>241</v>
      </c>
      <c r="N4046" t="s">
        <v>242</v>
      </c>
      <c r="O4046" t="s">
        <v>82</v>
      </c>
      <c r="P4046" t="str">
        <f>"4170051277                    "</f>
        <v xml:space="preserve">4170051277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17.649999999999999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</v>
      </c>
      <c r="BJ4046">
        <v>0.2</v>
      </c>
      <c r="BK4046">
        <v>1</v>
      </c>
      <c r="BL4046">
        <v>55.61</v>
      </c>
      <c r="BM4046">
        <v>8.34</v>
      </c>
      <c r="BN4046">
        <v>63.95</v>
      </c>
      <c r="BO4046">
        <v>63.95</v>
      </c>
      <c r="BQ4046" t="s">
        <v>243</v>
      </c>
      <c r="BR4046" t="s">
        <v>84</v>
      </c>
      <c r="BS4046" s="3">
        <v>45866</v>
      </c>
      <c r="BT4046" s="4">
        <v>0.41666666666666669</v>
      </c>
      <c r="BU4046" t="s">
        <v>3577</v>
      </c>
      <c r="BV4046" t="s">
        <v>98</v>
      </c>
      <c r="BY4046">
        <v>1200</v>
      </c>
      <c r="CC4046" t="s">
        <v>241</v>
      </c>
      <c r="CD4046">
        <v>2091</v>
      </c>
      <c r="CE4046" t="s">
        <v>110</v>
      </c>
      <c r="CF4046" s="3">
        <v>45867</v>
      </c>
      <c r="CI4046">
        <v>1</v>
      </c>
      <c r="CJ4046">
        <v>1</v>
      </c>
      <c r="CK4046">
        <v>22</v>
      </c>
      <c r="CL4046" t="s">
        <v>86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"080066798021"</f>
        <v>080066798021</v>
      </c>
      <c r="F4047" s="3">
        <v>45863</v>
      </c>
      <c r="G4047">
        <v>202604</v>
      </c>
      <c r="H4047" t="s">
        <v>75</v>
      </c>
      <c r="I4047" t="s">
        <v>76</v>
      </c>
      <c r="J4047" t="s">
        <v>77</v>
      </c>
      <c r="K4047" t="s">
        <v>78</v>
      </c>
      <c r="L4047" t="s">
        <v>146</v>
      </c>
      <c r="M4047" t="s">
        <v>146</v>
      </c>
      <c r="N4047" t="s">
        <v>986</v>
      </c>
      <c r="O4047" t="s">
        <v>82</v>
      </c>
      <c r="P4047" t="str">
        <f>"4170051331                    "</f>
        <v xml:space="preserve">4170051331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152.53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3</v>
      </c>
      <c r="BJ4047">
        <v>7.2</v>
      </c>
      <c r="BK4047">
        <v>7.5</v>
      </c>
      <c r="BL4047">
        <v>480.55</v>
      </c>
      <c r="BM4047">
        <v>72.08</v>
      </c>
      <c r="BN4047">
        <v>552.63</v>
      </c>
      <c r="BO4047">
        <v>552.63</v>
      </c>
      <c r="BQ4047" t="s">
        <v>987</v>
      </c>
      <c r="BR4047" t="s">
        <v>84</v>
      </c>
      <c r="BS4047" s="3">
        <v>45866</v>
      </c>
      <c r="BT4047" s="4">
        <v>0.45833333333333331</v>
      </c>
      <c r="BU4047" t="s">
        <v>635</v>
      </c>
      <c r="BV4047" t="s">
        <v>98</v>
      </c>
      <c r="BY4047">
        <v>36000</v>
      </c>
      <c r="CA4047" t="s">
        <v>150</v>
      </c>
      <c r="CC4047" t="s">
        <v>146</v>
      </c>
      <c r="CD4047">
        <v>7646</v>
      </c>
      <c r="CE4047" t="s">
        <v>110</v>
      </c>
      <c r="CF4047" s="3">
        <v>45867</v>
      </c>
      <c r="CI4047">
        <v>1</v>
      </c>
      <c r="CJ4047">
        <v>1</v>
      </c>
      <c r="CK4047">
        <v>23</v>
      </c>
      <c r="CL4047" t="s">
        <v>86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"080066798030"</f>
        <v>080066798030</v>
      </c>
      <c r="F4048" s="3">
        <v>45863</v>
      </c>
      <c r="G4048">
        <v>202604</v>
      </c>
      <c r="H4048" t="s">
        <v>75</v>
      </c>
      <c r="I4048" t="s">
        <v>76</v>
      </c>
      <c r="J4048" t="s">
        <v>77</v>
      </c>
      <c r="K4048" t="s">
        <v>78</v>
      </c>
      <c r="L4048" t="s">
        <v>168</v>
      </c>
      <c r="M4048" t="s">
        <v>169</v>
      </c>
      <c r="N4048" t="s">
        <v>206</v>
      </c>
      <c r="O4048" t="s">
        <v>82</v>
      </c>
      <c r="P4048" t="str">
        <f>"4170051263                    "</f>
        <v xml:space="preserve">4170051263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22.6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71.2</v>
      </c>
      <c r="BM4048">
        <v>10.68</v>
      </c>
      <c r="BN4048">
        <v>81.88</v>
      </c>
      <c r="BO4048">
        <v>81.88</v>
      </c>
      <c r="BQ4048" t="s">
        <v>207</v>
      </c>
      <c r="BR4048" t="s">
        <v>84</v>
      </c>
      <c r="BS4048" s="3">
        <v>45866</v>
      </c>
      <c r="BT4048" s="4">
        <v>0.39444444444444443</v>
      </c>
      <c r="BU4048" t="s">
        <v>208</v>
      </c>
      <c r="BV4048" t="s">
        <v>98</v>
      </c>
      <c r="BY4048">
        <v>1200</v>
      </c>
      <c r="CA4048" t="s">
        <v>196</v>
      </c>
      <c r="CC4048" t="s">
        <v>169</v>
      </c>
      <c r="CD4048">
        <v>6001</v>
      </c>
      <c r="CE4048" t="s">
        <v>110</v>
      </c>
      <c r="CF4048" s="3">
        <v>45866</v>
      </c>
      <c r="CI4048">
        <v>1</v>
      </c>
      <c r="CJ4048">
        <v>1</v>
      </c>
      <c r="CK4048">
        <v>21</v>
      </c>
      <c r="CL4048" t="s">
        <v>86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"080066798046"</f>
        <v>080066798046</v>
      </c>
      <c r="F4049" s="3">
        <v>45863</v>
      </c>
      <c r="G4049">
        <v>202604</v>
      </c>
      <c r="H4049" t="s">
        <v>75</v>
      </c>
      <c r="I4049" t="s">
        <v>76</v>
      </c>
      <c r="J4049" t="s">
        <v>101</v>
      </c>
      <c r="K4049" t="s">
        <v>78</v>
      </c>
      <c r="L4049" t="s">
        <v>75</v>
      </c>
      <c r="M4049" t="s">
        <v>76</v>
      </c>
      <c r="N4049" t="s">
        <v>1469</v>
      </c>
      <c r="O4049" t="s">
        <v>82</v>
      </c>
      <c r="P4049" t="str">
        <f>"4170051353                    "</f>
        <v xml:space="preserve">4170051353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1.7</v>
      </c>
      <c r="BK4049">
        <v>2</v>
      </c>
      <c r="BL4049">
        <v>0</v>
      </c>
      <c r="BM4049">
        <v>0</v>
      </c>
      <c r="BN4049">
        <v>0</v>
      </c>
      <c r="BO4049">
        <v>0</v>
      </c>
      <c r="BQ4049" t="s">
        <v>1470</v>
      </c>
      <c r="BR4049" t="s">
        <v>106</v>
      </c>
      <c r="BS4049" s="3">
        <v>45863</v>
      </c>
      <c r="BT4049" s="4">
        <v>0.41666666666666669</v>
      </c>
      <c r="BU4049" t="s">
        <v>2216</v>
      </c>
      <c r="BV4049" t="s">
        <v>98</v>
      </c>
      <c r="BY4049">
        <v>8512</v>
      </c>
      <c r="BZ4049" t="s">
        <v>425</v>
      </c>
      <c r="CC4049" t="s">
        <v>76</v>
      </c>
      <c r="CD4049">
        <v>1609</v>
      </c>
      <c r="CF4049" s="3">
        <v>45864</v>
      </c>
      <c r="CI4049">
        <v>1</v>
      </c>
      <c r="CJ4049">
        <v>0</v>
      </c>
      <c r="CK4049">
        <v>-1</v>
      </c>
      <c r="CL4049" t="s">
        <v>86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"080066798072"</f>
        <v>080066798072</v>
      </c>
      <c r="F4050" s="3">
        <v>45863</v>
      </c>
      <c r="G4050">
        <v>202604</v>
      </c>
      <c r="H4050" t="s">
        <v>75</v>
      </c>
      <c r="I4050" t="s">
        <v>76</v>
      </c>
      <c r="J4050" t="s">
        <v>77</v>
      </c>
      <c r="K4050" t="s">
        <v>78</v>
      </c>
      <c r="L4050" t="s">
        <v>75</v>
      </c>
      <c r="M4050" t="s">
        <v>76</v>
      </c>
      <c r="N4050" t="s">
        <v>3630</v>
      </c>
      <c r="O4050" t="s">
        <v>82</v>
      </c>
      <c r="P4050" t="str">
        <f>"4170051183                    "</f>
        <v xml:space="preserve">4170051183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17.649999999999999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3.4</v>
      </c>
      <c r="BK4050">
        <v>4</v>
      </c>
      <c r="BL4050">
        <v>55.61</v>
      </c>
      <c r="BM4050">
        <v>8.34</v>
      </c>
      <c r="BN4050">
        <v>63.95</v>
      </c>
      <c r="BO4050">
        <v>63.95</v>
      </c>
      <c r="BQ4050" t="s">
        <v>3631</v>
      </c>
      <c r="BR4050" t="s">
        <v>84</v>
      </c>
      <c r="BS4050" s="3">
        <v>45866</v>
      </c>
      <c r="BT4050" s="4">
        <v>0.35416666666666669</v>
      </c>
      <c r="BU4050" t="s">
        <v>3632</v>
      </c>
      <c r="BV4050" t="s">
        <v>98</v>
      </c>
      <c r="BY4050">
        <v>16965</v>
      </c>
      <c r="CC4050" t="s">
        <v>76</v>
      </c>
      <c r="CD4050">
        <v>1600</v>
      </c>
      <c r="CE4050" t="s">
        <v>145</v>
      </c>
      <c r="CF4050" s="3">
        <v>45866</v>
      </c>
      <c r="CI4050">
        <v>1</v>
      </c>
      <c r="CJ4050">
        <v>1</v>
      </c>
      <c r="CK4050">
        <v>22</v>
      </c>
      <c r="CL4050" t="s">
        <v>86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"080066798100"</f>
        <v>080066798100</v>
      </c>
      <c r="F4051" s="3">
        <v>45863</v>
      </c>
      <c r="G4051">
        <v>202604</v>
      </c>
      <c r="H4051" t="s">
        <v>75</v>
      </c>
      <c r="I4051" t="s">
        <v>76</v>
      </c>
      <c r="J4051" t="s">
        <v>77</v>
      </c>
      <c r="K4051" t="s">
        <v>78</v>
      </c>
      <c r="L4051" t="s">
        <v>79</v>
      </c>
      <c r="M4051" t="s">
        <v>80</v>
      </c>
      <c r="N4051" t="s">
        <v>141</v>
      </c>
      <c r="O4051" t="s">
        <v>82</v>
      </c>
      <c r="P4051" t="str">
        <f>"4170051174                    "</f>
        <v xml:space="preserve">4170051174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62.11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3</v>
      </c>
      <c r="BJ4051">
        <v>5.4</v>
      </c>
      <c r="BK4051">
        <v>5.5</v>
      </c>
      <c r="BL4051">
        <v>195.69</v>
      </c>
      <c r="BM4051">
        <v>29.35</v>
      </c>
      <c r="BN4051">
        <v>225.04</v>
      </c>
      <c r="BO4051">
        <v>225.04</v>
      </c>
      <c r="BQ4051" t="s">
        <v>142</v>
      </c>
      <c r="BR4051" t="s">
        <v>84</v>
      </c>
      <c r="BS4051" s="3">
        <v>45866</v>
      </c>
      <c r="BT4051" s="4">
        <v>0.41249999999999998</v>
      </c>
      <c r="BU4051" t="s">
        <v>2437</v>
      </c>
      <c r="BV4051" t="s">
        <v>98</v>
      </c>
      <c r="BY4051">
        <v>27000</v>
      </c>
      <c r="CA4051" t="s">
        <v>144</v>
      </c>
      <c r="CC4051" t="s">
        <v>80</v>
      </c>
      <c r="CD4051">
        <v>7441</v>
      </c>
      <c r="CE4051" t="s">
        <v>91</v>
      </c>
      <c r="CF4051" s="3">
        <v>45867</v>
      </c>
      <c r="CI4051">
        <v>1</v>
      </c>
      <c r="CJ4051">
        <v>1</v>
      </c>
      <c r="CK4051">
        <v>21</v>
      </c>
      <c r="CL4051" t="s">
        <v>86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"080066798275"</f>
        <v>080066798275</v>
      </c>
      <c r="F4052" s="3">
        <v>45863</v>
      </c>
      <c r="G4052">
        <v>202604</v>
      </c>
      <c r="H4052" t="s">
        <v>75</v>
      </c>
      <c r="I4052" t="s">
        <v>76</v>
      </c>
      <c r="J4052" t="s">
        <v>77</v>
      </c>
      <c r="K4052" t="s">
        <v>78</v>
      </c>
      <c r="L4052" t="s">
        <v>79</v>
      </c>
      <c r="M4052" t="s">
        <v>80</v>
      </c>
      <c r="N4052" t="s">
        <v>3633</v>
      </c>
      <c r="O4052" t="s">
        <v>82</v>
      </c>
      <c r="P4052" t="str">
        <f>"4170051271                    "</f>
        <v xml:space="preserve">4170051271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22.6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0.2</v>
      </c>
      <c r="BK4052">
        <v>1</v>
      </c>
      <c r="BL4052">
        <v>71.2</v>
      </c>
      <c r="BM4052">
        <v>10.68</v>
      </c>
      <c r="BN4052">
        <v>81.88</v>
      </c>
      <c r="BO4052">
        <v>81.88</v>
      </c>
      <c r="BQ4052" t="s">
        <v>3634</v>
      </c>
      <c r="BR4052" t="s">
        <v>84</v>
      </c>
      <c r="BS4052" s="3">
        <v>45866</v>
      </c>
      <c r="BT4052" s="4">
        <v>0.41666666666666669</v>
      </c>
      <c r="BU4052" t="s">
        <v>2536</v>
      </c>
      <c r="BV4052" t="s">
        <v>98</v>
      </c>
      <c r="BY4052">
        <v>1200</v>
      </c>
      <c r="BZ4052" t="s">
        <v>89</v>
      </c>
      <c r="CA4052" t="s">
        <v>733</v>
      </c>
      <c r="CC4052" t="s">
        <v>80</v>
      </c>
      <c r="CD4052">
        <v>7500</v>
      </c>
      <c r="CE4052" t="s">
        <v>239</v>
      </c>
      <c r="CF4052" s="3">
        <v>45867</v>
      </c>
      <c r="CI4052">
        <v>1</v>
      </c>
      <c r="CJ4052">
        <v>1</v>
      </c>
      <c r="CK4052">
        <v>21</v>
      </c>
      <c r="CL4052" t="s">
        <v>86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"080066798387"</f>
        <v>080066798387</v>
      </c>
      <c r="F4053" s="3">
        <v>45863</v>
      </c>
      <c r="G4053">
        <v>202604</v>
      </c>
      <c r="H4053" t="s">
        <v>75</v>
      </c>
      <c r="I4053" t="s">
        <v>76</v>
      </c>
      <c r="J4053" t="s">
        <v>77</v>
      </c>
      <c r="K4053" t="s">
        <v>78</v>
      </c>
      <c r="L4053" t="s">
        <v>135</v>
      </c>
      <c r="M4053" t="s">
        <v>136</v>
      </c>
      <c r="N4053" t="s">
        <v>482</v>
      </c>
      <c r="O4053" t="s">
        <v>82</v>
      </c>
      <c r="P4053" t="str">
        <f>"4170051287                    "</f>
        <v xml:space="preserve">4170051287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67.760000000000005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6</v>
      </c>
      <c r="BJ4053">
        <v>4.0999999999999996</v>
      </c>
      <c r="BK4053">
        <v>6</v>
      </c>
      <c r="BL4053">
        <v>213.48</v>
      </c>
      <c r="BM4053">
        <v>32.020000000000003</v>
      </c>
      <c r="BN4053">
        <v>245.5</v>
      </c>
      <c r="BO4053">
        <v>245.5</v>
      </c>
      <c r="BQ4053" t="s">
        <v>483</v>
      </c>
      <c r="BR4053" t="s">
        <v>84</v>
      </c>
      <c r="BS4053" s="3">
        <v>45867</v>
      </c>
      <c r="BT4053" s="4">
        <v>0.41666666666666669</v>
      </c>
      <c r="BU4053" t="s">
        <v>1061</v>
      </c>
      <c r="BV4053" t="s">
        <v>86</v>
      </c>
      <c r="BY4053">
        <v>20358</v>
      </c>
      <c r="BZ4053" t="s">
        <v>89</v>
      </c>
      <c r="CC4053" t="s">
        <v>136</v>
      </c>
      <c r="CD4053">
        <v>3201</v>
      </c>
      <c r="CE4053" t="s">
        <v>117</v>
      </c>
      <c r="CF4053" s="3">
        <v>45868</v>
      </c>
      <c r="CI4053">
        <v>1</v>
      </c>
      <c r="CJ4053">
        <v>2</v>
      </c>
      <c r="CK4053">
        <v>21</v>
      </c>
      <c r="CL4053" t="s">
        <v>86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"080066798435"</f>
        <v>080066798435</v>
      </c>
      <c r="F4054" s="3">
        <v>45863</v>
      </c>
      <c r="G4054">
        <v>202604</v>
      </c>
      <c r="H4054" t="s">
        <v>75</v>
      </c>
      <c r="I4054" t="s">
        <v>76</v>
      </c>
      <c r="J4054" t="s">
        <v>77</v>
      </c>
      <c r="K4054" t="s">
        <v>78</v>
      </c>
      <c r="L4054" t="s">
        <v>168</v>
      </c>
      <c r="M4054" t="s">
        <v>169</v>
      </c>
      <c r="N4054" t="s">
        <v>412</v>
      </c>
      <c r="O4054" t="s">
        <v>82</v>
      </c>
      <c r="P4054" t="str">
        <f>"4170051262                    "</f>
        <v xml:space="preserve">4170051262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22.6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>
        <v>71.2</v>
      </c>
      <c r="BM4054">
        <v>10.68</v>
      </c>
      <c r="BN4054">
        <v>81.88</v>
      </c>
      <c r="BO4054">
        <v>81.88</v>
      </c>
      <c r="BQ4054" t="s">
        <v>413</v>
      </c>
      <c r="BR4054" t="s">
        <v>84</v>
      </c>
      <c r="BS4054" s="3">
        <v>45866</v>
      </c>
      <c r="BT4054" s="4">
        <v>0.3840277777777778</v>
      </c>
      <c r="BU4054" t="s">
        <v>3590</v>
      </c>
      <c r="BV4054" t="s">
        <v>98</v>
      </c>
      <c r="BY4054">
        <v>1200</v>
      </c>
      <c r="BZ4054" t="s">
        <v>89</v>
      </c>
      <c r="CA4054" t="s">
        <v>415</v>
      </c>
      <c r="CC4054" t="s">
        <v>169</v>
      </c>
      <c r="CD4054">
        <v>6001</v>
      </c>
      <c r="CE4054" t="s">
        <v>239</v>
      </c>
      <c r="CF4054" s="3">
        <v>45866</v>
      </c>
      <c r="CI4054">
        <v>1</v>
      </c>
      <c r="CJ4054">
        <v>1</v>
      </c>
      <c r="CK4054">
        <v>21</v>
      </c>
      <c r="CL4054" t="s">
        <v>86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"080066798442"</f>
        <v>080066798442</v>
      </c>
      <c r="F4055" s="3">
        <v>45863</v>
      </c>
      <c r="G4055">
        <v>202604</v>
      </c>
      <c r="H4055" t="s">
        <v>75</v>
      </c>
      <c r="I4055" t="s">
        <v>76</v>
      </c>
      <c r="J4055" t="s">
        <v>77</v>
      </c>
      <c r="K4055" t="s">
        <v>78</v>
      </c>
      <c r="L4055" t="s">
        <v>240</v>
      </c>
      <c r="M4055" t="s">
        <v>241</v>
      </c>
      <c r="N4055" t="s">
        <v>610</v>
      </c>
      <c r="O4055" t="s">
        <v>82</v>
      </c>
      <c r="P4055" t="str">
        <f>"4170051219                    "</f>
        <v xml:space="preserve">4170051219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17.649999999999999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3</v>
      </c>
      <c r="BJ4055">
        <v>2</v>
      </c>
      <c r="BK4055">
        <v>3</v>
      </c>
      <c r="BL4055">
        <v>55.61</v>
      </c>
      <c r="BM4055">
        <v>8.34</v>
      </c>
      <c r="BN4055">
        <v>63.95</v>
      </c>
      <c r="BO4055">
        <v>63.95</v>
      </c>
      <c r="BQ4055" t="s">
        <v>611</v>
      </c>
      <c r="BR4055" t="s">
        <v>84</v>
      </c>
      <c r="BS4055" s="3">
        <v>45866</v>
      </c>
      <c r="BT4055" s="4">
        <v>0.37083333333333335</v>
      </c>
      <c r="BU4055" t="s">
        <v>3614</v>
      </c>
      <c r="BV4055" t="s">
        <v>98</v>
      </c>
      <c r="BY4055">
        <v>9918</v>
      </c>
      <c r="BZ4055" t="s">
        <v>89</v>
      </c>
      <c r="CC4055" t="s">
        <v>241</v>
      </c>
      <c r="CD4055">
        <v>2197</v>
      </c>
      <c r="CE4055" t="s">
        <v>117</v>
      </c>
      <c r="CF4055" s="3">
        <v>45866</v>
      </c>
      <c r="CI4055">
        <v>1</v>
      </c>
      <c r="CJ4055">
        <v>1</v>
      </c>
      <c r="CK4055">
        <v>22</v>
      </c>
      <c r="CL4055" t="s">
        <v>86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"080066798473"</f>
        <v>080066798473</v>
      </c>
      <c r="F4056" s="3">
        <v>45863</v>
      </c>
      <c r="G4056">
        <v>202604</v>
      </c>
      <c r="H4056" t="s">
        <v>75</v>
      </c>
      <c r="I4056" t="s">
        <v>76</v>
      </c>
      <c r="J4056" t="s">
        <v>77</v>
      </c>
      <c r="K4056" t="s">
        <v>78</v>
      </c>
      <c r="L4056" t="s">
        <v>111</v>
      </c>
      <c r="M4056" t="s">
        <v>112</v>
      </c>
      <c r="N4056" t="s">
        <v>3635</v>
      </c>
      <c r="O4056" t="s">
        <v>82</v>
      </c>
      <c r="P4056" t="str">
        <f>"4170051241                    "</f>
        <v xml:space="preserve">4170051241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43.78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137.94</v>
      </c>
      <c r="BM4056">
        <v>20.69</v>
      </c>
      <c r="BN4056">
        <v>158.63</v>
      </c>
      <c r="BO4056">
        <v>158.63</v>
      </c>
      <c r="BQ4056" t="s">
        <v>3636</v>
      </c>
      <c r="BR4056" t="s">
        <v>84</v>
      </c>
      <c r="BS4056" s="3">
        <v>45866</v>
      </c>
      <c r="BT4056" s="4">
        <v>0.55694444444444446</v>
      </c>
      <c r="BU4056" t="s">
        <v>3637</v>
      </c>
      <c r="BV4056" t="s">
        <v>86</v>
      </c>
      <c r="BW4056" t="s">
        <v>1395</v>
      </c>
      <c r="BX4056" t="s">
        <v>3638</v>
      </c>
      <c r="BY4056">
        <v>1200</v>
      </c>
      <c r="BZ4056" t="s">
        <v>89</v>
      </c>
      <c r="CA4056" t="s">
        <v>116</v>
      </c>
      <c r="CC4056" t="s">
        <v>112</v>
      </c>
      <c r="CD4056">
        <v>1871</v>
      </c>
      <c r="CE4056" t="s">
        <v>239</v>
      </c>
      <c r="CF4056" s="3">
        <v>45866</v>
      </c>
      <c r="CI4056">
        <v>1</v>
      </c>
      <c r="CJ4056">
        <v>1</v>
      </c>
      <c r="CK4056">
        <v>23</v>
      </c>
      <c r="CL4056" t="s">
        <v>86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"080066798484"</f>
        <v>080066798484</v>
      </c>
      <c r="F4057" s="3">
        <v>45863</v>
      </c>
      <c r="G4057">
        <v>202604</v>
      </c>
      <c r="H4057" t="s">
        <v>75</v>
      </c>
      <c r="I4057" t="s">
        <v>76</v>
      </c>
      <c r="J4057" t="s">
        <v>77</v>
      </c>
      <c r="K4057" t="s">
        <v>78</v>
      </c>
      <c r="L4057" t="s">
        <v>390</v>
      </c>
      <c r="M4057" t="s">
        <v>391</v>
      </c>
      <c r="N4057" t="s">
        <v>3639</v>
      </c>
      <c r="O4057" t="s">
        <v>95</v>
      </c>
      <c r="P4057" t="str">
        <f>"4170051239                    "</f>
        <v xml:space="preserve">4170051239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50.48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17</v>
      </c>
      <c r="BJ4057">
        <v>31.6</v>
      </c>
      <c r="BK4057">
        <v>32</v>
      </c>
      <c r="BL4057">
        <v>164.91</v>
      </c>
      <c r="BM4057">
        <v>24.74</v>
      </c>
      <c r="BN4057">
        <v>189.65</v>
      </c>
      <c r="BO4057">
        <v>189.65</v>
      </c>
      <c r="BQ4057" t="s">
        <v>3640</v>
      </c>
      <c r="BR4057" t="s">
        <v>84</v>
      </c>
      <c r="BS4057" s="3">
        <v>45866</v>
      </c>
      <c r="BT4057" s="4">
        <v>0.4375</v>
      </c>
      <c r="BU4057" t="s">
        <v>3641</v>
      </c>
      <c r="BV4057" t="s">
        <v>98</v>
      </c>
      <c r="BY4057">
        <v>157920</v>
      </c>
      <c r="BZ4057" t="s">
        <v>99</v>
      </c>
      <c r="CC4057" t="s">
        <v>391</v>
      </c>
      <c r="CD4057">
        <v>1724</v>
      </c>
      <c r="CE4057" t="s">
        <v>117</v>
      </c>
      <c r="CF4057" s="3">
        <v>45867</v>
      </c>
      <c r="CI4057">
        <v>1</v>
      </c>
      <c r="CJ4057">
        <v>1</v>
      </c>
      <c r="CK4057">
        <v>42</v>
      </c>
      <c r="CL4057" t="s">
        <v>86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"080066798497"</f>
        <v>080066798497</v>
      </c>
      <c r="F4058" s="3">
        <v>45863</v>
      </c>
      <c r="G4058">
        <v>202604</v>
      </c>
      <c r="H4058" t="s">
        <v>75</v>
      </c>
      <c r="I4058" t="s">
        <v>76</v>
      </c>
      <c r="J4058" t="s">
        <v>77</v>
      </c>
      <c r="K4058" t="s">
        <v>78</v>
      </c>
      <c r="L4058" t="s">
        <v>174</v>
      </c>
      <c r="M4058" t="s">
        <v>175</v>
      </c>
      <c r="N4058" t="s">
        <v>2644</v>
      </c>
      <c r="O4058" t="s">
        <v>82</v>
      </c>
      <c r="P4058" t="str">
        <f>"4170051250                    "</f>
        <v xml:space="preserve">4170051250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22.6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71.2</v>
      </c>
      <c r="BM4058">
        <v>10.68</v>
      </c>
      <c r="BN4058">
        <v>81.88</v>
      </c>
      <c r="BO4058">
        <v>81.88</v>
      </c>
      <c r="BQ4058" t="s">
        <v>2645</v>
      </c>
      <c r="BR4058" t="s">
        <v>84</v>
      </c>
      <c r="BS4058" s="3">
        <v>45866</v>
      </c>
      <c r="BT4058" s="4">
        <v>0.41805555555555557</v>
      </c>
      <c r="BU4058" t="s">
        <v>1995</v>
      </c>
      <c r="BV4058" t="s">
        <v>98</v>
      </c>
      <c r="BY4058">
        <v>1200</v>
      </c>
      <c r="CA4058" t="s">
        <v>173</v>
      </c>
      <c r="CC4058" t="s">
        <v>175</v>
      </c>
      <c r="CD4058">
        <v>6220</v>
      </c>
      <c r="CE4058" t="s">
        <v>121</v>
      </c>
      <c r="CF4058" s="3">
        <v>45866</v>
      </c>
      <c r="CI4058">
        <v>1</v>
      </c>
      <c r="CJ4058">
        <v>1</v>
      </c>
      <c r="CK4058">
        <v>21</v>
      </c>
      <c r="CL4058" t="s">
        <v>86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"080066798694"</f>
        <v>080066798694</v>
      </c>
      <c r="F4059" s="3">
        <v>45863</v>
      </c>
      <c r="G4059">
        <v>202604</v>
      </c>
      <c r="H4059" t="s">
        <v>75</v>
      </c>
      <c r="I4059" t="s">
        <v>76</v>
      </c>
      <c r="J4059" t="s">
        <v>77</v>
      </c>
      <c r="K4059" t="s">
        <v>78</v>
      </c>
      <c r="L4059" t="s">
        <v>92</v>
      </c>
      <c r="M4059" t="s">
        <v>93</v>
      </c>
      <c r="N4059" t="s">
        <v>749</v>
      </c>
      <c r="O4059" t="s">
        <v>82</v>
      </c>
      <c r="P4059" t="str">
        <f>"4170051243                    "</f>
        <v xml:space="preserve">4170051243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22.6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71.2</v>
      </c>
      <c r="BM4059">
        <v>10.68</v>
      </c>
      <c r="BN4059">
        <v>81.88</v>
      </c>
      <c r="BO4059">
        <v>81.88</v>
      </c>
      <c r="BQ4059" t="s">
        <v>750</v>
      </c>
      <c r="BR4059" t="s">
        <v>84</v>
      </c>
      <c r="BS4059" s="3">
        <v>45866</v>
      </c>
      <c r="BT4059" s="4">
        <v>0.37638888888888888</v>
      </c>
      <c r="BU4059" t="s">
        <v>751</v>
      </c>
      <c r="BV4059" t="s">
        <v>98</v>
      </c>
      <c r="BY4059">
        <v>1200</v>
      </c>
      <c r="CA4059" t="s">
        <v>491</v>
      </c>
      <c r="CC4059" t="s">
        <v>93</v>
      </c>
      <c r="CD4059">
        <v>4001</v>
      </c>
      <c r="CE4059" t="s">
        <v>121</v>
      </c>
      <c r="CF4059" s="3">
        <v>45867</v>
      </c>
      <c r="CI4059">
        <v>1</v>
      </c>
      <c r="CJ4059">
        <v>1</v>
      </c>
      <c r="CK4059">
        <v>21</v>
      </c>
      <c r="CL4059" t="s">
        <v>86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"080066798717"</f>
        <v>080066798717</v>
      </c>
      <c r="F4060" s="3">
        <v>45863</v>
      </c>
      <c r="G4060">
        <v>202604</v>
      </c>
      <c r="H4060" t="s">
        <v>75</v>
      </c>
      <c r="I4060" t="s">
        <v>76</v>
      </c>
      <c r="J4060" t="s">
        <v>77</v>
      </c>
      <c r="K4060" t="s">
        <v>78</v>
      </c>
      <c r="L4060" t="s">
        <v>79</v>
      </c>
      <c r="M4060" t="s">
        <v>80</v>
      </c>
      <c r="N4060" t="s">
        <v>141</v>
      </c>
      <c r="O4060" t="s">
        <v>82</v>
      </c>
      <c r="P4060" t="str">
        <f>"4170051179                    "</f>
        <v xml:space="preserve">4170051179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22.6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71.2</v>
      </c>
      <c r="BM4060">
        <v>10.68</v>
      </c>
      <c r="BN4060">
        <v>81.88</v>
      </c>
      <c r="BO4060">
        <v>81.88</v>
      </c>
      <c r="BQ4060" t="s">
        <v>142</v>
      </c>
      <c r="BR4060" t="s">
        <v>84</v>
      </c>
      <c r="BS4060" s="3">
        <v>45866</v>
      </c>
      <c r="BT4060" s="4">
        <v>0.41597222222222224</v>
      </c>
      <c r="BU4060" t="s">
        <v>2437</v>
      </c>
      <c r="BV4060" t="s">
        <v>98</v>
      </c>
      <c r="BY4060">
        <v>1200</v>
      </c>
      <c r="CA4060" t="s">
        <v>144</v>
      </c>
      <c r="CC4060" t="s">
        <v>80</v>
      </c>
      <c r="CD4060">
        <v>7441</v>
      </c>
      <c r="CE4060" t="s">
        <v>121</v>
      </c>
      <c r="CF4060" s="3">
        <v>45867</v>
      </c>
      <c r="CI4060">
        <v>1</v>
      </c>
      <c r="CJ4060">
        <v>1</v>
      </c>
      <c r="CK4060">
        <v>21</v>
      </c>
      <c r="CL4060" t="s">
        <v>86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"080066798832"</f>
        <v>080066798832</v>
      </c>
      <c r="F4061" s="3">
        <v>45863</v>
      </c>
      <c r="G4061">
        <v>202604</v>
      </c>
      <c r="H4061" t="s">
        <v>75</v>
      </c>
      <c r="I4061" t="s">
        <v>76</v>
      </c>
      <c r="J4061" t="s">
        <v>77</v>
      </c>
      <c r="K4061" t="s">
        <v>78</v>
      </c>
      <c r="L4061" t="s">
        <v>75</v>
      </c>
      <c r="M4061" t="s">
        <v>76</v>
      </c>
      <c r="N4061" t="s">
        <v>1241</v>
      </c>
      <c r="O4061" t="s">
        <v>82</v>
      </c>
      <c r="P4061" t="str">
        <f>"4170051236                    "</f>
        <v xml:space="preserve">4170051236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17.649999999999999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2</v>
      </c>
      <c r="BJ4061">
        <v>1.1000000000000001</v>
      </c>
      <c r="BK4061">
        <v>2</v>
      </c>
      <c r="BL4061">
        <v>55.61</v>
      </c>
      <c r="BM4061">
        <v>8.34</v>
      </c>
      <c r="BN4061">
        <v>63.95</v>
      </c>
      <c r="BO4061">
        <v>63.95</v>
      </c>
      <c r="BQ4061" t="s">
        <v>1242</v>
      </c>
      <c r="BR4061" t="s">
        <v>84</v>
      </c>
      <c r="BS4061" s="3">
        <v>45866</v>
      </c>
      <c r="BT4061" s="4">
        <v>0.42291666666666666</v>
      </c>
      <c r="BU4061" t="s">
        <v>1243</v>
      </c>
      <c r="BV4061" t="s">
        <v>98</v>
      </c>
      <c r="BY4061">
        <v>5320</v>
      </c>
      <c r="CC4061" t="s">
        <v>76</v>
      </c>
      <c r="CD4061">
        <v>1624</v>
      </c>
      <c r="CE4061" t="s">
        <v>145</v>
      </c>
      <c r="CF4061" s="3">
        <v>45866</v>
      </c>
      <c r="CI4061">
        <v>1</v>
      </c>
      <c r="CJ4061">
        <v>1</v>
      </c>
      <c r="CK4061">
        <v>22</v>
      </c>
      <c r="CL4061" t="s">
        <v>86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"080066798856"</f>
        <v>080066798856</v>
      </c>
      <c r="F4062" s="3">
        <v>45863</v>
      </c>
      <c r="G4062">
        <v>202604</v>
      </c>
      <c r="H4062" t="s">
        <v>75</v>
      </c>
      <c r="I4062" t="s">
        <v>76</v>
      </c>
      <c r="J4062" t="s">
        <v>77</v>
      </c>
      <c r="K4062" t="s">
        <v>78</v>
      </c>
      <c r="L4062" t="s">
        <v>542</v>
      </c>
      <c r="M4062" t="s">
        <v>543</v>
      </c>
      <c r="N4062" t="s">
        <v>352</v>
      </c>
      <c r="O4062" t="s">
        <v>82</v>
      </c>
      <c r="P4062" t="str">
        <f>"4170051249                    "</f>
        <v xml:space="preserve">4170051249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17.649999999999999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2</v>
      </c>
      <c r="BJ4062">
        <v>1.1000000000000001</v>
      </c>
      <c r="BK4062">
        <v>2</v>
      </c>
      <c r="BL4062">
        <v>55.61</v>
      </c>
      <c r="BM4062">
        <v>8.34</v>
      </c>
      <c r="BN4062">
        <v>63.95</v>
      </c>
      <c r="BO4062">
        <v>63.95</v>
      </c>
      <c r="BQ4062" t="s">
        <v>353</v>
      </c>
      <c r="BR4062" t="s">
        <v>84</v>
      </c>
      <c r="BS4062" s="3">
        <v>45866</v>
      </c>
      <c r="BT4062" s="4">
        <v>0.40833333333333333</v>
      </c>
      <c r="BU4062" t="s">
        <v>2747</v>
      </c>
      <c r="BV4062" t="s">
        <v>98</v>
      </c>
      <c r="BY4062">
        <v>5320</v>
      </c>
      <c r="CC4062" t="s">
        <v>543</v>
      </c>
      <c r="CD4062">
        <v>1451</v>
      </c>
      <c r="CE4062" t="s">
        <v>145</v>
      </c>
      <c r="CF4062" s="3">
        <v>45866</v>
      </c>
      <c r="CI4062">
        <v>1</v>
      </c>
      <c r="CJ4062">
        <v>1</v>
      </c>
      <c r="CK4062">
        <v>22</v>
      </c>
      <c r="CL4062" t="s">
        <v>86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"080066799278"</f>
        <v>080066799278</v>
      </c>
      <c r="F4063" s="3">
        <v>45863</v>
      </c>
      <c r="G4063">
        <v>202604</v>
      </c>
      <c r="H4063" t="s">
        <v>75</v>
      </c>
      <c r="I4063" t="s">
        <v>76</v>
      </c>
      <c r="J4063" t="s">
        <v>77</v>
      </c>
      <c r="K4063" t="s">
        <v>78</v>
      </c>
      <c r="L4063" t="s">
        <v>146</v>
      </c>
      <c r="M4063" t="s">
        <v>146</v>
      </c>
      <c r="N4063" t="s">
        <v>633</v>
      </c>
      <c r="O4063" t="s">
        <v>82</v>
      </c>
      <c r="P4063" t="str">
        <f>"4170051298                    "</f>
        <v xml:space="preserve">4170051298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43.78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137.94</v>
      </c>
      <c r="BM4063">
        <v>20.69</v>
      </c>
      <c r="BN4063">
        <v>158.63</v>
      </c>
      <c r="BO4063">
        <v>158.63</v>
      </c>
      <c r="BQ4063" t="s">
        <v>634</v>
      </c>
      <c r="BR4063" t="s">
        <v>84</v>
      </c>
      <c r="BS4063" s="3">
        <v>45866</v>
      </c>
      <c r="BT4063" s="4">
        <v>0.45833333333333331</v>
      </c>
      <c r="BU4063" t="s">
        <v>635</v>
      </c>
      <c r="BV4063" t="s">
        <v>98</v>
      </c>
      <c r="BY4063">
        <v>1200</v>
      </c>
      <c r="CA4063" t="s">
        <v>150</v>
      </c>
      <c r="CC4063" t="s">
        <v>146</v>
      </c>
      <c r="CD4063">
        <v>7646</v>
      </c>
      <c r="CE4063" t="s">
        <v>121</v>
      </c>
      <c r="CF4063" s="3">
        <v>45867</v>
      </c>
      <c r="CI4063">
        <v>1</v>
      </c>
      <c r="CJ4063">
        <v>1</v>
      </c>
      <c r="CK4063">
        <v>23</v>
      </c>
      <c r="CL4063" t="s">
        <v>86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"080066799319"</f>
        <v>080066799319</v>
      </c>
      <c r="F4064" s="3">
        <v>45863</v>
      </c>
      <c r="G4064">
        <v>202604</v>
      </c>
      <c r="H4064" t="s">
        <v>75</v>
      </c>
      <c r="I4064" t="s">
        <v>76</v>
      </c>
      <c r="J4064" t="s">
        <v>77</v>
      </c>
      <c r="K4064" t="s">
        <v>78</v>
      </c>
      <c r="L4064" t="s">
        <v>146</v>
      </c>
      <c r="M4064" t="s">
        <v>146</v>
      </c>
      <c r="N4064" t="s">
        <v>986</v>
      </c>
      <c r="O4064" t="s">
        <v>82</v>
      </c>
      <c r="P4064" t="str">
        <f>"4170051108                    "</f>
        <v xml:space="preserve">4170051108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43.78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2</v>
      </c>
      <c r="BJ4064">
        <v>0.7</v>
      </c>
      <c r="BK4064">
        <v>2</v>
      </c>
      <c r="BL4064">
        <v>137.94</v>
      </c>
      <c r="BM4064">
        <v>20.69</v>
      </c>
      <c r="BN4064">
        <v>158.63</v>
      </c>
      <c r="BO4064">
        <v>158.63</v>
      </c>
      <c r="BQ4064" t="s">
        <v>987</v>
      </c>
      <c r="BR4064" t="s">
        <v>84</v>
      </c>
      <c r="BS4064" s="3">
        <v>45866</v>
      </c>
      <c r="BT4064" s="4">
        <v>0.45833333333333331</v>
      </c>
      <c r="BU4064" t="s">
        <v>635</v>
      </c>
      <c r="BV4064" t="s">
        <v>98</v>
      </c>
      <c r="BY4064">
        <v>3400</v>
      </c>
      <c r="CA4064" t="s">
        <v>150</v>
      </c>
      <c r="CC4064" t="s">
        <v>146</v>
      </c>
      <c r="CD4064">
        <v>7646</v>
      </c>
      <c r="CE4064" t="s">
        <v>91</v>
      </c>
      <c r="CF4064" s="3">
        <v>45867</v>
      </c>
      <c r="CI4064">
        <v>1</v>
      </c>
      <c r="CJ4064">
        <v>1</v>
      </c>
      <c r="CK4064">
        <v>23</v>
      </c>
      <c r="CL4064" t="s">
        <v>86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"080066799364"</f>
        <v>080066799364</v>
      </c>
      <c r="F4065" s="3">
        <v>45863</v>
      </c>
      <c r="G4065">
        <v>202604</v>
      </c>
      <c r="H4065" t="s">
        <v>75</v>
      </c>
      <c r="I4065" t="s">
        <v>76</v>
      </c>
      <c r="J4065" t="s">
        <v>77</v>
      </c>
      <c r="K4065" t="s">
        <v>78</v>
      </c>
      <c r="L4065" t="s">
        <v>277</v>
      </c>
      <c r="M4065" t="s">
        <v>278</v>
      </c>
      <c r="N4065" t="s">
        <v>279</v>
      </c>
      <c r="O4065" t="s">
        <v>82</v>
      </c>
      <c r="P4065" t="str">
        <f>"4170051337                    "</f>
        <v xml:space="preserve">4170051337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22.6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71.2</v>
      </c>
      <c r="BM4065">
        <v>10.68</v>
      </c>
      <c r="BN4065">
        <v>81.88</v>
      </c>
      <c r="BO4065">
        <v>81.88</v>
      </c>
      <c r="BQ4065" t="s">
        <v>280</v>
      </c>
      <c r="BR4065" t="s">
        <v>84</v>
      </c>
      <c r="BS4065" s="3">
        <v>45866</v>
      </c>
      <c r="BT4065" s="4">
        <v>0.39374999999999999</v>
      </c>
      <c r="BU4065" t="s">
        <v>1124</v>
      </c>
      <c r="BV4065" t="s">
        <v>98</v>
      </c>
      <c r="BY4065">
        <v>1200</v>
      </c>
      <c r="CA4065" t="s">
        <v>282</v>
      </c>
      <c r="CC4065" t="s">
        <v>278</v>
      </c>
      <c r="CD4065">
        <v>6230</v>
      </c>
      <c r="CE4065" t="s">
        <v>121</v>
      </c>
      <c r="CF4065" s="3">
        <v>45866</v>
      </c>
      <c r="CI4065">
        <v>1</v>
      </c>
      <c r="CJ4065">
        <v>1</v>
      </c>
      <c r="CK4065">
        <v>21</v>
      </c>
      <c r="CL4065" t="s">
        <v>86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"080066799399"</f>
        <v>080066799399</v>
      </c>
      <c r="F4066" s="3">
        <v>45863</v>
      </c>
      <c r="G4066">
        <v>202604</v>
      </c>
      <c r="H4066" t="s">
        <v>75</v>
      </c>
      <c r="I4066" t="s">
        <v>76</v>
      </c>
      <c r="J4066" t="s">
        <v>77</v>
      </c>
      <c r="K4066" t="s">
        <v>78</v>
      </c>
      <c r="L4066" t="s">
        <v>122</v>
      </c>
      <c r="M4066" t="s">
        <v>123</v>
      </c>
      <c r="N4066" t="s">
        <v>972</v>
      </c>
      <c r="O4066" t="s">
        <v>82</v>
      </c>
      <c r="P4066" t="str">
        <f>"4170051313                    "</f>
        <v xml:space="preserve">4170051313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22.6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1.7</v>
      </c>
      <c r="BK4066">
        <v>2</v>
      </c>
      <c r="BL4066">
        <v>71.2</v>
      </c>
      <c r="BM4066">
        <v>10.68</v>
      </c>
      <c r="BN4066">
        <v>81.88</v>
      </c>
      <c r="BO4066">
        <v>81.88</v>
      </c>
      <c r="BQ4066" t="s">
        <v>973</v>
      </c>
      <c r="BR4066" t="s">
        <v>84</v>
      </c>
      <c r="BS4066" s="3">
        <v>45866</v>
      </c>
      <c r="BT4066" s="4">
        <v>0.52361111111111114</v>
      </c>
      <c r="BU4066" t="s">
        <v>974</v>
      </c>
      <c r="BV4066" t="s">
        <v>98</v>
      </c>
      <c r="BY4066">
        <v>8512</v>
      </c>
      <c r="CA4066" t="s">
        <v>166</v>
      </c>
      <c r="CC4066" t="s">
        <v>123</v>
      </c>
      <c r="CD4066">
        <v>3610</v>
      </c>
      <c r="CE4066" t="s">
        <v>145</v>
      </c>
      <c r="CF4066" s="3">
        <v>45866</v>
      </c>
      <c r="CI4066">
        <v>1</v>
      </c>
      <c r="CJ4066">
        <v>1</v>
      </c>
      <c r="CK4066">
        <v>21</v>
      </c>
      <c r="CL4066" t="s">
        <v>86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"080066799437"</f>
        <v>080066799437</v>
      </c>
      <c r="F4067" s="3">
        <v>45863</v>
      </c>
      <c r="G4067">
        <v>202604</v>
      </c>
      <c r="H4067" t="s">
        <v>75</v>
      </c>
      <c r="I4067" t="s">
        <v>76</v>
      </c>
      <c r="J4067" t="s">
        <v>77</v>
      </c>
      <c r="K4067" t="s">
        <v>78</v>
      </c>
      <c r="L4067" t="s">
        <v>197</v>
      </c>
      <c r="M4067" t="s">
        <v>198</v>
      </c>
      <c r="N4067" t="s">
        <v>945</v>
      </c>
      <c r="O4067" t="s">
        <v>82</v>
      </c>
      <c r="P4067" t="str">
        <f>"4170051320                    "</f>
        <v xml:space="preserve">4170051320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17.649999999999999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55.61</v>
      </c>
      <c r="BM4067">
        <v>8.34</v>
      </c>
      <c r="BN4067">
        <v>63.95</v>
      </c>
      <c r="BO4067">
        <v>63.95</v>
      </c>
      <c r="BQ4067" t="s">
        <v>946</v>
      </c>
      <c r="BR4067" t="s">
        <v>84</v>
      </c>
      <c r="BS4067" s="3">
        <v>45866</v>
      </c>
      <c r="BT4067" s="4">
        <v>0.37152777777777779</v>
      </c>
      <c r="BU4067" t="s">
        <v>3623</v>
      </c>
      <c r="BV4067" t="s">
        <v>98</v>
      </c>
      <c r="BY4067">
        <v>1200</v>
      </c>
      <c r="CC4067" t="s">
        <v>198</v>
      </c>
      <c r="CD4067">
        <v>1422</v>
      </c>
      <c r="CE4067" t="s">
        <v>121</v>
      </c>
      <c r="CF4067" s="3">
        <v>45866</v>
      </c>
      <c r="CI4067">
        <v>1</v>
      </c>
      <c r="CJ4067">
        <v>1</v>
      </c>
      <c r="CK4067">
        <v>22</v>
      </c>
      <c r="CL4067" t="s">
        <v>86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"080066799474"</f>
        <v>080066799474</v>
      </c>
      <c r="F4068" s="3">
        <v>45863</v>
      </c>
      <c r="G4068">
        <v>202604</v>
      </c>
      <c r="H4068" t="s">
        <v>75</v>
      </c>
      <c r="I4068" t="s">
        <v>76</v>
      </c>
      <c r="J4068" t="s">
        <v>77</v>
      </c>
      <c r="K4068" t="s">
        <v>78</v>
      </c>
      <c r="L4068" t="s">
        <v>168</v>
      </c>
      <c r="M4068" t="s">
        <v>169</v>
      </c>
      <c r="N4068" t="s">
        <v>861</v>
      </c>
      <c r="O4068" t="s">
        <v>82</v>
      </c>
      <c r="P4068" t="str">
        <f>"4170051240                    "</f>
        <v xml:space="preserve">4170051240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22.6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71.2</v>
      </c>
      <c r="BM4068">
        <v>10.68</v>
      </c>
      <c r="BN4068">
        <v>81.88</v>
      </c>
      <c r="BO4068">
        <v>81.88</v>
      </c>
      <c r="BQ4068" t="s">
        <v>862</v>
      </c>
      <c r="BR4068" t="s">
        <v>84</v>
      </c>
      <c r="BS4068" s="3">
        <v>45866</v>
      </c>
      <c r="BT4068" s="4">
        <v>0.34722222222222221</v>
      </c>
      <c r="BU4068" t="s">
        <v>3642</v>
      </c>
      <c r="BV4068" t="s">
        <v>98</v>
      </c>
      <c r="BY4068">
        <v>1200</v>
      </c>
      <c r="CA4068" t="s">
        <v>423</v>
      </c>
      <c r="CC4068" t="s">
        <v>169</v>
      </c>
      <c r="CD4068">
        <v>6045</v>
      </c>
      <c r="CE4068" t="s">
        <v>121</v>
      </c>
      <c r="CF4068" s="3">
        <v>45866</v>
      </c>
      <c r="CI4068">
        <v>1</v>
      </c>
      <c r="CJ4068">
        <v>1</v>
      </c>
      <c r="CK4068">
        <v>21</v>
      </c>
      <c r="CL4068" t="s">
        <v>86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"080066799483"</f>
        <v>080066799483</v>
      </c>
      <c r="F4069" s="3">
        <v>45863</v>
      </c>
      <c r="G4069">
        <v>202604</v>
      </c>
      <c r="H4069" t="s">
        <v>75</v>
      </c>
      <c r="I4069" t="s">
        <v>76</v>
      </c>
      <c r="J4069" t="s">
        <v>77</v>
      </c>
      <c r="K4069" t="s">
        <v>78</v>
      </c>
      <c r="L4069" t="s">
        <v>305</v>
      </c>
      <c r="M4069" t="s">
        <v>306</v>
      </c>
      <c r="N4069" t="s">
        <v>640</v>
      </c>
      <c r="O4069" t="s">
        <v>82</v>
      </c>
      <c r="P4069" t="str">
        <f>"4170051282                    "</f>
        <v xml:space="preserve">4170051282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22.6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2</v>
      </c>
      <c r="BJ4069">
        <v>1.7</v>
      </c>
      <c r="BK4069">
        <v>2</v>
      </c>
      <c r="BL4069">
        <v>71.2</v>
      </c>
      <c r="BM4069">
        <v>10.68</v>
      </c>
      <c r="BN4069">
        <v>81.88</v>
      </c>
      <c r="BO4069">
        <v>81.88</v>
      </c>
      <c r="BQ4069" t="s">
        <v>641</v>
      </c>
      <c r="BR4069" t="s">
        <v>84</v>
      </c>
      <c r="BS4069" s="3">
        <v>45866</v>
      </c>
      <c r="BT4069" s="4">
        <v>0.32916666666666666</v>
      </c>
      <c r="BU4069" t="s">
        <v>3643</v>
      </c>
      <c r="BV4069" t="s">
        <v>98</v>
      </c>
      <c r="BY4069">
        <v>8512</v>
      </c>
      <c r="CA4069" t="s">
        <v>310</v>
      </c>
      <c r="CC4069" t="s">
        <v>306</v>
      </c>
      <c r="CD4069">
        <v>5201</v>
      </c>
      <c r="CE4069" t="s">
        <v>145</v>
      </c>
      <c r="CF4069" s="3">
        <v>45867</v>
      </c>
      <c r="CI4069">
        <v>1</v>
      </c>
      <c r="CJ4069">
        <v>1</v>
      </c>
      <c r="CK4069">
        <v>21</v>
      </c>
      <c r="CL4069" t="s">
        <v>86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"080066799498"</f>
        <v>080066799498</v>
      </c>
      <c r="F4070" s="3">
        <v>45863</v>
      </c>
      <c r="G4070">
        <v>202604</v>
      </c>
      <c r="H4070" t="s">
        <v>75</v>
      </c>
      <c r="I4070" t="s">
        <v>76</v>
      </c>
      <c r="J4070" t="s">
        <v>77</v>
      </c>
      <c r="K4070" t="s">
        <v>78</v>
      </c>
      <c r="L4070" t="s">
        <v>390</v>
      </c>
      <c r="M4070" t="s">
        <v>391</v>
      </c>
      <c r="N4070" t="s">
        <v>3639</v>
      </c>
      <c r="O4070" t="s">
        <v>95</v>
      </c>
      <c r="P4070" t="str">
        <f>"4170051253                    "</f>
        <v xml:space="preserve">4170051253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50.48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15</v>
      </c>
      <c r="BJ4070">
        <v>31.6</v>
      </c>
      <c r="BK4070">
        <v>32</v>
      </c>
      <c r="BL4070">
        <v>164.91</v>
      </c>
      <c r="BM4070">
        <v>24.74</v>
      </c>
      <c r="BN4070">
        <v>189.65</v>
      </c>
      <c r="BO4070">
        <v>189.65</v>
      </c>
      <c r="BQ4070" t="s">
        <v>3640</v>
      </c>
      <c r="BR4070" t="s">
        <v>84</v>
      </c>
      <c r="BS4070" s="3">
        <v>45866</v>
      </c>
      <c r="BT4070" s="4">
        <v>0.4375</v>
      </c>
      <c r="BU4070" t="s">
        <v>3641</v>
      </c>
      <c r="BV4070" t="s">
        <v>98</v>
      </c>
      <c r="BY4070">
        <v>157920</v>
      </c>
      <c r="CC4070" t="s">
        <v>391</v>
      </c>
      <c r="CD4070">
        <v>1724</v>
      </c>
      <c r="CE4070" t="s">
        <v>145</v>
      </c>
      <c r="CF4070" s="3">
        <v>45867</v>
      </c>
      <c r="CI4070">
        <v>1</v>
      </c>
      <c r="CJ4070">
        <v>1</v>
      </c>
      <c r="CK4070">
        <v>42</v>
      </c>
      <c r="CL4070" t="s">
        <v>86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"080066799515"</f>
        <v>080066799515</v>
      </c>
      <c r="F4071" s="3">
        <v>45863</v>
      </c>
      <c r="G4071">
        <v>202604</v>
      </c>
      <c r="H4071" t="s">
        <v>75</v>
      </c>
      <c r="I4071" t="s">
        <v>76</v>
      </c>
      <c r="J4071" t="s">
        <v>77</v>
      </c>
      <c r="K4071" t="s">
        <v>78</v>
      </c>
      <c r="L4071" t="s">
        <v>75</v>
      </c>
      <c r="M4071" t="s">
        <v>76</v>
      </c>
      <c r="N4071" t="s">
        <v>1158</v>
      </c>
      <c r="O4071" t="s">
        <v>82</v>
      </c>
      <c r="P4071" t="str">
        <f>"4170051312                    "</f>
        <v xml:space="preserve">4170051312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17.649999999999999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0.6</v>
      </c>
      <c r="BK4071">
        <v>1</v>
      </c>
      <c r="BL4071">
        <v>55.61</v>
      </c>
      <c r="BM4071">
        <v>8.34</v>
      </c>
      <c r="BN4071">
        <v>63.95</v>
      </c>
      <c r="BO4071">
        <v>63.95</v>
      </c>
      <c r="BQ4071" t="s">
        <v>1159</v>
      </c>
      <c r="BR4071" t="s">
        <v>84</v>
      </c>
      <c r="BS4071" s="3">
        <v>45866</v>
      </c>
      <c r="BT4071" s="4">
        <v>0.4152777777777778</v>
      </c>
      <c r="BU4071" t="s">
        <v>3644</v>
      </c>
      <c r="BV4071" t="s">
        <v>98</v>
      </c>
      <c r="BY4071">
        <v>3192</v>
      </c>
      <c r="CC4071" t="s">
        <v>76</v>
      </c>
      <c r="CD4071">
        <v>1619</v>
      </c>
      <c r="CE4071" t="s">
        <v>145</v>
      </c>
      <c r="CF4071" s="3">
        <v>45866</v>
      </c>
      <c r="CI4071">
        <v>1</v>
      </c>
      <c r="CJ4071">
        <v>1</v>
      </c>
      <c r="CK4071">
        <v>22</v>
      </c>
      <c r="CL4071" t="s">
        <v>86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"080066799534"</f>
        <v>080066799534</v>
      </c>
      <c r="F4072" s="3">
        <v>45863</v>
      </c>
      <c r="G4072">
        <v>202604</v>
      </c>
      <c r="H4072" t="s">
        <v>75</v>
      </c>
      <c r="I4072" t="s">
        <v>76</v>
      </c>
      <c r="J4072" t="s">
        <v>77</v>
      </c>
      <c r="K4072" t="s">
        <v>78</v>
      </c>
      <c r="L4072" t="s">
        <v>79</v>
      </c>
      <c r="M4072" t="s">
        <v>80</v>
      </c>
      <c r="N4072" t="s">
        <v>931</v>
      </c>
      <c r="O4072" t="s">
        <v>82</v>
      </c>
      <c r="P4072" t="str">
        <f>"4170051273                    "</f>
        <v xml:space="preserve">4170051273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22.6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2</v>
      </c>
      <c r="BK4072">
        <v>2</v>
      </c>
      <c r="BL4072">
        <v>71.2</v>
      </c>
      <c r="BM4072">
        <v>10.68</v>
      </c>
      <c r="BN4072">
        <v>81.88</v>
      </c>
      <c r="BO4072">
        <v>81.88</v>
      </c>
      <c r="BQ4072" t="s">
        <v>932</v>
      </c>
      <c r="BR4072" t="s">
        <v>84</v>
      </c>
      <c r="BS4072" s="3">
        <v>45866</v>
      </c>
      <c r="BT4072" s="4">
        <v>0.40347222222222223</v>
      </c>
      <c r="BU4072" t="s">
        <v>933</v>
      </c>
      <c r="BV4072" t="s">
        <v>98</v>
      </c>
      <c r="BY4072">
        <v>9918</v>
      </c>
      <c r="CA4072" t="s">
        <v>934</v>
      </c>
      <c r="CC4072" t="s">
        <v>80</v>
      </c>
      <c r="CD4072">
        <v>7535</v>
      </c>
      <c r="CE4072" t="s">
        <v>145</v>
      </c>
      <c r="CF4072" s="3">
        <v>45867</v>
      </c>
      <c r="CI4072">
        <v>1</v>
      </c>
      <c r="CJ4072">
        <v>1</v>
      </c>
      <c r="CK4072">
        <v>21</v>
      </c>
      <c r="CL4072" t="s">
        <v>86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"080066799539"</f>
        <v>080066799539</v>
      </c>
      <c r="F4073" s="3">
        <v>45863</v>
      </c>
      <c r="G4073">
        <v>202604</v>
      </c>
      <c r="H4073" t="s">
        <v>75</v>
      </c>
      <c r="I4073" t="s">
        <v>76</v>
      </c>
      <c r="J4073" t="s">
        <v>77</v>
      </c>
      <c r="K4073" t="s">
        <v>78</v>
      </c>
      <c r="L4073" t="s">
        <v>79</v>
      </c>
      <c r="M4073" t="s">
        <v>80</v>
      </c>
      <c r="N4073" t="s">
        <v>662</v>
      </c>
      <c r="O4073" t="s">
        <v>82</v>
      </c>
      <c r="P4073" t="str">
        <f>"4170051294                    "</f>
        <v xml:space="preserve">4170051294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90.34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8</v>
      </c>
      <c r="BJ4073">
        <v>1.7</v>
      </c>
      <c r="BK4073">
        <v>8</v>
      </c>
      <c r="BL4073">
        <v>284.62</v>
      </c>
      <c r="BM4073">
        <v>42.69</v>
      </c>
      <c r="BN4073">
        <v>327.31</v>
      </c>
      <c r="BO4073">
        <v>327.31</v>
      </c>
      <c r="BQ4073" t="s">
        <v>663</v>
      </c>
      <c r="BR4073" t="s">
        <v>84</v>
      </c>
      <c r="BS4073" s="3">
        <v>45866</v>
      </c>
      <c r="BT4073" s="4">
        <v>0.42986111111111114</v>
      </c>
      <c r="BU4073" t="s">
        <v>3645</v>
      </c>
      <c r="BV4073" t="s">
        <v>98</v>
      </c>
      <c r="BY4073">
        <v>8512</v>
      </c>
      <c r="CA4073" t="s">
        <v>665</v>
      </c>
      <c r="CC4073" t="s">
        <v>80</v>
      </c>
      <c r="CD4073">
        <v>7945</v>
      </c>
      <c r="CE4073" t="s">
        <v>145</v>
      </c>
      <c r="CF4073" s="3">
        <v>45867</v>
      </c>
      <c r="CI4073">
        <v>1</v>
      </c>
      <c r="CJ4073">
        <v>1</v>
      </c>
      <c r="CK4073">
        <v>21</v>
      </c>
      <c r="CL4073" t="s">
        <v>86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"080066799560"</f>
        <v>080066799560</v>
      </c>
      <c r="F4074" s="3">
        <v>45863</v>
      </c>
      <c r="G4074">
        <v>202604</v>
      </c>
      <c r="H4074" t="s">
        <v>75</v>
      </c>
      <c r="I4074" t="s">
        <v>76</v>
      </c>
      <c r="J4074" t="s">
        <v>77</v>
      </c>
      <c r="K4074" t="s">
        <v>78</v>
      </c>
      <c r="L4074" t="s">
        <v>305</v>
      </c>
      <c r="M4074" t="s">
        <v>306</v>
      </c>
      <c r="N4074" t="s">
        <v>1154</v>
      </c>
      <c r="O4074" t="s">
        <v>82</v>
      </c>
      <c r="P4074" t="str">
        <f>"4170051315                    "</f>
        <v xml:space="preserve">4170051315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56.47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5</v>
      </c>
      <c r="BJ4074">
        <v>1.9</v>
      </c>
      <c r="BK4074">
        <v>5</v>
      </c>
      <c r="BL4074">
        <v>177.91</v>
      </c>
      <c r="BM4074">
        <v>26.69</v>
      </c>
      <c r="BN4074">
        <v>204.6</v>
      </c>
      <c r="BO4074">
        <v>204.6</v>
      </c>
      <c r="BQ4074" t="s">
        <v>1155</v>
      </c>
      <c r="BR4074" t="s">
        <v>84</v>
      </c>
      <c r="BS4074" s="3">
        <v>45866</v>
      </c>
      <c r="BT4074" s="4">
        <v>0.46875</v>
      </c>
      <c r="BU4074" t="s">
        <v>1156</v>
      </c>
      <c r="BV4074" t="s">
        <v>86</v>
      </c>
      <c r="BY4074">
        <v>9576</v>
      </c>
      <c r="CA4074" t="s">
        <v>1157</v>
      </c>
      <c r="CC4074" t="s">
        <v>306</v>
      </c>
      <c r="CD4074">
        <v>5200</v>
      </c>
      <c r="CE4074" t="s">
        <v>145</v>
      </c>
      <c r="CF4074" s="3">
        <v>45867</v>
      </c>
      <c r="CI4074">
        <v>1</v>
      </c>
      <c r="CJ4074">
        <v>1</v>
      </c>
      <c r="CK4074">
        <v>21</v>
      </c>
      <c r="CL4074" t="s">
        <v>86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"080066799565"</f>
        <v>080066799565</v>
      </c>
      <c r="F4075" s="3">
        <v>45863</v>
      </c>
      <c r="G4075">
        <v>202604</v>
      </c>
      <c r="H4075" t="s">
        <v>75</v>
      </c>
      <c r="I4075" t="s">
        <v>76</v>
      </c>
      <c r="J4075" t="s">
        <v>77</v>
      </c>
      <c r="K4075" t="s">
        <v>78</v>
      </c>
      <c r="L4075" t="s">
        <v>79</v>
      </c>
      <c r="M4075" t="s">
        <v>80</v>
      </c>
      <c r="N4075" t="s">
        <v>1816</v>
      </c>
      <c r="O4075" t="s">
        <v>82</v>
      </c>
      <c r="P4075" t="str">
        <f>"4170051297                    "</f>
        <v xml:space="preserve">4170051297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22.6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1.1000000000000001</v>
      </c>
      <c r="BK4075">
        <v>1.5</v>
      </c>
      <c r="BL4075">
        <v>71.2</v>
      </c>
      <c r="BM4075">
        <v>10.68</v>
      </c>
      <c r="BN4075">
        <v>81.88</v>
      </c>
      <c r="BO4075">
        <v>81.88</v>
      </c>
      <c r="BQ4075" t="s">
        <v>1817</v>
      </c>
      <c r="BR4075" t="s">
        <v>84</v>
      </c>
      <c r="BS4075" s="3">
        <v>45866</v>
      </c>
      <c r="BT4075" s="4">
        <v>0.64722222222222225</v>
      </c>
      <c r="BU4075" t="s">
        <v>1419</v>
      </c>
      <c r="BV4075" t="s">
        <v>86</v>
      </c>
      <c r="BW4075" t="s">
        <v>87</v>
      </c>
      <c r="BX4075" t="s">
        <v>88</v>
      </c>
      <c r="BY4075">
        <v>5320</v>
      </c>
      <c r="CA4075" t="s">
        <v>90</v>
      </c>
      <c r="CC4075" t="s">
        <v>80</v>
      </c>
      <c r="CD4075">
        <v>7550</v>
      </c>
      <c r="CE4075" t="s">
        <v>145</v>
      </c>
      <c r="CF4075" s="3">
        <v>45867</v>
      </c>
      <c r="CI4075">
        <v>1</v>
      </c>
      <c r="CJ4075">
        <v>1</v>
      </c>
      <c r="CK4075">
        <v>21</v>
      </c>
      <c r="CL4075" t="s">
        <v>86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"080066799617"</f>
        <v>080066799617</v>
      </c>
      <c r="F4076" s="3">
        <v>45863</v>
      </c>
      <c r="G4076">
        <v>202604</v>
      </c>
      <c r="H4076" t="s">
        <v>75</v>
      </c>
      <c r="I4076" t="s">
        <v>76</v>
      </c>
      <c r="J4076" t="s">
        <v>77</v>
      </c>
      <c r="K4076" t="s">
        <v>78</v>
      </c>
      <c r="L4076" t="s">
        <v>542</v>
      </c>
      <c r="M4076" t="s">
        <v>543</v>
      </c>
      <c r="N4076" t="s">
        <v>352</v>
      </c>
      <c r="O4076" t="s">
        <v>82</v>
      </c>
      <c r="P4076" t="str">
        <f>"4170051247                    "</f>
        <v xml:space="preserve">4170051247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17.649999999999999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4</v>
      </c>
      <c r="BJ4076">
        <v>2</v>
      </c>
      <c r="BK4076">
        <v>4</v>
      </c>
      <c r="BL4076">
        <v>55.61</v>
      </c>
      <c r="BM4076">
        <v>8.34</v>
      </c>
      <c r="BN4076">
        <v>63.95</v>
      </c>
      <c r="BO4076">
        <v>63.95</v>
      </c>
      <c r="BQ4076" t="s">
        <v>353</v>
      </c>
      <c r="BR4076" t="s">
        <v>84</v>
      </c>
      <c r="BS4076" s="3">
        <v>45866</v>
      </c>
      <c r="BT4076" s="4">
        <v>0.40833333333333333</v>
      </c>
      <c r="BU4076" t="s">
        <v>2747</v>
      </c>
      <c r="BV4076" t="s">
        <v>98</v>
      </c>
      <c r="BY4076">
        <v>9918</v>
      </c>
      <c r="CC4076" t="s">
        <v>543</v>
      </c>
      <c r="CD4076">
        <v>1451</v>
      </c>
      <c r="CE4076" t="s">
        <v>145</v>
      </c>
      <c r="CF4076" s="3">
        <v>45866</v>
      </c>
      <c r="CI4076">
        <v>1</v>
      </c>
      <c r="CJ4076">
        <v>1</v>
      </c>
      <c r="CK4076">
        <v>22</v>
      </c>
      <c r="CL4076" t="s">
        <v>86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"080066799620"</f>
        <v>080066799620</v>
      </c>
      <c r="F4077" s="3">
        <v>45863</v>
      </c>
      <c r="G4077">
        <v>202604</v>
      </c>
      <c r="H4077" t="s">
        <v>75</v>
      </c>
      <c r="I4077" t="s">
        <v>76</v>
      </c>
      <c r="J4077" t="s">
        <v>77</v>
      </c>
      <c r="K4077" t="s">
        <v>78</v>
      </c>
      <c r="L4077" t="s">
        <v>151</v>
      </c>
      <c r="M4077" t="s">
        <v>152</v>
      </c>
      <c r="N4077" t="s">
        <v>515</v>
      </c>
      <c r="O4077" t="s">
        <v>82</v>
      </c>
      <c r="P4077" t="str">
        <f>"4170051303                    "</f>
        <v xml:space="preserve">4170051303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22.6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1.1000000000000001</v>
      </c>
      <c r="BK4077">
        <v>1.5</v>
      </c>
      <c r="BL4077">
        <v>71.2</v>
      </c>
      <c r="BM4077">
        <v>10.68</v>
      </c>
      <c r="BN4077">
        <v>81.88</v>
      </c>
      <c r="BO4077">
        <v>81.88</v>
      </c>
      <c r="BQ4077" t="s">
        <v>516</v>
      </c>
      <c r="BR4077" t="s">
        <v>84</v>
      </c>
      <c r="BS4077" s="3">
        <v>45866</v>
      </c>
      <c r="BT4077" s="4">
        <v>0.43472222222222223</v>
      </c>
      <c r="BU4077" t="s">
        <v>3207</v>
      </c>
      <c r="BV4077" t="s">
        <v>98</v>
      </c>
      <c r="BY4077">
        <v>5320</v>
      </c>
      <c r="CA4077" t="s">
        <v>3612</v>
      </c>
      <c r="CC4077" t="s">
        <v>152</v>
      </c>
      <c r="CD4077" s="5" t="s">
        <v>157</v>
      </c>
      <c r="CE4077" t="s">
        <v>145</v>
      </c>
      <c r="CF4077" s="3">
        <v>45866</v>
      </c>
      <c r="CI4077">
        <v>1</v>
      </c>
      <c r="CJ4077">
        <v>1</v>
      </c>
      <c r="CK4077">
        <v>21</v>
      </c>
      <c r="CL4077" t="s">
        <v>86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"080066799682"</f>
        <v>080066799682</v>
      </c>
      <c r="F4078" s="3">
        <v>45863</v>
      </c>
      <c r="G4078">
        <v>202604</v>
      </c>
      <c r="H4078" t="s">
        <v>75</v>
      </c>
      <c r="I4078" t="s">
        <v>76</v>
      </c>
      <c r="J4078" t="s">
        <v>77</v>
      </c>
      <c r="K4078" t="s">
        <v>78</v>
      </c>
      <c r="L4078" t="s">
        <v>151</v>
      </c>
      <c r="M4078" t="s">
        <v>152</v>
      </c>
      <c r="N4078" t="s">
        <v>510</v>
      </c>
      <c r="O4078" t="s">
        <v>82</v>
      </c>
      <c r="P4078" t="str">
        <f>"4170051267                    "</f>
        <v xml:space="preserve">4170051267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22.6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71.2</v>
      </c>
      <c r="BM4078">
        <v>10.68</v>
      </c>
      <c r="BN4078">
        <v>81.88</v>
      </c>
      <c r="BO4078">
        <v>81.88</v>
      </c>
      <c r="BQ4078" t="s">
        <v>511</v>
      </c>
      <c r="BR4078" t="s">
        <v>84</v>
      </c>
      <c r="BS4078" s="3">
        <v>45866</v>
      </c>
      <c r="BT4078" s="4">
        <v>0.37083333333333335</v>
      </c>
      <c r="BU4078" t="s">
        <v>3646</v>
      </c>
      <c r="BV4078" t="s">
        <v>98</v>
      </c>
      <c r="BY4078">
        <v>1200</v>
      </c>
      <c r="CA4078" t="s">
        <v>513</v>
      </c>
      <c r="CC4078" t="s">
        <v>152</v>
      </c>
      <c r="CD4078" s="5" t="s">
        <v>514</v>
      </c>
      <c r="CE4078" t="s">
        <v>121</v>
      </c>
      <c r="CF4078" s="3">
        <v>45866</v>
      </c>
      <c r="CI4078">
        <v>1</v>
      </c>
      <c r="CJ4078">
        <v>1</v>
      </c>
      <c r="CK4078">
        <v>21</v>
      </c>
      <c r="CL4078" t="s">
        <v>86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"080066799694"</f>
        <v>080066799694</v>
      </c>
      <c r="F4079" s="3">
        <v>45863</v>
      </c>
      <c r="G4079">
        <v>202604</v>
      </c>
      <c r="H4079" t="s">
        <v>75</v>
      </c>
      <c r="I4079" t="s">
        <v>76</v>
      </c>
      <c r="J4079" t="s">
        <v>77</v>
      </c>
      <c r="K4079" t="s">
        <v>78</v>
      </c>
      <c r="L4079" t="s">
        <v>240</v>
      </c>
      <c r="M4079" t="s">
        <v>241</v>
      </c>
      <c r="N4079" t="s">
        <v>242</v>
      </c>
      <c r="O4079" t="s">
        <v>82</v>
      </c>
      <c r="P4079" t="str">
        <f>"4170051333                    "</f>
        <v xml:space="preserve">4170051333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17.649999999999999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3.1</v>
      </c>
      <c r="BK4079">
        <v>4</v>
      </c>
      <c r="BL4079">
        <v>55.61</v>
      </c>
      <c r="BM4079">
        <v>8.34</v>
      </c>
      <c r="BN4079">
        <v>63.95</v>
      </c>
      <c r="BO4079">
        <v>63.95</v>
      </c>
      <c r="BQ4079" t="s">
        <v>243</v>
      </c>
      <c r="BR4079" t="s">
        <v>84</v>
      </c>
      <c r="BS4079" s="3">
        <v>45866</v>
      </c>
      <c r="BT4079" s="4">
        <v>0.41666666666666669</v>
      </c>
      <c r="BU4079" t="s">
        <v>3577</v>
      </c>
      <c r="BV4079" t="s">
        <v>98</v>
      </c>
      <c r="BY4079">
        <v>15680</v>
      </c>
      <c r="CC4079" t="s">
        <v>241</v>
      </c>
      <c r="CD4079">
        <v>2091</v>
      </c>
      <c r="CE4079" t="s">
        <v>91</v>
      </c>
      <c r="CF4079" s="3">
        <v>45867</v>
      </c>
      <c r="CI4079">
        <v>1</v>
      </c>
      <c r="CJ4079">
        <v>1</v>
      </c>
      <c r="CK4079">
        <v>22</v>
      </c>
      <c r="CL4079" t="s">
        <v>86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"080066799750"</f>
        <v>080066799750</v>
      </c>
      <c r="F4080" s="3">
        <v>45863</v>
      </c>
      <c r="G4080">
        <v>202604</v>
      </c>
      <c r="H4080" t="s">
        <v>75</v>
      </c>
      <c r="I4080" t="s">
        <v>76</v>
      </c>
      <c r="J4080" t="s">
        <v>77</v>
      </c>
      <c r="K4080" t="s">
        <v>78</v>
      </c>
      <c r="L4080" t="s">
        <v>79</v>
      </c>
      <c r="M4080" t="s">
        <v>80</v>
      </c>
      <c r="N4080" t="s">
        <v>594</v>
      </c>
      <c r="O4080" t="s">
        <v>82</v>
      </c>
      <c r="P4080" t="str">
        <f>"4170051126                    "</f>
        <v xml:space="preserve">4170051126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22.6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71.2</v>
      </c>
      <c r="BM4080">
        <v>10.68</v>
      </c>
      <c r="BN4080">
        <v>81.88</v>
      </c>
      <c r="BO4080">
        <v>81.88</v>
      </c>
      <c r="BQ4080" t="s">
        <v>595</v>
      </c>
      <c r="BR4080" t="s">
        <v>84</v>
      </c>
      <c r="BS4080" s="3">
        <v>45866</v>
      </c>
      <c r="BT4080" s="4">
        <v>0.38263888888888886</v>
      </c>
      <c r="BU4080" t="s">
        <v>596</v>
      </c>
      <c r="BV4080" t="s">
        <v>98</v>
      </c>
      <c r="BY4080">
        <v>1200</v>
      </c>
      <c r="CA4080" t="s">
        <v>579</v>
      </c>
      <c r="CC4080" t="s">
        <v>80</v>
      </c>
      <c r="CD4080">
        <v>7480</v>
      </c>
      <c r="CE4080" t="s">
        <v>121</v>
      </c>
      <c r="CF4080" s="3">
        <v>45867</v>
      </c>
      <c r="CI4080">
        <v>1</v>
      </c>
      <c r="CJ4080">
        <v>1</v>
      </c>
      <c r="CK4080">
        <v>21</v>
      </c>
      <c r="CL4080" t="s">
        <v>86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"080066799792"</f>
        <v>080066799792</v>
      </c>
      <c r="F4081" s="3">
        <v>45863</v>
      </c>
      <c r="G4081">
        <v>202604</v>
      </c>
      <c r="H4081" t="s">
        <v>75</v>
      </c>
      <c r="I4081" t="s">
        <v>76</v>
      </c>
      <c r="J4081" t="s">
        <v>77</v>
      </c>
      <c r="K4081" t="s">
        <v>78</v>
      </c>
      <c r="L4081" t="s">
        <v>240</v>
      </c>
      <c r="M4081" t="s">
        <v>241</v>
      </c>
      <c r="N4081" t="s">
        <v>1808</v>
      </c>
      <c r="O4081" t="s">
        <v>82</v>
      </c>
      <c r="P4081" t="str">
        <f>"4170051245                    "</f>
        <v xml:space="preserve">4170051245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17.649999999999999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55.61</v>
      </c>
      <c r="BM4081">
        <v>8.34</v>
      </c>
      <c r="BN4081">
        <v>63.95</v>
      </c>
      <c r="BO4081">
        <v>63.95</v>
      </c>
      <c r="BQ4081" t="s">
        <v>1809</v>
      </c>
      <c r="BR4081" t="s">
        <v>84</v>
      </c>
      <c r="BS4081" s="3">
        <v>45866</v>
      </c>
      <c r="BT4081" s="4">
        <v>0.35625000000000001</v>
      </c>
      <c r="BU4081" t="s">
        <v>3647</v>
      </c>
      <c r="BV4081" t="s">
        <v>98</v>
      </c>
      <c r="BY4081">
        <v>1200</v>
      </c>
      <c r="CC4081" t="s">
        <v>241</v>
      </c>
      <c r="CD4081">
        <v>2013</v>
      </c>
      <c r="CE4081" t="s">
        <v>121</v>
      </c>
      <c r="CF4081" s="3">
        <v>45867</v>
      </c>
      <c r="CI4081">
        <v>1</v>
      </c>
      <c r="CJ4081">
        <v>1</v>
      </c>
      <c r="CK4081">
        <v>22</v>
      </c>
      <c r="CL4081" t="s">
        <v>86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"080066799826"</f>
        <v>080066799826</v>
      </c>
      <c r="F4082" s="3">
        <v>45863</v>
      </c>
      <c r="G4082">
        <v>202604</v>
      </c>
      <c r="H4082" t="s">
        <v>75</v>
      </c>
      <c r="I4082" t="s">
        <v>76</v>
      </c>
      <c r="J4082" t="s">
        <v>77</v>
      </c>
      <c r="K4082" t="s">
        <v>78</v>
      </c>
      <c r="L4082" t="s">
        <v>554</v>
      </c>
      <c r="M4082" t="s">
        <v>555</v>
      </c>
      <c r="N4082" t="s">
        <v>556</v>
      </c>
      <c r="O4082" t="s">
        <v>82</v>
      </c>
      <c r="P4082" t="str">
        <f>"4170051270                    "</f>
        <v xml:space="preserve">4170051270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22.6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71.2</v>
      </c>
      <c r="BM4082">
        <v>10.68</v>
      </c>
      <c r="BN4082">
        <v>81.88</v>
      </c>
      <c r="BO4082">
        <v>81.88</v>
      </c>
      <c r="BQ4082" t="s">
        <v>557</v>
      </c>
      <c r="BR4082" t="s">
        <v>84</v>
      </c>
      <c r="BS4082" s="3">
        <v>45866</v>
      </c>
      <c r="BT4082" s="4">
        <v>0.39027777777777778</v>
      </c>
      <c r="BU4082" t="s">
        <v>1810</v>
      </c>
      <c r="BV4082" t="s">
        <v>98</v>
      </c>
      <c r="BY4082">
        <v>1200</v>
      </c>
      <c r="CA4082" t="s">
        <v>559</v>
      </c>
      <c r="CC4082" t="s">
        <v>555</v>
      </c>
      <c r="CD4082" s="5" t="s">
        <v>560</v>
      </c>
      <c r="CE4082" t="s">
        <v>121</v>
      </c>
      <c r="CF4082" s="3">
        <v>45866</v>
      </c>
      <c r="CI4082">
        <v>1</v>
      </c>
      <c r="CJ4082">
        <v>1</v>
      </c>
      <c r="CK4082">
        <v>21</v>
      </c>
      <c r="CL4082" t="s">
        <v>86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"080066799876"</f>
        <v>080066799876</v>
      </c>
      <c r="F4083" s="3">
        <v>45863</v>
      </c>
      <c r="G4083">
        <v>202604</v>
      </c>
      <c r="H4083" t="s">
        <v>75</v>
      </c>
      <c r="I4083" t="s">
        <v>76</v>
      </c>
      <c r="J4083" t="s">
        <v>77</v>
      </c>
      <c r="K4083" t="s">
        <v>78</v>
      </c>
      <c r="L4083" t="s">
        <v>168</v>
      </c>
      <c r="M4083" t="s">
        <v>169</v>
      </c>
      <c r="N4083" t="s">
        <v>2157</v>
      </c>
      <c r="O4083" t="s">
        <v>82</v>
      </c>
      <c r="P4083" t="str">
        <f>"4170051275                    "</f>
        <v xml:space="preserve">4170051275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22.6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71.2</v>
      </c>
      <c r="BM4083">
        <v>10.68</v>
      </c>
      <c r="BN4083">
        <v>81.88</v>
      </c>
      <c r="BO4083">
        <v>81.88</v>
      </c>
      <c r="BQ4083" t="s">
        <v>2158</v>
      </c>
      <c r="BR4083" t="s">
        <v>84</v>
      </c>
      <c r="BS4083" s="3">
        <v>45866</v>
      </c>
      <c r="BT4083" s="4">
        <v>0.38263888888888886</v>
      </c>
      <c r="BU4083" t="s">
        <v>470</v>
      </c>
      <c r="BV4083" t="s">
        <v>98</v>
      </c>
      <c r="BY4083">
        <v>1200</v>
      </c>
      <c r="CA4083" t="s">
        <v>415</v>
      </c>
      <c r="CC4083" t="s">
        <v>169</v>
      </c>
      <c r="CD4083">
        <v>6001</v>
      </c>
      <c r="CE4083" t="s">
        <v>121</v>
      </c>
      <c r="CF4083" s="3">
        <v>45866</v>
      </c>
      <c r="CI4083">
        <v>1</v>
      </c>
      <c r="CJ4083">
        <v>1</v>
      </c>
      <c r="CK4083">
        <v>21</v>
      </c>
      <c r="CL4083" t="s">
        <v>86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"080066799920"</f>
        <v>080066799920</v>
      </c>
      <c r="F4084" s="3">
        <v>45863</v>
      </c>
      <c r="G4084">
        <v>202604</v>
      </c>
      <c r="H4084" t="s">
        <v>75</v>
      </c>
      <c r="I4084" t="s">
        <v>76</v>
      </c>
      <c r="J4084" t="s">
        <v>77</v>
      </c>
      <c r="K4084" t="s">
        <v>78</v>
      </c>
      <c r="L4084" t="s">
        <v>542</v>
      </c>
      <c r="M4084" t="s">
        <v>543</v>
      </c>
      <c r="N4084" t="s">
        <v>352</v>
      </c>
      <c r="O4084" t="s">
        <v>82</v>
      </c>
      <c r="P4084" t="str">
        <f>"4170051244                    "</f>
        <v xml:space="preserve">4170051244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17.649999999999999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55.61</v>
      </c>
      <c r="BM4084">
        <v>8.34</v>
      </c>
      <c r="BN4084">
        <v>63.95</v>
      </c>
      <c r="BO4084">
        <v>63.95</v>
      </c>
      <c r="BQ4084" t="s">
        <v>353</v>
      </c>
      <c r="BR4084" t="s">
        <v>84</v>
      </c>
      <c r="BS4084" s="3">
        <v>45866</v>
      </c>
      <c r="BT4084" s="4">
        <v>0.40833333333333333</v>
      </c>
      <c r="BU4084" t="s">
        <v>2747</v>
      </c>
      <c r="BV4084" t="s">
        <v>98</v>
      </c>
      <c r="BY4084">
        <v>1200</v>
      </c>
      <c r="CC4084" t="s">
        <v>543</v>
      </c>
      <c r="CD4084">
        <v>1451</v>
      </c>
      <c r="CE4084" t="s">
        <v>121</v>
      </c>
      <c r="CF4084" s="3">
        <v>45866</v>
      </c>
      <c r="CI4084">
        <v>1</v>
      </c>
      <c r="CJ4084">
        <v>1</v>
      </c>
      <c r="CK4084">
        <v>22</v>
      </c>
      <c r="CL4084" t="s">
        <v>86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"080066799945"</f>
        <v>080066799945</v>
      </c>
      <c r="F4085" s="3">
        <v>45863</v>
      </c>
      <c r="G4085">
        <v>202604</v>
      </c>
      <c r="H4085" t="s">
        <v>75</v>
      </c>
      <c r="I4085" t="s">
        <v>76</v>
      </c>
      <c r="J4085" t="s">
        <v>77</v>
      </c>
      <c r="K4085" t="s">
        <v>78</v>
      </c>
      <c r="L4085" t="s">
        <v>240</v>
      </c>
      <c r="M4085" t="s">
        <v>241</v>
      </c>
      <c r="N4085" t="s">
        <v>242</v>
      </c>
      <c r="O4085" t="s">
        <v>82</v>
      </c>
      <c r="P4085" t="str">
        <f>"4170051272                    "</f>
        <v xml:space="preserve">4170051272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17.649999999999999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55.61</v>
      </c>
      <c r="BM4085">
        <v>8.34</v>
      </c>
      <c r="BN4085">
        <v>63.95</v>
      </c>
      <c r="BO4085">
        <v>63.95</v>
      </c>
      <c r="BQ4085" t="s">
        <v>243</v>
      </c>
      <c r="BR4085" t="s">
        <v>84</v>
      </c>
      <c r="BS4085" s="3">
        <v>45866</v>
      </c>
      <c r="BT4085" s="4">
        <v>0.41666666666666669</v>
      </c>
      <c r="BU4085" t="s">
        <v>3648</v>
      </c>
      <c r="BV4085" t="s">
        <v>98</v>
      </c>
      <c r="BY4085">
        <v>1200</v>
      </c>
      <c r="BZ4085" t="s">
        <v>89</v>
      </c>
      <c r="CC4085" t="s">
        <v>241</v>
      </c>
      <c r="CD4085">
        <v>2091</v>
      </c>
      <c r="CE4085" t="s">
        <v>239</v>
      </c>
      <c r="CF4085" s="3">
        <v>45867</v>
      </c>
      <c r="CI4085">
        <v>1</v>
      </c>
      <c r="CJ4085">
        <v>1</v>
      </c>
      <c r="CK4085">
        <v>22</v>
      </c>
      <c r="CL4085" t="s">
        <v>86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"080066799957"</f>
        <v>080066799957</v>
      </c>
      <c r="F4086" s="3">
        <v>45863</v>
      </c>
      <c r="G4086">
        <v>202604</v>
      </c>
      <c r="H4086" t="s">
        <v>75</v>
      </c>
      <c r="I4086" t="s">
        <v>76</v>
      </c>
      <c r="J4086" t="s">
        <v>77</v>
      </c>
      <c r="K4086" t="s">
        <v>78</v>
      </c>
      <c r="L4086" t="s">
        <v>295</v>
      </c>
      <c r="M4086" t="s">
        <v>296</v>
      </c>
      <c r="N4086" t="s">
        <v>2507</v>
      </c>
      <c r="O4086" t="s">
        <v>82</v>
      </c>
      <c r="P4086" t="str">
        <f>"4170051246                    "</f>
        <v xml:space="preserve">4170051246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17.649999999999999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55.61</v>
      </c>
      <c r="BM4086">
        <v>8.34</v>
      </c>
      <c r="BN4086">
        <v>63.95</v>
      </c>
      <c r="BO4086">
        <v>63.95</v>
      </c>
      <c r="BQ4086" t="s">
        <v>2508</v>
      </c>
      <c r="BR4086" t="s">
        <v>84</v>
      </c>
      <c r="BS4086" s="3">
        <v>45866</v>
      </c>
      <c r="BT4086" s="4">
        <v>0.31388888888888888</v>
      </c>
      <c r="BU4086" t="s">
        <v>3649</v>
      </c>
      <c r="BV4086" t="s">
        <v>98</v>
      </c>
      <c r="BY4086">
        <v>1200</v>
      </c>
      <c r="BZ4086" t="s">
        <v>89</v>
      </c>
      <c r="CC4086" t="s">
        <v>296</v>
      </c>
      <c r="CD4086">
        <v>1459</v>
      </c>
      <c r="CE4086" t="s">
        <v>239</v>
      </c>
      <c r="CF4086" s="3">
        <v>45866</v>
      </c>
      <c r="CI4086">
        <v>1</v>
      </c>
      <c r="CJ4086">
        <v>1</v>
      </c>
      <c r="CK4086">
        <v>22</v>
      </c>
      <c r="CL4086" t="s">
        <v>86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"080066799974"</f>
        <v>080066799974</v>
      </c>
      <c r="F4087" s="3">
        <v>45863</v>
      </c>
      <c r="G4087">
        <v>202604</v>
      </c>
      <c r="H4087" t="s">
        <v>75</v>
      </c>
      <c r="I4087" t="s">
        <v>76</v>
      </c>
      <c r="J4087" t="s">
        <v>77</v>
      </c>
      <c r="K4087" t="s">
        <v>78</v>
      </c>
      <c r="L4087" t="s">
        <v>122</v>
      </c>
      <c r="M4087" t="s">
        <v>123</v>
      </c>
      <c r="N4087" t="s">
        <v>2340</v>
      </c>
      <c r="O4087" t="s">
        <v>82</v>
      </c>
      <c r="P4087" t="str">
        <f>"4170051155                    "</f>
        <v xml:space="preserve">4170051155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22.6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71.2</v>
      </c>
      <c r="BM4087">
        <v>10.68</v>
      </c>
      <c r="BN4087">
        <v>81.88</v>
      </c>
      <c r="BO4087">
        <v>81.88</v>
      </c>
      <c r="BQ4087" t="s">
        <v>2341</v>
      </c>
      <c r="BR4087" t="s">
        <v>84</v>
      </c>
      <c r="BS4087" s="3">
        <v>45866</v>
      </c>
      <c r="BT4087" s="4">
        <v>0.36180555555555555</v>
      </c>
      <c r="BU4087" t="s">
        <v>2230</v>
      </c>
      <c r="BV4087" t="s">
        <v>98</v>
      </c>
      <c r="BY4087">
        <v>1200</v>
      </c>
      <c r="BZ4087" t="s">
        <v>89</v>
      </c>
      <c r="CA4087" t="s">
        <v>187</v>
      </c>
      <c r="CC4087" t="s">
        <v>123</v>
      </c>
      <c r="CD4087">
        <v>3610</v>
      </c>
      <c r="CE4087" t="s">
        <v>239</v>
      </c>
      <c r="CF4087" s="3">
        <v>45866</v>
      </c>
      <c r="CI4087">
        <v>1</v>
      </c>
      <c r="CJ4087">
        <v>1</v>
      </c>
      <c r="CK4087">
        <v>21</v>
      </c>
      <c r="CL4087" t="s">
        <v>86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"080066799991"</f>
        <v>080066799991</v>
      </c>
      <c r="F4088" s="3">
        <v>45863</v>
      </c>
      <c r="G4088">
        <v>202604</v>
      </c>
      <c r="H4088" t="s">
        <v>75</v>
      </c>
      <c r="I4088" t="s">
        <v>76</v>
      </c>
      <c r="J4088" t="s">
        <v>77</v>
      </c>
      <c r="K4088" t="s">
        <v>78</v>
      </c>
      <c r="L4088" t="s">
        <v>75</v>
      </c>
      <c r="M4088" t="s">
        <v>76</v>
      </c>
      <c r="N4088" t="s">
        <v>1525</v>
      </c>
      <c r="O4088" t="s">
        <v>82</v>
      </c>
      <c r="P4088" t="str">
        <f>"4170051274                    "</f>
        <v xml:space="preserve">4170051274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17.649999999999999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55.61</v>
      </c>
      <c r="BM4088">
        <v>8.34</v>
      </c>
      <c r="BN4088">
        <v>63.95</v>
      </c>
      <c r="BO4088">
        <v>63.95</v>
      </c>
      <c r="BQ4088" t="s">
        <v>1526</v>
      </c>
      <c r="BR4088" t="s">
        <v>84</v>
      </c>
      <c r="BS4088" s="3">
        <v>45866</v>
      </c>
      <c r="BT4088" s="4">
        <v>0.4375</v>
      </c>
      <c r="BU4088" t="s">
        <v>3650</v>
      </c>
      <c r="BV4088" t="s">
        <v>98</v>
      </c>
      <c r="BY4088">
        <v>1200</v>
      </c>
      <c r="BZ4088" t="s">
        <v>89</v>
      </c>
      <c r="CC4088" t="s">
        <v>76</v>
      </c>
      <c r="CD4088">
        <v>1614</v>
      </c>
      <c r="CE4088" t="s">
        <v>239</v>
      </c>
      <c r="CF4088" s="3">
        <v>45867</v>
      </c>
      <c r="CI4088">
        <v>1</v>
      </c>
      <c r="CJ4088">
        <v>1</v>
      </c>
      <c r="CK4088">
        <v>22</v>
      </c>
      <c r="CL4088" t="s">
        <v>86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"080066800018"</f>
        <v>080066800018</v>
      </c>
      <c r="F4089" s="3">
        <v>45863</v>
      </c>
      <c r="G4089">
        <v>202604</v>
      </c>
      <c r="H4089" t="s">
        <v>75</v>
      </c>
      <c r="I4089" t="s">
        <v>76</v>
      </c>
      <c r="J4089" t="s">
        <v>77</v>
      </c>
      <c r="K4089" t="s">
        <v>78</v>
      </c>
      <c r="L4089" t="s">
        <v>1370</v>
      </c>
      <c r="M4089" t="s">
        <v>1371</v>
      </c>
      <c r="N4089" t="s">
        <v>2067</v>
      </c>
      <c r="O4089" t="s">
        <v>82</v>
      </c>
      <c r="P4089" t="str">
        <f>"4170051256                    "</f>
        <v xml:space="preserve">4170051256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43.78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137.94</v>
      </c>
      <c r="BM4089">
        <v>20.69</v>
      </c>
      <c r="BN4089">
        <v>158.63</v>
      </c>
      <c r="BO4089">
        <v>158.63</v>
      </c>
      <c r="BQ4089" t="s">
        <v>2068</v>
      </c>
      <c r="BR4089" t="s">
        <v>84</v>
      </c>
      <c r="BS4089" s="3">
        <v>45866</v>
      </c>
      <c r="BT4089" s="4">
        <v>0.42986111111111114</v>
      </c>
      <c r="BU4089" t="s">
        <v>2069</v>
      </c>
      <c r="BV4089" t="s">
        <v>98</v>
      </c>
      <c r="BY4089">
        <v>1200</v>
      </c>
      <c r="CA4089" t="s">
        <v>1375</v>
      </c>
      <c r="CC4089" t="s">
        <v>1371</v>
      </c>
      <c r="CD4089" s="5" t="s">
        <v>1376</v>
      </c>
      <c r="CE4089" t="s">
        <v>121</v>
      </c>
      <c r="CF4089" s="3">
        <v>45867</v>
      </c>
      <c r="CI4089">
        <v>1</v>
      </c>
      <c r="CJ4089">
        <v>1</v>
      </c>
      <c r="CK4089">
        <v>23</v>
      </c>
      <c r="CL4089" t="s">
        <v>86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"080066800063"</f>
        <v>080066800063</v>
      </c>
      <c r="F4090" s="3">
        <v>45863</v>
      </c>
      <c r="G4090">
        <v>202604</v>
      </c>
      <c r="H4090" t="s">
        <v>75</v>
      </c>
      <c r="I4090" t="s">
        <v>76</v>
      </c>
      <c r="J4090" t="s">
        <v>77</v>
      </c>
      <c r="K4090" t="s">
        <v>78</v>
      </c>
      <c r="L4090" t="s">
        <v>135</v>
      </c>
      <c r="M4090" t="s">
        <v>136</v>
      </c>
      <c r="N4090" t="s">
        <v>2091</v>
      </c>
      <c r="O4090" t="s">
        <v>82</v>
      </c>
      <c r="P4090" t="str">
        <f>"4170051228                    "</f>
        <v xml:space="preserve">4170051228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22.6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71.2</v>
      </c>
      <c r="BM4090">
        <v>10.68</v>
      </c>
      <c r="BN4090">
        <v>81.88</v>
      </c>
      <c r="BO4090">
        <v>81.88</v>
      </c>
      <c r="BQ4090" t="s">
        <v>2092</v>
      </c>
      <c r="BR4090" t="s">
        <v>84</v>
      </c>
      <c r="BS4090" s="3">
        <v>45866</v>
      </c>
      <c r="BT4090" s="4">
        <v>0.41666666666666669</v>
      </c>
      <c r="BU4090" t="s">
        <v>3651</v>
      </c>
      <c r="BV4090" t="s">
        <v>98</v>
      </c>
      <c r="BY4090">
        <v>1200</v>
      </c>
      <c r="CA4090" t="s">
        <v>349</v>
      </c>
      <c r="CC4090" t="s">
        <v>136</v>
      </c>
      <c r="CD4090">
        <v>3201</v>
      </c>
      <c r="CE4090" t="s">
        <v>121</v>
      </c>
      <c r="CF4090" s="3">
        <v>45866</v>
      </c>
      <c r="CI4090">
        <v>1</v>
      </c>
      <c r="CJ4090">
        <v>1</v>
      </c>
      <c r="CK4090">
        <v>21</v>
      </c>
      <c r="CL4090" t="s">
        <v>86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"080066800065"</f>
        <v>080066800065</v>
      </c>
      <c r="F4091" s="3">
        <v>45863</v>
      </c>
      <c r="G4091">
        <v>202604</v>
      </c>
      <c r="H4091" t="s">
        <v>75</v>
      </c>
      <c r="I4091" t="s">
        <v>76</v>
      </c>
      <c r="J4091" t="s">
        <v>77</v>
      </c>
      <c r="K4091" t="s">
        <v>78</v>
      </c>
      <c r="L4091" t="s">
        <v>1861</v>
      </c>
      <c r="M4091" t="s">
        <v>1862</v>
      </c>
      <c r="N4091" t="s">
        <v>1863</v>
      </c>
      <c r="O4091" t="s">
        <v>82</v>
      </c>
      <c r="P4091" t="str">
        <f>"4170051306                    "</f>
        <v xml:space="preserve">4170051306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43.78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137.94</v>
      </c>
      <c r="BM4091">
        <v>20.69</v>
      </c>
      <c r="BN4091">
        <v>158.63</v>
      </c>
      <c r="BO4091">
        <v>158.63</v>
      </c>
      <c r="BQ4091" t="s">
        <v>1864</v>
      </c>
      <c r="BR4091" t="s">
        <v>84</v>
      </c>
      <c r="BS4091" s="3">
        <v>45866</v>
      </c>
      <c r="BT4091" s="4">
        <v>0.59791666666666665</v>
      </c>
      <c r="BU4091" t="s">
        <v>3419</v>
      </c>
      <c r="BV4091" t="s">
        <v>98</v>
      </c>
      <c r="BY4091">
        <v>1200</v>
      </c>
      <c r="CA4091" t="s">
        <v>1866</v>
      </c>
      <c r="CC4091" t="s">
        <v>1862</v>
      </c>
      <c r="CD4091">
        <v>6500</v>
      </c>
      <c r="CE4091" t="s">
        <v>121</v>
      </c>
      <c r="CF4091" s="3">
        <v>45867</v>
      </c>
      <c r="CI4091">
        <v>1</v>
      </c>
      <c r="CJ4091">
        <v>1</v>
      </c>
      <c r="CK4091">
        <v>23</v>
      </c>
      <c r="CL4091" t="s">
        <v>86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"080066800103"</f>
        <v>080066800103</v>
      </c>
      <c r="F4092" s="3">
        <v>45863</v>
      </c>
      <c r="G4092">
        <v>202604</v>
      </c>
      <c r="H4092" t="s">
        <v>75</v>
      </c>
      <c r="I4092" t="s">
        <v>76</v>
      </c>
      <c r="J4092" t="s">
        <v>77</v>
      </c>
      <c r="K4092" t="s">
        <v>78</v>
      </c>
      <c r="L4092" t="s">
        <v>92</v>
      </c>
      <c r="M4092" t="s">
        <v>93</v>
      </c>
      <c r="N4092" t="s">
        <v>291</v>
      </c>
      <c r="O4092" t="s">
        <v>82</v>
      </c>
      <c r="P4092" t="str">
        <f>"4170051344                    "</f>
        <v xml:space="preserve">4170051344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22.6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71.2</v>
      </c>
      <c r="BM4092">
        <v>10.68</v>
      </c>
      <c r="BN4092">
        <v>81.88</v>
      </c>
      <c r="BO4092">
        <v>81.88</v>
      </c>
      <c r="BQ4092" t="s">
        <v>292</v>
      </c>
      <c r="BR4092" t="s">
        <v>84</v>
      </c>
      <c r="BS4092" s="3">
        <v>45866</v>
      </c>
      <c r="BT4092" s="4">
        <v>0.32777777777777778</v>
      </c>
      <c r="BU4092" t="s">
        <v>971</v>
      </c>
      <c r="BV4092" t="s">
        <v>98</v>
      </c>
      <c r="BY4092">
        <v>1200</v>
      </c>
      <c r="CA4092" t="s">
        <v>294</v>
      </c>
      <c r="CC4092" t="s">
        <v>93</v>
      </c>
      <c r="CD4092">
        <v>4000</v>
      </c>
      <c r="CE4092" t="s">
        <v>121</v>
      </c>
      <c r="CF4092" s="3">
        <v>45866</v>
      </c>
      <c r="CI4092">
        <v>1</v>
      </c>
      <c r="CJ4092">
        <v>1</v>
      </c>
      <c r="CK4092">
        <v>21</v>
      </c>
      <c r="CL4092" t="s">
        <v>86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"080066800111"</f>
        <v>080066800111</v>
      </c>
      <c r="F4093" s="3">
        <v>45863</v>
      </c>
      <c r="G4093">
        <v>202604</v>
      </c>
      <c r="H4093" t="s">
        <v>75</v>
      </c>
      <c r="I4093" t="s">
        <v>76</v>
      </c>
      <c r="J4093" t="s">
        <v>77</v>
      </c>
      <c r="K4093" t="s">
        <v>78</v>
      </c>
      <c r="L4093" t="s">
        <v>1651</v>
      </c>
      <c r="M4093" t="s">
        <v>1652</v>
      </c>
      <c r="N4093" t="s">
        <v>1653</v>
      </c>
      <c r="O4093" t="s">
        <v>82</v>
      </c>
      <c r="P4093" t="str">
        <f>"4170051296                    "</f>
        <v xml:space="preserve">4170051296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43.78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>
        <v>137.94</v>
      </c>
      <c r="BM4093">
        <v>20.69</v>
      </c>
      <c r="BN4093">
        <v>158.63</v>
      </c>
      <c r="BO4093">
        <v>158.63</v>
      </c>
      <c r="BQ4093" t="s">
        <v>1654</v>
      </c>
      <c r="BR4093" t="s">
        <v>84</v>
      </c>
      <c r="BS4093" s="3">
        <v>45866</v>
      </c>
      <c r="BT4093" s="4">
        <v>0.49236111111111114</v>
      </c>
      <c r="BU4093" t="s">
        <v>1655</v>
      </c>
      <c r="BV4093" t="s">
        <v>98</v>
      </c>
      <c r="BY4093">
        <v>1200</v>
      </c>
      <c r="CA4093" t="s">
        <v>1656</v>
      </c>
      <c r="CC4093" t="s">
        <v>1652</v>
      </c>
      <c r="CD4093">
        <v>6715</v>
      </c>
      <c r="CE4093" t="s">
        <v>121</v>
      </c>
      <c r="CF4093" s="3">
        <v>45867</v>
      </c>
      <c r="CI4093">
        <v>2</v>
      </c>
      <c r="CJ4093">
        <v>1</v>
      </c>
      <c r="CK4093">
        <v>23</v>
      </c>
      <c r="CL4093" t="s">
        <v>86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"080066800126"</f>
        <v>080066800126</v>
      </c>
      <c r="F4094" s="3">
        <v>45863</v>
      </c>
      <c r="G4094">
        <v>202604</v>
      </c>
      <c r="H4094" t="s">
        <v>75</v>
      </c>
      <c r="I4094" t="s">
        <v>76</v>
      </c>
      <c r="J4094" t="s">
        <v>77</v>
      </c>
      <c r="K4094" t="s">
        <v>78</v>
      </c>
      <c r="L4094" t="s">
        <v>151</v>
      </c>
      <c r="M4094" t="s">
        <v>152</v>
      </c>
      <c r="N4094" t="s">
        <v>3652</v>
      </c>
      <c r="O4094" t="s">
        <v>82</v>
      </c>
      <c r="P4094" t="str">
        <f>"4170051216                    "</f>
        <v xml:space="preserve">4170051216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22.6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>
        <v>71.2</v>
      </c>
      <c r="BM4094">
        <v>10.68</v>
      </c>
      <c r="BN4094">
        <v>81.88</v>
      </c>
      <c r="BO4094">
        <v>81.88</v>
      </c>
      <c r="BQ4094" t="s">
        <v>3653</v>
      </c>
      <c r="BR4094" t="s">
        <v>84</v>
      </c>
      <c r="BS4094" s="3">
        <v>45866</v>
      </c>
      <c r="BT4094" s="4">
        <v>0.39097222222222222</v>
      </c>
      <c r="BU4094" t="s">
        <v>3654</v>
      </c>
      <c r="BV4094" t="s">
        <v>98</v>
      </c>
      <c r="BY4094">
        <v>1200</v>
      </c>
      <c r="CA4094" t="s">
        <v>559</v>
      </c>
      <c r="CC4094" t="s">
        <v>152</v>
      </c>
      <c r="CD4094" s="5" t="s">
        <v>3655</v>
      </c>
      <c r="CE4094" t="s">
        <v>121</v>
      </c>
      <c r="CF4094" s="3">
        <v>45866</v>
      </c>
      <c r="CI4094">
        <v>1</v>
      </c>
      <c r="CJ4094">
        <v>1</v>
      </c>
      <c r="CK4094">
        <v>21</v>
      </c>
      <c r="CL4094" t="s">
        <v>86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"080066800128"</f>
        <v>080066800128</v>
      </c>
      <c r="F4095" s="3">
        <v>45863</v>
      </c>
      <c r="G4095">
        <v>202604</v>
      </c>
      <c r="H4095" t="s">
        <v>75</v>
      </c>
      <c r="I4095" t="s">
        <v>76</v>
      </c>
      <c r="J4095" t="s">
        <v>77</v>
      </c>
      <c r="K4095" t="s">
        <v>78</v>
      </c>
      <c r="L4095" t="s">
        <v>168</v>
      </c>
      <c r="M4095" t="s">
        <v>169</v>
      </c>
      <c r="N4095" t="s">
        <v>924</v>
      </c>
      <c r="O4095" t="s">
        <v>82</v>
      </c>
      <c r="P4095" t="str">
        <f>"4170051316                    "</f>
        <v xml:space="preserve">4170051316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22.6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0.2</v>
      </c>
      <c r="BK4095">
        <v>1</v>
      </c>
      <c r="BL4095">
        <v>71.2</v>
      </c>
      <c r="BM4095">
        <v>10.68</v>
      </c>
      <c r="BN4095">
        <v>81.88</v>
      </c>
      <c r="BO4095">
        <v>81.88</v>
      </c>
      <c r="BQ4095" t="s">
        <v>925</v>
      </c>
      <c r="BR4095" t="s">
        <v>84</v>
      </c>
      <c r="BS4095" s="3">
        <v>45866</v>
      </c>
      <c r="BT4095" s="4">
        <v>0.4201388888888889</v>
      </c>
      <c r="BU4095" t="s">
        <v>3656</v>
      </c>
      <c r="BV4095" t="s">
        <v>98</v>
      </c>
      <c r="BY4095">
        <v>1200</v>
      </c>
      <c r="CA4095" t="s">
        <v>196</v>
      </c>
      <c r="CC4095" t="s">
        <v>169</v>
      </c>
      <c r="CD4095">
        <v>6056</v>
      </c>
      <c r="CE4095" t="s">
        <v>121</v>
      </c>
      <c r="CF4095" s="3">
        <v>45866</v>
      </c>
      <c r="CI4095">
        <v>1</v>
      </c>
      <c r="CJ4095">
        <v>1</v>
      </c>
      <c r="CK4095">
        <v>21</v>
      </c>
      <c r="CL4095" t="s">
        <v>86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"080066800145"</f>
        <v>080066800145</v>
      </c>
      <c r="F4096" s="3">
        <v>45863</v>
      </c>
      <c r="G4096">
        <v>202604</v>
      </c>
      <c r="H4096" t="s">
        <v>75</v>
      </c>
      <c r="I4096" t="s">
        <v>76</v>
      </c>
      <c r="J4096" t="s">
        <v>77</v>
      </c>
      <c r="K4096" t="s">
        <v>78</v>
      </c>
      <c r="L4096" t="s">
        <v>240</v>
      </c>
      <c r="M4096" t="s">
        <v>241</v>
      </c>
      <c r="N4096" t="s">
        <v>447</v>
      </c>
      <c r="O4096" t="s">
        <v>82</v>
      </c>
      <c r="P4096" t="str">
        <f>"4170051132                    "</f>
        <v xml:space="preserve">4170051132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17.649999999999999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55.61</v>
      </c>
      <c r="BM4096">
        <v>8.34</v>
      </c>
      <c r="BN4096">
        <v>63.95</v>
      </c>
      <c r="BO4096">
        <v>63.95</v>
      </c>
      <c r="BQ4096" t="s">
        <v>448</v>
      </c>
      <c r="BR4096" t="s">
        <v>84</v>
      </c>
      <c r="BS4096" s="3">
        <v>45866</v>
      </c>
      <c r="BT4096" s="4">
        <v>0.38055555555555554</v>
      </c>
      <c r="BU4096" t="s">
        <v>3657</v>
      </c>
      <c r="BV4096" t="s">
        <v>98</v>
      </c>
      <c r="BY4096">
        <v>1200</v>
      </c>
      <c r="CC4096" t="s">
        <v>241</v>
      </c>
      <c r="CD4096">
        <v>2094</v>
      </c>
      <c r="CE4096" t="s">
        <v>121</v>
      </c>
      <c r="CF4096" s="3">
        <v>45866</v>
      </c>
      <c r="CI4096">
        <v>1</v>
      </c>
      <c r="CJ4096">
        <v>1</v>
      </c>
      <c r="CK4096">
        <v>22</v>
      </c>
      <c r="CL4096" t="s">
        <v>86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"080066800160"</f>
        <v>080066800160</v>
      </c>
      <c r="F4097" s="3">
        <v>45863</v>
      </c>
      <c r="G4097">
        <v>202604</v>
      </c>
      <c r="H4097" t="s">
        <v>75</v>
      </c>
      <c r="I4097" t="s">
        <v>76</v>
      </c>
      <c r="J4097" t="s">
        <v>77</v>
      </c>
      <c r="K4097" t="s">
        <v>78</v>
      </c>
      <c r="L4097" t="s">
        <v>240</v>
      </c>
      <c r="M4097" t="s">
        <v>241</v>
      </c>
      <c r="N4097" t="s">
        <v>3658</v>
      </c>
      <c r="O4097" t="s">
        <v>82</v>
      </c>
      <c r="P4097" t="str">
        <f>"4170051356                    "</f>
        <v xml:space="preserve">4170051356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17.649999999999999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>
        <v>55.61</v>
      </c>
      <c r="BM4097">
        <v>8.34</v>
      </c>
      <c r="BN4097">
        <v>63.95</v>
      </c>
      <c r="BO4097">
        <v>63.95</v>
      </c>
      <c r="BQ4097" t="s">
        <v>3659</v>
      </c>
      <c r="BR4097" t="s">
        <v>84</v>
      </c>
      <c r="BS4097" s="3">
        <v>45866</v>
      </c>
      <c r="BT4097" s="4">
        <v>0.3888888888888889</v>
      </c>
      <c r="BU4097" t="s">
        <v>3660</v>
      </c>
      <c r="BV4097" t="s">
        <v>98</v>
      </c>
      <c r="BY4097">
        <v>1200</v>
      </c>
      <c r="CC4097" t="s">
        <v>241</v>
      </c>
      <c r="CD4097">
        <v>2040</v>
      </c>
      <c r="CE4097" t="s">
        <v>121</v>
      </c>
      <c r="CF4097" s="3">
        <v>45867</v>
      </c>
      <c r="CI4097">
        <v>1</v>
      </c>
      <c r="CJ4097">
        <v>1</v>
      </c>
      <c r="CK4097">
        <v>22</v>
      </c>
      <c r="CL4097" t="s">
        <v>86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"080066800171"</f>
        <v>080066800171</v>
      </c>
      <c r="F4098" s="3">
        <v>45863</v>
      </c>
      <c r="G4098">
        <v>202604</v>
      </c>
      <c r="H4098" t="s">
        <v>75</v>
      </c>
      <c r="I4098" t="s">
        <v>76</v>
      </c>
      <c r="J4098" t="s">
        <v>77</v>
      </c>
      <c r="K4098" t="s">
        <v>78</v>
      </c>
      <c r="L4098" t="s">
        <v>122</v>
      </c>
      <c r="M4098" t="s">
        <v>123</v>
      </c>
      <c r="N4098" t="s">
        <v>2340</v>
      </c>
      <c r="O4098" t="s">
        <v>82</v>
      </c>
      <c r="P4098" t="str">
        <f>"4170051161                    "</f>
        <v xml:space="preserve">4170051161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22.6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0.2</v>
      </c>
      <c r="BK4098">
        <v>1</v>
      </c>
      <c r="BL4098">
        <v>71.2</v>
      </c>
      <c r="BM4098">
        <v>10.68</v>
      </c>
      <c r="BN4098">
        <v>81.88</v>
      </c>
      <c r="BO4098">
        <v>81.88</v>
      </c>
      <c r="BQ4098" t="s">
        <v>2341</v>
      </c>
      <c r="BR4098" t="s">
        <v>84</v>
      </c>
      <c r="BS4098" s="3">
        <v>45866</v>
      </c>
      <c r="BT4098" s="4">
        <v>0.36666666666666664</v>
      </c>
      <c r="BU4098" t="s">
        <v>1345</v>
      </c>
      <c r="BV4098" t="s">
        <v>98</v>
      </c>
      <c r="BY4098">
        <v>1200</v>
      </c>
      <c r="CA4098" t="s">
        <v>187</v>
      </c>
      <c r="CC4098" t="s">
        <v>123</v>
      </c>
      <c r="CD4098">
        <v>3610</v>
      </c>
      <c r="CE4098" t="s">
        <v>121</v>
      </c>
      <c r="CF4098" s="3">
        <v>45866</v>
      </c>
      <c r="CI4098">
        <v>1</v>
      </c>
      <c r="CJ4098">
        <v>1</v>
      </c>
      <c r="CK4098">
        <v>21</v>
      </c>
      <c r="CL4098" t="s">
        <v>86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"080066800180"</f>
        <v>080066800180</v>
      </c>
      <c r="F4099" s="3">
        <v>45863</v>
      </c>
      <c r="G4099">
        <v>202604</v>
      </c>
      <c r="H4099" t="s">
        <v>75</v>
      </c>
      <c r="I4099" t="s">
        <v>76</v>
      </c>
      <c r="J4099" t="s">
        <v>77</v>
      </c>
      <c r="K4099" t="s">
        <v>78</v>
      </c>
      <c r="L4099" t="s">
        <v>240</v>
      </c>
      <c r="M4099" t="s">
        <v>241</v>
      </c>
      <c r="N4099" t="s">
        <v>447</v>
      </c>
      <c r="O4099" t="s">
        <v>82</v>
      </c>
      <c r="P4099" t="str">
        <f>"4170051279                    "</f>
        <v xml:space="preserve">4170051279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17.649999999999999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1</v>
      </c>
      <c r="BJ4099">
        <v>0.2</v>
      </c>
      <c r="BK4099">
        <v>1</v>
      </c>
      <c r="BL4099">
        <v>55.61</v>
      </c>
      <c r="BM4099">
        <v>8.34</v>
      </c>
      <c r="BN4099">
        <v>63.95</v>
      </c>
      <c r="BO4099">
        <v>63.95</v>
      </c>
      <c r="BQ4099" t="s">
        <v>448</v>
      </c>
      <c r="BR4099" t="s">
        <v>84</v>
      </c>
      <c r="BS4099" s="3">
        <v>45866</v>
      </c>
      <c r="BT4099" s="4">
        <v>0.375</v>
      </c>
      <c r="BU4099" t="s">
        <v>3661</v>
      </c>
      <c r="BV4099" t="s">
        <v>98</v>
      </c>
      <c r="BY4099">
        <v>1200</v>
      </c>
      <c r="CC4099" t="s">
        <v>241</v>
      </c>
      <c r="CD4099">
        <v>2094</v>
      </c>
      <c r="CE4099" t="s">
        <v>121</v>
      </c>
      <c r="CF4099" s="3">
        <v>45866</v>
      </c>
      <c r="CI4099">
        <v>1</v>
      </c>
      <c r="CJ4099">
        <v>1</v>
      </c>
      <c r="CK4099">
        <v>22</v>
      </c>
      <c r="CL4099" t="s">
        <v>86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"080066800191"</f>
        <v>080066800191</v>
      </c>
      <c r="F4100" s="3">
        <v>45863</v>
      </c>
      <c r="G4100">
        <v>202604</v>
      </c>
      <c r="H4100" t="s">
        <v>75</v>
      </c>
      <c r="I4100" t="s">
        <v>76</v>
      </c>
      <c r="J4100" t="s">
        <v>77</v>
      </c>
      <c r="K4100" t="s">
        <v>78</v>
      </c>
      <c r="L4100" t="s">
        <v>79</v>
      </c>
      <c r="M4100" t="s">
        <v>80</v>
      </c>
      <c r="N4100" t="s">
        <v>141</v>
      </c>
      <c r="O4100" t="s">
        <v>82</v>
      </c>
      <c r="P4100" t="str">
        <f>"4170051290                    "</f>
        <v xml:space="preserve">4170051290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22.6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</v>
      </c>
      <c r="BJ4100">
        <v>0.2</v>
      </c>
      <c r="BK4100">
        <v>1</v>
      </c>
      <c r="BL4100">
        <v>71.2</v>
      </c>
      <c r="BM4100">
        <v>10.68</v>
      </c>
      <c r="BN4100">
        <v>81.88</v>
      </c>
      <c r="BO4100">
        <v>81.88</v>
      </c>
      <c r="BQ4100" t="s">
        <v>142</v>
      </c>
      <c r="BR4100" t="s">
        <v>84</v>
      </c>
      <c r="BS4100" s="3">
        <v>45866</v>
      </c>
      <c r="BT4100" s="4">
        <v>0.41597222222222224</v>
      </c>
      <c r="BU4100" t="s">
        <v>2437</v>
      </c>
      <c r="BV4100" t="s">
        <v>98</v>
      </c>
      <c r="BY4100">
        <v>1200</v>
      </c>
      <c r="CA4100" t="s">
        <v>144</v>
      </c>
      <c r="CC4100" t="s">
        <v>80</v>
      </c>
      <c r="CD4100">
        <v>7441</v>
      </c>
      <c r="CE4100" t="s">
        <v>121</v>
      </c>
      <c r="CF4100" s="3">
        <v>45867</v>
      </c>
      <c r="CI4100">
        <v>1</v>
      </c>
      <c r="CJ4100">
        <v>1</v>
      </c>
      <c r="CK4100">
        <v>21</v>
      </c>
      <c r="CL4100" t="s">
        <v>86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"080066800196"</f>
        <v>080066800196</v>
      </c>
      <c r="F4101" s="3">
        <v>45863</v>
      </c>
      <c r="G4101">
        <v>202604</v>
      </c>
      <c r="H4101" t="s">
        <v>75</v>
      </c>
      <c r="I4101" t="s">
        <v>76</v>
      </c>
      <c r="J4101" t="s">
        <v>77</v>
      </c>
      <c r="K4101" t="s">
        <v>78</v>
      </c>
      <c r="L4101" t="s">
        <v>240</v>
      </c>
      <c r="M4101" t="s">
        <v>241</v>
      </c>
      <c r="N4101" t="s">
        <v>610</v>
      </c>
      <c r="O4101" t="s">
        <v>82</v>
      </c>
      <c r="P4101" t="str">
        <f>"4170051317                    "</f>
        <v xml:space="preserve">4170051317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17.649999999999999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</v>
      </c>
      <c r="BJ4101">
        <v>0.2</v>
      </c>
      <c r="BK4101">
        <v>1</v>
      </c>
      <c r="BL4101">
        <v>55.61</v>
      </c>
      <c r="BM4101">
        <v>8.34</v>
      </c>
      <c r="BN4101">
        <v>63.95</v>
      </c>
      <c r="BO4101">
        <v>63.95</v>
      </c>
      <c r="BQ4101" t="s">
        <v>611</v>
      </c>
      <c r="BR4101" t="s">
        <v>84</v>
      </c>
      <c r="BS4101" s="3">
        <v>45866</v>
      </c>
      <c r="BT4101" s="4">
        <v>0.37083333333333335</v>
      </c>
      <c r="BU4101" t="s">
        <v>3614</v>
      </c>
      <c r="BV4101" t="s">
        <v>98</v>
      </c>
      <c r="BY4101">
        <v>1200</v>
      </c>
      <c r="CC4101" t="s">
        <v>241</v>
      </c>
      <c r="CD4101">
        <v>2197</v>
      </c>
      <c r="CE4101" t="s">
        <v>121</v>
      </c>
      <c r="CF4101" s="3">
        <v>45866</v>
      </c>
      <c r="CI4101">
        <v>1</v>
      </c>
      <c r="CJ4101">
        <v>1</v>
      </c>
      <c r="CK4101">
        <v>22</v>
      </c>
      <c r="CL4101" t="s">
        <v>86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"080066800215"</f>
        <v>080066800215</v>
      </c>
      <c r="F4102" s="3">
        <v>45863</v>
      </c>
      <c r="G4102">
        <v>202604</v>
      </c>
      <c r="H4102" t="s">
        <v>75</v>
      </c>
      <c r="I4102" t="s">
        <v>76</v>
      </c>
      <c r="J4102" t="s">
        <v>77</v>
      </c>
      <c r="K4102" t="s">
        <v>78</v>
      </c>
      <c r="L4102" t="s">
        <v>329</v>
      </c>
      <c r="M4102" t="s">
        <v>330</v>
      </c>
      <c r="N4102" t="s">
        <v>331</v>
      </c>
      <c r="O4102" t="s">
        <v>82</v>
      </c>
      <c r="P4102" t="str">
        <f>"4170051224                    "</f>
        <v xml:space="preserve">4170051224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43.78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1</v>
      </c>
      <c r="BJ4102">
        <v>0.2</v>
      </c>
      <c r="BK4102">
        <v>1</v>
      </c>
      <c r="BL4102">
        <v>137.94</v>
      </c>
      <c r="BM4102">
        <v>20.69</v>
      </c>
      <c r="BN4102">
        <v>158.63</v>
      </c>
      <c r="BO4102">
        <v>158.63</v>
      </c>
      <c r="BQ4102" t="s">
        <v>332</v>
      </c>
      <c r="BR4102" t="s">
        <v>84</v>
      </c>
      <c r="BS4102" s="3">
        <v>45866</v>
      </c>
      <c r="BT4102" s="4">
        <v>0.54374999999999996</v>
      </c>
      <c r="BU4102" t="s">
        <v>2900</v>
      </c>
      <c r="BV4102" t="s">
        <v>98</v>
      </c>
      <c r="BY4102">
        <v>1200</v>
      </c>
      <c r="CA4102" t="s">
        <v>1153</v>
      </c>
      <c r="CC4102" t="s">
        <v>330</v>
      </c>
      <c r="CD4102">
        <v>6300</v>
      </c>
      <c r="CE4102" t="s">
        <v>121</v>
      </c>
      <c r="CF4102" s="3">
        <v>45866</v>
      </c>
      <c r="CI4102">
        <v>2</v>
      </c>
      <c r="CJ4102">
        <v>1</v>
      </c>
      <c r="CK4102">
        <v>23</v>
      </c>
      <c r="CL4102" t="s">
        <v>86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"080066800261"</f>
        <v>080066800261</v>
      </c>
      <c r="F4103" s="3">
        <v>45863</v>
      </c>
      <c r="G4103">
        <v>202604</v>
      </c>
      <c r="H4103" t="s">
        <v>75</v>
      </c>
      <c r="I4103" t="s">
        <v>76</v>
      </c>
      <c r="J4103" t="s">
        <v>77</v>
      </c>
      <c r="K4103" t="s">
        <v>78</v>
      </c>
      <c r="L4103" t="s">
        <v>92</v>
      </c>
      <c r="M4103" t="s">
        <v>93</v>
      </c>
      <c r="N4103" t="s">
        <v>479</v>
      </c>
      <c r="O4103" t="s">
        <v>82</v>
      </c>
      <c r="P4103" t="str">
        <f>"4170051348                    "</f>
        <v xml:space="preserve">4170051348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22.6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0.2</v>
      </c>
      <c r="BK4103">
        <v>1</v>
      </c>
      <c r="BL4103">
        <v>71.2</v>
      </c>
      <c r="BM4103">
        <v>10.68</v>
      </c>
      <c r="BN4103">
        <v>81.88</v>
      </c>
      <c r="BO4103">
        <v>81.88</v>
      </c>
      <c r="BQ4103" t="s">
        <v>480</v>
      </c>
      <c r="BR4103" t="s">
        <v>84</v>
      </c>
      <c r="BS4103" s="3">
        <v>45866</v>
      </c>
      <c r="BT4103" s="4">
        <v>0.35694444444444445</v>
      </c>
      <c r="BU4103" t="s">
        <v>2016</v>
      </c>
      <c r="BV4103" t="s">
        <v>98</v>
      </c>
      <c r="BY4103">
        <v>1200</v>
      </c>
      <c r="CA4103" t="s">
        <v>337</v>
      </c>
      <c r="CC4103" t="s">
        <v>93</v>
      </c>
      <c r="CD4103">
        <v>4052</v>
      </c>
      <c r="CE4103" t="s">
        <v>121</v>
      </c>
      <c r="CF4103" s="3">
        <v>45867</v>
      </c>
      <c r="CI4103">
        <v>1</v>
      </c>
      <c r="CJ4103">
        <v>1</v>
      </c>
      <c r="CK4103">
        <v>21</v>
      </c>
      <c r="CL4103" t="s">
        <v>86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"080066800292"</f>
        <v>080066800292</v>
      </c>
      <c r="F4104" s="3">
        <v>45863</v>
      </c>
      <c r="G4104">
        <v>202604</v>
      </c>
      <c r="H4104" t="s">
        <v>75</v>
      </c>
      <c r="I4104" t="s">
        <v>76</v>
      </c>
      <c r="J4104" t="s">
        <v>77</v>
      </c>
      <c r="K4104" t="s">
        <v>78</v>
      </c>
      <c r="L4104" t="s">
        <v>135</v>
      </c>
      <c r="M4104" t="s">
        <v>136</v>
      </c>
      <c r="N4104" t="s">
        <v>379</v>
      </c>
      <c r="O4104" t="s">
        <v>82</v>
      </c>
      <c r="P4104" t="str">
        <f>"4170051186                    "</f>
        <v xml:space="preserve">4170051186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22.6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71.2</v>
      </c>
      <c r="BM4104">
        <v>10.68</v>
      </c>
      <c r="BN4104">
        <v>81.88</v>
      </c>
      <c r="BO4104">
        <v>81.88</v>
      </c>
      <c r="BQ4104" t="s">
        <v>380</v>
      </c>
      <c r="BR4104" t="s">
        <v>84</v>
      </c>
      <c r="BS4104" s="3">
        <v>45866</v>
      </c>
      <c r="BT4104" s="4">
        <v>0.4375</v>
      </c>
      <c r="BU4104" t="s">
        <v>2019</v>
      </c>
      <c r="BV4104" t="s">
        <v>98</v>
      </c>
      <c r="BY4104">
        <v>1200</v>
      </c>
      <c r="CA4104" t="s">
        <v>382</v>
      </c>
      <c r="CC4104" t="s">
        <v>136</v>
      </c>
      <c r="CD4104">
        <v>3212</v>
      </c>
      <c r="CE4104" t="s">
        <v>121</v>
      </c>
      <c r="CF4104" s="3">
        <v>45866</v>
      </c>
      <c r="CI4104">
        <v>2</v>
      </c>
      <c r="CJ4104">
        <v>1</v>
      </c>
      <c r="CK4104">
        <v>21</v>
      </c>
      <c r="CL4104" t="s">
        <v>86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"080066800307"</f>
        <v>080066800307</v>
      </c>
      <c r="F4105" s="3">
        <v>45863</v>
      </c>
      <c r="G4105">
        <v>202604</v>
      </c>
      <c r="H4105" t="s">
        <v>75</v>
      </c>
      <c r="I4105" t="s">
        <v>76</v>
      </c>
      <c r="J4105" t="s">
        <v>77</v>
      </c>
      <c r="K4105" t="s">
        <v>78</v>
      </c>
      <c r="L4105" t="s">
        <v>168</v>
      </c>
      <c r="M4105" t="s">
        <v>169</v>
      </c>
      <c r="N4105" t="s">
        <v>2450</v>
      </c>
      <c r="O4105" t="s">
        <v>82</v>
      </c>
      <c r="P4105" t="str">
        <f>"4170051257                    "</f>
        <v xml:space="preserve">4170051257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22.6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>
        <v>71.2</v>
      </c>
      <c r="BM4105">
        <v>10.68</v>
      </c>
      <c r="BN4105">
        <v>81.88</v>
      </c>
      <c r="BO4105">
        <v>81.88</v>
      </c>
      <c r="BQ4105" t="s">
        <v>2451</v>
      </c>
      <c r="BR4105" t="s">
        <v>84</v>
      </c>
      <c r="BS4105" s="3">
        <v>45867</v>
      </c>
      <c r="BT4105" s="4">
        <v>0.36041666666666666</v>
      </c>
      <c r="BU4105" t="s">
        <v>3662</v>
      </c>
      <c r="BV4105" t="s">
        <v>86</v>
      </c>
      <c r="BW4105" t="s">
        <v>194</v>
      </c>
      <c r="BX4105" t="s">
        <v>195</v>
      </c>
      <c r="BY4105">
        <v>1200</v>
      </c>
      <c r="CA4105" t="s">
        <v>173</v>
      </c>
      <c r="CC4105" t="s">
        <v>169</v>
      </c>
      <c r="CD4105">
        <v>6001</v>
      </c>
      <c r="CE4105" t="s">
        <v>121</v>
      </c>
      <c r="CF4105" s="3">
        <v>45867</v>
      </c>
      <c r="CI4105">
        <v>1</v>
      </c>
      <c r="CJ4105">
        <v>2</v>
      </c>
      <c r="CK4105">
        <v>21</v>
      </c>
      <c r="CL4105" t="s">
        <v>86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"080066800320"</f>
        <v>080066800320</v>
      </c>
      <c r="F4106" s="3">
        <v>45863</v>
      </c>
      <c r="G4106">
        <v>202604</v>
      </c>
      <c r="H4106" t="s">
        <v>75</v>
      </c>
      <c r="I4106" t="s">
        <v>76</v>
      </c>
      <c r="J4106" t="s">
        <v>77</v>
      </c>
      <c r="K4106" t="s">
        <v>78</v>
      </c>
      <c r="L4106" t="s">
        <v>79</v>
      </c>
      <c r="M4106" t="s">
        <v>80</v>
      </c>
      <c r="N4106" t="s">
        <v>3663</v>
      </c>
      <c r="O4106" t="s">
        <v>82</v>
      </c>
      <c r="P4106" t="str">
        <f>"4170051305                    "</f>
        <v xml:space="preserve">4170051305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22.6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71.2</v>
      </c>
      <c r="BM4106">
        <v>10.68</v>
      </c>
      <c r="BN4106">
        <v>81.88</v>
      </c>
      <c r="BO4106">
        <v>81.88</v>
      </c>
      <c r="BQ4106" t="s">
        <v>3664</v>
      </c>
      <c r="BR4106" t="s">
        <v>84</v>
      </c>
      <c r="BS4106" s="3">
        <v>45866</v>
      </c>
      <c r="BT4106" s="4">
        <v>0.42430555555555555</v>
      </c>
      <c r="BU4106" t="s">
        <v>3665</v>
      </c>
      <c r="BV4106" t="s">
        <v>98</v>
      </c>
      <c r="BY4106">
        <v>1200</v>
      </c>
      <c r="CA4106" t="s">
        <v>658</v>
      </c>
      <c r="CC4106" t="s">
        <v>80</v>
      </c>
      <c r="CD4106">
        <v>7405</v>
      </c>
      <c r="CE4106" t="s">
        <v>121</v>
      </c>
      <c r="CF4106" s="3">
        <v>45867</v>
      </c>
      <c r="CI4106">
        <v>1</v>
      </c>
      <c r="CJ4106">
        <v>1</v>
      </c>
      <c r="CK4106">
        <v>21</v>
      </c>
      <c r="CL4106" t="s">
        <v>86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"080066800343"</f>
        <v>080066800343</v>
      </c>
      <c r="F4107" s="3">
        <v>45863</v>
      </c>
      <c r="G4107">
        <v>202604</v>
      </c>
      <c r="H4107" t="s">
        <v>75</v>
      </c>
      <c r="I4107" t="s">
        <v>76</v>
      </c>
      <c r="J4107" t="s">
        <v>77</v>
      </c>
      <c r="K4107" t="s">
        <v>78</v>
      </c>
      <c r="L4107" t="s">
        <v>92</v>
      </c>
      <c r="M4107" t="s">
        <v>93</v>
      </c>
      <c r="N4107" t="s">
        <v>334</v>
      </c>
      <c r="O4107" t="s">
        <v>82</v>
      </c>
      <c r="P4107" t="str">
        <f>"4170051291                    "</f>
        <v xml:space="preserve">4170051291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22.6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71.2</v>
      </c>
      <c r="BM4107">
        <v>10.68</v>
      </c>
      <c r="BN4107">
        <v>81.88</v>
      </c>
      <c r="BO4107">
        <v>81.88</v>
      </c>
      <c r="BQ4107" t="s">
        <v>335</v>
      </c>
      <c r="BR4107" t="s">
        <v>84</v>
      </c>
      <c r="BS4107" s="3">
        <v>45866</v>
      </c>
      <c r="BT4107" s="4">
        <v>0.38263888888888886</v>
      </c>
      <c r="BU4107" t="s">
        <v>2849</v>
      </c>
      <c r="BV4107" t="s">
        <v>98</v>
      </c>
      <c r="BY4107">
        <v>1200</v>
      </c>
      <c r="CA4107" t="s">
        <v>337</v>
      </c>
      <c r="CC4107" t="s">
        <v>93</v>
      </c>
      <c r="CD4107">
        <v>4052</v>
      </c>
      <c r="CE4107" t="s">
        <v>121</v>
      </c>
      <c r="CF4107" s="3">
        <v>45867</v>
      </c>
      <c r="CI4107">
        <v>1</v>
      </c>
      <c r="CJ4107">
        <v>1</v>
      </c>
      <c r="CK4107">
        <v>21</v>
      </c>
      <c r="CL4107" t="s">
        <v>86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"080066800358"</f>
        <v>080066800358</v>
      </c>
      <c r="F4108" s="3">
        <v>45863</v>
      </c>
      <c r="G4108">
        <v>202604</v>
      </c>
      <c r="H4108" t="s">
        <v>75</v>
      </c>
      <c r="I4108" t="s">
        <v>76</v>
      </c>
      <c r="J4108" t="s">
        <v>77</v>
      </c>
      <c r="K4108" t="s">
        <v>78</v>
      </c>
      <c r="L4108" t="s">
        <v>168</v>
      </c>
      <c r="M4108" t="s">
        <v>169</v>
      </c>
      <c r="N4108" t="s">
        <v>202</v>
      </c>
      <c r="O4108" t="s">
        <v>82</v>
      </c>
      <c r="P4108" t="str">
        <f>"4170051194                    "</f>
        <v xml:space="preserve">4170051194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22.6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71.2</v>
      </c>
      <c r="BM4108">
        <v>10.68</v>
      </c>
      <c r="BN4108">
        <v>81.88</v>
      </c>
      <c r="BO4108">
        <v>81.88</v>
      </c>
      <c r="BQ4108" t="s">
        <v>203</v>
      </c>
      <c r="BR4108" t="s">
        <v>84</v>
      </c>
      <c r="BS4108" s="3">
        <v>45866</v>
      </c>
      <c r="BT4108" s="4">
        <v>0.39861111111111114</v>
      </c>
      <c r="BU4108" t="s">
        <v>1713</v>
      </c>
      <c r="BV4108" t="s">
        <v>98</v>
      </c>
      <c r="BY4108">
        <v>1200</v>
      </c>
      <c r="CA4108" t="s">
        <v>205</v>
      </c>
      <c r="CC4108" t="s">
        <v>169</v>
      </c>
      <c r="CD4108">
        <v>6001</v>
      </c>
      <c r="CE4108" t="s">
        <v>121</v>
      </c>
      <c r="CF4108" s="3">
        <v>45866</v>
      </c>
      <c r="CI4108">
        <v>1</v>
      </c>
      <c r="CJ4108">
        <v>1</v>
      </c>
      <c r="CK4108">
        <v>21</v>
      </c>
      <c r="CL4108" t="s">
        <v>86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"080066800368"</f>
        <v>080066800368</v>
      </c>
      <c r="F4109" s="3">
        <v>45863</v>
      </c>
      <c r="G4109">
        <v>202604</v>
      </c>
      <c r="H4109" t="s">
        <v>75</v>
      </c>
      <c r="I4109" t="s">
        <v>76</v>
      </c>
      <c r="J4109" t="s">
        <v>77</v>
      </c>
      <c r="K4109" t="s">
        <v>78</v>
      </c>
      <c r="L4109" t="s">
        <v>75</v>
      </c>
      <c r="M4109" t="s">
        <v>76</v>
      </c>
      <c r="N4109" t="s">
        <v>3666</v>
      </c>
      <c r="O4109" t="s">
        <v>82</v>
      </c>
      <c r="P4109" t="str">
        <f>"4170051181                    "</f>
        <v xml:space="preserve">4170051181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17.649999999999999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55.61</v>
      </c>
      <c r="BM4109">
        <v>8.34</v>
      </c>
      <c r="BN4109">
        <v>63.95</v>
      </c>
      <c r="BO4109">
        <v>63.95</v>
      </c>
      <c r="BQ4109" t="s">
        <v>3667</v>
      </c>
      <c r="BR4109" t="s">
        <v>84</v>
      </c>
      <c r="BS4109" s="3">
        <v>45866</v>
      </c>
      <c r="BT4109" s="4">
        <v>0.4375</v>
      </c>
      <c r="BU4109" t="s">
        <v>3668</v>
      </c>
      <c r="BV4109" t="s">
        <v>98</v>
      </c>
      <c r="BY4109">
        <v>1200</v>
      </c>
      <c r="CC4109" t="s">
        <v>76</v>
      </c>
      <c r="CD4109">
        <v>1609</v>
      </c>
      <c r="CE4109" t="s">
        <v>121</v>
      </c>
      <c r="CF4109" s="3">
        <v>45866</v>
      </c>
      <c r="CI4109">
        <v>1</v>
      </c>
      <c r="CJ4109">
        <v>1</v>
      </c>
      <c r="CK4109">
        <v>22</v>
      </c>
      <c r="CL4109" t="s">
        <v>86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"080066800375"</f>
        <v>080066800375</v>
      </c>
      <c r="F4110" s="3">
        <v>45863</v>
      </c>
      <c r="G4110">
        <v>202604</v>
      </c>
      <c r="H4110" t="s">
        <v>75</v>
      </c>
      <c r="I4110" t="s">
        <v>76</v>
      </c>
      <c r="J4110" t="s">
        <v>77</v>
      </c>
      <c r="K4110" t="s">
        <v>78</v>
      </c>
      <c r="L4110" t="s">
        <v>1291</v>
      </c>
      <c r="M4110" t="s">
        <v>1292</v>
      </c>
      <c r="N4110" t="s">
        <v>2924</v>
      </c>
      <c r="O4110" t="s">
        <v>82</v>
      </c>
      <c r="P4110" t="str">
        <f>"4170051283                    "</f>
        <v xml:space="preserve">4170051283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43.78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137.94</v>
      </c>
      <c r="BM4110">
        <v>20.69</v>
      </c>
      <c r="BN4110">
        <v>158.63</v>
      </c>
      <c r="BO4110">
        <v>158.63</v>
      </c>
      <c r="BQ4110" t="s">
        <v>2925</v>
      </c>
      <c r="BR4110" t="s">
        <v>84</v>
      </c>
      <c r="BS4110" s="3">
        <v>45866</v>
      </c>
      <c r="BT4110" s="4">
        <v>0.68402777777777779</v>
      </c>
      <c r="BU4110" t="s">
        <v>2926</v>
      </c>
      <c r="BV4110" t="s">
        <v>98</v>
      </c>
      <c r="BY4110">
        <v>1200</v>
      </c>
      <c r="CA4110" t="s">
        <v>1296</v>
      </c>
      <c r="CC4110" t="s">
        <v>1292</v>
      </c>
      <c r="CD4110">
        <v>3370</v>
      </c>
      <c r="CE4110" t="s">
        <v>121</v>
      </c>
      <c r="CF4110" s="3">
        <v>45867</v>
      </c>
      <c r="CI4110">
        <v>2</v>
      </c>
      <c r="CJ4110">
        <v>1</v>
      </c>
      <c r="CK4110">
        <v>23</v>
      </c>
      <c r="CL4110" t="s">
        <v>86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"080066800391"</f>
        <v>080066800391</v>
      </c>
      <c r="F4111" s="3">
        <v>45863</v>
      </c>
      <c r="G4111">
        <v>202604</v>
      </c>
      <c r="H4111" t="s">
        <v>75</v>
      </c>
      <c r="I4111" t="s">
        <v>76</v>
      </c>
      <c r="J4111" t="s">
        <v>77</v>
      </c>
      <c r="K4111" t="s">
        <v>78</v>
      </c>
      <c r="L4111" t="s">
        <v>221</v>
      </c>
      <c r="M4111" t="s">
        <v>222</v>
      </c>
      <c r="N4111" t="s">
        <v>223</v>
      </c>
      <c r="O4111" t="s">
        <v>82</v>
      </c>
      <c r="P4111" t="str">
        <f>"4170051223                    "</f>
        <v xml:space="preserve">4170051223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43.78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137.94</v>
      </c>
      <c r="BM4111">
        <v>20.69</v>
      </c>
      <c r="BN4111">
        <v>158.63</v>
      </c>
      <c r="BO4111">
        <v>158.63</v>
      </c>
      <c r="BQ4111" t="s">
        <v>224</v>
      </c>
      <c r="BR4111" t="s">
        <v>84</v>
      </c>
      <c r="BS4111" s="3">
        <v>45866</v>
      </c>
      <c r="BT4111" s="4">
        <v>0.3263888888888889</v>
      </c>
      <c r="BU4111" t="s">
        <v>1707</v>
      </c>
      <c r="BV4111" t="s">
        <v>98</v>
      </c>
      <c r="BY4111">
        <v>1200</v>
      </c>
      <c r="CC4111" t="s">
        <v>222</v>
      </c>
      <c r="CD4111">
        <v>2740</v>
      </c>
      <c r="CE4111" t="s">
        <v>121</v>
      </c>
      <c r="CF4111" s="3">
        <v>45867</v>
      </c>
      <c r="CI4111">
        <v>1</v>
      </c>
      <c r="CJ4111">
        <v>1</v>
      </c>
      <c r="CK4111">
        <v>23</v>
      </c>
      <c r="CL4111" t="s">
        <v>86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"080066800397"</f>
        <v>080066800397</v>
      </c>
      <c r="F4112" s="3">
        <v>45863</v>
      </c>
      <c r="G4112">
        <v>202604</v>
      </c>
      <c r="H4112" t="s">
        <v>75</v>
      </c>
      <c r="I4112" t="s">
        <v>76</v>
      </c>
      <c r="J4112" t="s">
        <v>77</v>
      </c>
      <c r="K4112" t="s">
        <v>78</v>
      </c>
      <c r="L4112" t="s">
        <v>92</v>
      </c>
      <c r="M4112" t="s">
        <v>93</v>
      </c>
      <c r="N4112" t="s">
        <v>291</v>
      </c>
      <c r="O4112" t="s">
        <v>82</v>
      </c>
      <c r="P4112" t="str">
        <f>"4170051264                    "</f>
        <v xml:space="preserve">4170051264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22.6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71.2</v>
      </c>
      <c r="BM4112">
        <v>10.68</v>
      </c>
      <c r="BN4112">
        <v>81.88</v>
      </c>
      <c r="BO4112">
        <v>81.88</v>
      </c>
      <c r="BQ4112" t="s">
        <v>292</v>
      </c>
      <c r="BR4112" t="s">
        <v>84</v>
      </c>
      <c r="BS4112" s="3">
        <v>45866</v>
      </c>
      <c r="BT4112" s="4">
        <v>0.32777777777777778</v>
      </c>
      <c r="BU4112" t="s">
        <v>971</v>
      </c>
      <c r="BV4112" t="s">
        <v>98</v>
      </c>
      <c r="BY4112">
        <v>1200</v>
      </c>
      <c r="CA4112" t="s">
        <v>294</v>
      </c>
      <c r="CC4112" t="s">
        <v>93</v>
      </c>
      <c r="CD4112">
        <v>4000</v>
      </c>
      <c r="CE4112" t="s">
        <v>121</v>
      </c>
      <c r="CF4112" s="3">
        <v>45866</v>
      </c>
      <c r="CI4112">
        <v>1</v>
      </c>
      <c r="CJ4112">
        <v>1</v>
      </c>
      <c r="CK4112">
        <v>21</v>
      </c>
      <c r="CL4112" t="s">
        <v>86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"080066800432"</f>
        <v>080066800432</v>
      </c>
      <c r="F4113" s="3">
        <v>45863</v>
      </c>
      <c r="G4113">
        <v>202604</v>
      </c>
      <c r="H4113" t="s">
        <v>75</v>
      </c>
      <c r="I4113" t="s">
        <v>76</v>
      </c>
      <c r="J4113" t="s">
        <v>77</v>
      </c>
      <c r="K4113" t="s">
        <v>78</v>
      </c>
      <c r="L4113" t="s">
        <v>221</v>
      </c>
      <c r="M4113" t="s">
        <v>222</v>
      </c>
      <c r="N4113" t="s">
        <v>223</v>
      </c>
      <c r="O4113" t="s">
        <v>82</v>
      </c>
      <c r="P4113" t="str">
        <f>"4170051190                    "</f>
        <v xml:space="preserve">4170051190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43.78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137.94</v>
      </c>
      <c r="BM4113">
        <v>20.69</v>
      </c>
      <c r="BN4113">
        <v>158.63</v>
      </c>
      <c r="BO4113">
        <v>158.63</v>
      </c>
      <c r="BQ4113" t="s">
        <v>224</v>
      </c>
      <c r="BR4113" t="s">
        <v>84</v>
      </c>
      <c r="BS4113" s="3">
        <v>45866</v>
      </c>
      <c r="BT4113" s="4">
        <v>0.3263888888888889</v>
      </c>
      <c r="BU4113" t="s">
        <v>1707</v>
      </c>
      <c r="BV4113" t="s">
        <v>98</v>
      </c>
      <c r="BY4113">
        <v>1200</v>
      </c>
      <c r="CC4113" t="s">
        <v>222</v>
      </c>
      <c r="CD4113">
        <v>2740</v>
      </c>
      <c r="CE4113" t="s">
        <v>121</v>
      </c>
      <c r="CF4113" s="3">
        <v>45867</v>
      </c>
      <c r="CI4113">
        <v>1</v>
      </c>
      <c r="CJ4113">
        <v>1</v>
      </c>
      <c r="CK4113">
        <v>23</v>
      </c>
      <c r="CL4113" t="s">
        <v>86</v>
      </c>
    </row>
    <row r="4114" spans="1:90" x14ac:dyDescent="0.3">
      <c r="A4114" t="s">
        <v>72</v>
      </c>
      <c r="B4114" t="s">
        <v>73</v>
      </c>
      <c r="C4114" t="s">
        <v>74</v>
      </c>
      <c r="E4114" t="str">
        <f>"080066800481"</f>
        <v>080066800481</v>
      </c>
      <c r="F4114" s="3">
        <v>45863</v>
      </c>
      <c r="G4114">
        <v>202604</v>
      </c>
      <c r="H4114" t="s">
        <v>75</v>
      </c>
      <c r="I4114" t="s">
        <v>76</v>
      </c>
      <c r="J4114" t="s">
        <v>77</v>
      </c>
      <c r="K4114" t="s">
        <v>78</v>
      </c>
      <c r="L4114" t="s">
        <v>240</v>
      </c>
      <c r="M4114" t="s">
        <v>241</v>
      </c>
      <c r="N4114" t="s">
        <v>851</v>
      </c>
      <c r="O4114" t="s">
        <v>82</v>
      </c>
      <c r="P4114" t="str">
        <f>"4170051304                    "</f>
        <v xml:space="preserve">4170051304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17.649999999999999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55.61</v>
      </c>
      <c r="BM4114">
        <v>8.34</v>
      </c>
      <c r="BN4114">
        <v>63.95</v>
      </c>
      <c r="BO4114">
        <v>63.95</v>
      </c>
      <c r="BQ4114" t="s">
        <v>852</v>
      </c>
      <c r="BR4114" t="s">
        <v>84</v>
      </c>
      <c r="BS4114" s="3">
        <v>45866</v>
      </c>
      <c r="BT4114" s="4">
        <v>0.39166666666666666</v>
      </c>
      <c r="BU4114" t="s">
        <v>3669</v>
      </c>
      <c r="BV4114" t="s">
        <v>98</v>
      </c>
      <c r="BY4114">
        <v>1200</v>
      </c>
      <c r="CC4114" t="s">
        <v>241</v>
      </c>
      <c r="CD4114">
        <v>2094</v>
      </c>
      <c r="CE4114" t="s">
        <v>258</v>
      </c>
      <c r="CF4114" s="3">
        <v>45866</v>
      </c>
      <c r="CI4114">
        <v>1</v>
      </c>
      <c r="CJ4114">
        <v>1</v>
      </c>
      <c r="CK4114">
        <v>22</v>
      </c>
      <c r="CL4114" t="s">
        <v>86</v>
      </c>
    </row>
    <row r="4115" spans="1:90" x14ac:dyDescent="0.3">
      <c r="A4115" t="s">
        <v>72</v>
      </c>
      <c r="B4115" t="s">
        <v>73</v>
      </c>
      <c r="C4115" t="s">
        <v>74</v>
      </c>
      <c r="E4115" t="str">
        <f>"080066800534"</f>
        <v>080066800534</v>
      </c>
      <c r="F4115" s="3">
        <v>45863</v>
      </c>
      <c r="G4115">
        <v>202604</v>
      </c>
      <c r="H4115" t="s">
        <v>75</v>
      </c>
      <c r="I4115" t="s">
        <v>76</v>
      </c>
      <c r="J4115" t="s">
        <v>77</v>
      </c>
      <c r="K4115" t="s">
        <v>78</v>
      </c>
      <c r="L4115" t="s">
        <v>151</v>
      </c>
      <c r="M4115" t="s">
        <v>152</v>
      </c>
      <c r="N4115" t="s">
        <v>1568</v>
      </c>
      <c r="O4115" t="s">
        <v>82</v>
      </c>
      <c r="P4115" t="str">
        <f>"4170051185                    "</f>
        <v xml:space="preserve">4170051185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22.6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1.1000000000000001</v>
      </c>
      <c r="BK4115">
        <v>1.5</v>
      </c>
      <c r="BL4115">
        <v>71.2</v>
      </c>
      <c r="BM4115">
        <v>10.68</v>
      </c>
      <c r="BN4115">
        <v>81.88</v>
      </c>
      <c r="BO4115">
        <v>81.88</v>
      </c>
      <c r="BQ4115" t="s">
        <v>1569</v>
      </c>
      <c r="BR4115" t="s">
        <v>84</v>
      </c>
      <c r="BS4115" s="3">
        <v>45866</v>
      </c>
      <c r="BT4115" s="4">
        <v>0.33333333333333331</v>
      </c>
      <c r="BU4115" t="s">
        <v>3311</v>
      </c>
      <c r="BV4115" t="s">
        <v>98</v>
      </c>
      <c r="BY4115">
        <v>5320</v>
      </c>
      <c r="CA4115" t="s">
        <v>906</v>
      </c>
      <c r="CC4115" t="s">
        <v>152</v>
      </c>
      <c r="CD4115" s="5" t="s">
        <v>907</v>
      </c>
      <c r="CE4115" t="s">
        <v>145</v>
      </c>
      <c r="CF4115" s="3">
        <v>45866</v>
      </c>
      <c r="CI4115">
        <v>1</v>
      </c>
      <c r="CJ4115">
        <v>1</v>
      </c>
      <c r="CK4115">
        <v>21</v>
      </c>
      <c r="CL4115" t="s">
        <v>86</v>
      </c>
    </row>
    <row r="4116" spans="1:90" x14ac:dyDescent="0.3">
      <c r="A4116" t="s">
        <v>72</v>
      </c>
      <c r="B4116" t="s">
        <v>73</v>
      </c>
      <c r="C4116" t="s">
        <v>74</v>
      </c>
      <c r="E4116" t="str">
        <f>"080066800547"</f>
        <v>080066800547</v>
      </c>
      <c r="F4116" s="3">
        <v>45863</v>
      </c>
      <c r="G4116">
        <v>202604</v>
      </c>
      <c r="H4116" t="s">
        <v>75</v>
      </c>
      <c r="I4116" t="s">
        <v>76</v>
      </c>
      <c r="J4116" t="s">
        <v>77</v>
      </c>
      <c r="K4116" t="s">
        <v>78</v>
      </c>
      <c r="L4116" t="s">
        <v>580</v>
      </c>
      <c r="M4116" t="s">
        <v>581</v>
      </c>
      <c r="N4116" t="s">
        <v>3670</v>
      </c>
      <c r="O4116" t="s">
        <v>82</v>
      </c>
      <c r="P4116" t="str">
        <f>"4170051307                    "</f>
        <v xml:space="preserve">4170051307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84.7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2</v>
      </c>
      <c r="BI4116">
        <v>6</v>
      </c>
      <c r="BJ4116">
        <v>7.3</v>
      </c>
      <c r="BK4116">
        <v>7.5</v>
      </c>
      <c r="BL4116">
        <v>266.83999999999997</v>
      </c>
      <c r="BM4116">
        <v>40.03</v>
      </c>
      <c r="BN4116">
        <v>306.87</v>
      </c>
      <c r="BO4116">
        <v>306.87</v>
      </c>
      <c r="BQ4116" t="s">
        <v>3671</v>
      </c>
      <c r="BR4116" t="s">
        <v>84</v>
      </c>
      <c r="BS4116" s="3">
        <v>45866</v>
      </c>
      <c r="BT4116" s="4">
        <v>0.42708333333333331</v>
      </c>
      <c r="BU4116" t="s">
        <v>3672</v>
      </c>
      <c r="BV4116" t="s">
        <v>98</v>
      </c>
      <c r="BY4116">
        <v>36256</v>
      </c>
      <c r="CC4116" t="s">
        <v>581</v>
      </c>
      <c r="CD4116">
        <v>4319</v>
      </c>
      <c r="CE4116" t="s">
        <v>145</v>
      </c>
      <c r="CF4116" s="3">
        <v>45866</v>
      </c>
      <c r="CI4116">
        <v>1</v>
      </c>
      <c r="CJ4116">
        <v>1</v>
      </c>
      <c r="CK4116">
        <v>21</v>
      </c>
      <c r="CL4116" t="s">
        <v>86</v>
      </c>
    </row>
    <row r="4117" spans="1:90" x14ac:dyDescent="0.3">
      <c r="A4117" t="s">
        <v>72</v>
      </c>
      <c r="B4117" t="s">
        <v>73</v>
      </c>
      <c r="C4117" t="s">
        <v>74</v>
      </c>
      <c r="E4117" t="str">
        <f>"080066800554"</f>
        <v>080066800554</v>
      </c>
      <c r="F4117" s="3">
        <v>45863</v>
      </c>
      <c r="G4117">
        <v>202604</v>
      </c>
      <c r="H4117" t="s">
        <v>75</v>
      </c>
      <c r="I4117" t="s">
        <v>76</v>
      </c>
      <c r="J4117" t="s">
        <v>77</v>
      </c>
      <c r="K4117" t="s">
        <v>78</v>
      </c>
      <c r="L4117" t="s">
        <v>566</v>
      </c>
      <c r="M4117" t="s">
        <v>567</v>
      </c>
      <c r="N4117" t="s">
        <v>568</v>
      </c>
      <c r="O4117" t="s">
        <v>82</v>
      </c>
      <c r="P4117" t="str">
        <f>"4170051248                    "</f>
        <v xml:space="preserve">4170051248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31.78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1.7</v>
      </c>
      <c r="BK4117">
        <v>2</v>
      </c>
      <c r="BL4117">
        <v>100.13</v>
      </c>
      <c r="BM4117">
        <v>15.02</v>
      </c>
      <c r="BN4117">
        <v>115.15</v>
      </c>
      <c r="BO4117">
        <v>115.15</v>
      </c>
      <c r="BQ4117" t="s">
        <v>569</v>
      </c>
      <c r="BR4117" t="s">
        <v>84</v>
      </c>
      <c r="BS4117" s="3">
        <v>45866</v>
      </c>
      <c r="BT4117" s="4">
        <v>0.32222222222222224</v>
      </c>
      <c r="BU4117" t="s">
        <v>3557</v>
      </c>
      <c r="BV4117" t="s">
        <v>98</v>
      </c>
      <c r="BY4117">
        <v>8512</v>
      </c>
      <c r="CC4117" t="s">
        <v>567</v>
      </c>
      <c r="CD4117">
        <v>2210</v>
      </c>
      <c r="CE4117" t="s">
        <v>145</v>
      </c>
      <c r="CF4117" s="3">
        <v>45866</v>
      </c>
      <c r="CI4117">
        <v>1</v>
      </c>
      <c r="CJ4117">
        <v>1</v>
      </c>
      <c r="CK4117">
        <v>24</v>
      </c>
      <c r="CL4117" t="s">
        <v>86</v>
      </c>
    </row>
    <row r="4118" spans="1:90" x14ac:dyDescent="0.3">
      <c r="A4118" t="s">
        <v>72</v>
      </c>
      <c r="B4118" t="s">
        <v>73</v>
      </c>
      <c r="C4118" t="s">
        <v>74</v>
      </c>
      <c r="E4118" t="str">
        <f>"080066800571"</f>
        <v>080066800571</v>
      </c>
      <c r="F4118" s="3">
        <v>45863</v>
      </c>
      <c r="G4118">
        <v>202604</v>
      </c>
      <c r="H4118" t="s">
        <v>75</v>
      </c>
      <c r="I4118" t="s">
        <v>76</v>
      </c>
      <c r="J4118" t="s">
        <v>77</v>
      </c>
      <c r="K4118" t="s">
        <v>78</v>
      </c>
      <c r="L4118" t="s">
        <v>168</v>
      </c>
      <c r="M4118" t="s">
        <v>169</v>
      </c>
      <c r="N4118" t="s">
        <v>2157</v>
      </c>
      <c r="O4118" t="s">
        <v>82</v>
      </c>
      <c r="P4118" t="str">
        <f>"4170051141                    "</f>
        <v xml:space="preserve">4170051141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56.47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5</v>
      </c>
      <c r="BJ4118">
        <v>1.7</v>
      </c>
      <c r="BK4118">
        <v>5</v>
      </c>
      <c r="BL4118">
        <v>177.91</v>
      </c>
      <c r="BM4118">
        <v>26.69</v>
      </c>
      <c r="BN4118">
        <v>204.6</v>
      </c>
      <c r="BO4118">
        <v>204.6</v>
      </c>
      <c r="BQ4118" t="s">
        <v>2158</v>
      </c>
      <c r="BR4118" t="s">
        <v>84</v>
      </c>
      <c r="BS4118" s="3">
        <v>45866</v>
      </c>
      <c r="BT4118" s="4">
        <v>0.37916666666666665</v>
      </c>
      <c r="BU4118" t="s">
        <v>470</v>
      </c>
      <c r="BV4118" t="s">
        <v>98</v>
      </c>
      <c r="BY4118">
        <v>8512</v>
      </c>
      <c r="CA4118" t="s">
        <v>415</v>
      </c>
      <c r="CC4118" t="s">
        <v>169</v>
      </c>
      <c r="CD4118">
        <v>6001</v>
      </c>
      <c r="CE4118" t="s">
        <v>145</v>
      </c>
      <c r="CF4118" s="3">
        <v>45866</v>
      </c>
      <c r="CI4118">
        <v>1</v>
      </c>
      <c r="CJ4118">
        <v>1</v>
      </c>
      <c r="CK4118">
        <v>21</v>
      </c>
      <c r="CL4118" t="s">
        <v>86</v>
      </c>
    </row>
    <row r="4119" spans="1:90" x14ac:dyDescent="0.3">
      <c r="A4119" t="s">
        <v>72</v>
      </c>
      <c r="B4119" t="s">
        <v>73</v>
      </c>
      <c r="C4119" t="s">
        <v>74</v>
      </c>
      <c r="E4119" t="str">
        <f>"080066800579"</f>
        <v>080066800579</v>
      </c>
      <c r="F4119" s="3">
        <v>45863</v>
      </c>
      <c r="G4119">
        <v>202604</v>
      </c>
      <c r="H4119" t="s">
        <v>75</v>
      </c>
      <c r="I4119" t="s">
        <v>76</v>
      </c>
      <c r="J4119" t="s">
        <v>77</v>
      </c>
      <c r="K4119" t="s">
        <v>78</v>
      </c>
      <c r="L4119" t="s">
        <v>151</v>
      </c>
      <c r="M4119" t="s">
        <v>152</v>
      </c>
      <c r="N4119" t="s">
        <v>3673</v>
      </c>
      <c r="O4119" t="s">
        <v>95</v>
      </c>
      <c r="P4119" t="str">
        <f>"4170051336                    "</f>
        <v xml:space="preserve">4170051336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43.7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4</v>
      </c>
      <c r="BJ4119">
        <v>1.7</v>
      </c>
      <c r="BK4119">
        <v>4</v>
      </c>
      <c r="BL4119">
        <v>143.55000000000001</v>
      </c>
      <c r="BM4119">
        <v>21.53</v>
      </c>
      <c r="BN4119">
        <v>165.08</v>
      </c>
      <c r="BO4119">
        <v>165.08</v>
      </c>
      <c r="BQ4119" t="s">
        <v>3674</v>
      </c>
      <c r="BR4119" t="s">
        <v>84</v>
      </c>
      <c r="BS4119" s="3">
        <v>45866</v>
      </c>
      <c r="BT4119" s="4">
        <v>0.41458333333333336</v>
      </c>
      <c r="BU4119" t="s">
        <v>3675</v>
      </c>
      <c r="BV4119" t="s">
        <v>98</v>
      </c>
      <c r="BY4119">
        <v>8512</v>
      </c>
      <c r="CA4119" t="s">
        <v>3676</v>
      </c>
      <c r="CC4119" t="s">
        <v>152</v>
      </c>
      <c r="CD4119" s="5" t="s">
        <v>911</v>
      </c>
      <c r="CE4119" t="s">
        <v>145</v>
      </c>
      <c r="CF4119" s="3">
        <v>45866</v>
      </c>
      <c r="CI4119">
        <v>1</v>
      </c>
      <c r="CJ4119">
        <v>1</v>
      </c>
      <c r="CK4119">
        <v>41</v>
      </c>
      <c r="CL4119" t="s">
        <v>86</v>
      </c>
    </row>
    <row r="4120" spans="1:90" x14ac:dyDescent="0.3">
      <c r="A4120" t="s">
        <v>72</v>
      </c>
      <c r="B4120" t="s">
        <v>73</v>
      </c>
      <c r="C4120" t="s">
        <v>74</v>
      </c>
      <c r="E4120" t="str">
        <f>"080066800613"</f>
        <v>080066800613</v>
      </c>
      <c r="F4120" s="3">
        <v>45863</v>
      </c>
      <c r="G4120">
        <v>202604</v>
      </c>
      <c r="H4120" t="s">
        <v>75</v>
      </c>
      <c r="I4120" t="s">
        <v>76</v>
      </c>
      <c r="J4120" t="s">
        <v>77</v>
      </c>
      <c r="K4120" t="s">
        <v>78</v>
      </c>
      <c r="L4120" t="s">
        <v>197</v>
      </c>
      <c r="M4120" t="s">
        <v>198</v>
      </c>
      <c r="N4120" t="s">
        <v>1209</v>
      </c>
      <c r="O4120" t="s">
        <v>82</v>
      </c>
      <c r="P4120" t="str">
        <f>"4170051380                    "</f>
        <v xml:space="preserve">4170051380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17.649999999999999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3.1</v>
      </c>
      <c r="BK4120">
        <v>4</v>
      </c>
      <c r="BL4120">
        <v>55.61</v>
      </c>
      <c r="BM4120">
        <v>8.34</v>
      </c>
      <c r="BN4120">
        <v>63.95</v>
      </c>
      <c r="BO4120">
        <v>63.95</v>
      </c>
      <c r="BQ4120" t="s">
        <v>1210</v>
      </c>
      <c r="BR4120" t="s">
        <v>84</v>
      </c>
      <c r="BS4120" s="3">
        <v>45866</v>
      </c>
      <c r="BT4120" s="4">
        <v>0.35625000000000001</v>
      </c>
      <c r="BU4120" t="s">
        <v>3566</v>
      </c>
      <c r="BV4120" t="s">
        <v>98</v>
      </c>
      <c r="BY4120">
        <v>15360</v>
      </c>
      <c r="CA4120" t="s">
        <v>522</v>
      </c>
      <c r="CC4120" t="s">
        <v>198</v>
      </c>
      <c r="CD4120">
        <v>1406</v>
      </c>
      <c r="CE4120" t="s">
        <v>145</v>
      </c>
      <c r="CF4120" s="3">
        <v>45866</v>
      </c>
      <c r="CI4120">
        <v>1</v>
      </c>
      <c r="CJ4120">
        <v>1</v>
      </c>
      <c r="CK4120">
        <v>22</v>
      </c>
      <c r="CL4120" t="s">
        <v>86</v>
      </c>
    </row>
    <row r="4121" spans="1:90" x14ac:dyDescent="0.3">
      <c r="A4121" t="s">
        <v>72</v>
      </c>
      <c r="B4121" t="s">
        <v>73</v>
      </c>
      <c r="C4121" t="s">
        <v>74</v>
      </c>
      <c r="E4121" t="str">
        <f>"080011578139"</f>
        <v>080011578139</v>
      </c>
      <c r="F4121" s="3">
        <v>45863</v>
      </c>
      <c r="G4121">
        <v>202604</v>
      </c>
      <c r="H4121" t="s">
        <v>92</v>
      </c>
      <c r="I4121" t="s">
        <v>93</v>
      </c>
      <c r="J4121" t="s">
        <v>2117</v>
      </c>
      <c r="K4121" t="s">
        <v>78</v>
      </c>
      <c r="L4121" t="s">
        <v>75</v>
      </c>
      <c r="M4121" t="s">
        <v>76</v>
      </c>
      <c r="N4121" t="s">
        <v>228</v>
      </c>
      <c r="O4121" t="s">
        <v>95</v>
      </c>
      <c r="P4121" t="str">
        <f>"1162949139                    "</f>
        <v xml:space="preserve">1162949139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88.81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5</v>
      </c>
      <c r="BI4121">
        <v>31</v>
      </c>
      <c r="BJ4121">
        <v>39.9</v>
      </c>
      <c r="BK4121">
        <v>40</v>
      </c>
      <c r="BL4121">
        <v>285.66000000000003</v>
      </c>
      <c r="BM4121">
        <v>42.85</v>
      </c>
      <c r="BN4121">
        <v>328.51</v>
      </c>
      <c r="BO4121">
        <v>328.51</v>
      </c>
      <c r="BP4121" t="s">
        <v>587</v>
      </c>
      <c r="BQ4121" t="s">
        <v>230</v>
      </c>
      <c r="BR4121" t="s">
        <v>2118</v>
      </c>
      <c r="BS4121" s="3">
        <v>45866</v>
      </c>
      <c r="BT4121" s="4">
        <v>0.41666666666666669</v>
      </c>
      <c r="BU4121" t="s">
        <v>2650</v>
      </c>
      <c r="BV4121" t="s">
        <v>98</v>
      </c>
      <c r="BY4121">
        <v>127500</v>
      </c>
      <c r="BZ4121" t="s">
        <v>108</v>
      </c>
      <c r="CC4121" t="s">
        <v>76</v>
      </c>
      <c r="CD4121">
        <v>1618</v>
      </c>
      <c r="CE4121" t="s">
        <v>233</v>
      </c>
      <c r="CF4121" s="3">
        <v>45866</v>
      </c>
      <c r="CI4121">
        <v>1</v>
      </c>
      <c r="CJ4121">
        <v>1</v>
      </c>
      <c r="CK4121">
        <v>41</v>
      </c>
      <c r="CL4121" t="s">
        <v>86</v>
      </c>
    </row>
    <row r="4122" spans="1:90" x14ac:dyDescent="0.3">
      <c r="A4122" t="s">
        <v>72</v>
      </c>
      <c r="B4122" t="s">
        <v>73</v>
      </c>
      <c r="C4122" t="s">
        <v>74</v>
      </c>
      <c r="E4122" t="str">
        <f>"080066822911"</f>
        <v>080066822911</v>
      </c>
      <c r="F4122" s="3">
        <v>45866</v>
      </c>
      <c r="G4122">
        <v>202604</v>
      </c>
      <c r="H4122" t="s">
        <v>75</v>
      </c>
      <c r="I4122" t="s">
        <v>76</v>
      </c>
      <c r="J4122" t="s">
        <v>77</v>
      </c>
      <c r="K4122" t="s">
        <v>78</v>
      </c>
      <c r="L4122" t="s">
        <v>390</v>
      </c>
      <c r="M4122" t="s">
        <v>391</v>
      </c>
      <c r="N4122" t="s">
        <v>3639</v>
      </c>
      <c r="O4122" t="s">
        <v>95</v>
      </c>
      <c r="P4122" t="str">
        <f>"4170051252                    "</f>
        <v xml:space="preserve">4170051252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49.49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17</v>
      </c>
      <c r="BJ4122">
        <v>30.9</v>
      </c>
      <c r="BK4122">
        <v>31</v>
      </c>
      <c r="BL4122">
        <v>161.80000000000001</v>
      </c>
      <c r="BM4122">
        <v>24.27</v>
      </c>
      <c r="BN4122">
        <v>186.07</v>
      </c>
      <c r="BO4122">
        <v>186.07</v>
      </c>
      <c r="BQ4122" t="s">
        <v>3640</v>
      </c>
      <c r="BR4122" t="s">
        <v>84</v>
      </c>
      <c r="BS4122" s="3">
        <v>45867</v>
      </c>
      <c r="BT4122" s="4">
        <v>0.41666666666666669</v>
      </c>
      <c r="BU4122" t="s">
        <v>3641</v>
      </c>
      <c r="BV4122" t="s">
        <v>98</v>
      </c>
      <c r="BY4122">
        <v>154560</v>
      </c>
      <c r="CC4122" t="s">
        <v>391</v>
      </c>
      <c r="CD4122">
        <v>1724</v>
      </c>
      <c r="CE4122" t="s">
        <v>145</v>
      </c>
      <c r="CF4122" s="3">
        <v>45867</v>
      </c>
      <c r="CI4122">
        <v>1</v>
      </c>
      <c r="CJ4122">
        <v>1</v>
      </c>
      <c r="CK4122">
        <v>42</v>
      </c>
      <c r="CL4122" t="s">
        <v>86</v>
      </c>
    </row>
    <row r="4123" spans="1:90" x14ac:dyDescent="0.3">
      <c r="A4123" t="s">
        <v>72</v>
      </c>
      <c r="B4123" t="s">
        <v>73</v>
      </c>
      <c r="C4123" t="s">
        <v>74</v>
      </c>
      <c r="E4123" t="str">
        <f>"080066823357"</f>
        <v>080066823357</v>
      </c>
      <c r="F4123" s="3">
        <v>45866</v>
      </c>
      <c r="G4123">
        <v>202604</v>
      </c>
      <c r="H4123" t="s">
        <v>75</v>
      </c>
      <c r="I4123" t="s">
        <v>76</v>
      </c>
      <c r="J4123" t="s">
        <v>77</v>
      </c>
      <c r="K4123" t="s">
        <v>78</v>
      </c>
      <c r="L4123" t="s">
        <v>79</v>
      </c>
      <c r="M4123" t="s">
        <v>80</v>
      </c>
      <c r="N4123" t="s">
        <v>2760</v>
      </c>
      <c r="O4123" t="s">
        <v>82</v>
      </c>
      <c r="P4123" t="str">
        <f>"4170051301                    "</f>
        <v xml:space="preserve">4170051301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22.6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71.2</v>
      </c>
      <c r="BM4123">
        <v>10.68</v>
      </c>
      <c r="BN4123">
        <v>81.88</v>
      </c>
      <c r="BO4123">
        <v>81.88</v>
      </c>
      <c r="BQ4123" t="s">
        <v>2761</v>
      </c>
      <c r="BR4123" t="s">
        <v>84</v>
      </c>
      <c r="BS4123" s="3">
        <v>45867</v>
      </c>
      <c r="BT4123" s="4">
        <v>0.34930555555555554</v>
      </c>
      <c r="BU4123" t="s">
        <v>3677</v>
      </c>
      <c r="BV4123" t="s">
        <v>98</v>
      </c>
      <c r="BY4123">
        <v>1200</v>
      </c>
      <c r="CA4123" t="s">
        <v>289</v>
      </c>
      <c r="CC4123" t="s">
        <v>80</v>
      </c>
      <c r="CD4123">
        <v>7561</v>
      </c>
      <c r="CE4123" t="s">
        <v>121</v>
      </c>
      <c r="CF4123" s="3">
        <v>45868</v>
      </c>
      <c r="CI4123">
        <v>1</v>
      </c>
      <c r="CJ4123">
        <v>1</v>
      </c>
      <c r="CK4123">
        <v>21</v>
      </c>
      <c r="CL4123" t="s">
        <v>86</v>
      </c>
    </row>
    <row r="4124" spans="1:90" x14ac:dyDescent="0.3">
      <c r="A4124" t="s">
        <v>72</v>
      </c>
      <c r="B4124" t="s">
        <v>73</v>
      </c>
      <c r="C4124" t="s">
        <v>74</v>
      </c>
      <c r="E4124" t="str">
        <f>"080066823385"</f>
        <v>080066823385</v>
      </c>
      <c r="F4124" s="3">
        <v>45866</v>
      </c>
      <c r="G4124">
        <v>202604</v>
      </c>
      <c r="H4124" t="s">
        <v>75</v>
      </c>
      <c r="I4124" t="s">
        <v>76</v>
      </c>
      <c r="J4124" t="s">
        <v>77</v>
      </c>
      <c r="K4124" t="s">
        <v>78</v>
      </c>
      <c r="L4124" t="s">
        <v>305</v>
      </c>
      <c r="M4124" t="s">
        <v>306</v>
      </c>
      <c r="N4124" t="s">
        <v>1154</v>
      </c>
      <c r="O4124" t="s">
        <v>82</v>
      </c>
      <c r="P4124" t="str">
        <f>"4170051349                    "</f>
        <v xml:space="preserve">4170051349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22.6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</v>
      </c>
      <c r="BJ4124">
        <v>0.2</v>
      </c>
      <c r="BK4124">
        <v>1</v>
      </c>
      <c r="BL4124">
        <v>71.2</v>
      </c>
      <c r="BM4124">
        <v>10.68</v>
      </c>
      <c r="BN4124">
        <v>81.88</v>
      </c>
      <c r="BO4124">
        <v>81.88</v>
      </c>
      <c r="BQ4124" t="s">
        <v>1155</v>
      </c>
      <c r="BR4124" t="s">
        <v>84</v>
      </c>
      <c r="BS4124" s="3">
        <v>45867</v>
      </c>
      <c r="BT4124" s="4">
        <v>0.48333333333333334</v>
      </c>
      <c r="BU4124" t="s">
        <v>3678</v>
      </c>
      <c r="BV4124" t="s">
        <v>86</v>
      </c>
      <c r="BY4124">
        <v>1200</v>
      </c>
      <c r="BZ4124" t="s">
        <v>89</v>
      </c>
      <c r="CA4124" t="s">
        <v>3679</v>
      </c>
      <c r="CC4124" t="s">
        <v>306</v>
      </c>
      <c r="CD4124">
        <v>5201</v>
      </c>
      <c r="CE4124" t="s">
        <v>239</v>
      </c>
      <c r="CF4124" s="3">
        <v>45867</v>
      </c>
      <c r="CI4124">
        <v>1</v>
      </c>
      <c r="CJ4124">
        <v>1</v>
      </c>
      <c r="CK4124">
        <v>21</v>
      </c>
      <c r="CL4124" t="s">
        <v>86</v>
      </c>
    </row>
    <row r="4125" spans="1:90" x14ac:dyDescent="0.3">
      <c r="A4125" t="s">
        <v>72</v>
      </c>
      <c r="B4125" t="s">
        <v>73</v>
      </c>
      <c r="C4125" t="s">
        <v>74</v>
      </c>
      <c r="E4125" t="str">
        <f>"080066823403"</f>
        <v>080066823403</v>
      </c>
      <c r="F4125" s="3">
        <v>45866</v>
      </c>
      <c r="G4125">
        <v>202604</v>
      </c>
      <c r="H4125" t="s">
        <v>75</v>
      </c>
      <c r="I4125" t="s">
        <v>76</v>
      </c>
      <c r="J4125" t="s">
        <v>77</v>
      </c>
      <c r="K4125" t="s">
        <v>78</v>
      </c>
      <c r="L4125" t="s">
        <v>168</v>
      </c>
      <c r="M4125" t="s">
        <v>169</v>
      </c>
      <c r="N4125" t="s">
        <v>1125</v>
      </c>
      <c r="O4125" t="s">
        <v>82</v>
      </c>
      <c r="P4125" t="str">
        <f>"4170051114                    "</f>
        <v xml:space="preserve">4170051114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22.6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</v>
      </c>
      <c r="BJ4125">
        <v>1.1000000000000001</v>
      </c>
      <c r="BK4125">
        <v>1.5</v>
      </c>
      <c r="BL4125">
        <v>71.2</v>
      </c>
      <c r="BM4125">
        <v>10.68</v>
      </c>
      <c r="BN4125">
        <v>81.88</v>
      </c>
      <c r="BO4125">
        <v>81.88</v>
      </c>
      <c r="BQ4125" t="s">
        <v>1126</v>
      </c>
      <c r="BR4125" t="s">
        <v>84</v>
      </c>
      <c r="BS4125" s="3">
        <v>45867</v>
      </c>
      <c r="BT4125" s="4">
        <v>0.41597222222222224</v>
      </c>
      <c r="BU4125" t="s">
        <v>1127</v>
      </c>
      <c r="BV4125" t="s">
        <v>98</v>
      </c>
      <c r="BY4125">
        <v>5320</v>
      </c>
      <c r="BZ4125" t="s">
        <v>89</v>
      </c>
      <c r="CA4125" t="s">
        <v>415</v>
      </c>
      <c r="CC4125" t="s">
        <v>169</v>
      </c>
      <c r="CD4125">
        <v>6012</v>
      </c>
      <c r="CE4125" t="s">
        <v>117</v>
      </c>
      <c r="CF4125" s="3">
        <v>45867</v>
      </c>
      <c r="CI4125">
        <v>1</v>
      </c>
      <c r="CJ4125">
        <v>1</v>
      </c>
      <c r="CK4125">
        <v>21</v>
      </c>
      <c r="CL4125" t="s">
        <v>86</v>
      </c>
    </row>
    <row r="4126" spans="1:90" x14ac:dyDescent="0.3">
      <c r="A4126" t="s">
        <v>72</v>
      </c>
      <c r="B4126" t="s">
        <v>73</v>
      </c>
      <c r="C4126" t="s">
        <v>74</v>
      </c>
      <c r="E4126" t="str">
        <f>"080066823431"</f>
        <v>080066823431</v>
      </c>
      <c r="F4126" s="3">
        <v>45866</v>
      </c>
      <c r="G4126">
        <v>202604</v>
      </c>
      <c r="H4126" t="s">
        <v>75</v>
      </c>
      <c r="I4126" t="s">
        <v>76</v>
      </c>
      <c r="J4126" t="s">
        <v>77</v>
      </c>
      <c r="K4126" t="s">
        <v>78</v>
      </c>
      <c r="L4126" t="s">
        <v>305</v>
      </c>
      <c r="M4126" t="s">
        <v>306</v>
      </c>
      <c r="N4126" t="s">
        <v>640</v>
      </c>
      <c r="O4126" t="s">
        <v>82</v>
      </c>
      <c r="P4126" t="str">
        <f>"4170051193                    "</f>
        <v xml:space="preserve">4170051193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22.6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0.6</v>
      </c>
      <c r="BK4126">
        <v>1</v>
      </c>
      <c r="BL4126">
        <v>71.2</v>
      </c>
      <c r="BM4126">
        <v>10.68</v>
      </c>
      <c r="BN4126">
        <v>81.88</v>
      </c>
      <c r="BO4126">
        <v>81.88</v>
      </c>
      <c r="BQ4126" t="s">
        <v>641</v>
      </c>
      <c r="BR4126" t="s">
        <v>84</v>
      </c>
      <c r="BS4126" s="3">
        <v>45867</v>
      </c>
      <c r="BT4126" s="4">
        <v>0.4375</v>
      </c>
      <c r="BU4126" t="s">
        <v>1388</v>
      </c>
      <c r="BV4126" t="s">
        <v>98</v>
      </c>
      <c r="BY4126">
        <v>3192</v>
      </c>
      <c r="CA4126" t="s">
        <v>2174</v>
      </c>
      <c r="CC4126" t="s">
        <v>306</v>
      </c>
      <c r="CD4126">
        <v>5201</v>
      </c>
      <c r="CE4126" t="s">
        <v>110</v>
      </c>
      <c r="CF4126" s="3">
        <v>45867</v>
      </c>
      <c r="CI4126">
        <v>1</v>
      </c>
      <c r="CJ4126">
        <v>1</v>
      </c>
      <c r="CK4126">
        <v>21</v>
      </c>
      <c r="CL4126" t="s">
        <v>86</v>
      </c>
    </row>
    <row r="4127" spans="1:90" x14ac:dyDescent="0.3">
      <c r="A4127" t="s">
        <v>72</v>
      </c>
      <c r="B4127" t="s">
        <v>73</v>
      </c>
      <c r="C4127" t="s">
        <v>74</v>
      </c>
      <c r="E4127" t="str">
        <f>"080066823458"</f>
        <v>080066823458</v>
      </c>
      <c r="F4127" s="3">
        <v>45866</v>
      </c>
      <c r="G4127">
        <v>202604</v>
      </c>
      <c r="H4127" t="s">
        <v>75</v>
      </c>
      <c r="I4127" t="s">
        <v>76</v>
      </c>
      <c r="J4127" t="s">
        <v>77</v>
      </c>
      <c r="K4127" t="s">
        <v>78</v>
      </c>
      <c r="L4127" t="s">
        <v>122</v>
      </c>
      <c r="M4127" t="s">
        <v>123</v>
      </c>
      <c r="N4127" t="s">
        <v>357</v>
      </c>
      <c r="O4127" t="s">
        <v>82</v>
      </c>
      <c r="P4127" t="str">
        <f>"4170051280                    "</f>
        <v xml:space="preserve">4170051280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90.34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8</v>
      </c>
      <c r="BJ4127">
        <v>3.4</v>
      </c>
      <c r="BK4127">
        <v>8</v>
      </c>
      <c r="BL4127">
        <v>284.62</v>
      </c>
      <c r="BM4127">
        <v>42.69</v>
      </c>
      <c r="BN4127">
        <v>327.31</v>
      </c>
      <c r="BO4127">
        <v>327.31</v>
      </c>
      <c r="BQ4127" t="s">
        <v>358</v>
      </c>
      <c r="BR4127" t="s">
        <v>84</v>
      </c>
      <c r="BS4127" s="3">
        <v>45867</v>
      </c>
      <c r="BT4127" s="4">
        <v>0.44027777777777777</v>
      </c>
      <c r="BU4127" t="s">
        <v>3680</v>
      </c>
      <c r="BV4127" t="s">
        <v>98</v>
      </c>
      <c r="BY4127">
        <v>16965</v>
      </c>
      <c r="CA4127" t="s">
        <v>522</v>
      </c>
      <c r="CC4127" t="s">
        <v>123</v>
      </c>
      <c r="CD4127">
        <v>3610</v>
      </c>
      <c r="CE4127" t="s">
        <v>110</v>
      </c>
      <c r="CF4127" s="3">
        <v>45867</v>
      </c>
      <c r="CI4127">
        <v>1</v>
      </c>
      <c r="CJ4127">
        <v>1</v>
      </c>
      <c r="CK4127">
        <v>21</v>
      </c>
      <c r="CL4127" t="s">
        <v>86</v>
      </c>
    </row>
    <row r="4128" spans="1:90" x14ac:dyDescent="0.3">
      <c r="A4128" t="s">
        <v>72</v>
      </c>
      <c r="B4128" t="s">
        <v>73</v>
      </c>
      <c r="C4128" t="s">
        <v>74</v>
      </c>
      <c r="E4128" t="str">
        <f>"080066823552"</f>
        <v>080066823552</v>
      </c>
      <c r="F4128" s="3">
        <v>45866</v>
      </c>
      <c r="G4128">
        <v>202604</v>
      </c>
      <c r="H4128" t="s">
        <v>75</v>
      </c>
      <c r="I4128" t="s">
        <v>76</v>
      </c>
      <c r="J4128" t="s">
        <v>77</v>
      </c>
      <c r="K4128" t="s">
        <v>78</v>
      </c>
      <c r="L4128" t="s">
        <v>390</v>
      </c>
      <c r="M4128" t="s">
        <v>391</v>
      </c>
      <c r="N4128" t="s">
        <v>3639</v>
      </c>
      <c r="O4128" t="s">
        <v>95</v>
      </c>
      <c r="P4128" t="str">
        <f>"4170051254                    "</f>
        <v xml:space="preserve">4170051254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50.48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14</v>
      </c>
      <c r="BJ4128">
        <v>31.6</v>
      </c>
      <c r="BK4128">
        <v>32</v>
      </c>
      <c r="BL4128">
        <v>164.91</v>
      </c>
      <c r="BM4128">
        <v>24.74</v>
      </c>
      <c r="BN4128">
        <v>189.65</v>
      </c>
      <c r="BO4128">
        <v>189.65</v>
      </c>
      <c r="BQ4128" t="s">
        <v>3640</v>
      </c>
      <c r="BR4128" t="s">
        <v>84</v>
      </c>
      <c r="BS4128" s="3">
        <v>45867</v>
      </c>
      <c r="BT4128" s="4">
        <v>0.41666666666666669</v>
      </c>
      <c r="BU4128" t="s">
        <v>3641</v>
      </c>
      <c r="BV4128" t="s">
        <v>98</v>
      </c>
      <c r="BY4128">
        <v>157920</v>
      </c>
      <c r="CC4128" t="s">
        <v>391</v>
      </c>
      <c r="CD4128">
        <v>1724</v>
      </c>
      <c r="CE4128" t="s">
        <v>110</v>
      </c>
      <c r="CF4128" s="3">
        <v>45867</v>
      </c>
      <c r="CI4128">
        <v>1</v>
      </c>
      <c r="CJ4128">
        <v>1</v>
      </c>
      <c r="CK4128">
        <v>42</v>
      </c>
      <c r="CL4128" t="s">
        <v>86</v>
      </c>
    </row>
    <row r="4129" spans="1:90" x14ac:dyDescent="0.3">
      <c r="A4129" t="s">
        <v>72</v>
      </c>
      <c r="B4129" t="s">
        <v>73</v>
      </c>
      <c r="C4129" t="s">
        <v>74</v>
      </c>
      <c r="E4129" t="str">
        <f>"080066823725"</f>
        <v>080066823725</v>
      </c>
      <c r="F4129" s="3">
        <v>45866</v>
      </c>
      <c r="G4129">
        <v>202604</v>
      </c>
      <c r="H4129" t="s">
        <v>75</v>
      </c>
      <c r="I4129" t="s">
        <v>76</v>
      </c>
      <c r="J4129" t="s">
        <v>77</v>
      </c>
      <c r="K4129" t="s">
        <v>78</v>
      </c>
      <c r="L4129" t="s">
        <v>92</v>
      </c>
      <c r="M4129" t="s">
        <v>93</v>
      </c>
      <c r="N4129" t="s">
        <v>334</v>
      </c>
      <c r="O4129" t="s">
        <v>82</v>
      </c>
      <c r="P4129" t="str">
        <f>"4170051342                    "</f>
        <v xml:space="preserve">4170051342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22.6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2</v>
      </c>
      <c r="BJ4129">
        <v>0.6</v>
      </c>
      <c r="BK4129">
        <v>2</v>
      </c>
      <c r="BL4129">
        <v>71.2</v>
      </c>
      <c r="BM4129">
        <v>10.68</v>
      </c>
      <c r="BN4129">
        <v>81.88</v>
      </c>
      <c r="BO4129">
        <v>81.88</v>
      </c>
      <c r="BQ4129" t="s">
        <v>335</v>
      </c>
      <c r="BR4129" t="s">
        <v>84</v>
      </c>
      <c r="BS4129" s="3">
        <v>45867</v>
      </c>
      <c r="BT4129" s="4">
        <v>0.39791666666666664</v>
      </c>
      <c r="BU4129" t="s">
        <v>1365</v>
      </c>
      <c r="BV4129" t="s">
        <v>98</v>
      </c>
      <c r="BY4129">
        <v>3192</v>
      </c>
      <c r="CA4129" t="s">
        <v>337</v>
      </c>
      <c r="CC4129" t="s">
        <v>93</v>
      </c>
      <c r="CD4129">
        <v>4052</v>
      </c>
      <c r="CE4129" t="s">
        <v>259</v>
      </c>
      <c r="CF4129" s="3">
        <v>45867</v>
      </c>
      <c r="CI4129">
        <v>1</v>
      </c>
      <c r="CJ4129">
        <v>1</v>
      </c>
      <c r="CK4129">
        <v>21</v>
      </c>
      <c r="CL4129" t="s">
        <v>86</v>
      </c>
    </row>
    <row r="4130" spans="1:90" x14ac:dyDescent="0.3">
      <c r="A4130" t="s">
        <v>72</v>
      </c>
      <c r="B4130" t="s">
        <v>73</v>
      </c>
      <c r="C4130" t="s">
        <v>74</v>
      </c>
      <c r="E4130" t="str">
        <f>"080066823794"</f>
        <v>080066823794</v>
      </c>
      <c r="F4130" s="3">
        <v>45866</v>
      </c>
      <c r="G4130">
        <v>202604</v>
      </c>
      <c r="H4130" t="s">
        <v>75</v>
      </c>
      <c r="I4130" t="s">
        <v>76</v>
      </c>
      <c r="J4130" t="s">
        <v>77</v>
      </c>
      <c r="K4130" t="s">
        <v>78</v>
      </c>
      <c r="L4130" t="s">
        <v>390</v>
      </c>
      <c r="M4130" t="s">
        <v>391</v>
      </c>
      <c r="N4130" t="s">
        <v>3639</v>
      </c>
      <c r="O4130" t="s">
        <v>95</v>
      </c>
      <c r="P4130" t="str">
        <f>"4170051232                    "</f>
        <v xml:space="preserve">4170051232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49.49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17</v>
      </c>
      <c r="BJ4130">
        <v>30.4</v>
      </c>
      <c r="BK4130">
        <v>31</v>
      </c>
      <c r="BL4130">
        <v>161.80000000000001</v>
      </c>
      <c r="BM4130">
        <v>24.27</v>
      </c>
      <c r="BN4130">
        <v>186.07</v>
      </c>
      <c r="BO4130">
        <v>186.07</v>
      </c>
      <c r="BQ4130" t="s">
        <v>3640</v>
      </c>
      <c r="BR4130" t="s">
        <v>84</v>
      </c>
      <c r="BS4130" s="3">
        <v>45867</v>
      </c>
      <c r="BT4130" s="4">
        <v>0.41666666666666669</v>
      </c>
      <c r="BU4130" t="s">
        <v>3641</v>
      </c>
      <c r="BV4130" t="s">
        <v>98</v>
      </c>
      <c r="BY4130">
        <v>151800</v>
      </c>
      <c r="CC4130" t="s">
        <v>391</v>
      </c>
      <c r="CD4130">
        <v>1724</v>
      </c>
      <c r="CE4130" t="s">
        <v>145</v>
      </c>
      <c r="CF4130" s="3">
        <v>45867</v>
      </c>
      <c r="CI4130">
        <v>1</v>
      </c>
      <c r="CJ4130">
        <v>1</v>
      </c>
      <c r="CK4130">
        <v>42</v>
      </c>
      <c r="CL4130" t="s">
        <v>86</v>
      </c>
    </row>
    <row r="4131" spans="1:90" x14ac:dyDescent="0.3">
      <c r="A4131" t="s">
        <v>72</v>
      </c>
      <c r="B4131" t="s">
        <v>73</v>
      </c>
      <c r="C4131" t="s">
        <v>74</v>
      </c>
      <c r="E4131" t="str">
        <f>"080066824084"</f>
        <v>080066824084</v>
      </c>
      <c r="F4131" s="3">
        <v>45866</v>
      </c>
      <c r="G4131">
        <v>202604</v>
      </c>
      <c r="H4131" t="s">
        <v>75</v>
      </c>
      <c r="I4131" t="s">
        <v>76</v>
      </c>
      <c r="J4131" t="s">
        <v>77</v>
      </c>
      <c r="K4131" t="s">
        <v>78</v>
      </c>
      <c r="L4131" t="s">
        <v>92</v>
      </c>
      <c r="M4131" t="s">
        <v>93</v>
      </c>
      <c r="N4131" t="s">
        <v>291</v>
      </c>
      <c r="O4131" t="s">
        <v>82</v>
      </c>
      <c r="P4131" t="str">
        <f>"4170051339                    "</f>
        <v xml:space="preserve">4170051339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33.89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3</v>
      </c>
      <c r="BJ4131">
        <v>1.1000000000000001</v>
      </c>
      <c r="BK4131">
        <v>3</v>
      </c>
      <c r="BL4131">
        <v>106.77</v>
      </c>
      <c r="BM4131">
        <v>16.02</v>
      </c>
      <c r="BN4131">
        <v>122.79</v>
      </c>
      <c r="BO4131">
        <v>122.79</v>
      </c>
      <c r="BQ4131" t="s">
        <v>292</v>
      </c>
      <c r="BR4131" t="s">
        <v>84</v>
      </c>
      <c r="BS4131" s="3">
        <v>45867</v>
      </c>
      <c r="BT4131" s="4">
        <v>0.33333333333333331</v>
      </c>
      <c r="BU4131" t="s">
        <v>2177</v>
      </c>
      <c r="BV4131" t="s">
        <v>98</v>
      </c>
      <c r="BY4131">
        <v>5320</v>
      </c>
      <c r="CA4131" t="s">
        <v>2178</v>
      </c>
      <c r="CC4131" t="s">
        <v>93</v>
      </c>
      <c r="CD4131">
        <v>4051</v>
      </c>
      <c r="CE4131" t="s">
        <v>145</v>
      </c>
      <c r="CF4131" s="3">
        <v>45867</v>
      </c>
      <c r="CI4131">
        <v>1</v>
      </c>
      <c r="CJ4131">
        <v>1</v>
      </c>
      <c r="CK4131">
        <v>21</v>
      </c>
      <c r="CL4131" t="s">
        <v>86</v>
      </c>
    </row>
    <row r="4132" spans="1:90" x14ac:dyDescent="0.3">
      <c r="A4132" t="s">
        <v>72</v>
      </c>
      <c r="B4132" t="s">
        <v>73</v>
      </c>
      <c r="C4132" t="s">
        <v>74</v>
      </c>
      <c r="E4132" t="str">
        <f>"080066824131"</f>
        <v>080066824131</v>
      </c>
      <c r="F4132" s="3">
        <v>45866</v>
      </c>
      <c r="G4132">
        <v>202604</v>
      </c>
      <c r="H4132" t="s">
        <v>75</v>
      </c>
      <c r="I4132" t="s">
        <v>76</v>
      </c>
      <c r="J4132" t="s">
        <v>77</v>
      </c>
      <c r="K4132" t="s">
        <v>78</v>
      </c>
      <c r="L4132" t="s">
        <v>151</v>
      </c>
      <c r="M4132" t="s">
        <v>152</v>
      </c>
      <c r="N4132" t="s">
        <v>510</v>
      </c>
      <c r="O4132" t="s">
        <v>82</v>
      </c>
      <c r="P4132" t="str">
        <f>"4170051229                    "</f>
        <v xml:space="preserve">4170051229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22.6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71.2</v>
      </c>
      <c r="BM4132">
        <v>10.68</v>
      </c>
      <c r="BN4132">
        <v>81.88</v>
      </c>
      <c r="BO4132">
        <v>81.88</v>
      </c>
      <c r="BQ4132" t="s">
        <v>511</v>
      </c>
      <c r="BR4132" t="s">
        <v>84</v>
      </c>
      <c r="BS4132" s="3">
        <v>45867</v>
      </c>
      <c r="BT4132" s="4">
        <v>0.34583333333333333</v>
      </c>
      <c r="BU4132" t="s">
        <v>512</v>
      </c>
      <c r="BV4132" t="s">
        <v>98</v>
      </c>
      <c r="BY4132">
        <v>1200</v>
      </c>
      <c r="CA4132" t="s">
        <v>513</v>
      </c>
      <c r="CC4132" t="s">
        <v>152</v>
      </c>
      <c r="CD4132" s="5" t="s">
        <v>389</v>
      </c>
      <c r="CE4132" t="s">
        <v>121</v>
      </c>
      <c r="CF4132" s="3">
        <v>45867</v>
      </c>
      <c r="CI4132">
        <v>1</v>
      </c>
      <c r="CJ4132">
        <v>1</v>
      </c>
      <c r="CK4132">
        <v>21</v>
      </c>
      <c r="CL4132" t="s">
        <v>86</v>
      </c>
    </row>
    <row r="4133" spans="1:90" x14ac:dyDescent="0.3">
      <c r="A4133" t="s">
        <v>72</v>
      </c>
      <c r="B4133" t="s">
        <v>73</v>
      </c>
      <c r="C4133" t="s">
        <v>74</v>
      </c>
      <c r="E4133" t="str">
        <f>"080066825327"</f>
        <v>080066825327</v>
      </c>
      <c r="F4133" s="3">
        <v>45866</v>
      </c>
      <c r="G4133">
        <v>202604</v>
      </c>
      <c r="H4133" t="s">
        <v>75</v>
      </c>
      <c r="I4133" t="s">
        <v>76</v>
      </c>
      <c r="J4133" t="s">
        <v>77</v>
      </c>
      <c r="K4133" t="s">
        <v>78</v>
      </c>
      <c r="L4133" t="s">
        <v>240</v>
      </c>
      <c r="M4133" t="s">
        <v>241</v>
      </c>
      <c r="N4133" t="s">
        <v>457</v>
      </c>
      <c r="O4133" t="s">
        <v>82</v>
      </c>
      <c r="P4133" t="str">
        <f>"4170051285                    "</f>
        <v xml:space="preserve">4170051285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17.649999999999999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16.739999999999998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72.349999999999994</v>
      </c>
      <c r="BM4133">
        <v>10.85</v>
      </c>
      <c r="BN4133">
        <v>83.2</v>
      </c>
      <c r="BO4133">
        <v>83.2</v>
      </c>
      <c r="BQ4133" t="s">
        <v>458</v>
      </c>
      <c r="BR4133" t="s">
        <v>84</v>
      </c>
      <c r="BS4133" s="3">
        <v>45867</v>
      </c>
      <c r="BT4133" s="4">
        <v>0.43055555555555558</v>
      </c>
      <c r="BU4133" t="s">
        <v>2631</v>
      </c>
      <c r="BV4133" t="s">
        <v>98</v>
      </c>
      <c r="BY4133">
        <v>1200</v>
      </c>
      <c r="BZ4133" t="s">
        <v>30</v>
      </c>
      <c r="CA4133" t="s">
        <v>461</v>
      </c>
      <c r="CC4133" t="s">
        <v>241</v>
      </c>
      <c r="CD4133">
        <v>2188</v>
      </c>
      <c r="CE4133" t="s">
        <v>121</v>
      </c>
      <c r="CF4133" s="3">
        <v>45868</v>
      </c>
      <c r="CI4133">
        <v>1</v>
      </c>
      <c r="CJ4133">
        <v>1</v>
      </c>
      <c r="CK4133">
        <v>22</v>
      </c>
      <c r="CL4133" t="s">
        <v>86</v>
      </c>
    </row>
    <row r="4134" spans="1:90" x14ac:dyDescent="0.3">
      <c r="A4134" t="s">
        <v>72</v>
      </c>
      <c r="B4134" t="s">
        <v>73</v>
      </c>
      <c r="C4134" t="s">
        <v>74</v>
      </c>
      <c r="E4134" t="str">
        <f>"080066825448"</f>
        <v>080066825448</v>
      </c>
      <c r="F4134" s="3">
        <v>45866</v>
      </c>
      <c r="G4134">
        <v>202604</v>
      </c>
      <c r="H4134" t="s">
        <v>75</v>
      </c>
      <c r="I4134" t="s">
        <v>76</v>
      </c>
      <c r="J4134" t="s">
        <v>77</v>
      </c>
      <c r="K4134" t="s">
        <v>78</v>
      </c>
      <c r="L4134" t="s">
        <v>122</v>
      </c>
      <c r="M4134" t="s">
        <v>123</v>
      </c>
      <c r="N4134" t="s">
        <v>124</v>
      </c>
      <c r="O4134" t="s">
        <v>82</v>
      </c>
      <c r="P4134" t="str">
        <f>"4170051199                    "</f>
        <v xml:space="preserve">4170051199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22.6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71.2</v>
      </c>
      <c r="BM4134">
        <v>10.68</v>
      </c>
      <c r="BN4134">
        <v>81.88</v>
      </c>
      <c r="BO4134">
        <v>81.88</v>
      </c>
      <c r="BQ4134" t="s">
        <v>125</v>
      </c>
      <c r="BR4134" t="s">
        <v>84</v>
      </c>
      <c r="BS4134" s="3">
        <v>45867</v>
      </c>
      <c r="BT4134" s="4">
        <v>0.4375</v>
      </c>
      <c r="BU4134" t="s">
        <v>3681</v>
      </c>
      <c r="BV4134" t="s">
        <v>98</v>
      </c>
      <c r="BY4134">
        <v>1200</v>
      </c>
      <c r="CA4134" t="s">
        <v>3682</v>
      </c>
      <c r="CC4134" t="s">
        <v>123</v>
      </c>
      <c r="CD4134">
        <v>4037</v>
      </c>
      <c r="CE4134" t="s">
        <v>121</v>
      </c>
      <c r="CF4134" s="3">
        <v>45867</v>
      </c>
      <c r="CI4134">
        <v>1</v>
      </c>
      <c r="CJ4134">
        <v>1</v>
      </c>
      <c r="CK4134">
        <v>21</v>
      </c>
      <c r="CL4134" t="s">
        <v>86</v>
      </c>
    </row>
    <row r="4135" spans="1:90" x14ac:dyDescent="0.3">
      <c r="A4135" t="s">
        <v>72</v>
      </c>
      <c r="B4135" t="s">
        <v>73</v>
      </c>
      <c r="C4135" t="s">
        <v>74</v>
      </c>
      <c r="E4135" t="str">
        <f>"080066825506"</f>
        <v>080066825506</v>
      </c>
      <c r="F4135" s="3">
        <v>45866</v>
      </c>
      <c r="G4135">
        <v>202604</v>
      </c>
      <c r="H4135" t="s">
        <v>75</v>
      </c>
      <c r="I4135" t="s">
        <v>76</v>
      </c>
      <c r="J4135" t="s">
        <v>77</v>
      </c>
      <c r="K4135" t="s">
        <v>78</v>
      </c>
      <c r="L4135" t="s">
        <v>305</v>
      </c>
      <c r="M4135" t="s">
        <v>306</v>
      </c>
      <c r="N4135" t="s">
        <v>1320</v>
      </c>
      <c r="O4135" t="s">
        <v>82</v>
      </c>
      <c r="P4135" t="str">
        <f>"4170051202                    "</f>
        <v xml:space="preserve">4170051202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22.6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71.2</v>
      </c>
      <c r="BM4135">
        <v>10.68</v>
      </c>
      <c r="BN4135">
        <v>81.88</v>
      </c>
      <c r="BO4135">
        <v>81.88</v>
      </c>
      <c r="BQ4135" t="s">
        <v>308</v>
      </c>
      <c r="BR4135" t="s">
        <v>84</v>
      </c>
      <c r="BS4135" s="3">
        <v>45867</v>
      </c>
      <c r="BT4135" s="4">
        <v>0.4375</v>
      </c>
      <c r="BU4135" t="s">
        <v>3683</v>
      </c>
      <c r="BV4135" t="s">
        <v>98</v>
      </c>
      <c r="BY4135">
        <v>1200</v>
      </c>
      <c r="CA4135" t="s">
        <v>2174</v>
      </c>
      <c r="CC4135" t="s">
        <v>306</v>
      </c>
      <c r="CD4135">
        <v>5200</v>
      </c>
      <c r="CE4135" t="s">
        <v>121</v>
      </c>
      <c r="CF4135" s="3">
        <v>45867</v>
      </c>
      <c r="CI4135">
        <v>1</v>
      </c>
      <c r="CJ4135">
        <v>1</v>
      </c>
      <c r="CK4135">
        <v>21</v>
      </c>
      <c r="CL4135" t="s">
        <v>86</v>
      </c>
    </row>
    <row r="4136" spans="1:90" x14ac:dyDescent="0.3">
      <c r="A4136" t="s">
        <v>72</v>
      </c>
      <c r="B4136" t="s">
        <v>73</v>
      </c>
      <c r="C4136" t="s">
        <v>74</v>
      </c>
      <c r="E4136" t="str">
        <f>"080066825675"</f>
        <v>080066825675</v>
      </c>
      <c r="F4136" s="3">
        <v>45866</v>
      </c>
      <c r="G4136">
        <v>202604</v>
      </c>
      <c r="H4136" t="s">
        <v>75</v>
      </c>
      <c r="I4136" t="s">
        <v>76</v>
      </c>
      <c r="J4136" t="s">
        <v>77</v>
      </c>
      <c r="K4136" t="s">
        <v>78</v>
      </c>
      <c r="L4136" t="s">
        <v>122</v>
      </c>
      <c r="M4136" t="s">
        <v>123</v>
      </c>
      <c r="N4136" t="s">
        <v>2340</v>
      </c>
      <c r="O4136" t="s">
        <v>82</v>
      </c>
      <c r="P4136" t="str">
        <f>"4170051162                    "</f>
        <v xml:space="preserve">4170051162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84.7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2</v>
      </c>
      <c r="BI4136">
        <v>7</v>
      </c>
      <c r="BJ4136">
        <v>7.2</v>
      </c>
      <c r="BK4136">
        <v>7.5</v>
      </c>
      <c r="BL4136">
        <v>266.83999999999997</v>
      </c>
      <c r="BM4136">
        <v>40.03</v>
      </c>
      <c r="BN4136">
        <v>306.87</v>
      </c>
      <c r="BO4136">
        <v>306.87</v>
      </c>
      <c r="BQ4136" t="s">
        <v>2341</v>
      </c>
      <c r="BR4136" t="s">
        <v>84</v>
      </c>
      <c r="BS4136" s="3">
        <v>45867</v>
      </c>
      <c r="BT4136" s="4">
        <v>0.40555555555555556</v>
      </c>
      <c r="BU4136" t="s">
        <v>2230</v>
      </c>
      <c r="BV4136" t="s">
        <v>98</v>
      </c>
      <c r="BY4136">
        <v>36005</v>
      </c>
      <c r="CA4136" t="s">
        <v>187</v>
      </c>
      <c r="CC4136" t="s">
        <v>123</v>
      </c>
      <c r="CD4136">
        <v>3610</v>
      </c>
      <c r="CE4136" t="s">
        <v>91</v>
      </c>
      <c r="CF4136" s="3">
        <v>45868</v>
      </c>
      <c r="CI4136">
        <v>1</v>
      </c>
      <c r="CJ4136">
        <v>1</v>
      </c>
      <c r="CK4136">
        <v>21</v>
      </c>
      <c r="CL4136" t="s">
        <v>86</v>
      </c>
    </row>
    <row r="4137" spans="1:90" x14ac:dyDescent="0.3">
      <c r="A4137" t="s">
        <v>72</v>
      </c>
      <c r="B4137" t="s">
        <v>73</v>
      </c>
      <c r="C4137" t="s">
        <v>74</v>
      </c>
      <c r="E4137" t="str">
        <f>"080066825922"</f>
        <v>080066825922</v>
      </c>
      <c r="F4137" s="3">
        <v>45866</v>
      </c>
      <c r="G4137">
        <v>202604</v>
      </c>
      <c r="H4137" t="s">
        <v>75</v>
      </c>
      <c r="I4137" t="s">
        <v>76</v>
      </c>
      <c r="J4137" t="s">
        <v>77</v>
      </c>
      <c r="K4137" t="s">
        <v>78</v>
      </c>
      <c r="L4137" t="s">
        <v>151</v>
      </c>
      <c r="M4137" t="s">
        <v>152</v>
      </c>
      <c r="N4137" t="s">
        <v>325</v>
      </c>
      <c r="O4137" t="s">
        <v>82</v>
      </c>
      <c r="P4137" t="str">
        <f>"4170051210                    "</f>
        <v xml:space="preserve">4170051210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22.6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71.2</v>
      </c>
      <c r="BM4137">
        <v>10.68</v>
      </c>
      <c r="BN4137">
        <v>81.88</v>
      </c>
      <c r="BO4137">
        <v>81.88</v>
      </c>
      <c r="BQ4137" t="s">
        <v>326</v>
      </c>
      <c r="BR4137" t="s">
        <v>84</v>
      </c>
      <c r="BS4137" s="3">
        <v>45867</v>
      </c>
      <c r="BT4137" s="4">
        <v>0.42638888888888887</v>
      </c>
      <c r="BU4137" t="s">
        <v>3028</v>
      </c>
      <c r="BV4137" t="s">
        <v>98</v>
      </c>
      <c r="BY4137">
        <v>1200</v>
      </c>
      <c r="CA4137" t="s">
        <v>513</v>
      </c>
      <c r="CC4137" t="s">
        <v>152</v>
      </c>
      <c r="CD4137" s="5" t="s">
        <v>1141</v>
      </c>
      <c r="CE4137" t="s">
        <v>121</v>
      </c>
      <c r="CF4137" s="3">
        <v>45867</v>
      </c>
      <c r="CI4137">
        <v>1</v>
      </c>
      <c r="CJ4137">
        <v>1</v>
      </c>
      <c r="CK4137">
        <v>21</v>
      </c>
      <c r="CL4137" t="s">
        <v>86</v>
      </c>
    </row>
    <row r="4138" spans="1:90" x14ac:dyDescent="0.3">
      <c r="A4138" t="s">
        <v>72</v>
      </c>
      <c r="B4138" t="s">
        <v>73</v>
      </c>
      <c r="C4138" t="s">
        <v>74</v>
      </c>
      <c r="E4138" t="str">
        <f>"080066825948"</f>
        <v>080066825948</v>
      </c>
      <c r="F4138" s="3">
        <v>45866</v>
      </c>
      <c r="G4138">
        <v>202604</v>
      </c>
      <c r="H4138" t="s">
        <v>75</v>
      </c>
      <c r="I4138" t="s">
        <v>76</v>
      </c>
      <c r="J4138" t="s">
        <v>77</v>
      </c>
      <c r="K4138" t="s">
        <v>78</v>
      </c>
      <c r="L4138" t="s">
        <v>122</v>
      </c>
      <c r="M4138" t="s">
        <v>123</v>
      </c>
      <c r="N4138" t="s">
        <v>209</v>
      </c>
      <c r="O4138" t="s">
        <v>82</v>
      </c>
      <c r="P4138" t="str">
        <f>"4170051442                    "</f>
        <v xml:space="preserve">4170051442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22.6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71.2</v>
      </c>
      <c r="BM4138">
        <v>10.68</v>
      </c>
      <c r="BN4138">
        <v>81.88</v>
      </c>
      <c r="BO4138">
        <v>81.88</v>
      </c>
      <c r="BQ4138" t="s">
        <v>210</v>
      </c>
      <c r="BR4138" t="s">
        <v>84</v>
      </c>
      <c r="BS4138" s="3">
        <v>45867</v>
      </c>
      <c r="BT4138" s="4">
        <v>0.41736111111111113</v>
      </c>
      <c r="BU4138" t="s">
        <v>211</v>
      </c>
      <c r="BV4138" t="s">
        <v>98</v>
      </c>
      <c r="BY4138">
        <v>1200</v>
      </c>
      <c r="CA4138" t="s">
        <v>187</v>
      </c>
      <c r="CC4138" t="s">
        <v>123</v>
      </c>
      <c r="CD4138">
        <v>3600</v>
      </c>
      <c r="CE4138" t="s">
        <v>121</v>
      </c>
      <c r="CF4138" s="3">
        <v>45868</v>
      </c>
      <c r="CI4138">
        <v>1</v>
      </c>
      <c r="CJ4138">
        <v>1</v>
      </c>
      <c r="CK4138">
        <v>21</v>
      </c>
      <c r="CL4138" t="s">
        <v>86</v>
      </c>
    </row>
    <row r="4139" spans="1:90" x14ac:dyDescent="0.3">
      <c r="A4139" t="s">
        <v>72</v>
      </c>
      <c r="B4139" t="s">
        <v>73</v>
      </c>
      <c r="C4139" t="s">
        <v>74</v>
      </c>
      <c r="E4139" t="str">
        <f>"080066825979"</f>
        <v>080066825979</v>
      </c>
      <c r="F4139" s="3">
        <v>45866</v>
      </c>
      <c r="G4139">
        <v>202604</v>
      </c>
      <c r="H4139" t="s">
        <v>75</v>
      </c>
      <c r="I4139" t="s">
        <v>76</v>
      </c>
      <c r="J4139" t="s">
        <v>77</v>
      </c>
      <c r="K4139" t="s">
        <v>78</v>
      </c>
      <c r="L4139" t="s">
        <v>92</v>
      </c>
      <c r="M4139" t="s">
        <v>93</v>
      </c>
      <c r="N4139" t="s">
        <v>334</v>
      </c>
      <c r="O4139" t="s">
        <v>82</v>
      </c>
      <c r="P4139" t="str">
        <f>"4170051326                    "</f>
        <v xml:space="preserve">4170051326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22.6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71.2</v>
      </c>
      <c r="BM4139">
        <v>10.68</v>
      </c>
      <c r="BN4139">
        <v>81.88</v>
      </c>
      <c r="BO4139">
        <v>81.88</v>
      </c>
      <c r="BQ4139" t="s">
        <v>335</v>
      </c>
      <c r="BR4139" t="s">
        <v>84</v>
      </c>
      <c r="BS4139" s="3">
        <v>45867</v>
      </c>
      <c r="BT4139" s="4">
        <v>0.39791666666666664</v>
      </c>
      <c r="BU4139" t="s">
        <v>1365</v>
      </c>
      <c r="BV4139" t="s">
        <v>98</v>
      </c>
      <c r="BY4139">
        <v>1200</v>
      </c>
      <c r="CA4139" t="s">
        <v>337</v>
      </c>
      <c r="CC4139" t="s">
        <v>93</v>
      </c>
      <c r="CD4139">
        <v>4052</v>
      </c>
      <c r="CE4139" t="s">
        <v>121</v>
      </c>
      <c r="CF4139" s="3">
        <v>45867</v>
      </c>
      <c r="CI4139">
        <v>1</v>
      </c>
      <c r="CJ4139">
        <v>1</v>
      </c>
      <c r="CK4139">
        <v>21</v>
      </c>
      <c r="CL4139" t="s">
        <v>86</v>
      </c>
    </row>
    <row r="4140" spans="1:90" x14ac:dyDescent="0.3">
      <c r="A4140" t="s">
        <v>72</v>
      </c>
      <c r="B4140" t="s">
        <v>73</v>
      </c>
      <c r="C4140" t="s">
        <v>74</v>
      </c>
      <c r="E4140" t="str">
        <f>"080066826009"</f>
        <v>080066826009</v>
      </c>
      <c r="F4140" s="3">
        <v>45866</v>
      </c>
      <c r="G4140">
        <v>202604</v>
      </c>
      <c r="H4140" t="s">
        <v>75</v>
      </c>
      <c r="I4140" t="s">
        <v>76</v>
      </c>
      <c r="J4140" t="s">
        <v>77</v>
      </c>
      <c r="K4140" t="s">
        <v>78</v>
      </c>
      <c r="L4140" t="s">
        <v>503</v>
      </c>
      <c r="M4140" t="s">
        <v>504</v>
      </c>
      <c r="N4140" t="s">
        <v>505</v>
      </c>
      <c r="O4140" t="s">
        <v>82</v>
      </c>
      <c r="P4140" t="str">
        <f>"4170051192                    "</f>
        <v xml:space="preserve">4170051192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43.78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137.94</v>
      </c>
      <c r="BM4140">
        <v>20.69</v>
      </c>
      <c r="BN4140">
        <v>158.63</v>
      </c>
      <c r="BO4140">
        <v>158.63</v>
      </c>
      <c r="BQ4140" t="s">
        <v>506</v>
      </c>
      <c r="BR4140" t="s">
        <v>84</v>
      </c>
      <c r="BS4140" s="3">
        <v>45867</v>
      </c>
      <c r="BT4140" s="4">
        <v>0.4236111111111111</v>
      </c>
      <c r="BU4140" t="s">
        <v>161</v>
      </c>
      <c r="BV4140" t="s">
        <v>98</v>
      </c>
      <c r="BY4140">
        <v>1200</v>
      </c>
      <c r="CA4140" t="s">
        <v>508</v>
      </c>
      <c r="CC4140" t="s">
        <v>504</v>
      </c>
      <c r="CD4140">
        <v>7130</v>
      </c>
      <c r="CE4140" t="s">
        <v>121</v>
      </c>
      <c r="CF4140" s="3">
        <v>45868</v>
      </c>
      <c r="CI4140">
        <v>1</v>
      </c>
      <c r="CJ4140">
        <v>1</v>
      </c>
      <c r="CK4140">
        <v>23</v>
      </c>
      <c r="CL4140" t="s">
        <v>86</v>
      </c>
    </row>
    <row r="4141" spans="1:90" x14ac:dyDescent="0.3">
      <c r="A4141" t="s">
        <v>72</v>
      </c>
      <c r="B4141" t="s">
        <v>73</v>
      </c>
      <c r="C4141" t="s">
        <v>74</v>
      </c>
      <c r="E4141" t="str">
        <f>"080066826031"</f>
        <v>080066826031</v>
      </c>
      <c r="F4141" s="3">
        <v>45866</v>
      </c>
      <c r="G4141">
        <v>202604</v>
      </c>
      <c r="H4141" t="s">
        <v>75</v>
      </c>
      <c r="I4141" t="s">
        <v>76</v>
      </c>
      <c r="J4141" t="s">
        <v>77</v>
      </c>
      <c r="K4141" t="s">
        <v>78</v>
      </c>
      <c r="L4141" t="s">
        <v>168</v>
      </c>
      <c r="M4141" t="s">
        <v>169</v>
      </c>
      <c r="N4141" t="s">
        <v>487</v>
      </c>
      <c r="O4141" t="s">
        <v>82</v>
      </c>
      <c r="P4141" t="str">
        <f>"4170051573                    "</f>
        <v xml:space="preserve">4170051573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22.6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71.2</v>
      </c>
      <c r="BM4141">
        <v>10.68</v>
      </c>
      <c r="BN4141">
        <v>81.88</v>
      </c>
      <c r="BO4141">
        <v>81.88</v>
      </c>
      <c r="BQ4141" t="s">
        <v>488</v>
      </c>
      <c r="BR4141" t="s">
        <v>84</v>
      </c>
      <c r="BS4141" s="3">
        <v>45867</v>
      </c>
      <c r="BT4141" s="4">
        <v>0.38263888888888886</v>
      </c>
      <c r="BU4141" t="s">
        <v>3285</v>
      </c>
      <c r="BV4141" t="s">
        <v>98</v>
      </c>
      <c r="BY4141">
        <v>1200</v>
      </c>
      <c r="CA4141" t="s">
        <v>415</v>
      </c>
      <c r="CC4141" t="s">
        <v>169</v>
      </c>
      <c r="CD4141">
        <v>6012</v>
      </c>
      <c r="CE4141" t="s">
        <v>121</v>
      </c>
      <c r="CF4141" s="3">
        <v>45867</v>
      </c>
      <c r="CI4141">
        <v>1</v>
      </c>
      <c r="CJ4141">
        <v>1</v>
      </c>
      <c r="CK4141">
        <v>21</v>
      </c>
      <c r="CL4141" t="s">
        <v>86</v>
      </c>
    </row>
    <row r="4142" spans="1:90" x14ac:dyDescent="0.3">
      <c r="A4142" t="s">
        <v>72</v>
      </c>
      <c r="B4142" t="s">
        <v>73</v>
      </c>
      <c r="C4142" t="s">
        <v>74</v>
      </c>
      <c r="E4142" t="str">
        <f>"080066826080"</f>
        <v>080066826080</v>
      </c>
      <c r="F4142" s="3">
        <v>45866</v>
      </c>
      <c r="G4142">
        <v>202604</v>
      </c>
      <c r="H4142" t="s">
        <v>75</v>
      </c>
      <c r="I4142" t="s">
        <v>76</v>
      </c>
      <c r="J4142" t="s">
        <v>77</v>
      </c>
      <c r="K4142" t="s">
        <v>78</v>
      </c>
      <c r="L4142" t="s">
        <v>151</v>
      </c>
      <c r="M4142" t="s">
        <v>152</v>
      </c>
      <c r="N4142" t="s">
        <v>510</v>
      </c>
      <c r="O4142" t="s">
        <v>95</v>
      </c>
      <c r="P4142" t="str">
        <f>"4170051566                    "</f>
        <v xml:space="preserve">4170051566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43.7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7</v>
      </c>
      <c r="BJ4142">
        <v>9</v>
      </c>
      <c r="BK4142">
        <v>9</v>
      </c>
      <c r="BL4142">
        <v>143.55000000000001</v>
      </c>
      <c r="BM4142">
        <v>21.53</v>
      </c>
      <c r="BN4142">
        <v>165.08</v>
      </c>
      <c r="BO4142">
        <v>165.08</v>
      </c>
      <c r="BQ4142" t="s">
        <v>511</v>
      </c>
      <c r="BR4142" t="s">
        <v>84</v>
      </c>
      <c r="BS4142" s="3">
        <v>45867</v>
      </c>
      <c r="BT4142" s="4">
        <v>0.34583333333333333</v>
      </c>
      <c r="BU4142" t="s">
        <v>512</v>
      </c>
      <c r="BV4142" t="s">
        <v>98</v>
      </c>
      <c r="BY4142">
        <v>45000</v>
      </c>
      <c r="CA4142" t="s">
        <v>513</v>
      </c>
      <c r="CC4142" t="s">
        <v>152</v>
      </c>
      <c r="CD4142" s="5" t="s">
        <v>514</v>
      </c>
      <c r="CE4142" t="s">
        <v>145</v>
      </c>
      <c r="CF4142" s="3">
        <v>45867</v>
      </c>
      <c r="CI4142">
        <v>1</v>
      </c>
      <c r="CJ4142">
        <v>1</v>
      </c>
      <c r="CK4142">
        <v>41</v>
      </c>
      <c r="CL4142" t="s">
        <v>86</v>
      </c>
    </row>
    <row r="4143" spans="1:90" x14ac:dyDescent="0.3">
      <c r="A4143" t="s">
        <v>72</v>
      </c>
      <c r="B4143" t="s">
        <v>73</v>
      </c>
      <c r="C4143" t="s">
        <v>74</v>
      </c>
      <c r="E4143" t="str">
        <f>"080066826165"</f>
        <v>080066826165</v>
      </c>
      <c r="F4143" s="3">
        <v>45866</v>
      </c>
      <c r="G4143">
        <v>202604</v>
      </c>
      <c r="H4143" t="s">
        <v>75</v>
      </c>
      <c r="I4143" t="s">
        <v>76</v>
      </c>
      <c r="J4143" t="s">
        <v>77</v>
      </c>
      <c r="K4143" t="s">
        <v>78</v>
      </c>
      <c r="L4143" t="s">
        <v>151</v>
      </c>
      <c r="M4143" t="s">
        <v>152</v>
      </c>
      <c r="N4143" t="s">
        <v>3362</v>
      </c>
      <c r="O4143" t="s">
        <v>95</v>
      </c>
      <c r="P4143" t="str">
        <f>"4170051265                    "</f>
        <v xml:space="preserve">4170051265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43.7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2</v>
      </c>
      <c r="BJ4143">
        <v>8.3000000000000007</v>
      </c>
      <c r="BK4143">
        <v>9</v>
      </c>
      <c r="BL4143">
        <v>143.55000000000001</v>
      </c>
      <c r="BM4143">
        <v>21.53</v>
      </c>
      <c r="BN4143">
        <v>165.08</v>
      </c>
      <c r="BO4143">
        <v>165.08</v>
      </c>
      <c r="BQ4143" t="s">
        <v>3363</v>
      </c>
      <c r="BR4143" t="s">
        <v>84</v>
      </c>
      <c r="BS4143" s="3">
        <v>45867</v>
      </c>
      <c r="BT4143" s="4">
        <v>0.51527777777777772</v>
      </c>
      <c r="BU4143" t="s">
        <v>527</v>
      </c>
      <c r="BV4143" t="s">
        <v>98</v>
      </c>
      <c r="BY4143">
        <v>41553</v>
      </c>
      <c r="CA4143" t="s">
        <v>3364</v>
      </c>
      <c r="CC4143" t="s">
        <v>152</v>
      </c>
      <c r="CD4143" s="5" t="s">
        <v>3365</v>
      </c>
      <c r="CE4143" t="s">
        <v>145</v>
      </c>
      <c r="CF4143" s="3">
        <v>45867</v>
      </c>
      <c r="CI4143">
        <v>1</v>
      </c>
      <c r="CJ4143">
        <v>1</v>
      </c>
      <c r="CK4143">
        <v>41</v>
      </c>
      <c r="CL4143" t="s">
        <v>86</v>
      </c>
    </row>
    <row r="4144" spans="1:90" x14ac:dyDescent="0.3">
      <c r="A4144" t="s">
        <v>72</v>
      </c>
      <c r="B4144" t="s">
        <v>73</v>
      </c>
      <c r="C4144" t="s">
        <v>74</v>
      </c>
      <c r="E4144" t="str">
        <f>"080066826202"</f>
        <v>080066826202</v>
      </c>
      <c r="F4144" s="3">
        <v>45866</v>
      </c>
      <c r="G4144">
        <v>202604</v>
      </c>
      <c r="H4144" t="s">
        <v>75</v>
      </c>
      <c r="I4144" t="s">
        <v>76</v>
      </c>
      <c r="J4144" t="s">
        <v>77</v>
      </c>
      <c r="K4144" t="s">
        <v>78</v>
      </c>
      <c r="L4144" t="s">
        <v>168</v>
      </c>
      <c r="M4144" t="s">
        <v>169</v>
      </c>
      <c r="N4144" t="s">
        <v>191</v>
      </c>
      <c r="O4144" t="s">
        <v>82</v>
      </c>
      <c r="P4144" t="str">
        <f>"4170051207                    "</f>
        <v xml:space="preserve">4170051207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22.6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0.5</v>
      </c>
      <c r="BK4144">
        <v>1</v>
      </c>
      <c r="BL4144">
        <v>71.2</v>
      </c>
      <c r="BM4144">
        <v>10.68</v>
      </c>
      <c r="BN4144">
        <v>81.88</v>
      </c>
      <c r="BO4144">
        <v>81.88</v>
      </c>
      <c r="BQ4144" t="s">
        <v>192</v>
      </c>
      <c r="BR4144" t="s">
        <v>84</v>
      </c>
      <c r="BS4144" s="3">
        <v>45867</v>
      </c>
      <c r="BT4144" s="4">
        <v>0.39444444444444443</v>
      </c>
      <c r="BU4144" t="s">
        <v>193</v>
      </c>
      <c r="BV4144" t="s">
        <v>98</v>
      </c>
      <c r="BY4144">
        <v>2560</v>
      </c>
      <c r="CA4144" t="s">
        <v>196</v>
      </c>
      <c r="CC4144" t="s">
        <v>169</v>
      </c>
      <c r="CD4144">
        <v>6056</v>
      </c>
      <c r="CE4144" t="s">
        <v>91</v>
      </c>
      <c r="CF4144" s="3">
        <v>45867</v>
      </c>
      <c r="CI4144">
        <v>1</v>
      </c>
      <c r="CJ4144">
        <v>1</v>
      </c>
      <c r="CK4144">
        <v>21</v>
      </c>
      <c r="CL4144" t="s">
        <v>86</v>
      </c>
    </row>
    <row r="4145" spans="1:90" x14ac:dyDescent="0.3">
      <c r="A4145" t="s">
        <v>72</v>
      </c>
      <c r="B4145" t="s">
        <v>73</v>
      </c>
      <c r="C4145" t="s">
        <v>74</v>
      </c>
      <c r="E4145" t="str">
        <f>"080066826201"</f>
        <v>080066826201</v>
      </c>
      <c r="F4145" s="3">
        <v>45866</v>
      </c>
      <c r="G4145">
        <v>202604</v>
      </c>
      <c r="H4145" t="s">
        <v>75</v>
      </c>
      <c r="I4145" t="s">
        <v>76</v>
      </c>
      <c r="J4145" t="s">
        <v>77</v>
      </c>
      <c r="K4145" t="s">
        <v>78</v>
      </c>
      <c r="L4145" t="s">
        <v>277</v>
      </c>
      <c r="M4145" t="s">
        <v>278</v>
      </c>
      <c r="N4145" t="s">
        <v>279</v>
      </c>
      <c r="O4145" t="s">
        <v>95</v>
      </c>
      <c r="P4145" t="str">
        <f>"4170051314                    "</f>
        <v xml:space="preserve">4170051314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67.16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2</v>
      </c>
      <c r="BI4145">
        <v>28</v>
      </c>
      <c r="BJ4145">
        <v>17.899999999999999</v>
      </c>
      <c r="BK4145">
        <v>28</v>
      </c>
      <c r="BL4145">
        <v>217.45</v>
      </c>
      <c r="BM4145">
        <v>32.619999999999997</v>
      </c>
      <c r="BN4145">
        <v>250.07</v>
      </c>
      <c r="BO4145">
        <v>250.07</v>
      </c>
      <c r="BQ4145" t="s">
        <v>280</v>
      </c>
      <c r="BR4145" t="s">
        <v>84</v>
      </c>
      <c r="BS4145" s="3">
        <v>45868</v>
      </c>
      <c r="BT4145" s="4">
        <v>0.41736111111111113</v>
      </c>
      <c r="BU4145" t="s">
        <v>1124</v>
      </c>
      <c r="BV4145" t="s">
        <v>98</v>
      </c>
      <c r="BY4145">
        <v>44640</v>
      </c>
      <c r="CA4145" t="s">
        <v>282</v>
      </c>
      <c r="CC4145" t="s">
        <v>278</v>
      </c>
      <c r="CD4145">
        <v>6230</v>
      </c>
      <c r="CE4145" t="s">
        <v>2802</v>
      </c>
      <c r="CF4145" s="3">
        <v>45868</v>
      </c>
      <c r="CI4145">
        <v>3</v>
      </c>
      <c r="CJ4145">
        <v>2</v>
      </c>
      <c r="CK4145">
        <v>41</v>
      </c>
      <c r="CL4145" t="s">
        <v>86</v>
      </c>
    </row>
    <row r="4146" spans="1:90" x14ac:dyDescent="0.3">
      <c r="A4146" t="s">
        <v>72</v>
      </c>
      <c r="B4146" t="s">
        <v>73</v>
      </c>
      <c r="C4146" t="s">
        <v>74</v>
      </c>
      <c r="E4146" t="str">
        <f>"080066826255"</f>
        <v>080066826255</v>
      </c>
      <c r="F4146" s="3">
        <v>45866</v>
      </c>
      <c r="G4146">
        <v>202604</v>
      </c>
      <c r="H4146" t="s">
        <v>75</v>
      </c>
      <c r="I4146" t="s">
        <v>76</v>
      </c>
      <c r="J4146" t="s">
        <v>77</v>
      </c>
      <c r="K4146" t="s">
        <v>78</v>
      </c>
      <c r="L4146" t="s">
        <v>1768</v>
      </c>
      <c r="M4146" t="s">
        <v>1769</v>
      </c>
      <c r="N4146" t="s">
        <v>3684</v>
      </c>
      <c r="O4146" t="s">
        <v>95</v>
      </c>
      <c r="P4146" t="str">
        <f>"4170051148                    "</f>
        <v xml:space="preserve">4170051148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184.41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2</v>
      </c>
      <c r="BI4146">
        <v>54</v>
      </c>
      <c r="BJ4146">
        <v>18.3</v>
      </c>
      <c r="BK4146">
        <v>54</v>
      </c>
      <c r="BL4146">
        <v>586.86</v>
      </c>
      <c r="BM4146">
        <v>88.03</v>
      </c>
      <c r="BN4146">
        <v>674.89</v>
      </c>
      <c r="BO4146">
        <v>674.89</v>
      </c>
      <c r="BQ4146" t="s">
        <v>3685</v>
      </c>
      <c r="BR4146" t="s">
        <v>84</v>
      </c>
      <c r="BS4146" s="3">
        <v>45867</v>
      </c>
      <c r="BT4146" s="4">
        <v>0.61736111111111114</v>
      </c>
      <c r="BU4146" t="s">
        <v>3686</v>
      </c>
      <c r="BV4146" t="s">
        <v>98</v>
      </c>
      <c r="BY4146">
        <v>45632</v>
      </c>
      <c r="CA4146" t="s">
        <v>3328</v>
      </c>
      <c r="CC4146" t="s">
        <v>1769</v>
      </c>
      <c r="CD4146">
        <v>2302</v>
      </c>
      <c r="CE4146" t="s">
        <v>145</v>
      </c>
      <c r="CF4146" s="3">
        <v>45867</v>
      </c>
      <c r="CI4146">
        <v>1</v>
      </c>
      <c r="CJ4146">
        <v>1</v>
      </c>
      <c r="CK4146">
        <v>43</v>
      </c>
      <c r="CL4146" t="s">
        <v>86</v>
      </c>
    </row>
    <row r="4147" spans="1:90" x14ac:dyDescent="0.3">
      <c r="A4147" t="s">
        <v>72</v>
      </c>
      <c r="B4147" t="s">
        <v>73</v>
      </c>
      <c r="C4147" t="s">
        <v>74</v>
      </c>
      <c r="E4147" t="str">
        <f>"080066826936"</f>
        <v>080066826936</v>
      </c>
      <c r="F4147" s="3">
        <v>45866</v>
      </c>
      <c r="G4147">
        <v>202604</v>
      </c>
      <c r="H4147" t="s">
        <v>75</v>
      </c>
      <c r="I4147" t="s">
        <v>76</v>
      </c>
      <c r="J4147" t="s">
        <v>77</v>
      </c>
      <c r="K4147" t="s">
        <v>78</v>
      </c>
      <c r="L4147" t="s">
        <v>146</v>
      </c>
      <c r="M4147" t="s">
        <v>146</v>
      </c>
      <c r="N4147" t="s">
        <v>986</v>
      </c>
      <c r="O4147" t="s">
        <v>82</v>
      </c>
      <c r="P4147" t="str">
        <f>"4170051338                    "</f>
        <v xml:space="preserve">4170051338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340.36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2</v>
      </c>
      <c r="BI4147">
        <v>10</v>
      </c>
      <c r="BJ4147">
        <v>16.899999999999999</v>
      </c>
      <c r="BK4147">
        <v>17</v>
      </c>
      <c r="BL4147">
        <v>1072.32</v>
      </c>
      <c r="BM4147">
        <v>160.85</v>
      </c>
      <c r="BN4147">
        <v>1233.17</v>
      </c>
      <c r="BO4147">
        <v>1233.17</v>
      </c>
      <c r="BQ4147" t="s">
        <v>987</v>
      </c>
      <c r="BR4147" t="s">
        <v>84</v>
      </c>
      <c r="BS4147" s="3">
        <v>45867</v>
      </c>
      <c r="BT4147" s="4">
        <v>0.5180555555555556</v>
      </c>
      <c r="BU4147" t="s">
        <v>635</v>
      </c>
      <c r="BV4147" t="s">
        <v>98</v>
      </c>
      <c r="BY4147">
        <v>84565</v>
      </c>
      <c r="CA4147" t="s">
        <v>150</v>
      </c>
      <c r="CC4147" t="s">
        <v>146</v>
      </c>
      <c r="CD4147">
        <v>7646</v>
      </c>
      <c r="CE4147" t="s">
        <v>145</v>
      </c>
      <c r="CF4147" s="3">
        <v>45868</v>
      </c>
      <c r="CI4147">
        <v>1</v>
      </c>
      <c r="CJ4147">
        <v>1</v>
      </c>
      <c r="CK4147">
        <v>23</v>
      </c>
      <c r="CL4147" t="s">
        <v>86</v>
      </c>
    </row>
    <row r="4148" spans="1:90" x14ac:dyDescent="0.3">
      <c r="A4148" t="s">
        <v>72</v>
      </c>
      <c r="B4148" t="s">
        <v>73</v>
      </c>
      <c r="C4148" t="s">
        <v>74</v>
      </c>
      <c r="E4148" t="str">
        <f>"080066827378"</f>
        <v>080066827378</v>
      </c>
      <c r="F4148" s="3">
        <v>45866</v>
      </c>
      <c r="G4148">
        <v>202604</v>
      </c>
      <c r="H4148" t="s">
        <v>75</v>
      </c>
      <c r="I4148" t="s">
        <v>76</v>
      </c>
      <c r="J4148" t="s">
        <v>77</v>
      </c>
      <c r="K4148" t="s">
        <v>78</v>
      </c>
      <c r="L4148" t="s">
        <v>168</v>
      </c>
      <c r="M4148" t="s">
        <v>169</v>
      </c>
      <c r="N4148" t="s">
        <v>206</v>
      </c>
      <c r="O4148" t="s">
        <v>82</v>
      </c>
      <c r="P4148" t="str">
        <f>"4170051362                    "</f>
        <v xml:space="preserve">4170051362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67.760000000000005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6</v>
      </c>
      <c r="BJ4148">
        <v>3.4</v>
      </c>
      <c r="BK4148">
        <v>6</v>
      </c>
      <c r="BL4148">
        <v>213.48</v>
      </c>
      <c r="BM4148">
        <v>32.020000000000003</v>
      </c>
      <c r="BN4148">
        <v>245.5</v>
      </c>
      <c r="BO4148">
        <v>245.5</v>
      </c>
      <c r="BQ4148" t="s">
        <v>207</v>
      </c>
      <c r="BR4148" t="s">
        <v>84</v>
      </c>
      <c r="BS4148" s="3">
        <v>45867</v>
      </c>
      <c r="BT4148" s="4">
        <v>0.38124999999999998</v>
      </c>
      <c r="BU4148" t="s">
        <v>208</v>
      </c>
      <c r="BV4148" t="s">
        <v>98</v>
      </c>
      <c r="BY4148">
        <v>16965</v>
      </c>
      <c r="CA4148" t="s">
        <v>196</v>
      </c>
      <c r="CC4148" t="s">
        <v>169</v>
      </c>
      <c r="CD4148">
        <v>6001</v>
      </c>
      <c r="CE4148" t="s">
        <v>145</v>
      </c>
      <c r="CF4148" s="3">
        <v>45867</v>
      </c>
      <c r="CI4148">
        <v>1</v>
      </c>
      <c r="CJ4148">
        <v>1</v>
      </c>
      <c r="CK4148">
        <v>21</v>
      </c>
      <c r="CL4148" t="s">
        <v>86</v>
      </c>
    </row>
    <row r="4149" spans="1:90" x14ac:dyDescent="0.3">
      <c r="A4149" t="s">
        <v>72</v>
      </c>
      <c r="B4149" t="s">
        <v>73</v>
      </c>
      <c r="C4149" t="s">
        <v>74</v>
      </c>
      <c r="E4149" t="str">
        <f>"080066827421"</f>
        <v>080066827421</v>
      </c>
      <c r="F4149" s="3">
        <v>45866</v>
      </c>
      <c r="G4149">
        <v>202604</v>
      </c>
      <c r="H4149" t="s">
        <v>75</v>
      </c>
      <c r="I4149" t="s">
        <v>76</v>
      </c>
      <c r="J4149" t="s">
        <v>77</v>
      </c>
      <c r="K4149" t="s">
        <v>78</v>
      </c>
      <c r="L4149" t="s">
        <v>79</v>
      </c>
      <c r="M4149" t="s">
        <v>80</v>
      </c>
      <c r="N4149" t="s">
        <v>141</v>
      </c>
      <c r="O4149" t="s">
        <v>82</v>
      </c>
      <c r="P4149" t="str">
        <f>"4170051329                    "</f>
        <v xml:space="preserve">4170051329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45.18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4</v>
      </c>
      <c r="BJ4149">
        <v>1.1000000000000001</v>
      </c>
      <c r="BK4149">
        <v>4</v>
      </c>
      <c r="BL4149">
        <v>142.34</v>
      </c>
      <c r="BM4149">
        <v>21.35</v>
      </c>
      <c r="BN4149">
        <v>163.69</v>
      </c>
      <c r="BO4149">
        <v>163.69</v>
      </c>
      <c r="BQ4149" t="s">
        <v>142</v>
      </c>
      <c r="BR4149" t="s">
        <v>84</v>
      </c>
      <c r="BS4149" s="3">
        <v>45867</v>
      </c>
      <c r="BT4149" s="4">
        <v>0.40763888888888888</v>
      </c>
      <c r="BU4149" t="s">
        <v>2437</v>
      </c>
      <c r="BV4149" t="s">
        <v>98</v>
      </c>
      <c r="BY4149">
        <v>5320</v>
      </c>
      <c r="CA4149" t="s">
        <v>144</v>
      </c>
      <c r="CC4149" t="s">
        <v>80</v>
      </c>
      <c r="CD4149">
        <v>7441</v>
      </c>
      <c r="CE4149" t="s">
        <v>145</v>
      </c>
      <c r="CF4149" s="3">
        <v>45868</v>
      </c>
      <c r="CI4149">
        <v>1</v>
      </c>
      <c r="CJ4149">
        <v>1</v>
      </c>
      <c r="CK4149">
        <v>21</v>
      </c>
      <c r="CL4149" t="s">
        <v>86</v>
      </c>
    </row>
    <row r="4150" spans="1:90" x14ac:dyDescent="0.3">
      <c r="A4150" t="s">
        <v>72</v>
      </c>
      <c r="B4150" t="s">
        <v>73</v>
      </c>
      <c r="C4150" t="s">
        <v>74</v>
      </c>
      <c r="E4150" t="str">
        <f>"080066827502"</f>
        <v>080066827502</v>
      </c>
      <c r="F4150" s="3">
        <v>45866</v>
      </c>
      <c r="G4150">
        <v>202604</v>
      </c>
      <c r="H4150" t="s">
        <v>75</v>
      </c>
      <c r="I4150" t="s">
        <v>76</v>
      </c>
      <c r="J4150" t="s">
        <v>77</v>
      </c>
      <c r="K4150" t="s">
        <v>78</v>
      </c>
      <c r="L4150" t="s">
        <v>79</v>
      </c>
      <c r="M4150" t="s">
        <v>80</v>
      </c>
      <c r="N4150" t="s">
        <v>141</v>
      </c>
      <c r="O4150" t="s">
        <v>82</v>
      </c>
      <c r="P4150" t="str">
        <f>"4170051427                    "</f>
        <v xml:space="preserve">4170051427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39.53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3.4</v>
      </c>
      <c r="BK4150">
        <v>3.5</v>
      </c>
      <c r="BL4150">
        <v>124.55</v>
      </c>
      <c r="BM4150">
        <v>18.68</v>
      </c>
      <c r="BN4150">
        <v>143.22999999999999</v>
      </c>
      <c r="BO4150">
        <v>143.22999999999999</v>
      </c>
      <c r="BQ4150" t="s">
        <v>142</v>
      </c>
      <c r="BR4150" t="s">
        <v>84</v>
      </c>
      <c r="BS4150" s="3">
        <v>45867</v>
      </c>
      <c r="BT4150" s="4">
        <v>0.40763888888888888</v>
      </c>
      <c r="BU4150" t="s">
        <v>2437</v>
      </c>
      <c r="BV4150" t="s">
        <v>98</v>
      </c>
      <c r="BY4150">
        <v>16965</v>
      </c>
      <c r="CA4150" t="s">
        <v>144</v>
      </c>
      <c r="CC4150" t="s">
        <v>80</v>
      </c>
      <c r="CD4150">
        <v>7441</v>
      </c>
      <c r="CE4150" t="s">
        <v>145</v>
      </c>
      <c r="CF4150" s="3">
        <v>45868</v>
      </c>
      <c r="CI4150">
        <v>1</v>
      </c>
      <c r="CJ4150">
        <v>1</v>
      </c>
      <c r="CK4150">
        <v>21</v>
      </c>
      <c r="CL4150" t="s">
        <v>86</v>
      </c>
    </row>
    <row r="4151" spans="1:90" x14ac:dyDescent="0.3">
      <c r="A4151" t="s">
        <v>72</v>
      </c>
      <c r="B4151" t="s">
        <v>73</v>
      </c>
      <c r="C4151" t="s">
        <v>74</v>
      </c>
      <c r="E4151" t="str">
        <f>"080066827545"</f>
        <v>080066827545</v>
      </c>
      <c r="F4151" s="3">
        <v>45866</v>
      </c>
      <c r="G4151">
        <v>202604</v>
      </c>
      <c r="H4151" t="s">
        <v>75</v>
      </c>
      <c r="I4151" t="s">
        <v>76</v>
      </c>
      <c r="J4151" t="s">
        <v>77</v>
      </c>
      <c r="K4151" t="s">
        <v>78</v>
      </c>
      <c r="L4151" t="s">
        <v>305</v>
      </c>
      <c r="M4151" t="s">
        <v>306</v>
      </c>
      <c r="N4151" t="s">
        <v>1320</v>
      </c>
      <c r="O4151" t="s">
        <v>82</v>
      </c>
      <c r="P4151" t="str">
        <f>"4170051449                    "</f>
        <v xml:space="preserve">4170051449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22.6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1</v>
      </c>
      <c r="BJ4151">
        <v>0.6</v>
      </c>
      <c r="BK4151">
        <v>1</v>
      </c>
      <c r="BL4151">
        <v>71.2</v>
      </c>
      <c r="BM4151">
        <v>10.68</v>
      </c>
      <c r="BN4151">
        <v>81.88</v>
      </c>
      <c r="BO4151">
        <v>81.88</v>
      </c>
      <c r="BQ4151" t="s">
        <v>308</v>
      </c>
      <c r="BR4151" t="s">
        <v>84</v>
      </c>
      <c r="BS4151" s="3">
        <v>45867</v>
      </c>
      <c r="BT4151" s="4">
        <v>0.4375</v>
      </c>
      <c r="BU4151" t="s">
        <v>3687</v>
      </c>
      <c r="BV4151" t="s">
        <v>98</v>
      </c>
      <c r="BY4151">
        <v>3192</v>
      </c>
      <c r="CA4151" t="s">
        <v>2174</v>
      </c>
      <c r="CC4151" t="s">
        <v>306</v>
      </c>
      <c r="CD4151">
        <v>5201</v>
      </c>
      <c r="CE4151" t="s">
        <v>145</v>
      </c>
      <c r="CF4151" s="3">
        <v>45867</v>
      </c>
      <c r="CI4151">
        <v>1</v>
      </c>
      <c r="CJ4151">
        <v>1</v>
      </c>
      <c r="CK4151">
        <v>21</v>
      </c>
      <c r="CL4151" t="s">
        <v>86</v>
      </c>
    </row>
    <row r="4152" spans="1:90" x14ac:dyDescent="0.3">
      <c r="A4152" t="s">
        <v>72</v>
      </c>
      <c r="B4152" t="s">
        <v>73</v>
      </c>
      <c r="C4152" t="s">
        <v>74</v>
      </c>
      <c r="E4152" t="str">
        <f>"080066827567"</f>
        <v>080066827567</v>
      </c>
      <c r="F4152" s="3">
        <v>45866</v>
      </c>
      <c r="G4152">
        <v>202604</v>
      </c>
      <c r="H4152" t="s">
        <v>75</v>
      </c>
      <c r="I4152" t="s">
        <v>76</v>
      </c>
      <c r="J4152" t="s">
        <v>77</v>
      </c>
      <c r="K4152" t="s">
        <v>78</v>
      </c>
      <c r="L4152" t="s">
        <v>122</v>
      </c>
      <c r="M4152" t="s">
        <v>123</v>
      </c>
      <c r="N4152" t="s">
        <v>2931</v>
      </c>
      <c r="O4152" t="s">
        <v>82</v>
      </c>
      <c r="P4152" t="str">
        <f>"4170051417                    "</f>
        <v xml:space="preserve">4170051417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22.6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>
        <v>71.2</v>
      </c>
      <c r="BM4152">
        <v>10.68</v>
      </c>
      <c r="BN4152">
        <v>81.88</v>
      </c>
      <c r="BO4152">
        <v>81.88</v>
      </c>
      <c r="BQ4152" t="s">
        <v>2932</v>
      </c>
      <c r="BR4152" t="s">
        <v>84</v>
      </c>
      <c r="BS4152" s="3">
        <v>45867</v>
      </c>
      <c r="BT4152" s="4">
        <v>0.48333333333333334</v>
      </c>
      <c r="BU4152" t="s">
        <v>3688</v>
      </c>
      <c r="BV4152" t="s">
        <v>98</v>
      </c>
      <c r="BY4152">
        <v>1200</v>
      </c>
      <c r="CA4152" t="s">
        <v>3689</v>
      </c>
      <c r="CC4152" t="s">
        <v>123</v>
      </c>
      <c r="CD4152">
        <v>3610</v>
      </c>
      <c r="CE4152" t="s">
        <v>121</v>
      </c>
      <c r="CF4152" s="3">
        <v>45867</v>
      </c>
      <c r="CI4152">
        <v>1</v>
      </c>
      <c r="CJ4152">
        <v>1</v>
      </c>
      <c r="CK4152">
        <v>21</v>
      </c>
      <c r="CL4152" t="s">
        <v>86</v>
      </c>
    </row>
    <row r="4153" spans="1:90" x14ac:dyDescent="0.3">
      <c r="A4153" t="s">
        <v>72</v>
      </c>
      <c r="B4153" t="s">
        <v>73</v>
      </c>
      <c r="C4153" t="s">
        <v>74</v>
      </c>
      <c r="E4153" t="str">
        <f>"080066827933"</f>
        <v>080066827933</v>
      </c>
      <c r="F4153" s="3">
        <v>45866</v>
      </c>
      <c r="G4153">
        <v>202604</v>
      </c>
      <c r="H4153" t="s">
        <v>75</v>
      </c>
      <c r="I4153" t="s">
        <v>76</v>
      </c>
      <c r="J4153" t="s">
        <v>77</v>
      </c>
      <c r="K4153" t="s">
        <v>78</v>
      </c>
      <c r="L4153" t="s">
        <v>277</v>
      </c>
      <c r="M4153" t="s">
        <v>278</v>
      </c>
      <c r="N4153" t="s">
        <v>918</v>
      </c>
      <c r="O4153" t="s">
        <v>82</v>
      </c>
      <c r="P4153" t="str">
        <f>"4170051110                    "</f>
        <v xml:space="preserve">4170051110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79.05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4</v>
      </c>
      <c r="BJ4153">
        <v>6.9</v>
      </c>
      <c r="BK4153">
        <v>7</v>
      </c>
      <c r="BL4153">
        <v>249.05</v>
      </c>
      <c r="BM4153">
        <v>37.36</v>
      </c>
      <c r="BN4153">
        <v>286.41000000000003</v>
      </c>
      <c r="BO4153">
        <v>286.41000000000003</v>
      </c>
      <c r="BQ4153" t="s">
        <v>919</v>
      </c>
      <c r="BR4153" t="s">
        <v>84</v>
      </c>
      <c r="BS4153" s="3">
        <v>45867</v>
      </c>
      <c r="BT4153" s="4">
        <v>0.3611111111111111</v>
      </c>
      <c r="BU4153" t="s">
        <v>3690</v>
      </c>
      <c r="BV4153" t="s">
        <v>98</v>
      </c>
      <c r="BY4153">
        <v>34656</v>
      </c>
      <c r="CA4153" t="s">
        <v>282</v>
      </c>
      <c r="CC4153" t="s">
        <v>278</v>
      </c>
      <c r="CD4153">
        <v>6229</v>
      </c>
      <c r="CE4153" t="s">
        <v>145</v>
      </c>
      <c r="CF4153" s="3">
        <v>45867</v>
      </c>
      <c r="CI4153">
        <v>1</v>
      </c>
      <c r="CJ4153">
        <v>1</v>
      </c>
      <c r="CK4153">
        <v>21</v>
      </c>
      <c r="CL4153" t="s">
        <v>86</v>
      </c>
    </row>
    <row r="4154" spans="1:90" x14ac:dyDescent="0.3">
      <c r="A4154" t="s">
        <v>72</v>
      </c>
      <c r="B4154" t="s">
        <v>73</v>
      </c>
      <c r="C4154" t="s">
        <v>74</v>
      </c>
      <c r="E4154" t="str">
        <f>"080066827970"</f>
        <v>080066827970</v>
      </c>
      <c r="F4154" s="3">
        <v>45866</v>
      </c>
      <c r="G4154">
        <v>202604</v>
      </c>
      <c r="H4154" t="s">
        <v>75</v>
      </c>
      <c r="I4154" t="s">
        <v>76</v>
      </c>
      <c r="J4154" t="s">
        <v>77</v>
      </c>
      <c r="K4154" t="s">
        <v>78</v>
      </c>
      <c r="L4154" t="s">
        <v>168</v>
      </c>
      <c r="M4154" t="s">
        <v>169</v>
      </c>
      <c r="N4154" t="s">
        <v>2157</v>
      </c>
      <c r="O4154" t="s">
        <v>82</v>
      </c>
      <c r="P4154" t="str">
        <f>"4170051428                    "</f>
        <v xml:space="preserve">4170051428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22.6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71.2</v>
      </c>
      <c r="BM4154">
        <v>10.68</v>
      </c>
      <c r="BN4154">
        <v>81.88</v>
      </c>
      <c r="BO4154">
        <v>81.88</v>
      </c>
      <c r="BQ4154" t="s">
        <v>2158</v>
      </c>
      <c r="BR4154" t="s">
        <v>84</v>
      </c>
      <c r="BS4154" s="3">
        <v>45867</v>
      </c>
      <c r="BT4154" s="4">
        <v>0.33958333333333335</v>
      </c>
      <c r="BU4154" t="s">
        <v>3590</v>
      </c>
      <c r="BV4154" t="s">
        <v>98</v>
      </c>
      <c r="BY4154">
        <v>1200</v>
      </c>
      <c r="CA4154" t="s">
        <v>415</v>
      </c>
      <c r="CC4154" t="s">
        <v>169</v>
      </c>
      <c r="CD4154">
        <v>6001</v>
      </c>
      <c r="CE4154" t="s">
        <v>121</v>
      </c>
      <c r="CF4154" s="3">
        <v>45867</v>
      </c>
      <c r="CI4154">
        <v>1</v>
      </c>
      <c r="CJ4154">
        <v>1</v>
      </c>
      <c r="CK4154">
        <v>21</v>
      </c>
      <c r="CL4154" t="s">
        <v>86</v>
      </c>
    </row>
    <row r="4155" spans="1:90" x14ac:dyDescent="0.3">
      <c r="A4155" t="s">
        <v>72</v>
      </c>
      <c r="B4155" t="s">
        <v>73</v>
      </c>
      <c r="C4155" t="s">
        <v>74</v>
      </c>
      <c r="E4155" t="str">
        <f>"080066827975"</f>
        <v>080066827975</v>
      </c>
      <c r="F4155" s="3">
        <v>45866</v>
      </c>
      <c r="G4155">
        <v>202604</v>
      </c>
      <c r="H4155" t="s">
        <v>75</v>
      </c>
      <c r="I4155" t="s">
        <v>76</v>
      </c>
      <c r="J4155" t="s">
        <v>77</v>
      </c>
      <c r="K4155" t="s">
        <v>78</v>
      </c>
      <c r="L4155" t="s">
        <v>168</v>
      </c>
      <c r="M4155" t="s">
        <v>169</v>
      </c>
      <c r="N4155" t="s">
        <v>662</v>
      </c>
      <c r="O4155" t="s">
        <v>82</v>
      </c>
      <c r="P4155" t="str">
        <f>"4170051507                    "</f>
        <v xml:space="preserve">4170051507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22.6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</v>
      </c>
      <c r="BJ4155">
        <v>1.7</v>
      </c>
      <c r="BK4155">
        <v>2</v>
      </c>
      <c r="BL4155">
        <v>71.2</v>
      </c>
      <c r="BM4155">
        <v>10.68</v>
      </c>
      <c r="BN4155">
        <v>81.88</v>
      </c>
      <c r="BO4155">
        <v>81.88</v>
      </c>
      <c r="BQ4155" t="s">
        <v>663</v>
      </c>
      <c r="BR4155" t="s">
        <v>84</v>
      </c>
      <c r="BS4155" s="3">
        <v>45867</v>
      </c>
      <c r="BT4155" s="4">
        <v>0.41666666666666669</v>
      </c>
      <c r="BU4155" t="s">
        <v>3691</v>
      </c>
      <c r="BV4155" t="s">
        <v>98</v>
      </c>
      <c r="BY4155">
        <v>8512</v>
      </c>
      <c r="CA4155" t="s">
        <v>345</v>
      </c>
      <c r="CC4155" t="s">
        <v>169</v>
      </c>
      <c r="CD4155">
        <v>6001</v>
      </c>
      <c r="CE4155" t="s">
        <v>145</v>
      </c>
      <c r="CF4155" s="3">
        <v>45867</v>
      </c>
      <c r="CI4155">
        <v>1</v>
      </c>
      <c r="CJ4155">
        <v>1</v>
      </c>
      <c r="CK4155">
        <v>21</v>
      </c>
      <c r="CL4155" t="s">
        <v>86</v>
      </c>
    </row>
    <row r="4156" spans="1:90" x14ac:dyDescent="0.3">
      <c r="A4156" t="s">
        <v>72</v>
      </c>
      <c r="B4156" t="s">
        <v>73</v>
      </c>
      <c r="C4156" t="s">
        <v>74</v>
      </c>
      <c r="E4156" t="str">
        <f>"080066827993"</f>
        <v>080066827993</v>
      </c>
      <c r="F4156" s="3">
        <v>45866</v>
      </c>
      <c r="G4156">
        <v>202604</v>
      </c>
      <c r="H4156" t="s">
        <v>75</v>
      </c>
      <c r="I4156" t="s">
        <v>76</v>
      </c>
      <c r="J4156" t="s">
        <v>77</v>
      </c>
      <c r="K4156" t="s">
        <v>78</v>
      </c>
      <c r="L4156" t="s">
        <v>168</v>
      </c>
      <c r="M4156" t="s">
        <v>169</v>
      </c>
      <c r="N4156" t="s">
        <v>206</v>
      </c>
      <c r="O4156" t="s">
        <v>82</v>
      </c>
      <c r="P4156" t="str">
        <f>"4170051373                    "</f>
        <v xml:space="preserve">4170051373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22.6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1</v>
      </c>
      <c r="BJ4156">
        <v>0.2</v>
      </c>
      <c r="BK4156">
        <v>1</v>
      </c>
      <c r="BL4156">
        <v>71.2</v>
      </c>
      <c r="BM4156">
        <v>10.68</v>
      </c>
      <c r="BN4156">
        <v>81.88</v>
      </c>
      <c r="BO4156">
        <v>81.88</v>
      </c>
      <c r="BQ4156" t="s">
        <v>207</v>
      </c>
      <c r="BR4156" t="s">
        <v>84</v>
      </c>
      <c r="BS4156" s="3">
        <v>45867</v>
      </c>
      <c r="BT4156" s="4">
        <v>0.38124999999999998</v>
      </c>
      <c r="BU4156" t="s">
        <v>208</v>
      </c>
      <c r="BV4156" t="s">
        <v>98</v>
      </c>
      <c r="BY4156">
        <v>1200</v>
      </c>
      <c r="CA4156" t="s">
        <v>196</v>
      </c>
      <c r="CC4156" t="s">
        <v>169</v>
      </c>
      <c r="CD4156">
        <v>6001</v>
      </c>
      <c r="CE4156" t="s">
        <v>121</v>
      </c>
      <c r="CF4156" s="3">
        <v>45867</v>
      </c>
      <c r="CI4156">
        <v>1</v>
      </c>
      <c r="CJ4156">
        <v>1</v>
      </c>
      <c r="CK4156">
        <v>21</v>
      </c>
      <c r="CL4156" t="s">
        <v>86</v>
      </c>
    </row>
    <row r="4157" spans="1:90" x14ac:dyDescent="0.3">
      <c r="A4157" t="s">
        <v>72</v>
      </c>
      <c r="B4157" t="s">
        <v>73</v>
      </c>
      <c r="C4157" t="s">
        <v>74</v>
      </c>
      <c r="E4157" t="str">
        <f>"080066828017"</f>
        <v>080066828017</v>
      </c>
      <c r="F4157" s="3">
        <v>45866</v>
      </c>
      <c r="G4157">
        <v>202604</v>
      </c>
      <c r="H4157" t="s">
        <v>75</v>
      </c>
      <c r="I4157" t="s">
        <v>76</v>
      </c>
      <c r="J4157" t="s">
        <v>77</v>
      </c>
      <c r="K4157" t="s">
        <v>78</v>
      </c>
      <c r="L4157" t="s">
        <v>122</v>
      </c>
      <c r="M4157" t="s">
        <v>123</v>
      </c>
      <c r="N4157" t="s">
        <v>2931</v>
      </c>
      <c r="O4157" t="s">
        <v>82</v>
      </c>
      <c r="P4157" t="str">
        <f>"4170051420                    "</f>
        <v xml:space="preserve">4170051420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22.6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0.2</v>
      </c>
      <c r="BK4157">
        <v>1</v>
      </c>
      <c r="BL4157">
        <v>71.2</v>
      </c>
      <c r="BM4157">
        <v>10.68</v>
      </c>
      <c r="BN4157">
        <v>81.88</v>
      </c>
      <c r="BO4157">
        <v>81.88</v>
      </c>
      <c r="BQ4157" t="s">
        <v>2932</v>
      </c>
      <c r="BR4157" t="s">
        <v>84</v>
      </c>
      <c r="BS4157" s="3">
        <v>45867</v>
      </c>
      <c r="BT4157" s="4">
        <v>0.48472222222222222</v>
      </c>
      <c r="BU4157" t="s">
        <v>3688</v>
      </c>
      <c r="BV4157" t="s">
        <v>98</v>
      </c>
      <c r="BY4157">
        <v>1200</v>
      </c>
      <c r="CA4157" t="s">
        <v>3689</v>
      </c>
      <c r="CC4157" t="s">
        <v>123</v>
      </c>
      <c r="CD4157">
        <v>3610</v>
      </c>
      <c r="CE4157" t="s">
        <v>110</v>
      </c>
      <c r="CF4157" s="3">
        <v>45867</v>
      </c>
      <c r="CI4157">
        <v>1</v>
      </c>
      <c r="CJ4157">
        <v>1</v>
      </c>
      <c r="CK4157">
        <v>21</v>
      </c>
      <c r="CL4157" t="s">
        <v>86</v>
      </c>
    </row>
    <row r="4158" spans="1:90" x14ac:dyDescent="0.3">
      <c r="A4158" t="s">
        <v>72</v>
      </c>
      <c r="B4158" t="s">
        <v>73</v>
      </c>
      <c r="C4158" t="s">
        <v>74</v>
      </c>
      <c r="E4158" t="str">
        <f>"080066828018"</f>
        <v>080066828018</v>
      </c>
      <c r="F4158" s="3">
        <v>45866</v>
      </c>
      <c r="G4158">
        <v>202604</v>
      </c>
      <c r="H4158" t="s">
        <v>75</v>
      </c>
      <c r="I4158" t="s">
        <v>76</v>
      </c>
      <c r="J4158" t="s">
        <v>77</v>
      </c>
      <c r="K4158" t="s">
        <v>78</v>
      </c>
      <c r="L4158" t="s">
        <v>146</v>
      </c>
      <c r="M4158" t="s">
        <v>146</v>
      </c>
      <c r="N4158" t="s">
        <v>1268</v>
      </c>
      <c r="O4158" t="s">
        <v>82</v>
      </c>
      <c r="P4158" t="str">
        <f>"4170051330                    "</f>
        <v xml:space="preserve">4170051330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63.56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3</v>
      </c>
      <c r="BJ4158">
        <v>1.1000000000000001</v>
      </c>
      <c r="BK4158">
        <v>3</v>
      </c>
      <c r="BL4158">
        <v>200.24</v>
      </c>
      <c r="BM4158">
        <v>30.04</v>
      </c>
      <c r="BN4158">
        <v>230.28</v>
      </c>
      <c r="BO4158">
        <v>230.28</v>
      </c>
      <c r="BQ4158" t="s">
        <v>1269</v>
      </c>
      <c r="BR4158" t="s">
        <v>84</v>
      </c>
      <c r="BS4158" s="3">
        <v>45867</v>
      </c>
      <c r="BT4158" s="4">
        <v>0.45416666666666666</v>
      </c>
      <c r="BU4158" t="s">
        <v>3692</v>
      </c>
      <c r="BV4158" t="s">
        <v>98</v>
      </c>
      <c r="BY4158">
        <v>5655</v>
      </c>
      <c r="CA4158" t="s">
        <v>989</v>
      </c>
      <c r="CC4158" t="s">
        <v>146</v>
      </c>
      <c r="CD4158">
        <v>7646</v>
      </c>
      <c r="CE4158" t="s">
        <v>110</v>
      </c>
      <c r="CF4158" s="3">
        <v>45868</v>
      </c>
      <c r="CI4158">
        <v>1</v>
      </c>
      <c r="CJ4158">
        <v>1</v>
      </c>
      <c r="CK4158">
        <v>23</v>
      </c>
      <c r="CL4158" t="s">
        <v>86</v>
      </c>
    </row>
    <row r="4159" spans="1:90" x14ac:dyDescent="0.3">
      <c r="A4159" t="s">
        <v>72</v>
      </c>
      <c r="B4159" t="s">
        <v>73</v>
      </c>
      <c r="C4159" t="s">
        <v>74</v>
      </c>
      <c r="E4159" t="str">
        <f>"080066828056"</f>
        <v>080066828056</v>
      </c>
      <c r="F4159" s="3">
        <v>45866</v>
      </c>
      <c r="G4159">
        <v>202604</v>
      </c>
      <c r="H4159" t="s">
        <v>75</v>
      </c>
      <c r="I4159" t="s">
        <v>76</v>
      </c>
      <c r="J4159" t="s">
        <v>77</v>
      </c>
      <c r="K4159" t="s">
        <v>78</v>
      </c>
      <c r="L4159" t="s">
        <v>122</v>
      </c>
      <c r="M4159" t="s">
        <v>123</v>
      </c>
      <c r="N4159" t="s">
        <v>2931</v>
      </c>
      <c r="O4159" t="s">
        <v>82</v>
      </c>
      <c r="P4159" t="str">
        <f>"4170051422                    "</f>
        <v xml:space="preserve">4170051422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22.6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71.2</v>
      </c>
      <c r="BM4159">
        <v>10.68</v>
      </c>
      <c r="BN4159">
        <v>81.88</v>
      </c>
      <c r="BO4159">
        <v>81.88</v>
      </c>
      <c r="BQ4159" t="s">
        <v>2932</v>
      </c>
      <c r="BR4159" t="s">
        <v>84</v>
      </c>
      <c r="BS4159" s="3">
        <v>45867</v>
      </c>
      <c r="BT4159" s="4">
        <v>0.4826388888888889</v>
      </c>
      <c r="BU4159" t="s">
        <v>3688</v>
      </c>
      <c r="BV4159" t="s">
        <v>98</v>
      </c>
      <c r="BY4159">
        <v>1200</v>
      </c>
      <c r="CA4159" t="s">
        <v>3689</v>
      </c>
      <c r="CC4159" t="s">
        <v>123</v>
      </c>
      <c r="CD4159">
        <v>3610</v>
      </c>
      <c r="CE4159" t="s">
        <v>110</v>
      </c>
      <c r="CF4159" s="3">
        <v>45867</v>
      </c>
      <c r="CI4159">
        <v>1</v>
      </c>
      <c r="CJ4159">
        <v>1</v>
      </c>
      <c r="CK4159">
        <v>21</v>
      </c>
      <c r="CL4159" t="s">
        <v>86</v>
      </c>
    </row>
    <row r="4160" spans="1:90" x14ac:dyDescent="0.3">
      <c r="A4160" t="s">
        <v>72</v>
      </c>
      <c r="B4160" t="s">
        <v>73</v>
      </c>
      <c r="C4160" t="s">
        <v>74</v>
      </c>
      <c r="E4160" t="str">
        <f>"080066828059"</f>
        <v>080066828059</v>
      </c>
      <c r="F4160" s="3">
        <v>45866</v>
      </c>
      <c r="G4160">
        <v>202604</v>
      </c>
      <c r="H4160" t="s">
        <v>75</v>
      </c>
      <c r="I4160" t="s">
        <v>76</v>
      </c>
      <c r="J4160" t="s">
        <v>77</v>
      </c>
      <c r="K4160" t="s">
        <v>78</v>
      </c>
      <c r="L4160" t="s">
        <v>168</v>
      </c>
      <c r="M4160" t="s">
        <v>169</v>
      </c>
      <c r="N4160" t="s">
        <v>420</v>
      </c>
      <c r="O4160" t="s">
        <v>82</v>
      </c>
      <c r="P4160" t="str">
        <f>"4170051359                    "</f>
        <v xml:space="preserve">4170051359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22.6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0.9</v>
      </c>
      <c r="BK4160">
        <v>1</v>
      </c>
      <c r="BL4160">
        <v>71.2</v>
      </c>
      <c r="BM4160">
        <v>10.68</v>
      </c>
      <c r="BN4160">
        <v>81.88</v>
      </c>
      <c r="BO4160">
        <v>81.88</v>
      </c>
      <c r="BQ4160" t="s">
        <v>421</v>
      </c>
      <c r="BR4160" t="s">
        <v>84</v>
      </c>
      <c r="BS4160" s="3">
        <v>45867</v>
      </c>
      <c r="BT4160" s="4">
        <v>0.4201388888888889</v>
      </c>
      <c r="BU4160" t="s">
        <v>1121</v>
      </c>
      <c r="BV4160" t="s">
        <v>98</v>
      </c>
      <c r="BY4160">
        <v>4560</v>
      </c>
      <c r="CA4160" t="s">
        <v>423</v>
      </c>
      <c r="CC4160" t="s">
        <v>169</v>
      </c>
      <c r="CD4160">
        <v>6001</v>
      </c>
      <c r="CE4160" t="s">
        <v>110</v>
      </c>
      <c r="CF4160" s="3">
        <v>45867</v>
      </c>
      <c r="CI4160">
        <v>1</v>
      </c>
      <c r="CJ4160">
        <v>1</v>
      </c>
      <c r="CK4160">
        <v>21</v>
      </c>
      <c r="CL4160" t="s">
        <v>86</v>
      </c>
    </row>
    <row r="4161" spans="1:90" x14ac:dyDescent="0.3">
      <c r="A4161" t="s">
        <v>72</v>
      </c>
      <c r="B4161" t="s">
        <v>73</v>
      </c>
      <c r="C4161" t="s">
        <v>74</v>
      </c>
      <c r="E4161" t="str">
        <f>"080066828091"</f>
        <v>080066828091</v>
      </c>
      <c r="F4161" s="3">
        <v>45866</v>
      </c>
      <c r="G4161">
        <v>202604</v>
      </c>
      <c r="H4161" t="s">
        <v>75</v>
      </c>
      <c r="I4161" t="s">
        <v>76</v>
      </c>
      <c r="J4161" t="s">
        <v>77</v>
      </c>
      <c r="K4161" t="s">
        <v>78</v>
      </c>
      <c r="L4161" t="s">
        <v>168</v>
      </c>
      <c r="M4161" t="s">
        <v>169</v>
      </c>
      <c r="N4161" t="s">
        <v>206</v>
      </c>
      <c r="O4161" t="s">
        <v>82</v>
      </c>
      <c r="P4161" t="str">
        <f>"4170051214                    "</f>
        <v xml:space="preserve">4170051214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22.6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71.2</v>
      </c>
      <c r="BM4161">
        <v>10.68</v>
      </c>
      <c r="BN4161">
        <v>81.88</v>
      </c>
      <c r="BO4161">
        <v>81.88</v>
      </c>
      <c r="BQ4161" t="s">
        <v>207</v>
      </c>
      <c r="BR4161" t="s">
        <v>84</v>
      </c>
      <c r="BS4161" s="3">
        <v>45867</v>
      </c>
      <c r="BT4161" s="4">
        <v>0.38124999999999998</v>
      </c>
      <c r="BU4161" t="s">
        <v>208</v>
      </c>
      <c r="BV4161" t="s">
        <v>98</v>
      </c>
      <c r="BY4161">
        <v>1200</v>
      </c>
      <c r="CA4161" t="s">
        <v>196</v>
      </c>
      <c r="CC4161" t="s">
        <v>169</v>
      </c>
      <c r="CD4161">
        <v>6001</v>
      </c>
      <c r="CE4161" t="s">
        <v>121</v>
      </c>
      <c r="CF4161" s="3">
        <v>45867</v>
      </c>
      <c r="CI4161">
        <v>1</v>
      </c>
      <c r="CJ4161">
        <v>1</v>
      </c>
      <c r="CK4161">
        <v>21</v>
      </c>
      <c r="CL4161" t="s">
        <v>86</v>
      </c>
    </row>
    <row r="4162" spans="1:90" x14ac:dyDescent="0.3">
      <c r="A4162" t="s">
        <v>72</v>
      </c>
      <c r="B4162" t="s">
        <v>73</v>
      </c>
      <c r="C4162" t="s">
        <v>74</v>
      </c>
      <c r="E4162" t="str">
        <f>"080066828099"</f>
        <v>080066828099</v>
      </c>
      <c r="F4162" s="3">
        <v>45866</v>
      </c>
      <c r="G4162">
        <v>202604</v>
      </c>
      <c r="H4162" t="s">
        <v>75</v>
      </c>
      <c r="I4162" t="s">
        <v>76</v>
      </c>
      <c r="J4162" t="s">
        <v>77</v>
      </c>
      <c r="K4162" t="s">
        <v>78</v>
      </c>
      <c r="L4162" t="s">
        <v>1291</v>
      </c>
      <c r="M4162" t="s">
        <v>1292</v>
      </c>
      <c r="N4162" t="s">
        <v>1293</v>
      </c>
      <c r="O4162" t="s">
        <v>82</v>
      </c>
      <c r="P4162" t="str">
        <f>"4170051268                    "</f>
        <v xml:space="preserve">4170051268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43.78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0.9</v>
      </c>
      <c r="BK4162">
        <v>1</v>
      </c>
      <c r="BL4162">
        <v>137.94</v>
      </c>
      <c r="BM4162">
        <v>20.69</v>
      </c>
      <c r="BN4162">
        <v>158.63</v>
      </c>
      <c r="BO4162">
        <v>158.63</v>
      </c>
      <c r="BQ4162" t="s">
        <v>1294</v>
      </c>
      <c r="BR4162" t="s">
        <v>84</v>
      </c>
      <c r="BS4162" s="3">
        <v>45867</v>
      </c>
      <c r="BT4162" s="4">
        <v>0.46458333333333335</v>
      </c>
      <c r="BU4162" t="s">
        <v>1295</v>
      </c>
      <c r="BV4162" t="s">
        <v>98</v>
      </c>
      <c r="BY4162">
        <v>4275</v>
      </c>
      <c r="CA4162" t="s">
        <v>1296</v>
      </c>
      <c r="CC4162" t="s">
        <v>1292</v>
      </c>
      <c r="CD4162">
        <v>3370</v>
      </c>
      <c r="CE4162" t="s">
        <v>259</v>
      </c>
      <c r="CF4162" s="3">
        <v>45868</v>
      </c>
      <c r="CI4162">
        <v>2</v>
      </c>
      <c r="CJ4162">
        <v>1</v>
      </c>
      <c r="CK4162">
        <v>23</v>
      </c>
      <c r="CL4162" t="s">
        <v>86</v>
      </c>
    </row>
    <row r="4163" spans="1:90" x14ac:dyDescent="0.3">
      <c r="A4163" t="s">
        <v>72</v>
      </c>
      <c r="B4163" t="s">
        <v>73</v>
      </c>
      <c r="C4163" t="s">
        <v>74</v>
      </c>
      <c r="E4163" t="str">
        <f>"080066828126"</f>
        <v>080066828126</v>
      </c>
      <c r="F4163" s="3">
        <v>45866</v>
      </c>
      <c r="G4163">
        <v>202604</v>
      </c>
      <c r="H4163" t="s">
        <v>75</v>
      </c>
      <c r="I4163" t="s">
        <v>76</v>
      </c>
      <c r="J4163" t="s">
        <v>77</v>
      </c>
      <c r="K4163" t="s">
        <v>78</v>
      </c>
      <c r="L4163" t="s">
        <v>240</v>
      </c>
      <c r="M4163" t="s">
        <v>241</v>
      </c>
      <c r="N4163" t="s">
        <v>447</v>
      </c>
      <c r="O4163" t="s">
        <v>82</v>
      </c>
      <c r="P4163" t="str">
        <f>"4170051531                    "</f>
        <v xml:space="preserve">4170051531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17.649999999999999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55.61</v>
      </c>
      <c r="BM4163">
        <v>8.34</v>
      </c>
      <c r="BN4163">
        <v>63.95</v>
      </c>
      <c r="BO4163">
        <v>63.95</v>
      </c>
      <c r="BQ4163" t="s">
        <v>448</v>
      </c>
      <c r="BR4163" t="s">
        <v>84</v>
      </c>
      <c r="BS4163" s="3">
        <v>45867</v>
      </c>
      <c r="BT4163" s="4">
        <v>0.42569444444444443</v>
      </c>
      <c r="BU4163" t="s">
        <v>3293</v>
      </c>
      <c r="BV4163" t="s">
        <v>98</v>
      </c>
      <c r="BY4163">
        <v>1200</v>
      </c>
      <c r="CA4163" t="s">
        <v>451</v>
      </c>
      <c r="CC4163" t="s">
        <v>241</v>
      </c>
      <c r="CD4163">
        <v>2094</v>
      </c>
      <c r="CE4163" t="s">
        <v>121</v>
      </c>
      <c r="CF4163" s="3">
        <v>45867</v>
      </c>
      <c r="CI4163">
        <v>1</v>
      </c>
      <c r="CJ4163">
        <v>1</v>
      </c>
      <c r="CK4163">
        <v>22</v>
      </c>
      <c r="CL4163" t="s">
        <v>86</v>
      </c>
    </row>
    <row r="4164" spans="1:90" x14ac:dyDescent="0.3">
      <c r="A4164" t="s">
        <v>72</v>
      </c>
      <c r="B4164" t="s">
        <v>73</v>
      </c>
      <c r="C4164" t="s">
        <v>74</v>
      </c>
      <c r="E4164" t="str">
        <f>"080066828158"</f>
        <v>080066828158</v>
      </c>
      <c r="F4164" s="3">
        <v>45866</v>
      </c>
      <c r="G4164">
        <v>202604</v>
      </c>
      <c r="H4164" t="s">
        <v>75</v>
      </c>
      <c r="I4164" t="s">
        <v>76</v>
      </c>
      <c r="J4164" t="s">
        <v>77</v>
      </c>
      <c r="K4164" t="s">
        <v>78</v>
      </c>
      <c r="L4164" t="s">
        <v>1400</v>
      </c>
      <c r="M4164" t="s">
        <v>1401</v>
      </c>
      <c r="N4164" t="s">
        <v>606</v>
      </c>
      <c r="O4164" t="s">
        <v>82</v>
      </c>
      <c r="P4164" t="str">
        <f>"4170051559                    "</f>
        <v xml:space="preserve">4170051559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43.78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137.94</v>
      </c>
      <c r="BM4164">
        <v>20.69</v>
      </c>
      <c r="BN4164">
        <v>158.63</v>
      </c>
      <c r="BO4164">
        <v>158.63</v>
      </c>
      <c r="BQ4164" t="s">
        <v>1403</v>
      </c>
      <c r="BR4164" t="s">
        <v>84</v>
      </c>
      <c r="BS4164" s="3">
        <v>45867</v>
      </c>
      <c r="BT4164" s="4">
        <v>0.54791666666666672</v>
      </c>
      <c r="BU4164" t="s">
        <v>3693</v>
      </c>
      <c r="BV4164" t="s">
        <v>98</v>
      </c>
      <c r="BY4164">
        <v>1200</v>
      </c>
      <c r="CA4164" t="s">
        <v>1405</v>
      </c>
      <c r="CC4164" t="s">
        <v>1401</v>
      </c>
      <c r="CD4164">
        <v>4449</v>
      </c>
      <c r="CE4164" t="s">
        <v>121</v>
      </c>
      <c r="CF4164" s="3">
        <v>45868</v>
      </c>
      <c r="CI4164">
        <v>1</v>
      </c>
      <c r="CJ4164">
        <v>1</v>
      </c>
      <c r="CK4164">
        <v>23</v>
      </c>
      <c r="CL4164" t="s">
        <v>86</v>
      </c>
    </row>
    <row r="4165" spans="1:90" x14ac:dyDescent="0.3">
      <c r="A4165" t="s">
        <v>72</v>
      </c>
      <c r="B4165" t="s">
        <v>73</v>
      </c>
      <c r="C4165" t="s">
        <v>74</v>
      </c>
      <c r="E4165" t="str">
        <f>"080066828173"</f>
        <v>080066828173</v>
      </c>
      <c r="F4165" s="3">
        <v>45866</v>
      </c>
      <c r="G4165">
        <v>202604</v>
      </c>
      <c r="H4165" t="s">
        <v>75</v>
      </c>
      <c r="I4165" t="s">
        <v>76</v>
      </c>
      <c r="J4165" t="s">
        <v>77</v>
      </c>
      <c r="K4165" t="s">
        <v>78</v>
      </c>
      <c r="L4165" t="s">
        <v>146</v>
      </c>
      <c r="M4165" t="s">
        <v>146</v>
      </c>
      <c r="N4165" t="s">
        <v>3004</v>
      </c>
      <c r="O4165" t="s">
        <v>82</v>
      </c>
      <c r="P4165" t="str">
        <f>"4170051269                    "</f>
        <v xml:space="preserve">4170051269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83.33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4</v>
      </c>
      <c r="BJ4165">
        <v>1.8</v>
      </c>
      <c r="BK4165">
        <v>4</v>
      </c>
      <c r="BL4165">
        <v>262.52999999999997</v>
      </c>
      <c r="BM4165">
        <v>39.380000000000003</v>
      </c>
      <c r="BN4165">
        <v>301.91000000000003</v>
      </c>
      <c r="BO4165">
        <v>301.91000000000003</v>
      </c>
      <c r="BQ4165" t="s">
        <v>3005</v>
      </c>
      <c r="BR4165" t="s">
        <v>84</v>
      </c>
      <c r="BS4165" s="3">
        <v>45867</v>
      </c>
      <c r="BT4165" s="4">
        <v>0.51041666666666663</v>
      </c>
      <c r="BU4165" t="s">
        <v>3694</v>
      </c>
      <c r="BV4165" t="s">
        <v>98</v>
      </c>
      <c r="BY4165">
        <v>8960</v>
      </c>
      <c r="CA4165" t="s">
        <v>989</v>
      </c>
      <c r="CC4165" t="s">
        <v>146</v>
      </c>
      <c r="CD4165">
        <v>7645</v>
      </c>
      <c r="CE4165" t="s">
        <v>145</v>
      </c>
      <c r="CF4165" s="3">
        <v>45868</v>
      </c>
      <c r="CI4165">
        <v>1</v>
      </c>
      <c r="CJ4165">
        <v>1</v>
      </c>
      <c r="CK4165">
        <v>23</v>
      </c>
      <c r="CL4165" t="s">
        <v>86</v>
      </c>
    </row>
    <row r="4166" spans="1:90" x14ac:dyDescent="0.3">
      <c r="A4166" t="s">
        <v>72</v>
      </c>
      <c r="B4166" t="s">
        <v>73</v>
      </c>
      <c r="C4166" t="s">
        <v>74</v>
      </c>
      <c r="E4166" t="str">
        <f>"080066828692"</f>
        <v>080066828692</v>
      </c>
      <c r="F4166" s="3">
        <v>45866</v>
      </c>
      <c r="G4166">
        <v>202604</v>
      </c>
      <c r="H4166" t="s">
        <v>75</v>
      </c>
      <c r="I4166" t="s">
        <v>76</v>
      </c>
      <c r="J4166" t="s">
        <v>77</v>
      </c>
      <c r="K4166" t="s">
        <v>78</v>
      </c>
      <c r="L4166" t="s">
        <v>122</v>
      </c>
      <c r="M4166" t="s">
        <v>123</v>
      </c>
      <c r="N4166" t="s">
        <v>972</v>
      </c>
      <c r="O4166" t="s">
        <v>82</v>
      </c>
      <c r="P4166" t="str">
        <f>"4170051377                    "</f>
        <v xml:space="preserve">4170051377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22.6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71.2</v>
      </c>
      <c r="BM4166">
        <v>10.68</v>
      </c>
      <c r="BN4166">
        <v>81.88</v>
      </c>
      <c r="BO4166">
        <v>81.88</v>
      </c>
      <c r="BQ4166" t="s">
        <v>973</v>
      </c>
      <c r="BR4166" t="s">
        <v>84</v>
      </c>
      <c r="BS4166" s="3">
        <v>45867</v>
      </c>
      <c r="BT4166" s="4">
        <v>0.44930555555555557</v>
      </c>
      <c r="BU4166" t="s">
        <v>3695</v>
      </c>
      <c r="BV4166" t="s">
        <v>98</v>
      </c>
      <c r="BY4166">
        <v>1200</v>
      </c>
      <c r="CA4166" t="s">
        <v>3689</v>
      </c>
      <c r="CC4166" t="s">
        <v>123</v>
      </c>
      <c r="CD4166">
        <v>3610</v>
      </c>
      <c r="CE4166" t="s">
        <v>121</v>
      </c>
      <c r="CF4166" s="3">
        <v>45867</v>
      </c>
      <c r="CI4166">
        <v>1</v>
      </c>
      <c r="CJ4166">
        <v>1</v>
      </c>
      <c r="CK4166">
        <v>21</v>
      </c>
      <c r="CL4166" t="s">
        <v>86</v>
      </c>
    </row>
    <row r="4167" spans="1:90" x14ac:dyDescent="0.3">
      <c r="A4167" t="s">
        <v>72</v>
      </c>
      <c r="B4167" t="s">
        <v>73</v>
      </c>
      <c r="C4167" t="s">
        <v>74</v>
      </c>
      <c r="E4167" t="str">
        <f>"080066828737"</f>
        <v>080066828737</v>
      </c>
      <c r="F4167" s="3">
        <v>45866</v>
      </c>
      <c r="G4167">
        <v>202604</v>
      </c>
      <c r="H4167" t="s">
        <v>75</v>
      </c>
      <c r="I4167" t="s">
        <v>76</v>
      </c>
      <c r="J4167" t="s">
        <v>77</v>
      </c>
      <c r="K4167" t="s">
        <v>78</v>
      </c>
      <c r="L4167" t="s">
        <v>554</v>
      </c>
      <c r="M4167" t="s">
        <v>555</v>
      </c>
      <c r="N4167" t="s">
        <v>2163</v>
      </c>
      <c r="O4167" t="s">
        <v>82</v>
      </c>
      <c r="P4167" t="str">
        <f>"4170051355                    "</f>
        <v xml:space="preserve">4170051355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22.6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>
        <v>71.2</v>
      </c>
      <c r="BM4167">
        <v>10.68</v>
      </c>
      <c r="BN4167">
        <v>81.88</v>
      </c>
      <c r="BO4167">
        <v>81.88</v>
      </c>
      <c r="BQ4167" t="s">
        <v>2164</v>
      </c>
      <c r="BR4167" t="s">
        <v>84</v>
      </c>
      <c r="BS4167" s="3">
        <v>45867</v>
      </c>
      <c r="BT4167" s="4">
        <v>0.34861111111111109</v>
      </c>
      <c r="BU4167" t="s">
        <v>2631</v>
      </c>
      <c r="BV4167" t="s">
        <v>98</v>
      </c>
      <c r="BY4167">
        <v>1200</v>
      </c>
      <c r="CA4167" t="s">
        <v>156</v>
      </c>
      <c r="CC4167" t="s">
        <v>555</v>
      </c>
      <c r="CD4167" s="5" t="s">
        <v>560</v>
      </c>
      <c r="CE4167" t="s">
        <v>121</v>
      </c>
      <c r="CF4167" s="3">
        <v>45867</v>
      </c>
      <c r="CI4167">
        <v>1</v>
      </c>
      <c r="CJ4167">
        <v>1</v>
      </c>
      <c r="CK4167">
        <v>21</v>
      </c>
      <c r="CL4167" t="s">
        <v>86</v>
      </c>
    </row>
    <row r="4168" spans="1:90" x14ac:dyDescent="0.3">
      <c r="A4168" t="s">
        <v>72</v>
      </c>
      <c r="B4168" t="s">
        <v>73</v>
      </c>
      <c r="C4168" t="s">
        <v>74</v>
      </c>
      <c r="E4168" t="str">
        <f>"080066828780"</f>
        <v>080066828780</v>
      </c>
      <c r="F4168" s="3">
        <v>45866</v>
      </c>
      <c r="G4168">
        <v>202604</v>
      </c>
      <c r="H4168" t="s">
        <v>75</v>
      </c>
      <c r="I4168" t="s">
        <v>76</v>
      </c>
      <c r="J4168" t="s">
        <v>77</v>
      </c>
      <c r="K4168" t="s">
        <v>78</v>
      </c>
      <c r="L4168" t="s">
        <v>168</v>
      </c>
      <c r="M4168" t="s">
        <v>169</v>
      </c>
      <c r="N4168" t="s">
        <v>487</v>
      </c>
      <c r="O4168" t="s">
        <v>82</v>
      </c>
      <c r="P4168" t="str">
        <f>"4170051328                    "</f>
        <v xml:space="preserve">4170051328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22.6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71.2</v>
      </c>
      <c r="BM4168">
        <v>10.68</v>
      </c>
      <c r="BN4168">
        <v>81.88</v>
      </c>
      <c r="BO4168">
        <v>81.88</v>
      </c>
      <c r="BQ4168" t="s">
        <v>488</v>
      </c>
      <c r="BR4168" t="s">
        <v>84</v>
      </c>
      <c r="BS4168" s="3">
        <v>45867</v>
      </c>
      <c r="BT4168" s="4">
        <v>0.38194444444444442</v>
      </c>
      <c r="BU4168" t="s">
        <v>3285</v>
      </c>
      <c r="BV4168" t="s">
        <v>98</v>
      </c>
      <c r="BY4168">
        <v>1200</v>
      </c>
      <c r="CA4168" t="s">
        <v>415</v>
      </c>
      <c r="CC4168" t="s">
        <v>169</v>
      </c>
      <c r="CD4168">
        <v>6012</v>
      </c>
      <c r="CE4168" t="s">
        <v>121</v>
      </c>
      <c r="CF4168" s="3">
        <v>45867</v>
      </c>
      <c r="CI4168">
        <v>1</v>
      </c>
      <c r="CJ4168">
        <v>1</v>
      </c>
      <c r="CK4168">
        <v>21</v>
      </c>
      <c r="CL4168" t="s">
        <v>86</v>
      </c>
    </row>
    <row r="4169" spans="1:90" x14ac:dyDescent="0.3">
      <c r="A4169" t="s">
        <v>72</v>
      </c>
      <c r="B4169" t="s">
        <v>73</v>
      </c>
      <c r="C4169" t="s">
        <v>74</v>
      </c>
      <c r="E4169" t="str">
        <f>"080066828838"</f>
        <v>080066828838</v>
      </c>
      <c r="F4169" s="3">
        <v>45866</v>
      </c>
      <c r="G4169">
        <v>202604</v>
      </c>
      <c r="H4169" t="s">
        <v>75</v>
      </c>
      <c r="I4169" t="s">
        <v>76</v>
      </c>
      <c r="J4169" t="s">
        <v>77</v>
      </c>
      <c r="K4169" t="s">
        <v>78</v>
      </c>
      <c r="L4169" t="s">
        <v>168</v>
      </c>
      <c r="M4169" t="s">
        <v>169</v>
      </c>
      <c r="N4169" t="s">
        <v>206</v>
      </c>
      <c r="O4169" t="s">
        <v>82</v>
      </c>
      <c r="P4169" t="str">
        <f>"4170051367                    "</f>
        <v xml:space="preserve">4170051367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22.6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71.2</v>
      </c>
      <c r="BM4169">
        <v>10.68</v>
      </c>
      <c r="BN4169">
        <v>81.88</v>
      </c>
      <c r="BO4169">
        <v>81.88</v>
      </c>
      <c r="BQ4169" t="s">
        <v>207</v>
      </c>
      <c r="BR4169" t="s">
        <v>84</v>
      </c>
      <c r="BS4169" s="3">
        <v>45867</v>
      </c>
      <c r="BT4169" s="4">
        <v>0.38124999999999998</v>
      </c>
      <c r="BU4169" t="s">
        <v>208</v>
      </c>
      <c r="BV4169" t="s">
        <v>98</v>
      </c>
      <c r="BY4169">
        <v>1200</v>
      </c>
      <c r="CA4169" t="s">
        <v>196</v>
      </c>
      <c r="CC4169" t="s">
        <v>169</v>
      </c>
      <c r="CD4169">
        <v>6001</v>
      </c>
      <c r="CE4169" t="s">
        <v>121</v>
      </c>
      <c r="CF4169" s="3">
        <v>45867</v>
      </c>
      <c r="CI4169">
        <v>1</v>
      </c>
      <c r="CJ4169">
        <v>1</v>
      </c>
      <c r="CK4169">
        <v>21</v>
      </c>
      <c r="CL4169" t="s">
        <v>86</v>
      </c>
    </row>
    <row r="4170" spans="1:90" x14ac:dyDescent="0.3">
      <c r="A4170" t="s">
        <v>72</v>
      </c>
      <c r="B4170" t="s">
        <v>73</v>
      </c>
      <c r="C4170" t="s">
        <v>74</v>
      </c>
      <c r="E4170" t="str">
        <f>"080066828924"</f>
        <v>080066828924</v>
      </c>
      <c r="F4170" s="3">
        <v>45866</v>
      </c>
      <c r="G4170">
        <v>202604</v>
      </c>
      <c r="H4170" t="s">
        <v>75</v>
      </c>
      <c r="I4170" t="s">
        <v>76</v>
      </c>
      <c r="J4170" t="s">
        <v>77</v>
      </c>
      <c r="K4170" t="s">
        <v>78</v>
      </c>
      <c r="L4170" t="s">
        <v>122</v>
      </c>
      <c r="M4170" t="s">
        <v>123</v>
      </c>
      <c r="N4170" t="s">
        <v>2931</v>
      </c>
      <c r="O4170" t="s">
        <v>82</v>
      </c>
      <c r="P4170" t="str">
        <f>"4170051415                    "</f>
        <v xml:space="preserve">4170051415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22.6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71.2</v>
      </c>
      <c r="BM4170">
        <v>10.68</v>
      </c>
      <c r="BN4170">
        <v>81.88</v>
      </c>
      <c r="BO4170">
        <v>81.88</v>
      </c>
      <c r="BQ4170" t="s">
        <v>2932</v>
      </c>
      <c r="BR4170" t="s">
        <v>84</v>
      </c>
      <c r="BS4170" s="3">
        <v>45867</v>
      </c>
      <c r="BT4170" s="4">
        <v>0.48402777777777778</v>
      </c>
      <c r="BU4170" t="s">
        <v>3688</v>
      </c>
      <c r="BV4170" t="s">
        <v>98</v>
      </c>
      <c r="BY4170">
        <v>1200</v>
      </c>
      <c r="CA4170" t="s">
        <v>3689</v>
      </c>
      <c r="CC4170" t="s">
        <v>123</v>
      </c>
      <c r="CD4170">
        <v>3610</v>
      </c>
      <c r="CE4170" t="s">
        <v>121</v>
      </c>
      <c r="CF4170" s="3">
        <v>45867</v>
      </c>
      <c r="CI4170">
        <v>1</v>
      </c>
      <c r="CJ4170">
        <v>1</v>
      </c>
      <c r="CK4170">
        <v>21</v>
      </c>
      <c r="CL4170" t="s">
        <v>86</v>
      </c>
    </row>
    <row r="4171" spans="1:90" x14ac:dyDescent="0.3">
      <c r="A4171" t="s">
        <v>72</v>
      </c>
      <c r="B4171" t="s">
        <v>73</v>
      </c>
      <c r="C4171" t="s">
        <v>74</v>
      </c>
      <c r="E4171" t="str">
        <f>"080066828975"</f>
        <v>080066828975</v>
      </c>
      <c r="F4171" s="3">
        <v>45866</v>
      </c>
      <c r="G4171">
        <v>202604</v>
      </c>
      <c r="H4171" t="s">
        <v>75</v>
      </c>
      <c r="I4171" t="s">
        <v>76</v>
      </c>
      <c r="J4171" t="s">
        <v>77</v>
      </c>
      <c r="K4171" t="s">
        <v>78</v>
      </c>
      <c r="L4171" t="s">
        <v>122</v>
      </c>
      <c r="M4171" t="s">
        <v>123</v>
      </c>
      <c r="N4171" t="s">
        <v>2931</v>
      </c>
      <c r="O4171" t="s">
        <v>82</v>
      </c>
      <c r="P4171" t="str">
        <f>"4170051423                    "</f>
        <v xml:space="preserve">4170051423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22.6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71.2</v>
      </c>
      <c r="BM4171">
        <v>10.68</v>
      </c>
      <c r="BN4171">
        <v>81.88</v>
      </c>
      <c r="BO4171">
        <v>81.88</v>
      </c>
      <c r="BQ4171" t="s">
        <v>2932</v>
      </c>
      <c r="BR4171" t="s">
        <v>84</v>
      </c>
      <c r="BS4171" s="3">
        <v>45867</v>
      </c>
      <c r="BT4171" s="4">
        <v>0.48194444444444445</v>
      </c>
      <c r="BU4171" t="s">
        <v>3688</v>
      </c>
      <c r="BV4171" t="s">
        <v>98</v>
      </c>
      <c r="BY4171">
        <v>1200</v>
      </c>
      <c r="CA4171" t="s">
        <v>3689</v>
      </c>
      <c r="CC4171" t="s">
        <v>123</v>
      </c>
      <c r="CD4171">
        <v>3610</v>
      </c>
      <c r="CE4171" t="s">
        <v>121</v>
      </c>
      <c r="CF4171" s="3">
        <v>45867</v>
      </c>
      <c r="CI4171">
        <v>1</v>
      </c>
      <c r="CJ4171">
        <v>1</v>
      </c>
      <c r="CK4171">
        <v>21</v>
      </c>
      <c r="CL4171" t="s">
        <v>86</v>
      </c>
    </row>
    <row r="4172" spans="1:90" x14ac:dyDescent="0.3">
      <c r="A4172" t="s">
        <v>72</v>
      </c>
      <c r="B4172" t="s">
        <v>73</v>
      </c>
      <c r="C4172" t="s">
        <v>74</v>
      </c>
      <c r="E4172" t="str">
        <f>"080066829118"</f>
        <v>080066829118</v>
      </c>
      <c r="F4172" s="3">
        <v>45866</v>
      </c>
      <c r="G4172">
        <v>202604</v>
      </c>
      <c r="H4172" t="s">
        <v>75</v>
      </c>
      <c r="I4172" t="s">
        <v>76</v>
      </c>
      <c r="J4172" t="s">
        <v>77</v>
      </c>
      <c r="K4172" t="s">
        <v>78</v>
      </c>
      <c r="L4172" t="s">
        <v>79</v>
      </c>
      <c r="M4172" t="s">
        <v>80</v>
      </c>
      <c r="N4172" t="s">
        <v>376</v>
      </c>
      <c r="O4172" t="s">
        <v>82</v>
      </c>
      <c r="P4172" t="str">
        <f>"4170051113                    "</f>
        <v xml:space="preserve">4170051113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67.760000000000005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2</v>
      </c>
      <c r="BI4172">
        <v>6</v>
      </c>
      <c r="BJ4172">
        <v>5</v>
      </c>
      <c r="BK4172">
        <v>6</v>
      </c>
      <c r="BL4172">
        <v>213.48</v>
      </c>
      <c r="BM4172">
        <v>32.020000000000003</v>
      </c>
      <c r="BN4172">
        <v>245.5</v>
      </c>
      <c r="BO4172">
        <v>245.5</v>
      </c>
      <c r="BQ4172" t="s">
        <v>377</v>
      </c>
      <c r="BR4172" t="s">
        <v>84</v>
      </c>
      <c r="BS4172" s="3">
        <v>45867</v>
      </c>
      <c r="BT4172" s="4">
        <v>0.42430555555555555</v>
      </c>
      <c r="BU4172" t="s">
        <v>2916</v>
      </c>
      <c r="BV4172" t="s">
        <v>98</v>
      </c>
      <c r="BY4172">
        <v>24860</v>
      </c>
      <c r="CC4172" t="s">
        <v>80</v>
      </c>
      <c r="CD4172">
        <v>8001</v>
      </c>
      <c r="CE4172" t="s">
        <v>121</v>
      </c>
      <c r="CF4172" s="3">
        <v>45868</v>
      </c>
      <c r="CI4172">
        <v>1</v>
      </c>
      <c r="CJ4172">
        <v>1</v>
      </c>
      <c r="CK4172">
        <v>21</v>
      </c>
      <c r="CL4172" t="s">
        <v>86</v>
      </c>
    </row>
    <row r="4173" spans="1:90" x14ac:dyDescent="0.3">
      <c r="A4173" t="s">
        <v>72</v>
      </c>
      <c r="B4173" t="s">
        <v>73</v>
      </c>
      <c r="C4173" t="s">
        <v>74</v>
      </c>
      <c r="E4173" t="str">
        <f>"080066829234"</f>
        <v>080066829234</v>
      </c>
      <c r="F4173" s="3">
        <v>45866</v>
      </c>
      <c r="G4173">
        <v>202604</v>
      </c>
      <c r="H4173" t="s">
        <v>75</v>
      </c>
      <c r="I4173" t="s">
        <v>76</v>
      </c>
      <c r="J4173" t="s">
        <v>77</v>
      </c>
      <c r="K4173" t="s">
        <v>78</v>
      </c>
      <c r="L4173" t="s">
        <v>75</v>
      </c>
      <c r="M4173" t="s">
        <v>76</v>
      </c>
      <c r="N4173" t="s">
        <v>2208</v>
      </c>
      <c r="O4173" t="s">
        <v>82</v>
      </c>
      <c r="P4173" t="str">
        <f>"4170051506                    "</f>
        <v xml:space="preserve">4170051506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17.649999999999999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1.1000000000000001</v>
      </c>
      <c r="BK4173">
        <v>2</v>
      </c>
      <c r="BL4173">
        <v>55.61</v>
      </c>
      <c r="BM4173">
        <v>8.34</v>
      </c>
      <c r="BN4173">
        <v>63.95</v>
      </c>
      <c r="BO4173">
        <v>63.95</v>
      </c>
      <c r="BQ4173" t="s">
        <v>2209</v>
      </c>
      <c r="BR4173" t="s">
        <v>84</v>
      </c>
      <c r="BS4173" s="3">
        <v>45867</v>
      </c>
      <c r="BT4173" s="4">
        <v>0.42986111111111114</v>
      </c>
      <c r="BU4173" t="s">
        <v>2210</v>
      </c>
      <c r="BV4173" t="s">
        <v>98</v>
      </c>
      <c r="BY4173">
        <v>5320</v>
      </c>
      <c r="BZ4173" t="s">
        <v>89</v>
      </c>
      <c r="CA4173" t="s">
        <v>3696</v>
      </c>
      <c r="CC4173" t="s">
        <v>76</v>
      </c>
      <c r="CD4173">
        <v>1685</v>
      </c>
      <c r="CE4173" t="s">
        <v>145</v>
      </c>
      <c r="CF4173" s="3">
        <v>45868</v>
      </c>
      <c r="CI4173">
        <v>1</v>
      </c>
      <c r="CJ4173">
        <v>1</v>
      </c>
      <c r="CK4173">
        <v>22</v>
      </c>
      <c r="CL4173" t="s">
        <v>86</v>
      </c>
    </row>
    <row r="4174" spans="1:90" x14ac:dyDescent="0.3">
      <c r="A4174" t="s">
        <v>72</v>
      </c>
      <c r="B4174" t="s">
        <v>73</v>
      </c>
      <c r="C4174" t="s">
        <v>74</v>
      </c>
      <c r="E4174" t="str">
        <f>"080066829305"</f>
        <v>080066829305</v>
      </c>
      <c r="F4174" s="3">
        <v>45866</v>
      </c>
      <c r="G4174">
        <v>202604</v>
      </c>
      <c r="H4174" t="s">
        <v>75</v>
      </c>
      <c r="I4174" t="s">
        <v>76</v>
      </c>
      <c r="J4174" t="s">
        <v>77</v>
      </c>
      <c r="K4174" t="s">
        <v>78</v>
      </c>
      <c r="L4174" t="s">
        <v>168</v>
      </c>
      <c r="M4174" t="s">
        <v>169</v>
      </c>
      <c r="N4174" t="s">
        <v>206</v>
      </c>
      <c r="O4174" t="s">
        <v>82</v>
      </c>
      <c r="P4174" t="str">
        <f>"4170051363                    "</f>
        <v xml:space="preserve">4170051363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22.6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2</v>
      </c>
      <c r="BJ4174">
        <v>0.7</v>
      </c>
      <c r="BK4174">
        <v>2</v>
      </c>
      <c r="BL4174">
        <v>71.2</v>
      </c>
      <c r="BM4174">
        <v>10.68</v>
      </c>
      <c r="BN4174">
        <v>81.88</v>
      </c>
      <c r="BO4174">
        <v>81.88</v>
      </c>
      <c r="BQ4174" t="s">
        <v>207</v>
      </c>
      <c r="BR4174" t="s">
        <v>84</v>
      </c>
      <c r="BS4174" s="3">
        <v>45867</v>
      </c>
      <c r="BT4174" s="4">
        <v>0.38194444444444442</v>
      </c>
      <c r="BU4174" t="s">
        <v>208</v>
      </c>
      <c r="BV4174" t="s">
        <v>98</v>
      </c>
      <c r="BY4174">
        <v>3700</v>
      </c>
      <c r="BZ4174" t="s">
        <v>89</v>
      </c>
      <c r="CA4174" t="s">
        <v>196</v>
      </c>
      <c r="CC4174" t="s">
        <v>169</v>
      </c>
      <c r="CD4174">
        <v>6001</v>
      </c>
      <c r="CE4174" t="s">
        <v>91</v>
      </c>
      <c r="CF4174" s="3">
        <v>45867</v>
      </c>
      <c r="CI4174">
        <v>1</v>
      </c>
      <c r="CJ4174">
        <v>1</v>
      </c>
      <c r="CK4174">
        <v>21</v>
      </c>
      <c r="CL4174" t="s">
        <v>86</v>
      </c>
    </row>
    <row r="4175" spans="1:90" x14ac:dyDescent="0.3">
      <c r="A4175" t="s">
        <v>72</v>
      </c>
      <c r="B4175" t="s">
        <v>73</v>
      </c>
      <c r="C4175" t="s">
        <v>74</v>
      </c>
      <c r="E4175" t="str">
        <f>"080066829380"</f>
        <v>080066829380</v>
      </c>
      <c r="F4175" s="3">
        <v>45866</v>
      </c>
      <c r="G4175">
        <v>202604</v>
      </c>
      <c r="H4175" t="s">
        <v>75</v>
      </c>
      <c r="I4175" t="s">
        <v>76</v>
      </c>
      <c r="J4175" t="s">
        <v>77</v>
      </c>
      <c r="K4175" t="s">
        <v>78</v>
      </c>
      <c r="L4175" t="s">
        <v>168</v>
      </c>
      <c r="M4175" t="s">
        <v>169</v>
      </c>
      <c r="N4175" t="s">
        <v>206</v>
      </c>
      <c r="O4175" t="s">
        <v>82</v>
      </c>
      <c r="P4175" t="str">
        <f>"4170051361                    "</f>
        <v xml:space="preserve">4170051361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22.6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2</v>
      </c>
      <c r="BJ4175">
        <v>1</v>
      </c>
      <c r="BK4175">
        <v>2</v>
      </c>
      <c r="BL4175">
        <v>71.2</v>
      </c>
      <c r="BM4175">
        <v>10.68</v>
      </c>
      <c r="BN4175">
        <v>81.88</v>
      </c>
      <c r="BO4175">
        <v>81.88</v>
      </c>
      <c r="BQ4175" t="s">
        <v>207</v>
      </c>
      <c r="BR4175" t="s">
        <v>84</v>
      </c>
      <c r="BS4175" s="3">
        <v>45867</v>
      </c>
      <c r="BT4175" s="4">
        <v>0.38124999999999998</v>
      </c>
      <c r="BU4175" t="s">
        <v>208</v>
      </c>
      <c r="BV4175" t="s">
        <v>98</v>
      </c>
      <c r="BY4175">
        <v>5220</v>
      </c>
      <c r="BZ4175" t="s">
        <v>89</v>
      </c>
      <c r="CA4175" t="s">
        <v>196</v>
      </c>
      <c r="CC4175" t="s">
        <v>169</v>
      </c>
      <c r="CD4175">
        <v>6001</v>
      </c>
      <c r="CE4175" t="s">
        <v>145</v>
      </c>
      <c r="CF4175" s="3">
        <v>45867</v>
      </c>
      <c r="CI4175">
        <v>1</v>
      </c>
      <c r="CJ4175">
        <v>1</v>
      </c>
      <c r="CK4175">
        <v>21</v>
      </c>
      <c r="CL4175" t="s">
        <v>86</v>
      </c>
    </row>
    <row r="4176" spans="1:90" x14ac:dyDescent="0.3">
      <c r="A4176" t="s">
        <v>72</v>
      </c>
      <c r="B4176" t="s">
        <v>73</v>
      </c>
      <c r="C4176" t="s">
        <v>74</v>
      </c>
      <c r="E4176" t="str">
        <f>"080066829443"</f>
        <v>080066829443</v>
      </c>
      <c r="F4176" s="3">
        <v>45866</v>
      </c>
      <c r="G4176">
        <v>202604</v>
      </c>
      <c r="H4176" t="s">
        <v>75</v>
      </c>
      <c r="I4176" t="s">
        <v>76</v>
      </c>
      <c r="J4176" t="s">
        <v>77</v>
      </c>
      <c r="K4176" t="s">
        <v>78</v>
      </c>
      <c r="L4176" t="s">
        <v>670</v>
      </c>
      <c r="M4176" t="s">
        <v>671</v>
      </c>
      <c r="N4176" t="s">
        <v>672</v>
      </c>
      <c r="O4176" t="s">
        <v>82</v>
      </c>
      <c r="P4176" t="str">
        <f>"4170051335                    "</f>
        <v xml:space="preserve">4170051335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17.649999999999999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1</v>
      </c>
      <c r="BK4176">
        <v>1</v>
      </c>
      <c r="BL4176">
        <v>55.61</v>
      </c>
      <c r="BM4176">
        <v>8.34</v>
      </c>
      <c r="BN4176">
        <v>63.95</v>
      </c>
      <c r="BO4176">
        <v>63.95</v>
      </c>
      <c r="BQ4176" t="s">
        <v>673</v>
      </c>
      <c r="BR4176" t="s">
        <v>84</v>
      </c>
      <c r="BS4176" s="3">
        <v>45867</v>
      </c>
      <c r="BT4176" s="4">
        <v>0.41319444444444442</v>
      </c>
      <c r="BU4176" t="s">
        <v>3697</v>
      </c>
      <c r="BV4176" t="s">
        <v>98</v>
      </c>
      <c r="BY4176">
        <v>5220</v>
      </c>
      <c r="BZ4176" t="s">
        <v>89</v>
      </c>
      <c r="CA4176" t="s">
        <v>676</v>
      </c>
      <c r="CC4176" t="s">
        <v>671</v>
      </c>
      <c r="CD4176">
        <v>2163</v>
      </c>
      <c r="CE4176" t="s">
        <v>145</v>
      </c>
      <c r="CF4176" s="3">
        <v>45868</v>
      </c>
      <c r="CI4176">
        <v>1</v>
      </c>
      <c r="CJ4176">
        <v>1</v>
      </c>
      <c r="CK4176">
        <v>22</v>
      </c>
      <c r="CL4176" t="s">
        <v>86</v>
      </c>
    </row>
    <row r="4177" spans="1:90" x14ac:dyDescent="0.3">
      <c r="A4177" t="s">
        <v>72</v>
      </c>
      <c r="B4177" t="s">
        <v>73</v>
      </c>
      <c r="C4177" t="s">
        <v>74</v>
      </c>
      <c r="E4177" t="str">
        <f>"080066829492"</f>
        <v>080066829492</v>
      </c>
      <c r="F4177" s="3">
        <v>45866</v>
      </c>
      <c r="G4177">
        <v>202604</v>
      </c>
      <c r="H4177" t="s">
        <v>75</v>
      </c>
      <c r="I4177" t="s">
        <v>76</v>
      </c>
      <c r="J4177" t="s">
        <v>77</v>
      </c>
      <c r="K4177" t="s">
        <v>78</v>
      </c>
      <c r="L4177" t="s">
        <v>79</v>
      </c>
      <c r="M4177" t="s">
        <v>80</v>
      </c>
      <c r="N4177" t="s">
        <v>141</v>
      </c>
      <c r="O4177" t="s">
        <v>82</v>
      </c>
      <c r="P4177" t="str">
        <f>"4170051525                    "</f>
        <v xml:space="preserve">4170051525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22.6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1</v>
      </c>
      <c r="BK4177">
        <v>1</v>
      </c>
      <c r="BL4177">
        <v>71.2</v>
      </c>
      <c r="BM4177">
        <v>10.68</v>
      </c>
      <c r="BN4177">
        <v>81.88</v>
      </c>
      <c r="BO4177">
        <v>81.88</v>
      </c>
      <c r="BQ4177" t="s">
        <v>142</v>
      </c>
      <c r="BR4177" t="s">
        <v>84</v>
      </c>
      <c r="BS4177" s="3">
        <v>45867</v>
      </c>
      <c r="BT4177" s="4">
        <v>0.40763888888888888</v>
      </c>
      <c r="BU4177" t="s">
        <v>2437</v>
      </c>
      <c r="BV4177" t="s">
        <v>98</v>
      </c>
      <c r="BY4177">
        <v>5220</v>
      </c>
      <c r="CA4177" t="s">
        <v>144</v>
      </c>
      <c r="CC4177" t="s">
        <v>80</v>
      </c>
      <c r="CD4177">
        <v>7441</v>
      </c>
      <c r="CE4177" t="s">
        <v>145</v>
      </c>
      <c r="CF4177" s="3">
        <v>45868</v>
      </c>
      <c r="CI4177">
        <v>1</v>
      </c>
      <c r="CJ4177">
        <v>1</v>
      </c>
      <c r="CK4177">
        <v>21</v>
      </c>
      <c r="CL4177" t="s">
        <v>86</v>
      </c>
    </row>
    <row r="4178" spans="1:90" x14ac:dyDescent="0.3">
      <c r="A4178" t="s">
        <v>72</v>
      </c>
      <c r="B4178" t="s">
        <v>73</v>
      </c>
      <c r="C4178" t="s">
        <v>74</v>
      </c>
      <c r="E4178" t="str">
        <f>"080066829555"</f>
        <v>080066829555</v>
      </c>
      <c r="F4178" s="3">
        <v>45866</v>
      </c>
      <c r="G4178">
        <v>202604</v>
      </c>
      <c r="H4178" t="s">
        <v>75</v>
      </c>
      <c r="I4178" t="s">
        <v>76</v>
      </c>
      <c r="J4178" t="s">
        <v>77</v>
      </c>
      <c r="K4178" t="s">
        <v>78</v>
      </c>
      <c r="L4178" t="s">
        <v>79</v>
      </c>
      <c r="M4178" t="s">
        <v>80</v>
      </c>
      <c r="N4178" t="s">
        <v>141</v>
      </c>
      <c r="O4178" t="s">
        <v>82</v>
      </c>
      <c r="P4178" t="str">
        <f>"4170051322                    "</f>
        <v xml:space="preserve">4170051322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22.6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2</v>
      </c>
      <c r="BJ4178">
        <v>1.1000000000000001</v>
      </c>
      <c r="BK4178">
        <v>2</v>
      </c>
      <c r="BL4178">
        <v>71.2</v>
      </c>
      <c r="BM4178">
        <v>10.68</v>
      </c>
      <c r="BN4178">
        <v>81.88</v>
      </c>
      <c r="BO4178">
        <v>81.88</v>
      </c>
      <c r="BQ4178" t="s">
        <v>142</v>
      </c>
      <c r="BR4178" t="s">
        <v>84</v>
      </c>
      <c r="BS4178" s="3">
        <v>45867</v>
      </c>
      <c r="BT4178" s="4">
        <v>0.40763888888888888</v>
      </c>
      <c r="BU4178" t="s">
        <v>2437</v>
      </c>
      <c r="BV4178" t="s">
        <v>98</v>
      </c>
      <c r="BY4178">
        <v>5265</v>
      </c>
      <c r="CA4178" t="s">
        <v>144</v>
      </c>
      <c r="CC4178" t="s">
        <v>80</v>
      </c>
      <c r="CD4178">
        <v>7441</v>
      </c>
      <c r="CE4178" t="s">
        <v>145</v>
      </c>
      <c r="CF4178" s="3">
        <v>45868</v>
      </c>
      <c r="CI4178">
        <v>1</v>
      </c>
      <c r="CJ4178">
        <v>1</v>
      </c>
      <c r="CK4178">
        <v>21</v>
      </c>
      <c r="CL4178" t="s">
        <v>86</v>
      </c>
    </row>
    <row r="4179" spans="1:90" x14ac:dyDescent="0.3">
      <c r="A4179" t="s">
        <v>72</v>
      </c>
      <c r="B4179" t="s">
        <v>73</v>
      </c>
      <c r="C4179" t="s">
        <v>74</v>
      </c>
      <c r="E4179" t="str">
        <f>"080066830250"</f>
        <v>080066830250</v>
      </c>
      <c r="F4179" s="3">
        <v>45866</v>
      </c>
      <c r="G4179">
        <v>202604</v>
      </c>
      <c r="H4179" t="s">
        <v>75</v>
      </c>
      <c r="I4179" t="s">
        <v>76</v>
      </c>
      <c r="J4179" t="s">
        <v>77</v>
      </c>
      <c r="K4179" t="s">
        <v>78</v>
      </c>
      <c r="L4179" t="s">
        <v>168</v>
      </c>
      <c r="M4179" t="s">
        <v>169</v>
      </c>
      <c r="N4179" t="s">
        <v>206</v>
      </c>
      <c r="O4179" t="s">
        <v>82</v>
      </c>
      <c r="P4179" t="str">
        <f>"4170051372                    "</f>
        <v xml:space="preserve">4170051372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22.6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>
        <v>71.2</v>
      </c>
      <c r="BM4179">
        <v>10.68</v>
      </c>
      <c r="BN4179">
        <v>81.88</v>
      </c>
      <c r="BO4179">
        <v>81.88</v>
      </c>
      <c r="BQ4179" t="s">
        <v>207</v>
      </c>
      <c r="BR4179" t="s">
        <v>84</v>
      </c>
      <c r="BS4179" s="3">
        <v>45867</v>
      </c>
      <c r="BT4179" s="4">
        <v>0.38124999999999998</v>
      </c>
      <c r="BU4179" t="s">
        <v>208</v>
      </c>
      <c r="BV4179" t="s">
        <v>98</v>
      </c>
      <c r="BY4179">
        <v>1200</v>
      </c>
      <c r="CA4179" t="s">
        <v>196</v>
      </c>
      <c r="CC4179" t="s">
        <v>169</v>
      </c>
      <c r="CD4179">
        <v>6001</v>
      </c>
      <c r="CE4179" t="s">
        <v>121</v>
      </c>
      <c r="CF4179" s="3">
        <v>45867</v>
      </c>
      <c r="CI4179">
        <v>1</v>
      </c>
      <c r="CJ4179">
        <v>1</v>
      </c>
      <c r="CK4179">
        <v>21</v>
      </c>
      <c r="CL4179" t="s">
        <v>86</v>
      </c>
    </row>
    <row r="4180" spans="1:90" x14ac:dyDescent="0.3">
      <c r="A4180" t="s">
        <v>72</v>
      </c>
      <c r="B4180" t="s">
        <v>73</v>
      </c>
      <c r="C4180" t="s">
        <v>74</v>
      </c>
      <c r="E4180" t="str">
        <f>"080066830276"</f>
        <v>080066830276</v>
      </c>
      <c r="F4180" s="3">
        <v>45866</v>
      </c>
      <c r="G4180">
        <v>202604</v>
      </c>
      <c r="H4180" t="s">
        <v>75</v>
      </c>
      <c r="I4180" t="s">
        <v>76</v>
      </c>
      <c r="J4180" t="s">
        <v>77</v>
      </c>
      <c r="K4180" t="s">
        <v>78</v>
      </c>
      <c r="L4180" t="s">
        <v>122</v>
      </c>
      <c r="M4180" t="s">
        <v>123</v>
      </c>
      <c r="N4180" t="s">
        <v>184</v>
      </c>
      <c r="O4180" t="s">
        <v>82</v>
      </c>
      <c r="P4180" t="str">
        <f>"4170051281                    "</f>
        <v xml:space="preserve">4170051281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22.6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71.2</v>
      </c>
      <c r="BM4180">
        <v>10.68</v>
      </c>
      <c r="BN4180">
        <v>81.88</v>
      </c>
      <c r="BO4180">
        <v>81.88</v>
      </c>
      <c r="BQ4180" t="s">
        <v>185</v>
      </c>
      <c r="BR4180" t="s">
        <v>84</v>
      </c>
      <c r="BS4180" s="3">
        <v>45867</v>
      </c>
      <c r="BT4180" s="4">
        <v>0.3576388888888889</v>
      </c>
      <c r="BU4180" t="s">
        <v>186</v>
      </c>
      <c r="BV4180" t="s">
        <v>98</v>
      </c>
      <c r="BY4180">
        <v>1200</v>
      </c>
      <c r="CA4180" t="s">
        <v>187</v>
      </c>
      <c r="CC4180" t="s">
        <v>123</v>
      </c>
      <c r="CD4180">
        <v>3610</v>
      </c>
      <c r="CE4180" t="s">
        <v>121</v>
      </c>
      <c r="CF4180" s="3">
        <v>45868</v>
      </c>
      <c r="CI4180">
        <v>1</v>
      </c>
      <c r="CJ4180">
        <v>1</v>
      </c>
      <c r="CK4180">
        <v>21</v>
      </c>
      <c r="CL4180" t="s">
        <v>86</v>
      </c>
    </row>
    <row r="4181" spans="1:90" x14ac:dyDescent="0.3">
      <c r="A4181" t="s">
        <v>72</v>
      </c>
      <c r="B4181" t="s">
        <v>73</v>
      </c>
      <c r="C4181" t="s">
        <v>74</v>
      </c>
      <c r="E4181" t="str">
        <f>"080066830303"</f>
        <v>080066830303</v>
      </c>
      <c r="F4181" s="3">
        <v>45866</v>
      </c>
      <c r="G4181">
        <v>202604</v>
      </c>
      <c r="H4181" t="s">
        <v>75</v>
      </c>
      <c r="I4181" t="s">
        <v>76</v>
      </c>
      <c r="J4181" t="s">
        <v>77</v>
      </c>
      <c r="K4181" t="s">
        <v>78</v>
      </c>
      <c r="L4181" t="s">
        <v>92</v>
      </c>
      <c r="M4181" t="s">
        <v>93</v>
      </c>
      <c r="N4181" t="s">
        <v>291</v>
      </c>
      <c r="O4181" t="s">
        <v>82</v>
      </c>
      <c r="P4181" t="str">
        <f>"4170051357                    "</f>
        <v xml:space="preserve">4170051357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22.6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2</v>
      </c>
      <c r="BJ4181">
        <v>0.9</v>
      </c>
      <c r="BK4181">
        <v>2</v>
      </c>
      <c r="BL4181">
        <v>71.2</v>
      </c>
      <c r="BM4181">
        <v>10.68</v>
      </c>
      <c r="BN4181">
        <v>81.88</v>
      </c>
      <c r="BO4181">
        <v>81.88</v>
      </c>
      <c r="BQ4181" t="s">
        <v>292</v>
      </c>
      <c r="BR4181" t="s">
        <v>84</v>
      </c>
      <c r="BS4181" s="3">
        <v>45867</v>
      </c>
      <c r="BT4181" s="4">
        <v>0.33263888888888887</v>
      </c>
      <c r="BU4181" t="s">
        <v>2177</v>
      </c>
      <c r="BV4181" t="s">
        <v>98</v>
      </c>
      <c r="BY4181">
        <v>4275</v>
      </c>
      <c r="CA4181" t="s">
        <v>2178</v>
      </c>
      <c r="CC4181" t="s">
        <v>93</v>
      </c>
      <c r="CD4181">
        <v>4051</v>
      </c>
      <c r="CE4181" t="s">
        <v>259</v>
      </c>
      <c r="CF4181" s="3">
        <v>45867</v>
      </c>
      <c r="CI4181">
        <v>1</v>
      </c>
      <c r="CJ4181">
        <v>1</v>
      </c>
      <c r="CK4181">
        <v>21</v>
      </c>
      <c r="CL4181" t="s">
        <v>86</v>
      </c>
    </row>
    <row r="4182" spans="1:90" x14ac:dyDescent="0.3">
      <c r="A4182" t="s">
        <v>72</v>
      </c>
      <c r="B4182" t="s">
        <v>73</v>
      </c>
      <c r="C4182" t="s">
        <v>74</v>
      </c>
      <c r="E4182" t="str">
        <f>"080066830324"</f>
        <v>080066830324</v>
      </c>
      <c r="F4182" s="3">
        <v>45866</v>
      </c>
      <c r="G4182">
        <v>202604</v>
      </c>
      <c r="H4182" t="s">
        <v>75</v>
      </c>
      <c r="I4182" t="s">
        <v>76</v>
      </c>
      <c r="J4182" t="s">
        <v>77</v>
      </c>
      <c r="K4182" t="s">
        <v>78</v>
      </c>
      <c r="L4182" t="s">
        <v>240</v>
      </c>
      <c r="M4182" t="s">
        <v>241</v>
      </c>
      <c r="N4182" t="s">
        <v>2575</v>
      </c>
      <c r="O4182" t="s">
        <v>82</v>
      </c>
      <c r="P4182" t="str">
        <f>"4170051381                    "</f>
        <v xml:space="preserve">4170051381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17.649999999999999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>
        <v>55.61</v>
      </c>
      <c r="BM4182">
        <v>8.34</v>
      </c>
      <c r="BN4182">
        <v>63.95</v>
      </c>
      <c r="BO4182">
        <v>63.95</v>
      </c>
      <c r="BQ4182" t="s">
        <v>2576</v>
      </c>
      <c r="BR4182" t="s">
        <v>84</v>
      </c>
      <c r="BS4182" s="3">
        <v>45867</v>
      </c>
      <c r="BT4182" s="4">
        <v>0.37569444444444444</v>
      </c>
      <c r="BU4182" t="s">
        <v>3698</v>
      </c>
      <c r="BV4182" t="s">
        <v>98</v>
      </c>
      <c r="BY4182">
        <v>1200</v>
      </c>
      <c r="CA4182" t="s">
        <v>245</v>
      </c>
      <c r="CC4182" t="s">
        <v>241</v>
      </c>
      <c r="CD4182">
        <v>2190</v>
      </c>
      <c r="CE4182" t="s">
        <v>121</v>
      </c>
      <c r="CF4182" s="3">
        <v>45867</v>
      </c>
      <c r="CI4182">
        <v>1</v>
      </c>
      <c r="CJ4182">
        <v>1</v>
      </c>
      <c r="CK4182">
        <v>22</v>
      </c>
      <c r="CL4182" t="s">
        <v>86</v>
      </c>
    </row>
    <row r="4183" spans="1:90" x14ac:dyDescent="0.3">
      <c r="A4183" t="s">
        <v>72</v>
      </c>
      <c r="B4183" t="s">
        <v>73</v>
      </c>
      <c r="C4183" t="s">
        <v>74</v>
      </c>
      <c r="E4183" t="str">
        <f>"080066830356"</f>
        <v>080066830356</v>
      </c>
      <c r="F4183" s="3">
        <v>45866</v>
      </c>
      <c r="G4183">
        <v>202604</v>
      </c>
      <c r="H4183" t="s">
        <v>75</v>
      </c>
      <c r="I4183" t="s">
        <v>76</v>
      </c>
      <c r="J4183" t="s">
        <v>77</v>
      </c>
      <c r="K4183" t="s">
        <v>78</v>
      </c>
      <c r="L4183" t="s">
        <v>168</v>
      </c>
      <c r="M4183" t="s">
        <v>169</v>
      </c>
      <c r="N4183" t="s">
        <v>412</v>
      </c>
      <c r="O4183" t="s">
        <v>82</v>
      </c>
      <c r="P4183" t="str">
        <f>"4170051421                    "</f>
        <v xml:space="preserve">4170051421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22.6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2</v>
      </c>
      <c r="BJ4183">
        <v>1.4</v>
      </c>
      <c r="BK4183">
        <v>2</v>
      </c>
      <c r="BL4183">
        <v>71.2</v>
      </c>
      <c r="BM4183">
        <v>10.68</v>
      </c>
      <c r="BN4183">
        <v>81.88</v>
      </c>
      <c r="BO4183">
        <v>81.88</v>
      </c>
      <c r="BQ4183" t="s">
        <v>413</v>
      </c>
      <c r="BR4183" t="s">
        <v>84</v>
      </c>
      <c r="BS4183" s="3">
        <v>45867</v>
      </c>
      <c r="BT4183" s="4">
        <v>0.33958333333333335</v>
      </c>
      <c r="BU4183" t="s">
        <v>1298</v>
      </c>
      <c r="BV4183" t="s">
        <v>98</v>
      </c>
      <c r="BY4183">
        <v>7056</v>
      </c>
      <c r="CA4183" t="s">
        <v>415</v>
      </c>
      <c r="CC4183" t="s">
        <v>169</v>
      </c>
      <c r="CD4183">
        <v>6001</v>
      </c>
      <c r="CE4183" t="s">
        <v>91</v>
      </c>
      <c r="CF4183" s="3">
        <v>45867</v>
      </c>
      <c r="CI4183">
        <v>1</v>
      </c>
      <c r="CJ4183">
        <v>1</v>
      </c>
      <c r="CK4183">
        <v>21</v>
      </c>
      <c r="CL4183" t="s">
        <v>86</v>
      </c>
    </row>
    <row r="4184" spans="1:90" x14ac:dyDescent="0.3">
      <c r="A4184" t="s">
        <v>72</v>
      </c>
      <c r="B4184" t="s">
        <v>73</v>
      </c>
      <c r="C4184" t="s">
        <v>74</v>
      </c>
      <c r="E4184" t="str">
        <f>"080066830408"</f>
        <v>080066830408</v>
      </c>
      <c r="F4184" s="3">
        <v>45866</v>
      </c>
      <c r="G4184">
        <v>202604</v>
      </c>
      <c r="H4184" t="s">
        <v>75</v>
      </c>
      <c r="I4184" t="s">
        <v>76</v>
      </c>
      <c r="J4184" t="s">
        <v>77</v>
      </c>
      <c r="K4184" t="s">
        <v>78</v>
      </c>
      <c r="L4184" t="s">
        <v>168</v>
      </c>
      <c r="M4184" t="s">
        <v>169</v>
      </c>
      <c r="N4184" t="s">
        <v>206</v>
      </c>
      <c r="O4184" t="s">
        <v>82</v>
      </c>
      <c r="P4184" t="str">
        <f>"4170051266                    "</f>
        <v xml:space="preserve">4170051266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22.6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71.2</v>
      </c>
      <c r="BM4184">
        <v>10.68</v>
      </c>
      <c r="BN4184">
        <v>81.88</v>
      </c>
      <c r="BO4184">
        <v>81.88</v>
      </c>
      <c r="BQ4184" t="s">
        <v>207</v>
      </c>
      <c r="BR4184" t="s">
        <v>84</v>
      </c>
      <c r="BS4184" s="3">
        <v>45867</v>
      </c>
      <c r="BT4184" s="4">
        <v>0.38124999999999998</v>
      </c>
      <c r="BU4184" t="s">
        <v>208</v>
      </c>
      <c r="BV4184" t="s">
        <v>98</v>
      </c>
      <c r="BY4184">
        <v>1200</v>
      </c>
      <c r="CA4184" t="s">
        <v>196</v>
      </c>
      <c r="CC4184" t="s">
        <v>169</v>
      </c>
      <c r="CD4184">
        <v>6001</v>
      </c>
      <c r="CE4184" t="s">
        <v>121</v>
      </c>
      <c r="CF4184" s="3">
        <v>45867</v>
      </c>
      <c r="CI4184">
        <v>1</v>
      </c>
      <c r="CJ4184">
        <v>1</v>
      </c>
      <c r="CK4184">
        <v>21</v>
      </c>
      <c r="CL4184" t="s">
        <v>86</v>
      </c>
    </row>
    <row r="4185" spans="1:90" x14ac:dyDescent="0.3">
      <c r="A4185" t="s">
        <v>72</v>
      </c>
      <c r="B4185" t="s">
        <v>73</v>
      </c>
      <c r="C4185" t="s">
        <v>74</v>
      </c>
      <c r="E4185" t="str">
        <f>"080066830475"</f>
        <v>080066830475</v>
      </c>
      <c r="F4185" s="3">
        <v>45866</v>
      </c>
      <c r="G4185">
        <v>202604</v>
      </c>
      <c r="H4185" t="s">
        <v>75</v>
      </c>
      <c r="I4185" t="s">
        <v>76</v>
      </c>
      <c r="J4185" t="s">
        <v>77</v>
      </c>
      <c r="K4185" t="s">
        <v>78</v>
      </c>
      <c r="L4185" t="s">
        <v>260</v>
      </c>
      <c r="M4185" t="s">
        <v>261</v>
      </c>
      <c r="N4185" t="s">
        <v>2242</v>
      </c>
      <c r="O4185" t="s">
        <v>82</v>
      </c>
      <c r="P4185" t="str">
        <f>"4170051579                    "</f>
        <v xml:space="preserve">4170051579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43.78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137.94</v>
      </c>
      <c r="BM4185">
        <v>20.69</v>
      </c>
      <c r="BN4185">
        <v>158.63</v>
      </c>
      <c r="BO4185">
        <v>158.63</v>
      </c>
      <c r="BQ4185" t="s">
        <v>2243</v>
      </c>
      <c r="BR4185" t="s">
        <v>84</v>
      </c>
      <c r="BS4185" s="3">
        <v>45867</v>
      </c>
      <c r="BT4185" s="4">
        <v>0.4375</v>
      </c>
      <c r="BU4185" t="s">
        <v>3699</v>
      </c>
      <c r="BV4185" t="s">
        <v>98</v>
      </c>
      <c r="BY4185">
        <v>1200</v>
      </c>
      <c r="CA4185" t="s">
        <v>721</v>
      </c>
      <c r="CC4185" t="s">
        <v>261</v>
      </c>
      <c r="CD4185">
        <v>1911</v>
      </c>
      <c r="CE4185" t="s">
        <v>121</v>
      </c>
      <c r="CF4185" s="3">
        <v>45868</v>
      </c>
      <c r="CI4185">
        <v>1</v>
      </c>
      <c r="CJ4185">
        <v>1</v>
      </c>
      <c r="CK4185">
        <v>23</v>
      </c>
      <c r="CL4185" t="s">
        <v>86</v>
      </c>
    </row>
    <row r="4186" spans="1:90" x14ac:dyDescent="0.3">
      <c r="A4186" t="s">
        <v>72</v>
      </c>
      <c r="B4186" t="s">
        <v>73</v>
      </c>
      <c r="C4186" t="s">
        <v>74</v>
      </c>
      <c r="E4186" t="str">
        <f>"080066830483"</f>
        <v>080066830483</v>
      </c>
      <c r="F4186" s="3">
        <v>45866</v>
      </c>
      <c r="G4186">
        <v>202604</v>
      </c>
      <c r="H4186" t="s">
        <v>75</v>
      </c>
      <c r="I4186" t="s">
        <v>76</v>
      </c>
      <c r="J4186" t="s">
        <v>77</v>
      </c>
      <c r="K4186" t="s">
        <v>78</v>
      </c>
      <c r="L4186" t="s">
        <v>151</v>
      </c>
      <c r="M4186" t="s">
        <v>152</v>
      </c>
      <c r="N4186" t="s">
        <v>1568</v>
      </c>
      <c r="O4186" t="s">
        <v>95</v>
      </c>
      <c r="P4186" t="str">
        <f>"4170051130                    "</f>
        <v xml:space="preserve">4170051130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43.7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13</v>
      </c>
      <c r="BJ4186">
        <v>8.1</v>
      </c>
      <c r="BK4186">
        <v>13</v>
      </c>
      <c r="BL4186">
        <v>143.55000000000001</v>
      </c>
      <c r="BM4186">
        <v>21.53</v>
      </c>
      <c r="BN4186">
        <v>165.08</v>
      </c>
      <c r="BO4186">
        <v>165.08</v>
      </c>
      <c r="BQ4186" t="s">
        <v>1569</v>
      </c>
      <c r="BR4186" t="s">
        <v>84</v>
      </c>
      <c r="BS4186" s="3">
        <v>45867</v>
      </c>
      <c r="BT4186" s="4">
        <v>0.34861111111111109</v>
      </c>
      <c r="BU4186" t="s">
        <v>1570</v>
      </c>
      <c r="BV4186" t="s">
        <v>98</v>
      </c>
      <c r="BY4186">
        <v>40432</v>
      </c>
      <c r="CA4186" t="s">
        <v>906</v>
      </c>
      <c r="CC4186" t="s">
        <v>152</v>
      </c>
      <c r="CD4186" s="5" t="s">
        <v>907</v>
      </c>
      <c r="CE4186" t="s">
        <v>145</v>
      </c>
      <c r="CF4186" s="3">
        <v>45867</v>
      </c>
      <c r="CI4186">
        <v>1</v>
      </c>
      <c r="CJ4186">
        <v>1</v>
      </c>
      <c r="CK4186">
        <v>41</v>
      </c>
      <c r="CL4186" t="s">
        <v>86</v>
      </c>
    </row>
    <row r="4187" spans="1:90" x14ac:dyDescent="0.3">
      <c r="A4187" t="s">
        <v>72</v>
      </c>
      <c r="B4187" t="s">
        <v>73</v>
      </c>
      <c r="C4187" t="s">
        <v>74</v>
      </c>
      <c r="E4187" t="str">
        <f>"080066830504"</f>
        <v>080066830504</v>
      </c>
      <c r="F4187" s="3">
        <v>45866</v>
      </c>
      <c r="G4187">
        <v>202604</v>
      </c>
      <c r="H4187" t="s">
        <v>75</v>
      </c>
      <c r="I4187" t="s">
        <v>76</v>
      </c>
      <c r="J4187" t="s">
        <v>77</v>
      </c>
      <c r="K4187" t="s">
        <v>78</v>
      </c>
      <c r="L4187" t="s">
        <v>151</v>
      </c>
      <c r="M4187" t="s">
        <v>152</v>
      </c>
      <c r="N4187" t="s">
        <v>1759</v>
      </c>
      <c r="O4187" t="s">
        <v>82</v>
      </c>
      <c r="P4187" t="str">
        <f>"4170051302                    "</f>
        <v xml:space="preserve">4170051302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22.6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</v>
      </c>
      <c r="BJ4187">
        <v>0.2</v>
      </c>
      <c r="BK4187">
        <v>1</v>
      </c>
      <c r="BL4187">
        <v>71.2</v>
      </c>
      <c r="BM4187">
        <v>10.68</v>
      </c>
      <c r="BN4187">
        <v>81.88</v>
      </c>
      <c r="BO4187">
        <v>81.88</v>
      </c>
      <c r="BQ4187" t="s">
        <v>1760</v>
      </c>
      <c r="BR4187" t="s">
        <v>84</v>
      </c>
      <c r="BS4187" s="3">
        <v>45867</v>
      </c>
      <c r="BT4187" s="4">
        <v>0.35625000000000001</v>
      </c>
      <c r="BU4187" t="s">
        <v>3700</v>
      </c>
      <c r="BV4187" t="s">
        <v>98</v>
      </c>
      <c r="BY4187">
        <v>1200</v>
      </c>
      <c r="CA4187" t="s">
        <v>3701</v>
      </c>
      <c r="CC4187" t="s">
        <v>152</v>
      </c>
      <c r="CD4187" s="5" t="s">
        <v>684</v>
      </c>
      <c r="CE4187" t="s">
        <v>121</v>
      </c>
      <c r="CF4187" s="3">
        <v>45867</v>
      </c>
      <c r="CI4187">
        <v>1</v>
      </c>
      <c r="CJ4187">
        <v>1</v>
      </c>
      <c r="CK4187">
        <v>21</v>
      </c>
      <c r="CL4187" t="s">
        <v>86</v>
      </c>
    </row>
    <row r="4188" spans="1:90" x14ac:dyDescent="0.3">
      <c r="A4188" t="s">
        <v>72</v>
      </c>
      <c r="B4188" t="s">
        <v>73</v>
      </c>
      <c r="C4188" t="s">
        <v>74</v>
      </c>
      <c r="E4188" t="str">
        <f>"080066830532"</f>
        <v>080066830532</v>
      </c>
      <c r="F4188" s="3">
        <v>45866</v>
      </c>
      <c r="G4188">
        <v>202604</v>
      </c>
      <c r="H4188" t="s">
        <v>75</v>
      </c>
      <c r="I4188" t="s">
        <v>76</v>
      </c>
      <c r="J4188" t="s">
        <v>77</v>
      </c>
      <c r="K4188" t="s">
        <v>78</v>
      </c>
      <c r="L4188" t="s">
        <v>406</v>
      </c>
      <c r="M4188" t="s">
        <v>407</v>
      </c>
      <c r="N4188" t="s">
        <v>1283</v>
      </c>
      <c r="O4188" t="s">
        <v>82</v>
      </c>
      <c r="P4188" t="str">
        <f>"4170051370                    "</f>
        <v xml:space="preserve">4170051370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43.78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2</v>
      </c>
      <c r="BJ4188">
        <v>1.7</v>
      </c>
      <c r="BK4188">
        <v>2</v>
      </c>
      <c r="BL4188">
        <v>137.94</v>
      </c>
      <c r="BM4188">
        <v>20.69</v>
      </c>
      <c r="BN4188">
        <v>158.63</v>
      </c>
      <c r="BO4188">
        <v>158.63</v>
      </c>
      <c r="BQ4188" t="s">
        <v>1284</v>
      </c>
      <c r="BR4188" t="s">
        <v>84</v>
      </c>
      <c r="BS4188" t="s">
        <v>587</v>
      </c>
      <c r="BY4188">
        <v>8512</v>
      </c>
      <c r="CC4188" t="s">
        <v>407</v>
      </c>
      <c r="CD4188">
        <v>4400</v>
      </c>
      <c r="CE4188" t="s">
        <v>145</v>
      </c>
      <c r="CI4188">
        <v>1</v>
      </c>
      <c r="CJ4188" t="s">
        <v>587</v>
      </c>
      <c r="CK4188">
        <v>23</v>
      </c>
      <c r="CL4188" t="s">
        <v>86</v>
      </c>
    </row>
    <row r="4189" spans="1:90" x14ac:dyDescent="0.3">
      <c r="A4189" t="s">
        <v>72</v>
      </c>
      <c r="B4189" t="s">
        <v>73</v>
      </c>
      <c r="C4189" t="s">
        <v>74</v>
      </c>
      <c r="E4189" t="str">
        <f>"080066830542"</f>
        <v>080066830542</v>
      </c>
      <c r="F4189" s="3">
        <v>45866</v>
      </c>
      <c r="G4189">
        <v>202604</v>
      </c>
      <c r="H4189" t="s">
        <v>75</v>
      </c>
      <c r="I4189" t="s">
        <v>76</v>
      </c>
      <c r="J4189" t="s">
        <v>77</v>
      </c>
      <c r="K4189" t="s">
        <v>78</v>
      </c>
      <c r="L4189" t="s">
        <v>92</v>
      </c>
      <c r="M4189" t="s">
        <v>93</v>
      </c>
      <c r="N4189" t="s">
        <v>291</v>
      </c>
      <c r="O4189" t="s">
        <v>82</v>
      </c>
      <c r="P4189" t="str">
        <f>"4170051522                    "</f>
        <v xml:space="preserve">4170051522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22.6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71.2</v>
      </c>
      <c r="BM4189">
        <v>10.68</v>
      </c>
      <c r="BN4189">
        <v>81.88</v>
      </c>
      <c r="BO4189">
        <v>81.88</v>
      </c>
      <c r="BQ4189" t="s">
        <v>292</v>
      </c>
      <c r="BR4189" t="s">
        <v>84</v>
      </c>
      <c r="BS4189" s="3">
        <v>45867</v>
      </c>
      <c r="BT4189" s="4">
        <v>0.33333333333333331</v>
      </c>
      <c r="BU4189" t="s">
        <v>2177</v>
      </c>
      <c r="BV4189" t="s">
        <v>98</v>
      </c>
      <c r="BY4189">
        <v>1200</v>
      </c>
      <c r="CA4189" t="s">
        <v>2178</v>
      </c>
      <c r="CC4189" t="s">
        <v>93</v>
      </c>
      <c r="CD4189">
        <v>4000</v>
      </c>
      <c r="CE4189" t="s">
        <v>121</v>
      </c>
      <c r="CF4189" s="3">
        <v>45867</v>
      </c>
      <c r="CI4189">
        <v>1</v>
      </c>
      <c r="CJ4189">
        <v>1</v>
      </c>
      <c r="CK4189">
        <v>21</v>
      </c>
      <c r="CL4189" t="s">
        <v>86</v>
      </c>
    </row>
    <row r="4190" spans="1:90" x14ac:dyDescent="0.3">
      <c r="A4190" t="s">
        <v>72</v>
      </c>
      <c r="B4190" t="s">
        <v>73</v>
      </c>
      <c r="C4190" t="s">
        <v>74</v>
      </c>
      <c r="E4190" t="str">
        <f>"080066830587"</f>
        <v>080066830587</v>
      </c>
      <c r="F4190" s="3">
        <v>45866</v>
      </c>
      <c r="G4190">
        <v>202604</v>
      </c>
      <c r="H4190" t="s">
        <v>75</v>
      </c>
      <c r="I4190" t="s">
        <v>76</v>
      </c>
      <c r="J4190" t="s">
        <v>77</v>
      </c>
      <c r="K4190" t="s">
        <v>78</v>
      </c>
      <c r="L4190" t="s">
        <v>122</v>
      </c>
      <c r="M4190" t="s">
        <v>123</v>
      </c>
      <c r="N4190" t="s">
        <v>2340</v>
      </c>
      <c r="O4190" t="s">
        <v>82</v>
      </c>
      <c r="P4190" t="str">
        <f>"4170051376                    "</f>
        <v xml:space="preserve">4170051376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22.6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71.2</v>
      </c>
      <c r="BM4190">
        <v>10.68</v>
      </c>
      <c r="BN4190">
        <v>81.88</v>
      </c>
      <c r="BO4190">
        <v>81.88</v>
      </c>
      <c r="BQ4190" t="s">
        <v>2341</v>
      </c>
      <c r="BR4190" t="s">
        <v>84</v>
      </c>
      <c r="BS4190" s="3">
        <v>45867</v>
      </c>
      <c r="BT4190" s="4">
        <v>0.40486111111111112</v>
      </c>
      <c r="BU4190" t="s">
        <v>2230</v>
      </c>
      <c r="BV4190" t="s">
        <v>98</v>
      </c>
      <c r="BY4190">
        <v>1200</v>
      </c>
      <c r="CA4190" t="s">
        <v>187</v>
      </c>
      <c r="CC4190" t="s">
        <v>123</v>
      </c>
      <c r="CD4190">
        <v>3610</v>
      </c>
      <c r="CE4190" t="s">
        <v>121</v>
      </c>
      <c r="CF4190" s="3">
        <v>45868</v>
      </c>
      <c r="CI4190">
        <v>1</v>
      </c>
      <c r="CJ4190">
        <v>1</v>
      </c>
      <c r="CK4190">
        <v>21</v>
      </c>
      <c r="CL4190" t="s">
        <v>86</v>
      </c>
    </row>
    <row r="4191" spans="1:90" x14ac:dyDescent="0.3">
      <c r="A4191" t="s">
        <v>72</v>
      </c>
      <c r="B4191" t="s">
        <v>73</v>
      </c>
      <c r="C4191" t="s">
        <v>74</v>
      </c>
      <c r="E4191" t="str">
        <f>"080066830625"</f>
        <v>080066830625</v>
      </c>
      <c r="F4191" s="3">
        <v>45866</v>
      </c>
      <c r="G4191">
        <v>202604</v>
      </c>
      <c r="H4191" t="s">
        <v>75</v>
      </c>
      <c r="I4191" t="s">
        <v>76</v>
      </c>
      <c r="J4191" t="s">
        <v>77</v>
      </c>
      <c r="K4191" t="s">
        <v>78</v>
      </c>
      <c r="L4191" t="s">
        <v>240</v>
      </c>
      <c r="M4191" t="s">
        <v>241</v>
      </c>
      <c r="N4191" t="s">
        <v>3702</v>
      </c>
      <c r="O4191" t="s">
        <v>95</v>
      </c>
      <c r="P4191" t="str">
        <f>"4170051563                    "</f>
        <v xml:space="preserve">4170051563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49.49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16</v>
      </c>
      <c r="BJ4191">
        <v>30.9</v>
      </c>
      <c r="BK4191">
        <v>31</v>
      </c>
      <c r="BL4191">
        <v>161.80000000000001</v>
      </c>
      <c r="BM4191">
        <v>24.27</v>
      </c>
      <c r="BN4191">
        <v>186.07</v>
      </c>
      <c r="BO4191">
        <v>186.07</v>
      </c>
      <c r="BQ4191" t="s">
        <v>3703</v>
      </c>
      <c r="BR4191" t="s">
        <v>84</v>
      </c>
      <c r="BS4191" s="3">
        <v>45867</v>
      </c>
      <c r="BT4191" s="4">
        <v>0.38333333333333336</v>
      </c>
      <c r="BU4191" t="s">
        <v>3704</v>
      </c>
      <c r="BV4191" t="s">
        <v>98</v>
      </c>
      <c r="BY4191">
        <v>154560</v>
      </c>
      <c r="CC4191" t="s">
        <v>241</v>
      </c>
      <c r="CD4191">
        <v>2042</v>
      </c>
      <c r="CE4191" t="s">
        <v>145</v>
      </c>
      <c r="CF4191" s="3">
        <v>45867</v>
      </c>
      <c r="CI4191">
        <v>1</v>
      </c>
      <c r="CJ4191">
        <v>1</v>
      </c>
      <c r="CK4191">
        <v>42</v>
      </c>
      <c r="CL4191" t="s">
        <v>86</v>
      </c>
    </row>
    <row r="4192" spans="1:90" x14ac:dyDescent="0.3">
      <c r="A4192" t="s">
        <v>72</v>
      </c>
      <c r="B4192" t="s">
        <v>73</v>
      </c>
      <c r="C4192" t="s">
        <v>74</v>
      </c>
      <c r="E4192" t="str">
        <f>"080066830646"</f>
        <v>080066830646</v>
      </c>
      <c r="F4192" s="3">
        <v>45866</v>
      </c>
      <c r="G4192">
        <v>202604</v>
      </c>
      <c r="H4192" t="s">
        <v>75</v>
      </c>
      <c r="I4192" t="s">
        <v>76</v>
      </c>
      <c r="J4192" t="s">
        <v>77</v>
      </c>
      <c r="K4192" t="s">
        <v>78</v>
      </c>
      <c r="L4192" t="s">
        <v>260</v>
      </c>
      <c r="M4192" t="s">
        <v>261</v>
      </c>
      <c r="N4192" t="s">
        <v>1801</v>
      </c>
      <c r="O4192" t="s">
        <v>82</v>
      </c>
      <c r="P4192" t="str">
        <f>"4170051473                    "</f>
        <v xml:space="preserve">4170051473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43.78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137.94</v>
      </c>
      <c r="BM4192">
        <v>20.69</v>
      </c>
      <c r="BN4192">
        <v>158.63</v>
      </c>
      <c r="BO4192">
        <v>158.63</v>
      </c>
      <c r="BQ4192" t="s">
        <v>1802</v>
      </c>
      <c r="BR4192" t="s">
        <v>84</v>
      </c>
      <c r="BS4192" s="3">
        <v>45867</v>
      </c>
      <c r="BT4192" s="4">
        <v>0.41597222222222224</v>
      </c>
      <c r="BU4192" t="s">
        <v>2353</v>
      </c>
      <c r="BV4192" t="s">
        <v>98</v>
      </c>
      <c r="BY4192">
        <v>1200</v>
      </c>
      <c r="CA4192" t="s">
        <v>721</v>
      </c>
      <c r="CC4192" t="s">
        <v>261</v>
      </c>
      <c r="CD4192">
        <v>1900</v>
      </c>
      <c r="CE4192" t="s">
        <v>121</v>
      </c>
      <c r="CF4192" s="3">
        <v>45868</v>
      </c>
      <c r="CI4192">
        <v>1</v>
      </c>
      <c r="CJ4192">
        <v>1</v>
      </c>
      <c r="CK4192">
        <v>23</v>
      </c>
      <c r="CL4192" t="s">
        <v>86</v>
      </c>
    </row>
    <row r="4193" spans="1:90" x14ac:dyDescent="0.3">
      <c r="A4193" t="s">
        <v>72</v>
      </c>
      <c r="B4193" t="s">
        <v>73</v>
      </c>
      <c r="C4193" t="s">
        <v>74</v>
      </c>
      <c r="E4193" t="str">
        <f>"080066830704"</f>
        <v>080066830704</v>
      </c>
      <c r="F4193" s="3">
        <v>45866</v>
      </c>
      <c r="G4193">
        <v>202604</v>
      </c>
      <c r="H4193" t="s">
        <v>75</v>
      </c>
      <c r="I4193" t="s">
        <v>76</v>
      </c>
      <c r="J4193" t="s">
        <v>77</v>
      </c>
      <c r="K4193" t="s">
        <v>78</v>
      </c>
      <c r="L4193" t="s">
        <v>174</v>
      </c>
      <c r="M4193" t="s">
        <v>175</v>
      </c>
      <c r="N4193" t="s">
        <v>1016</v>
      </c>
      <c r="O4193" t="s">
        <v>82</v>
      </c>
      <c r="P4193" t="str">
        <f>"4170051437                    "</f>
        <v xml:space="preserve">4170051437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22.6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</v>
      </c>
      <c r="BJ4193">
        <v>0.2</v>
      </c>
      <c r="BK4193">
        <v>1</v>
      </c>
      <c r="BL4193">
        <v>71.2</v>
      </c>
      <c r="BM4193">
        <v>10.68</v>
      </c>
      <c r="BN4193">
        <v>81.88</v>
      </c>
      <c r="BO4193">
        <v>81.88</v>
      </c>
      <c r="BQ4193" t="s">
        <v>1017</v>
      </c>
      <c r="BR4193" t="s">
        <v>84</v>
      </c>
      <c r="BS4193" s="3">
        <v>45867</v>
      </c>
      <c r="BT4193" s="4">
        <v>0.375</v>
      </c>
      <c r="BU4193" t="s">
        <v>1692</v>
      </c>
      <c r="BV4193" t="s">
        <v>98</v>
      </c>
      <c r="BY4193">
        <v>1200</v>
      </c>
      <c r="CA4193" t="s">
        <v>173</v>
      </c>
      <c r="CC4193" t="s">
        <v>175</v>
      </c>
      <c r="CD4193">
        <v>6220</v>
      </c>
      <c r="CE4193" t="s">
        <v>121</v>
      </c>
      <c r="CF4193" s="3">
        <v>45867</v>
      </c>
      <c r="CI4193">
        <v>1</v>
      </c>
      <c r="CJ4193">
        <v>1</v>
      </c>
      <c r="CK4193">
        <v>21</v>
      </c>
      <c r="CL4193" t="s">
        <v>86</v>
      </c>
    </row>
    <row r="4194" spans="1:90" x14ac:dyDescent="0.3">
      <c r="A4194" t="s">
        <v>72</v>
      </c>
      <c r="B4194" t="s">
        <v>73</v>
      </c>
      <c r="C4194" t="s">
        <v>74</v>
      </c>
      <c r="E4194" t="str">
        <f>"080066830747"</f>
        <v>080066830747</v>
      </c>
      <c r="F4194" s="3">
        <v>45866</v>
      </c>
      <c r="G4194">
        <v>202604</v>
      </c>
      <c r="H4194" t="s">
        <v>75</v>
      </c>
      <c r="I4194" t="s">
        <v>76</v>
      </c>
      <c r="J4194" t="s">
        <v>77</v>
      </c>
      <c r="K4194" t="s">
        <v>78</v>
      </c>
      <c r="L4194" t="s">
        <v>295</v>
      </c>
      <c r="M4194" t="s">
        <v>296</v>
      </c>
      <c r="N4194" t="s">
        <v>1063</v>
      </c>
      <c r="O4194" t="s">
        <v>82</v>
      </c>
      <c r="P4194" t="str">
        <f>"4170051369                    "</f>
        <v xml:space="preserve">4170051369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17.649999999999999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55.61</v>
      </c>
      <c r="BM4194">
        <v>8.34</v>
      </c>
      <c r="BN4194">
        <v>63.95</v>
      </c>
      <c r="BO4194">
        <v>63.95</v>
      </c>
      <c r="BQ4194" t="s">
        <v>1064</v>
      </c>
      <c r="BR4194" t="s">
        <v>84</v>
      </c>
      <c r="BS4194" s="3">
        <v>45867</v>
      </c>
      <c r="BT4194" s="4">
        <v>0.40208333333333335</v>
      </c>
      <c r="BU4194" t="s">
        <v>1065</v>
      </c>
      <c r="BV4194" t="s">
        <v>98</v>
      </c>
      <c r="BY4194">
        <v>1200</v>
      </c>
      <c r="CA4194" t="s">
        <v>300</v>
      </c>
      <c r="CC4194" t="s">
        <v>296</v>
      </c>
      <c r="CD4194">
        <v>1459</v>
      </c>
      <c r="CE4194" t="s">
        <v>121</v>
      </c>
      <c r="CF4194" s="3">
        <v>45868</v>
      </c>
      <c r="CI4194">
        <v>1</v>
      </c>
      <c r="CJ4194">
        <v>1</v>
      </c>
      <c r="CK4194">
        <v>22</v>
      </c>
      <c r="CL4194" t="s">
        <v>86</v>
      </c>
    </row>
    <row r="4195" spans="1:90" x14ac:dyDescent="0.3">
      <c r="A4195" t="s">
        <v>72</v>
      </c>
      <c r="B4195" t="s">
        <v>73</v>
      </c>
      <c r="C4195" t="s">
        <v>74</v>
      </c>
      <c r="E4195" t="str">
        <f>"080066830782"</f>
        <v>080066830782</v>
      </c>
      <c r="F4195" s="3">
        <v>45866</v>
      </c>
      <c r="G4195">
        <v>202604</v>
      </c>
      <c r="H4195" t="s">
        <v>75</v>
      </c>
      <c r="I4195" t="s">
        <v>76</v>
      </c>
      <c r="J4195" t="s">
        <v>77</v>
      </c>
      <c r="K4195" t="s">
        <v>78</v>
      </c>
      <c r="L4195" t="s">
        <v>168</v>
      </c>
      <c r="M4195" t="s">
        <v>169</v>
      </c>
      <c r="N4195" t="s">
        <v>206</v>
      </c>
      <c r="O4195" t="s">
        <v>82</v>
      </c>
      <c r="P4195" t="str">
        <f>"4170051311                    "</f>
        <v xml:space="preserve">4170051311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22.6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1</v>
      </c>
      <c r="BJ4195">
        <v>0.2</v>
      </c>
      <c r="BK4195">
        <v>1</v>
      </c>
      <c r="BL4195">
        <v>71.2</v>
      </c>
      <c r="BM4195">
        <v>10.68</v>
      </c>
      <c r="BN4195">
        <v>81.88</v>
      </c>
      <c r="BO4195">
        <v>81.88</v>
      </c>
      <c r="BQ4195" t="s">
        <v>207</v>
      </c>
      <c r="BR4195" t="s">
        <v>84</v>
      </c>
      <c r="BS4195" s="3">
        <v>45867</v>
      </c>
      <c r="BT4195" s="4">
        <v>0.38124999999999998</v>
      </c>
      <c r="BU4195" t="s">
        <v>208</v>
      </c>
      <c r="BV4195" t="s">
        <v>98</v>
      </c>
      <c r="BY4195">
        <v>1200</v>
      </c>
      <c r="CA4195" t="s">
        <v>196</v>
      </c>
      <c r="CC4195" t="s">
        <v>169</v>
      </c>
      <c r="CD4195">
        <v>6001</v>
      </c>
      <c r="CE4195" t="s">
        <v>121</v>
      </c>
      <c r="CF4195" s="3">
        <v>45867</v>
      </c>
      <c r="CI4195">
        <v>1</v>
      </c>
      <c r="CJ4195">
        <v>1</v>
      </c>
      <c r="CK4195">
        <v>21</v>
      </c>
      <c r="CL4195" t="s">
        <v>86</v>
      </c>
    </row>
    <row r="4196" spans="1:90" x14ac:dyDescent="0.3">
      <c r="A4196" t="s">
        <v>72</v>
      </c>
      <c r="B4196" t="s">
        <v>73</v>
      </c>
      <c r="C4196" t="s">
        <v>74</v>
      </c>
      <c r="E4196" t="str">
        <f>"080066830830"</f>
        <v>080066830830</v>
      </c>
      <c r="F4196" s="3">
        <v>45866</v>
      </c>
      <c r="G4196">
        <v>202604</v>
      </c>
      <c r="H4196" t="s">
        <v>75</v>
      </c>
      <c r="I4196" t="s">
        <v>76</v>
      </c>
      <c r="J4196" t="s">
        <v>77</v>
      </c>
      <c r="K4196" t="s">
        <v>78</v>
      </c>
      <c r="L4196" t="s">
        <v>79</v>
      </c>
      <c r="M4196" t="s">
        <v>80</v>
      </c>
      <c r="N4196" t="s">
        <v>141</v>
      </c>
      <c r="O4196" t="s">
        <v>82</v>
      </c>
      <c r="P4196" t="str">
        <f>"4170051397                    "</f>
        <v xml:space="preserve">4170051397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22.6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71.2</v>
      </c>
      <c r="BM4196">
        <v>10.68</v>
      </c>
      <c r="BN4196">
        <v>81.88</v>
      </c>
      <c r="BO4196">
        <v>81.88</v>
      </c>
      <c r="BQ4196" t="s">
        <v>142</v>
      </c>
      <c r="BR4196" t="s">
        <v>84</v>
      </c>
      <c r="BS4196" s="3">
        <v>45867</v>
      </c>
      <c r="BT4196" s="4">
        <v>0.40763888888888888</v>
      </c>
      <c r="BU4196" t="s">
        <v>2437</v>
      </c>
      <c r="BV4196" t="s">
        <v>98</v>
      </c>
      <c r="BY4196">
        <v>1200</v>
      </c>
      <c r="CA4196" t="s">
        <v>144</v>
      </c>
      <c r="CC4196" t="s">
        <v>80</v>
      </c>
      <c r="CD4196">
        <v>7441</v>
      </c>
      <c r="CE4196" t="s">
        <v>121</v>
      </c>
      <c r="CF4196" s="3">
        <v>45868</v>
      </c>
      <c r="CI4196">
        <v>1</v>
      </c>
      <c r="CJ4196">
        <v>1</v>
      </c>
      <c r="CK4196">
        <v>21</v>
      </c>
      <c r="CL4196" t="s">
        <v>86</v>
      </c>
    </row>
    <row r="4197" spans="1:90" x14ac:dyDescent="0.3">
      <c r="A4197" t="s">
        <v>72</v>
      </c>
      <c r="B4197" t="s">
        <v>73</v>
      </c>
      <c r="C4197" t="s">
        <v>74</v>
      </c>
      <c r="E4197" t="str">
        <f>"080066830871"</f>
        <v>080066830871</v>
      </c>
      <c r="F4197" s="3">
        <v>45866</v>
      </c>
      <c r="G4197">
        <v>202604</v>
      </c>
      <c r="H4197" t="s">
        <v>75</v>
      </c>
      <c r="I4197" t="s">
        <v>76</v>
      </c>
      <c r="J4197" t="s">
        <v>77</v>
      </c>
      <c r="K4197" t="s">
        <v>78</v>
      </c>
      <c r="L4197" t="s">
        <v>151</v>
      </c>
      <c r="M4197" t="s">
        <v>152</v>
      </c>
      <c r="N4197" t="s">
        <v>1212</v>
      </c>
      <c r="O4197" t="s">
        <v>82</v>
      </c>
      <c r="P4197" t="str">
        <f>"4170051535                    "</f>
        <v xml:space="preserve">4170051535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22.6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71.2</v>
      </c>
      <c r="BM4197">
        <v>10.68</v>
      </c>
      <c r="BN4197">
        <v>81.88</v>
      </c>
      <c r="BO4197">
        <v>81.88</v>
      </c>
      <c r="BQ4197" t="s">
        <v>1213</v>
      </c>
      <c r="BR4197" t="s">
        <v>84</v>
      </c>
      <c r="BS4197" s="3">
        <v>45868</v>
      </c>
      <c r="BT4197" s="4">
        <v>0.40833333333333333</v>
      </c>
      <c r="BU4197" t="s">
        <v>3705</v>
      </c>
      <c r="BV4197" t="s">
        <v>86</v>
      </c>
      <c r="BW4197" t="s">
        <v>395</v>
      </c>
      <c r="BX4197" t="s">
        <v>2589</v>
      </c>
      <c r="BY4197">
        <v>1200</v>
      </c>
      <c r="CA4197" t="s">
        <v>3706</v>
      </c>
      <c r="CC4197" t="s">
        <v>152</v>
      </c>
      <c r="CD4197" s="5" t="s">
        <v>717</v>
      </c>
      <c r="CE4197" t="s">
        <v>121</v>
      </c>
      <c r="CF4197" s="3">
        <v>45868</v>
      </c>
      <c r="CI4197">
        <v>1</v>
      </c>
      <c r="CJ4197">
        <v>2</v>
      </c>
      <c r="CK4197">
        <v>21</v>
      </c>
      <c r="CL4197" t="s">
        <v>86</v>
      </c>
    </row>
    <row r="4198" spans="1:90" x14ac:dyDescent="0.3">
      <c r="A4198" t="s">
        <v>72</v>
      </c>
      <c r="B4198" t="s">
        <v>73</v>
      </c>
      <c r="C4198" t="s">
        <v>74</v>
      </c>
      <c r="E4198" t="str">
        <f>"080066830899"</f>
        <v>080066830899</v>
      </c>
      <c r="F4198" s="3">
        <v>45866</v>
      </c>
      <c r="G4198">
        <v>202604</v>
      </c>
      <c r="H4198" t="s">
        <v>75</v>
      </c>
      <c r="I4198" t="s">
        <v>76</v>
      </c>
      <c r="J4198" t="s">
        <v>77</v>
      </c>
      <c r="K4198" t="s">
        <v>78</v>
      </c>
      <c r="L4198" t="s">
        <v>295</v>
      </c>
      <c r="M4198" t="s">
        <v>296</v>
      </c>
      <c r="N4198" t="s">
        <v>1063</v>
      </c>
      <c r="O4198" t="s">
        <v>82</v>
      </c>
      <c r="P4198" t="str">
        <f>"4170051375                    "</f>
        <v xml:space="preserve">4170051375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17.649999999999999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55.61</v>
      </c>
      <c r="BM4198">
        <v>8.34</v>
      </c>
      <c r="BN4198">
        <v>63.95</v>
      </c>
      <c r="BO4198">
        <v>63.95</v>
      </c>
      <c r="BQ4198" t="s">
        <v>1064</v>
      </c>
      <c r="BR4198" t="s">
        <v>84</v>
      </c>
      <c r="BS4198" s="3">
        <v>45867</v>
      </c>
      <c r="BT4198" s="4">
        <v>0.40277777777777779</v>
      </c>
      <c r="BU4198" t="s">
        <v>1065</v>
      </c>
      <c r="BV4198" t="s">
        <v>98</v>
      </c>
      <c r="BY4198">
        <v>1200</v>
      </c>
      <c r="CA4198" t="s">
        <v>300</v>
      </c>
      <c r="CC4198" t="s">
        <v>296</v>
      </c>
      <c r="CD4198">
        <v>1459</v>
      </c>
      <c r="CE4198" t="s">
        <v>121</v>
      </c>
      <c r="CF4198" s="3">
        <v>45868</v>
      </c>
      <c r="CI4198">
        <v>1</v>
      </c>
      <c r="CJ4198">
        <v>1</v>
      </c>
      <c r="CK4198">
        <v>22</v>
      </c>
      <c r="CL4198" t="s">
        <v>86</v>
      </c>
    </row>
    <row r="4199" spans="1:90" x14ac:dyDescent="0.3">
      <c r="A4199" t="s">
        <v>72</v>
      </c>
      <c r="B4199" t="s">
        <v>73</v>
      </c>
      <c r="C4199" t="s">
        <v>74</v>
      </c>
      <c r="E4199" t="str">
        <f>"080066830931"</f>
        <v>080066830931</v>
      </c>
      <c r="F4199" s="3">
        <v>45866</v>
      </c>
      <c r="G4199">
        <v>202604</v>
      </c>
      <c r="H4199" t="s">
        <v>75</v>
      </c>
      <c r="I4199" t="s">
        <v>76</v>
      </c>
      <c r="J4199" t="s">
        <v>77</v>
      </c>
      <c r="K4199" t="s">
        <v>78</v>
      </c>
      <c r="L4199" t="s">
        <v>151</v>
      </c>
      <c r="M4199" t="s">
        <v>152</v>
      </c>
      <c r="N4199" t="s">
        <v>500</v>
      </c>
      <c r="O4199" t="s">
        <v>82</v>
      </c>
      <c r="P4199" t="str">
        <f>"4170051351                    "</f>
        <v xml:space="preserve">4170051351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22.6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71.2</v>
      </c>
      <c r="BM4199">
        <v>10.68</v>
      </c>
      <c r="BN4199">
        <v>81.88</v>
      </c>
      <c r="BO4199">
        <v>81.88</v>
      </c>
      <c r="BQ4199" t="s">
        <v>501</v>
      </c>
      <c r="BR4199" t="s">
        <v>84</v>
      </c>
      <c r="BS4199" s="3">
        <v>45867</v>
      </c>
      <c r="BT4199" s="4">
        <v>0.41666666666666669</v>
      </c>
      <c r="BU4199" t="s">
        <v>3707</v>
      </c>
      <c r="BV4199" t="s">
        <v>98</v>
      </c>
      <c r="BY4199">
        <v>1200</v>
      </c>
      <c r="CA4199" t="s">
        <v>388</v>
      </c>
      <c r="CC4199" t="s">
        <v>152</v>
      </c>
      <c r="CD4199" s="5" t="s">
        <v>157</v>
      </c>
      <c r="CE4199" t="s">
        <v>121</v>
      </c>
      <c r="CF4199" s="3">
        <v>45867</v>
      </c>
      <c r="CI4199">
        <v>1</v>
      </c>
      <c r="CJ4199">
        <v>1</v>
      </c>
      <c r="CK4199">
        <v>21</v>
      </c>
      <c r="CL4199" t="s">
        <v>86</v>
      </c>
    </row>
    <row r="4200" spans="1:90" x14ac:dyDescent="0.3">
      <c r="A4200" t="s">
        <v>72</v>
      </c>
      <c r="B4200" t="s">
        <v>73</v>
      </c>
      <c r="C4200" t="s">
        <v>74</v>
      </c>
      <c r="E4200" t="str">
        <f>"080066830972"</f>
        <v>080066830972</v>
      </c>
      <c r="F4200" s="3">
        <v>45866</v>
      </c>
      <c r="G4200">
        <v>202604</v>
      </c>
      <c r="H4200" t="s">
        <v>75</v>
      </c>
      <c r="I4200" t="s">
        <v>76</v>
      </c>
      <c r="J4200" t="s">
        <v>77</v>
      </c>
      <c r="K4200" t="s">
        <v>78</v>
      </c>
      <c r="L4200" t="s">
        <v>854</v>
      </c>
      <c r="M4200" t="s">
        <v>855</v>
      </c>
      <c r="N4200" t="s">
        <v>1986</v>
      </c>
      <c r="O4200" t="s">
        <v>82</v>
      </c>
      <c r="P4200" t="str">
        <f>"4170051358                    "</f>
        <v xml:space="preserve">4170051358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43.78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16.739999999999998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>
        <v>154.68</v>
      </c>
      <c r="BM4200">
        <v>23.2</v>
      </c>
      <c r="BN4200">
        <v>177.88</v>
      </c>
      <c r="BO4200">
        <v>177.88</v>
      </c>
      <c r="BQ4200" t="s">
        <v>1987</v>
      </c>
      <c r="BR4200" t="s">
        <v>84</v>
      </c>
      <c r="BS4200" s="3">
        <v>45867</v>
      </c>
      <c r="BT4200" s="4">
        <v>0.5756944444444444</v>
      </c>
      <c r="BU4200" t="s">
        <v>1988</v>
      </c>
      <c r="BV4200" t="s">
        <v>98</v>
      </c>
      <c r="BY4200">
        <v>1200</v>
      </c>
      <c r="BZ4200" t="s">
        <v>30</v>
      </c>
      <c r="CA4200" t="s">
        <v>992</v>
      </c>
      <c r="CC4200" t="s">
        <v>855</v>
      </c>
      <c r="CD4200" s="5" t="s">
        <v>1989</v>
      </c>
      <c r="CE4200" t="s">
        <v>121</v>
      </c>
      <c r="CF4200" s="3">
        <v>45867</v>
      </c>
      <c r="CI4200">
        <v>1</v>
      </c>
      <c r="CJ4200">
        <v>1</v>
      </c>
      <c r="CK4200">
        <v>23</v>
      </c>
      <c r="CL4200" t="s">
        <v>86</v>
      </c>
    </row>
    <row r="4201" spans="1:90" x14ac:dyDescent="0.3">
      <c r="A4201" t="s">
        <v>72</v>
      </c>
      <c r="B4201" t="s">
        <v>73</v>
      </c>
      <c r="C4201" t="s">
        <v>74</v>
      </c>
      <c r="E4201" t="str">
        <f>"080066830998"</f>
        <v>080066830998</v>
      </c>
      <c r="F4201" s="3">
        <v>45866</v>
      </c>
      <c r="G4201">
        <v>202604</v>
      </c>
      <c r="H4201" t="s">
        <v>75</v>
      </c>
      <c r="I4201" t="s">
        <v>76</v>
      </c>
      <c r="J4201" t="s">
        <v>77</v>
      </c>
      <c r="K4201" t="s">
        <v>78</v>
      </c>
      <c r="L4201" t="s">
        <v>79</v>
      </c>
      <c r="M4201" t="s">
        <v>80</v>
      </c>
      <c r="N4201" t="s">
        <v>3708</v>
      </c>
      <c r="O4201" t="s">
        <v>82</v>
      </c>
      <c r="P4201" t="str">
        <f>"4170051503                    "</f>
        <v xml:space="preserve">4170051503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22.6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0.2</v>
      </c>
      <c r="BK4201">
        <v>1</v>
      </c>
      <c r="BL4201">
        <v>71.2</v>
      </c>
      <c r="BM4201">
        <v>10.68</v>
      </c>
      <c r="BN4201">
        <v>81.88</v>
      </c>
      <c r="BO4201">
        <v>81.88</v>
      </c>
      <c r="BQ4201" t="s">
        <v>3709</v>
      </c>
      <c r="BR4201" t="s">
        <v>84</v>
      </c>
      <c r="BS4201" s="3">
        <v>45867</v>
      </c>
      <c r="BT4201" s="4">
        <v>0.40555555555555556</v>
      </c>
      <c r="BU4201" t="s">
        <v>356</v>
      </c>
      <c r="BV4201" t="s">
        <v>98</v>
      </c>
      <c r="BY4201">
        <v>1200</v>
      </c>
      <c r="CA4201" t="s">
        <v>144</v>
      </c>
      <c r="CC4201" t="s">
        <v>80</v>
      </c>
      <c r="CD4201">
        <v>7405</v>
      </c>
      <c r="CE4201" t="s">
        <v>121</v>
      </c>
      <c r="CF4201" s="3">
        <v>45868</v>
      </c>
      <c r="CI4201">
        <v>1</v>
      </c>
      <c r="CJ4201">
        <v>1</v>
      </c>
      <c r="CK4201">
        <v>21</v>
      </c>
      <c r="CL4201" t="s">
        <v>86</v>
      </c>
    </row>
    <row r="4202" spans="1:90" x14ac:dyDescent="0.3">
      <c r="A4202" t="s">
        <v>72</v>
      </c>
      <c r="B4202" t="s">
        <v>73</v>
      </c>
      <c r="C4202" t="s">
        <v>74</v>
      </c>
      <c r="E4202" t="str">
        <f>"080066831033"</f>
        <v>080066831033</v>
      </c>
      <c r="F4202" s="3">
        <v>45866</v>
      </c>
      <c r="G4202">
        <v>202604</v>
      </c>
      <c r="H4202" t="s">
        <v>75</v>
      </c>
      <c r="I4202" t="s">
        <v>76</v>
      </c>
      <c r="J4202" t="s">
        <v>77</v>
      </c>
      <c r="K4202" t="s">
        <v>78</v>
      </c>
      <c r="L4202" t="s">
        <v>79</v>
      </c>
      <c r="M4202" t="s">
        <v>80</v>
      </c>
      <c r="N4202" t="s">
        <v>188</v>
      </c>
      <c r="O4202" t="s">
        <v>82</v>
      </c>
      <c r="P4202" t="str">
        <f>"4170051343                    "</f>
        <v xml:space="preserve">4170051343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22.6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0.2</v>
      </c>
      <c r="BK4202">
        <v>1</v>
      </c>
      <c r="BL4202">
        <v>71.2</v>
      </c>
      <c r="BM4202">
        <v>10.68</v>
      </c>
      <c r="BN4202">
        <v>81.88</v>
      </c>
      <c r="BO4202">
        <v>81.88</v>
      </c>
      <c r="BQ4202" t="s">
        <v>189</v>
      </c>
      <c r="BR4202" t="s">
        <v>84</v>
      </c>
      <c r="BS4202" s="3">
        <v>45867</v>
      </c>
      <c r="BT4202" s="4">
        <v>0.41875000000000001</v>
      </c>
      <c r="BU4202" t="s">
        <v>190</v>
      </c>
      <c r="BV4202" t="s">
        <v>98</v>
      </c>
      <c r="BY4202">
        <v>1200</v>
      </c>
      <c r="CC4202" t="s">
        <v>80</v>
      </c>
      <c r="CD4202">
        <v>7441</v>
      </c>
      <c r="CE4202" t="s">
        <v>121</v>
      </c>
      <c r="CF4202" s="3">
        <v>45868</v>
      </c>
      <c r="CI4202">
        <v>1</v>
      </c>
      <c r="CJ4202">
        <v>1</v>
      </c>
      <c r="CK4202">
        <v>21</v>
      </c>
      <c r="CL4202" t="s">
        <v>86</v>
      </c>
    </row>
    <row r="4203" spans="1:90" x14ac:dyDescent="0.3">
      <c r="A4203" t="s">
        <v>72</v>
      </c>
      <c r="B4203" t="s">
        <v>73</v>
      </c>
      <c r="C4203" t="s">
        <v>74</v>
      </c>
      <c r="E4203" t="str">
        <f>"080066831062"</f>
        <v>080066831062</v>
      </c>
      <c r="F4203" s="3">
        <v>45866</v>
      </c>
      <c r="G4203">
        <v>202604</v>
      </c>
      <c r="H4203" t="s">
        <v>75</v>
      </c>
      <c r="I4203" t="s">
        <v>76</v>
      </c>
      <c r="J4203" t="s">
        <v>77</v>
      </c>
      <c r="K4203" t="s">
        <v>78</v>
      </c>
      <c r="L4203" t="s">
        <v>168</v>
      </c>
      <c r="M4203" t="s">
        <v>169</v>
      </c>
      <c r="N4203" t="s">
        <v>202</v>
      </c>
      <c r="O4203" t="s">
        <v>82</v>
      </c>
      <c r="P4203" t="str">
        <f>"4170051536                    "</f>
        <v xml:space="preserve">4170051536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22.6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>
        <v>71.2</v>
      </c>
      <c r="BM4203">
        <v>10.68</v>
      </c>
      <c r="BN4203">
        <v>81.88</v>
      </c>
      <c r="BO4203">
        <v>81.88</v>
      </c>
      <c r="BQ4203" t="s">
        <v>203</v>
      </c>
      <c r="BR4203" t="s">
        <v>84</v>
      </c>
      <c r="BS4203" s="3">
        <v>45867</v>
      </c>
      <c r="BT4203" s="4">
        <v>0.37152777777777779</v>
      </c>
      <c r="BU4203" t="s">
        <v>1127</v>
      </c>
      <c r="BV4203" t="s">
        <v>98</v>
      </c>
      <c r="BY4203">
        <v>1200</v>
      </c>
      <c r="CA4203" t="s">
        <v>205</v>
      </c>
      <c r="CC4203" t="s">
        <v>169</v>
      </c>
      <c r="CD4203">
        <v>6001</v>
      </c>
      <c r="CE4203" t="s">
        <v>258</v>
      </c>
      <c r="CF4203" s="3">
        <v>45867</v>
      </c>
      <c r="CI4203">
        <v>1</v>
      </c>
      <c r="CJ4203">
        <v>1</v>
      </c>
      <c r="CK4203">
        <v>21</v>
      </c>
      <c r="CL4203" t="s">
        <v>86</v>
      </c>
    </row>
    <row r="4204" spans="1:90" x14ac:dyDescent="0.3">
      <c r="A4204" t="s">
        <v>72</v>
      </c>
      <c r="B4204" t="s">
        <v>73</v>
      </c>
      <c r="C4204" t="s">
        <v>74</v>
      </c>
      <c r="E4204" t="str">
        <f>"080066831097"</f>
        <v>080066831097</v>
      </c>
      <c r="F4204" s="3">
        <v>45866</v>
      </c>
      <c r="G4204">
        <v>202604</v>
      </c>
      <c r="H4204" t="s">
        <v>75</v>
      </c>
      <c r="I4204" t="s">
        <v>76</v>
      </c>
      <c r="J4204" t="s">
        <v>77</v>
      </c>
      <c r="K4204" t="s">
        <v>78</v>
      </c>
      <c r="L4204" t="s">
        <v>758</v>
      </c>
      <c r="M4204" t="s">
        <v>759</v>
      </c>
      <c r="N4204" t="s">
        <v>760</v>
      </c>
      <c r="O4204" t="s">
        <v>82</v>
      </c>
      <c r="P4204" t="str">
        <f>"4170051487                    "</f>
        <v xml:space="preserve">4170051487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43.78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>
        <v>137.94</v>
      </c>
      <c r="BM4204">
        <v>20.69</v>
      </c>
      <c r="BN4204">
        <v>158.63</v>
      </c>
      <c r="BO4204">
        <v>158.63</v>
      </c>
      <c r="BQ4204" t="s">
        <v>761</v>
      </c>
      <c r="BR4204" t="s">
        <v>84</v>
      </c>
      <c r="BS4204" s="3">
        <v>45867</v>
      </c>
      <c r="BT4204" s="4">
        <v>0.48472222222222222</v>
      </c>
      <c r="BU4204" t="s">
        <v>1819</v>
      </c>
      <c r="BV4204" t="s">
        <v>98</v>
      </c>
      <c r="BY4204">
        <v>1200</v>
      </c>
      <c r="CA4204" t="s">
        <v>3015</v>
      </c>
      <c r="CC4204" t="s">
        <v>759</v>
      </c>
      <c r="CD4204">
        <v>2531</v>
      </c>
      <c r="CE4204" t="s">
        <v>121</v>
      </c>
      <c r="CF4204" s="3">
        <v>45868</v>
      </c>
      <c r="CI4204">
        <v>1</v>
      </c>
      <c r="CJ4204">
        <v>1</v>
      </c>
      <c r="CK4204">
        <v>23</v>
      </c>
      <c r="CL4204" t="s">
        <v>86</v>
      </c>
    </row>
    <row r="4205" spans="1:90" x14ac:dyDescent="0.3">
      <c r="A4205" t="s">
        <v>72</v>
      </c>
      <c r="B4205" t="s">
        <v>73</v>
      </c>
      <c r="C4205" t="s">
        <v>74</v>
      </c>
      <c r="E4205" t="str">
        <f>"080066831133"</f>
        <v>080066831133</v>
      </c>
      <c r="F4205" s="3">
        <v>45866</v>
      </c>
      <c r="G4205">
        <v>202604</v>
      </c>
      <c r="H4205" t="s">
        <v>75</v>
      </c>
      <c r="I4205" t="s">
        <v>76</v>
      </c>
      <c r="J4205" t="s">
        <v>77</v>
      </c>
      <c r="K4205" t="s">
        <v>78</v>
      </c>
      <c r="L4205" t="s">
        <v>135</v>
      </c>
      <c r="M4205" t="s">
        <v>136</v>
      </c>
      <c r="N4205" t="s">
        <v>416</v>
      </c>
      <c r="O4205" t="s">
        <v>82</v>
      </c>
      <c r="P4205" t="str">
        <f>"4170051459                    "</f>
        <v xml:space="preserve">4170051459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22.6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>
        <v>71.2</v>
      </c>
      <c r="BM4205">
        <v>10.68</v>
      </c>
      <c r="BN4205">
        <v>81.88</v>
      </c>
      <c r="BO4205">
        <v>81.88</v>
      </c>
      <c r="BQ4205" t="s">
        <v>417</v>
      </c>
      <c r="BR4205" t="s">
        <v>84</v>
      </c>
      <c r="BS4205" s="3">
        <v>45867</v>
      </c>
      <c r="BT4205" s="4">
        <v>0.41666666666666669</v>
      </c>
      <c r="BU4205" t="s">
        <v>650</v>
      </c>
      <c r="BV4205" t="s">
        <v>98</v>
      </c>
      <c r="BY4205">
        <v>1200</v>
      </c>
      <c r="CC4205" t="s">
        <v>136</v>
      </c>
      <c r="CD4205">
        <v>3201</v>
      </c>
      <c r="CE4205" t="s">
        <v>121</v>
      </c>
      <c r="CF4205" s="3">
        <v>45868</v>
      </c>
      <c r="CI4205">
        <v>1</v>
      </c>
      <c r="CJ4205">
        <v>1</v>
      </c>
      <c r="CK4205">
        <v>21</v>
      </c>
      <c r="CL4205" t="s">
        <v>86</v>
      </c>
    </row>
    <row r="4206" spans="1:90" x14ac:dyDescent="0.3">
      <c r="A4206" t="s">
        <v>72</v>
      </c>
      <c r="B4206" t="s">
        <v>73</v>
      </c>
      <c r="C4206" t="s">
        <v>74</v>
      </c>
      <c r="E4206" t="str">
        <f>"080066831203"</f>
        <v>080066831203</v>
      </c>
      <c r="F4206" s="3">
        <v>45866</v>
      </c>
      <c r="G4206">
        <v>202604</v>
      </c>
      <c r="H4206" t="s">
        <v>75</v>
      </c>
      <c r="I4206" t="s">
        <v>76</v>
      </c>
      <c r="J4206" t="s">
        <v>77</v>
      </c>
      <c r="K4206" t="s">
        <v>78</v>
      </c>
      <c r="L4206" t="s">
        <v>1128</v>
      </c>
      <c r="M4206" t="s">
        <v>1129</v>
      </c>
      <c r="N4206" t="s">
        <v>1130</v>
      </c>
      <c r="O4206" t="s">
        <v>82</v>
      </c>
      <c r="P4206" t="str">
        <f>"4170051542                    "</f>
        <v xml:space="preserve">4170051542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22.6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71.2</v>
      </c>
      <c r="BM4206">
        <v>10.68</v>
      </c>
      <c r="BN4206">
        <v>81.88</v>
      </c>
      <c r="BO4206">
        <v>81.88</v>
      </c>
      <c r="BQ4206" t="s">
        <v>1131</v>
      </c>
      <c r="BR4206" t="s">
        <v>84</v>
      </c>
      <c r="BS4206" s="3">
        <v>45867</v>
      </c>
      <c r="BT4206" s="4">
        <v>0.36041666666666666</v>
      </c>
      <c r="BU4206" t="s">
        <v>3710</v>
      </c>
      <c r="BV4206" t="s">
        <v>98</v>
      </c>
      <c r="BY4206">
        <v>1200</v>
      </c>
      <c r="CA4206" t="s">
        <v>1133</v>
      </c>
      <c r="CC4206" t="s">
        <v>1129</v>
      </c>
      <c r="CD4206">
        <v>7600</v>
      </c>
      <c r="CE4206" t="s">
        <v>121</v>
      </c>
      <c r="CF4206" s="3">
        <v>45868</v>
      </c>
      <c r="CI4206">
        <v>1</v>
      </c>
      <c r="CJ4206">
        <v>1</v>
      </c>
      <c r="CK4206">
        <v>21</v>
      </c>
      <c r="CL4206" t="s">
        <v>86</v>
      </c>
    </row>
    <row r="4207" spans="1:90" x14ac:dyDescent="0.3">
      <c r="A4207" t="s">
        <v>72</v>
      </c>
      <c r="B4207" t="s">
        <v>73</v>
      </c>
      <c r="C4207" t="s">
        <v>74</v>
      </c>
      <c r="E4207" t="str">
        <f>"080066831232"</f>
        <v>080066831232</v>
      </c>
      <c r="F4207" s="3">
        <v>45866</v>
      </c>
      <c r="G4207">
        <v>202604</v>
      </c>
      <c r="H4207" t="s">
        <v>75</v>
      </c>
      <c r="I4207" t="s">
        <v>76</v>
      </c>
      <c r="J4207" t="s">
        <v>77</v>
      </c>
      <c r="K4207" t="s">
        <v>78</v>
      </c>
      <c r="L4207" t="s">
        <v>122</v>
      </c>
      <c r="M4207" t="s">
        <v>123</v>
      </c>
      <c r="N4207" t="s">
        <v>3587</v>
      </c>
      <c r="O4207" t="s">
        <v>82</v>
      </c>
      <c r="P4207" t="str">
        <f>"4170051515                    "</f>
        <v xml:space="preserve">4170051515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22.6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>
        <v>71.2</v>
      </c>
      <c r="BM4207">
        <v>10.68</v>
      </c>
      <c r="BN4207">
        <v>81.88</v>
      </c>
      <c r="BO4207">
        <v>81.88</v>
      </c>
      <c r="BQ4207" t="s">
        <v>3588</v>
      </c>
      <c r="BR4207" t="s">
        <v>84</v>
      </c>
      <c r="BS4207" s="3">
        <v>45867</v>
      </c>
      <c r="BT4207" s="4">
        <v>0.61805555555555558</v>
      </c>
      <c r="BU4207" t="s">
        <v>2520</v>
      </c>
      <c r="BV4207" t="s">
        <v>86</v>
      </c>
      <c r="BW4207" t="s">
        <v>194</v>
      </c>
      <c r="BX4207" t="s">
        <v>3711</v>
      </c>
      <c r="BY4207">
        <v>1200</v>
      </c>
      <c r="CA4207" t="s">
        <v>740</v>
      </c>
      <c r="CC4207" t="s">
        <v>123</v>
      </c>
      <c r="CD4207">
        <v>3600</v>
      </c>
      <c r="CE4207" t="s">
        <v>121</v>
      </c>
      <c r="CF4207" s="3">
        <v>45868</v>
      </c>
      <c r="CI4207">
        <v>1</v>
      </c>
      <c r="CJ4207">
        <v>1</v>
      </c>
      <c r="CK4207">
        <v>21</v>
      </c>
      <c r="CL4207" t="s">
        <v>86</v>
      </c>
    </row>
    <row r="4208" spans="1:90" x14ac:dyDescent="0.3">
      <c r="A4208" t="s">
        <v>72</v>
      </c>
      <c r="B4208" t="s">
        <v>73</v>
      </c>
      <c r="C4208" t="s">
        <v>74</v>
      </c>
      <c r="E4208" t="str">
        <f>"080066831263"</f>
        <v>080066831263</v>
      </c>
      <c r="F4208" s="3">
        <v>45866</v>
      </c>
      <c r="G4208">
        <v>202604</v>
      </c>
      <c r="H4208" t="s">
        <v>75</v>
      </c>
      <c r="I4208" t="s">
        <v>76</v>
      </c>
      <c r="J4208" t="s">
        <v>77</v>
      </c>
      <c r="K4208" t="s">
        <v>78</v>
      </c>
      <c r="L4208" t="s">
        <v>122</v>
      </c>
      <c r="M4208" t="s">
        <v>123</v>
      </c>
      <c r="N4208" t="s">
        <v>2931</v>
      </c>
      <c r="O4208" t="s">
        <v>82</v>
      </c>
      <c r="P4208" t="str">
        <f>"4170051412                    "</f>
        <v xml:space="preserve">4170051412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22.6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71.2</v>
      </c>
      <c r="BM4208">
        <v>10.68</v>
      </c>
      <c r="BN4208">
        <v>81.88</v>
      </c>
      <c r="BO4208">
        <v>81.88</v>
      </c>
      <c r="BQ4208" t="s">
        <v>2932</v>
      </c>
      <c r="BR4208" t="s">
        <v>84</v>
      </c>
      <c r="BS4208" s="3">
        <v>45867</v>
      </c>
      <c r="BT4208" s="4">
        <v>0.48333333333333334</v>
      </c>
      <c r="BU4208" t="s">
        <v>3688</v>
      </c>
      <c r="BV4208" t="s">
        <v>98</v>
      </c>
      <c r="BY4208">
        <v>1200</v>
      </c>
      <c r="CA4208" t="s">
        <v>3689</v>
      </c>
      <c r="CC4208" t="s">
        <v>123</v>
      </c>
      <c r="CD4208">
        <v>3610</v>
      </c>
      <c r="CE4208" t="s">
        <v>121</v>
      </c>
      <c r="CF4208" s="3">
        <v>45867</v>
      </c>
      <c r="CI4208">
        <v>1</v>
      </c>
      <c r="CJ4208">
        <v>1</v>
      </c>
      <c r="CK4208">
        <v>21</v>
      </c>
      <c r="CL4208" t="s">
        <v>86</v>
      </c>
    </row>
    <row r="4209" spans="1:90" x14ac:dyDescent="0.3">
      <c r="A4209" t="s">
        <v>72</v>
      </c>
      <c r="B4209" t="s">
        <v>73</v>
      </c>
      <c r="C4209" t="s">
        <v>74</v>
      </c>
      <c r="E4209" t="str">
        <f>"080066831289"</f>
        <v>080066831289</v>
      </c>
      <c r="F4209" s="3">
        <v>45866</v>
      </c>
      <c r="G4209">
        <v>202604</v>
      </c>
      <c r="H4209" t="s">
        <v>75</v>
      </c>
      <c r="I4209" t="s">
        <v>76</v>
      </c>
      <c r="J4209" t="s">
        <v>77</v>
      </c>
      <c r="K4209" t="s">
        <v>78</v>
      </c>
      <c r="L4209" t="s">
        <v>122</v>
      </c>
      <c r="M4209" t="s">
        <v>123</v>
      </c>
      <c r="N4209" t="s">
        <v>2931</v>
      </c>
      <c r="O4209" t="s">
        <v>82</v>
      </c>
      <c r="P4209" t="str">
        <f>"4170051418                    "</f>
        <v xml:space="preserve">4170051418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22.6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71.2</v>
      </c>
      <c r="BM4209">
        <v>10.68</v>
      </c>
      <c r="BN4209">
        <v>81.88</v>
      </c>
      <c r="BO4209">
        <v>81.88</v>
      </c>
      <c r="BQ4209" t="s">
        <v>2932</v>
      </c>
      <c r="BR4209" t="s">
        <v>84</v>
      </c>
      <c r="BS4209" s="3">
        <v>45867</v>
      </c>
      <c r="BT4209" s="4">
        <v>0.48472222222222222</v>
      </c>
      <c r="BU4209" t="s">
        <v>3688</v>
      </c>
      <c r="BV4209" t="s">
        <v>98</v>
      </c>
      <c r="BY4209">
        <v>1200</v>
      </c>
      <c r="CA4209" t="s">
        <v>3689</v>
      </c>
      <c r="CC4209" t="s">
        <v>123</v>
      </c>
      <c r="CD4209">
        <v>3610</v>
      </c>
      <c r="CE4209" t="s">
        <v>121</v>
      </c>
      <c r="CF4209" s="3">
        <v>45868</v>
      </c>
      <c r="CI4209">
        <v>1</v>
      </c>
      <c r="CJ4209">
        <v>1</v>
      </c>
      <c r="CK4209">
        <v>21</v>
      </c>
      <c r="CL4209" t="s">
        <v>86</v>
      </c>
    </row>
    <row r="4210" spans="1:90" x14ac:dyDescent="0.3">
      <c r="A4210" t="s">
        <v>72</v>
      </c>
      <c r="B4210" t="s">
        <v>73</v>
      </c>
      <c r="C4210" t="s">
        <v>74</v>
      </c>
      <c r="E4210" t="str">
        <f>"R080066698134"</f>
        <v>R080066698134</v>
      </c>
      <c r="F4210" s="3">
        <v>45866</v>
      </c>
      <c r="G4210">
        <v>202604</v>
      </c>
      <c r="H4210" t="s">
        <v>151</v>
      </c>
      <c r="I4210" t="s">
        <v>152</v>
      </c>
      <c r="J4210" t="s">
        <v>3076</v>
      </c>
      <c r="K4210" t="s">
        <v>78</v>
      </c>
      <c r="L4210" t="s">
        <v>151</v>
      </c>
      <c r="M4210" t="s">
        <v>152</v>
      </c>
      <c r="N4210" t="s">
        <v>3712</v>
      </c>
      <c r="O4210" t="s">
        <v>95</v>
      </c>
      <c r="P4210" t="str">
        <f>"4170049288                    "</f>
        <v xml:space="preserve">4170049288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33.72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112.11</v>
      </c>
      <c r="BM4210">
        <v>16.82</v>
      </c>
      <c r="BN4210">
        <v>128.93</v>
      </c>
      <c r="BO4210">
        <v>128.93</v>
      </c>
      <c r="BQ4210" s="5" t="s">
        <v>3713</v>
      </c>
      <c r="BR4210" t="s">
        <v>3077</v>
      </c>
      <c r="BS4210" s="3">
        <v>45867</v>
      </c>
      <c r="BT4210" s="4">
        <v>0.42777777777777776</v>
      </c>
      <c r="BU4210" t="s">
        <v>3436</v>
      </c>
      <c r="BV4210" t="s">
        <v>98</v>
      </c>
      <c r="BY4210">
        <v>1200</v>
      </c>
      <c r="CA4210" t="s">
        <v>518</v>
      </c>
      <c r="CC4210" t="s">
        <v>152</v>
      </c>
      <c r="CD4210" s="5" t="s">
        <v>3714</v>
      </c>
      <c r="CE4210" t="s">
        <v>121</v>
      </c>
      <c r="CF4210" s="3">
        <v>45867</v>
      </c>
      <c r="CI4210">
        <v>1</v>
      </c>
      <c r="CJ4210">
        <v>1</v>
      </c>
      <c r="CK4210">
        <v>42</v>
      </c>
      <c r="CL4210" t="s">
        <v>86</v>
      </c>
    </row>
    <row r="4211" spans="1:90" x14ac:dyDescent="0.3">
      <c r="A4211" t="s">
        <v>72</v>
      </c>
      <c r="B4211" t="s">
        <v>73</v>
      </c>
      <c r="C4211" t="s">
        <v>74</v>
      </c>
      <c r="E4211" t="str">
        <f>"080066831318"</f>
        <v>080066831318</v>
      </c>
      <c r="F4211" s="3">
        <v>45866</v>
      </c>
      <c r="G4211">
        <v>202604</v>
      </c>
      <c r="H4211" t="s">
        <v>75</v>
      </c>
      <c r="I4211" t="s">
        <v>76</v>
      </c>
      <c r="J4211" t="s">
        <v>77</v>
      </c>
      <c r="K4211" t="s">
        <v>78</v>
      </c>
      <c r="L4211" t="s">
        <v>122</v>
      </c>
      <c r="M4211" t="s">
        <v>123</v>
      </c>
      <c r="N4211" t="s">
        <v>2931</v>
      </c>
      <c r="O4211" t="s">
        <v>82</v>
      </c>
      <c r="P4211" t="str">
        <f>"4170051416                    "</f>
        <v xml:space="preserve">4170051416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22.6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71.2</v>
      </c>
      <c r="BM4211">
        <v>10.68</v>
      </c>
      <c r="BN4211">
        <v>81.88</v>
      </c>
      <c r="BO4211">
        <v>81.88</v>
      </c>
      <c r="BQ4211" t="s">
        <v>2932</v>
      </c>
      <c r="BR4211" t="s">
        <v>84</v>
      </c>
      <c r="BS4211" s="3">
        <v>45867</v>
      </c>
      <c r="BT4211" s="4">
        <v>0.48402777777777778</v>
      </c>
      <c r="BU4211" t="s">
        <v>3688</v>
      </c>
      <c r="BV4211" t="s">
        <v>98</v>
      </c>
      <c r="BY4211">
        <v>1200</v>
      </c>
      <c r="CA4211" t="s">
        <v>3689</v>
      </c>
      <c r="CC4211" t="s">
        <v>123</v>
      </c>
      <c r="CD4211">
        <v>3610</v>
      </c>
      <c r="CE4211" t="s">
        <v>121</v>
      </c>
      <c r="CF4211" s="3">
        <v>45867</v>
      </c>
      <c r="CI4211">
        <v>1</v>
      </c>
      <c r="CJ4211">
        <v>1</v>
      </c>
      <c r="CK4211">
        <v>21</v>
      </c>
      <c r="CL4211" t="s">
        <v>86</v>
      </c>
    </row>
    <row r="4212" spans="1:90" x14ac:dyDescent="0.3">
      <c r="A4212" t="s">
        <v>72</v>
      </c>
      <c r="B4212" t="s">
        <v>73</v>
      </c>
      <c r="C4212" t="s">
        <v>74</v>
      </c>
      <c r="E4212" t="str">
        <f>"080066831346"</f>
        <v>080066831346</v>
      </c>
      <c r="F4212" s="3">
        <v>45866</v>
      </c>
      <c r="G4212">
        <v>202604</v>
      </c>
      <c r="H4212" t="s">
        <v>75</v>
      </c>
      <c r="I4212" t="s">
        <v>76</v>
      </c>
      <c r="J4212" t="s">
        <v>77</v>
      </c>
      <c r="K4212" t="s">
        <v>78</v>
      </c>
      <c r="L4212" t="s">
        <v>75</v>
      </c>
      <c r="M4212" t="s">
        <v>76</v>
      </c>
      <c r="N4212" t="s">
        <v>118</v>
      </c>
      <c r="O4212" t="s">
        <v>82</v>
      </c>
      <c r="P4212" t="str">
        <f>"4170051325                    "</f>
        <v xml:space="preserve">4170051325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17.649999999999999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3</v>
      </c>
      <c r="BJ4212">
        <v>1.7</v>
      </c>
      <c r="BK4212">
        <v>3</v>
      </c>
      <c r="BL4212">
        <v>55.61</v>
      </c>
      <c r="BM4212">
        <v>8.34</v>
      </c>
      <c r="BN4212">
        <v>63.95</v>
      </c>
      <c r="BO4212">
        <v>63.95</v>
      </c>
      <c r="BQ4212" t="s">
        <v>119</v>
      </c>
      <c r="BR4212" t="s">
        <v>84</v>
      </c>
      <c r="BS4212" s="3">
        <v>45867</v>
      </c>
      <c r="BT4212" s="4">
        <v>0.36458333333333331</v>
      </c>
      <c r="BU4212" t="s">
        <v>3715</v>
      </c>
      <c r="BV4212" t="s">
        <v>98</v>
      </c>
      <c r="BY4212">
        <v>8550</v>
      </c>
      <c r="CA4212" t="s">
        <v>1247</v>
      </c>
      <c r="CC4212" t="s">
        <v>76</v>
      </c>
      <c r="CD4212">
        <v>1600</v>
      </c>
      <c r="CE4212" t="s">
        <v>145</v>
      </c>
      <c r="CF4212" s="3">
        <v>45867</v>
      </c>
      <c r="CI4212">
        <v>1</v>
      </c>
      <c r="CJ4212">
        <v>1</v>
      </c>
      <c r="CK4212">
        <v>22</v>
      </c>
      <c r="CL4212" t="s">
        <v>86</v>
      </c>
    </row>
    <row r="4213" spans="1:90" x14ac:dyDescent="0.3">
      <c r="A4213" t="s">
        <v>72</v>
      </c>
      <c r="B4213" t="s">
        <v>73</v>
      </c>
      <c r="C4213" t="s">
        <v>74</v>
      </c>
      <c r="E4213" t="str">
        <f>"080066831390"</f>
        <v>080066831390</v>
      </c>
      <c r="F4213" s="3">
        <v>45866</v>
      </c>
      <c r="G4213">
        <v>202604</v>
      </c>
      <c r="H4213" t="s">
        <v>75</v>
      </c>
      <c r="I4213" t="s">
        <v>76</v>
      </c>
      <c r="J4213" t="s">
        <v>77</v>
      </c>
      <c r="K4213" t="s">
        <v>78</v>
      </c>
      <c r="L4213" t="s">
        <v>168</v>
      </c>
      <c r="M4213" t="s">
        <v>169</v>
      </c>
      <c r="N4213" t="s">
        <v>202</v>
      </c>
      <c r="O4213" t="s">
        <v>82</v>
      </c>
      <c r="P4213" t="str">
        <f>"4170051371                    "</f>
        <v xml:space="preserve">4170051371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22.6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1.9</v>
      </c>
      <c r="BK4213">
        <v>2</v>
      </c>
      <c r="BL4213">
        <v>71.2</v>
      </c>
      <c r="BM4213">
        <v>10.68</v>
      </c>
      <c r="BN4213">
        <v>81.88</v>
      </c>
      <c r="BO4213">
        <v>81.88</v>
      </c>
      <c r="BQ4213" t="s">
        <v>203</v>
      </c>
      <c r="BR4213" t="s">
        <v>84</v>
      </c>
      <c r="BS4213" s="3">
        <v>45867</v>
      </c>
      <c r="BT4213" s="4">
        <v>0.37152777777777779</v>
      </c>
      <c r="BU4213" t="s">
        <v>1127</v>
      </c>
      <c r="BV4213" t="s">
        <v>98</v>
      </c>
      <c r="BY4213">
        <v>9600</v>
      </c>
      <c r="CA4213" t="s">
        <v>205</v>
      </c>
      <c r="CC4213" t="s">
        <v>169</v>
      </c>
      <c r="CD4213">
        <v>6001</v>
      </c>
      <c r="CE4213" t="s">
        <v>145</v>
      </c>
      <c r="CF4213" s="3">
        <v>45867</v>
      </c>
      <c r="CI4213">
        <v>1</v>
      </c>
      <c r="CJ4213">
        <v>1</v>
      </c>
      <c r="CK4213">
        <v>21</v>
      </c>
      <c r="CL4213" t="s">
        <v>86</v>
      </c>
    </row>
    <row r="4214" spans="1:90" x14ac:dyDescent="0.3">
      <c r="A4214" t="s">
        <v>72</v>
      </c>
      <c r="B4214" t="s">
        <v>73</v>
      </c>
      <c r="C4214" t="s">
        <v>74</v>
      </c>
      <c r="E4214" t="str">
        <f>"080066831419"</f>
        <v>080066831419</v>
      </c>
      <c r="F4214" s="3">
        <v>45866</v>
      </c>
      <c r="G4214">
        <v>202604</v>
      </c>
      <c r="H4214" t="s">
        <v>75</v>
      </c>
      <c r="I4214" t="s">
        <v>76</v>
      </c>
      <c r="J4214" t="s">
        <v>77</v>
      </c>
      <c r="K4214" t="s">
        <v>78</v>
      </c>
      <c r="L4214" t="s">
        <v>168</v>
      </c>
      <c r="M4214" t="s">
        <v>169</v>
      </c>
      <c r="N4214" t="s">
        <v>773</v>
      </c>
      <c r="O4214" t="s">
        <v>82</v>
      </c>
      <c r="P4214" t="str">
        <f>"4170051439                    "</f>
        <v xml:space="preserve">4170051439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33.89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3</v>
      </c>
      <c r="BJ4214">
        <v>1.4</v>
      </c>
      <c r="BK4214">
        <v>3</v>
      </c>
      <c r="BL4214">
        <v>106.77</v>
      </c>
      <c r="BM4214">
        <v>16.02</v>
      </c>
      <c r="BN4214">
        <v>122.79</v>
      </c>
      <c r="BO4214">
        <v>122.79</v>
      </c>
      <c r="BQ4214" t="s">
        <v>774</v>
      </c>
      <c r="BR4214" t="s">
        <v>84</v>
      </c>
      <c r="BS4214" s="3">
        <v>45867</v>
      </c>
      <c r="BT4214" s="4">
        <v>0.36249999999999999</v>
      </c>
      <c r="BU4214" t="s">
        <v>2029</v>
      </c>
      <c r="BV4214" t="s">
        <v>98</v>
      </c>
      <c r="BY4214">
        <v>7000</v>
      </c>
      <c r="CA4214" t="s">
        <v>345</v>
      </c>
      <c r="CC4214" t="s">
        <v>169</v>
      </c>
      <c r="CD4214">
        <v>6020</v>
      </c>
      <c r="CE4214" t="s">
        <v>145</v>
      </c>
      <c r="CF4214" s="3">
        <v>45867</v>
      </c>
      <c r="CI4214">
        <v>1</v>
      </c>
      <c r="CJ4214">
        <v>1</v>
      </c>
      <c r="CK4214">
        <v>21</v>
      </c>
      <c r="CL4214" t="s">
        <v>86</v>
      </c>
    </row>
    <row r="4215" spans="1:90" x14ac:dyDescent="0.3">
      <c r="A4215" t="s">
        <v>72</v>
      </c>
      <c r="B4215" t="s">
        <v>73</v>
      </c>
      <c r="C4215" t="s">
        <v>74</v>
      </c>
      <c r="E4215" t="str">
        <f>"080066831458"</f>
        <v>080066831458</v>
      </c>
      <c r="F4215" s="3">
        <v>45866</v>
      </c>
      <c r="G4215">
        <v>202604</v>
      </c>
      <c r="H4215" t="s">
        <v>75</v>
      </c>
      <c r="I4215" t="s">
        <v>76</v>
      </c>
      <c r="J4215" t="s">
        <v>77</v>
      </c>
      <c r="K4215" t="s">
        <v>78</v>
      </c>
      <c r="L4215" t="s">
        <v>305</v>
      </c>
      <c r="M4215" t="s">
        <v>306</v>
      </c>
      <c r="N4215" t="s">
        <v>640</v>
      </c>
      <c r="O4215" t="s">
        <v>82</v>
      </c>
      <c r="P4215" t="str">
        <f>"4170051436                    "</f>
        <v xml:space="preserve">4170051436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22.6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0.6</v>
      </c>
      <c r="BK4215">
        <v>1</v>
      </c>
      <c r="BL4215">
        <v>71.2</v>
      </c>
      <c r="BM4215">
        <v>10.68</v>
      </c>
      <c r="BN4215">
        <v>81.88</v>
      </c>
      <c r="BO4215">
        <v>81.88</v>
      </c>
      <c r="BQ4215" t="s">
        <v>641</v>
      </c>
      <c r="BR4215" t="s">
        <v>84</v>
      </c>
      <c r="BS4215" s="3">
        <v>45867</v>
      </c>
      <c r="BT4215" s="4">
        <v>0.4375</v>
      </c>
      <c r="BU4215" t="s">
        <v>1388</v>
      </c>
      <c r="BV4215" t="s">
        <v>98</v>
      </c>
      <c r="BY4215">
        <v>3192</v>
      </c>
      <c r="CA4215" t="s">
        <v>2174</v>
      </c>
      <c r="CC4215" t="s">
        <v>306</v>
      </c>
      <c r="CD4215">
        <v>5201</v>
      </c>
      <c r="CE4215" t="s">
        <v>145</v>
      </c>
      <c r="CF4215" s="3">
        <v>45867</v>
      </c>
      <c r="CI4215">
        <v>1</v>
      </c>
      <c r="CJ4215">
        <v>1</v>
      </c>
      <c r="CK4215">
        <v>21</v>
      </c>
      <c r="CL4215" t="s">
        <v>86</v>
      </c>
    </row>
    <row r="4216" spans="1:90" x14ac:dyDescent="0.3">
      <c r="A4216" t="s">
        <v>72</v>
      </c>
      <c r="B4216" t="s">
        <v>73</v>
      </c>
      <c r="C4216" t="s">
        <v>74</v>
      </c>
      <c r="E4216" t="str">
        <f>"080066831489"</f>
        <v>080066831489</v>
      </c>
      <c r="F4216" s="3">
        <v>45866</v>
      </c>
      <c r="G4216">
        <v>202604</v>
      </c>
      <c r="H4216" t="s">
        <v>75</v>
      </c>
      <c r="I4216" t="s">
        <v>76</v>
      </c>
      <c r="J4216" t="s">
        <v>77</v>
      </c>
      <c r="K4216" t="s">
        <v>78</v>
      </c>
      <c r="L4216" t="s">
        <v>305</v>
      </c>
      <c r="M4216" t="s">
        <v>306</v>
      </c>
      <c r="N4216" t="s">
        <v>1320</v>
      </c>
      <c r="O4216" t="s">
        <v>82</v>
      </c>
      <c r="P4216" t="str">
        <f>"4170051346                    "</f>
        <v xml:space="preserve">4170051346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22.6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1.9</v>
      </c>
      <c r="BK4216">
        <v>2</v>
      </c>
      <c r="BL4216">
        <v>71.2</v>
      </c>
      <c r="BM4216">
        <v>10.68</v>
      </c>
      <c r="BN4216">
        <v>81.88</v>
      </c>
      <c r="BO4216">
        <v>81.88</v>
      </c>
      <c r="BQ4216" t="s">
        <v>308</v>
      </c>
      <c r="BR4216" t="s">
        <v>84</v>
      </c>
      <c r="BS4216" s="3">
        <v>45867</v>
      </c>
      <c r="BT4216" s="4">
        <v>0.4375</v>
      </c>
      <c r="BU4216" t="s">
        <v>3687</v>
      </c>
      <c r="BV4216" t="s">
        <v>98</v>
      </c>
      <c r="BY4216">
        <v>9600</v>
      </c>
      <c r="CA4216" t="s">
        <v>2174</v>
      </c>
      <c r="CC4216" t="s">
        <v>306</v>
      </c>
      <c r="CD4216">
        <v>5201</v>
      </c>
      <c r="CE4216" t="s">
        <v>145</v>
      </c>
      <c r="CF4216" s="3">
        <v>45867</v>
      </c>
      <c r="CI4216">
        <v>1</v>
      </c>
      <c r="CJ4216">
        <v>1</v>
      </c>
      <c r="CK4216">
        <v>21</v>
      </c>
      <c r="CL4216" t="s">
        <v>86</v>
      </c>
    </row>
    <row r="4217" spans="1:90" x14ac:dyDescent="0.3">
      <c r="A4217" t="s">
        <v>72</v>
      </c>
      <c r="B4217" t="s">
        <v>73</v>
      </c>
      <c r="C4217" t="s">
        <v>74</v>
      </c>
      <c r="E4217" t="str">
        <f>"080066831534"</f>
        <v>080066831534</v>
      </c>
      <c r="F4217" s="3">
        <v>45866</v>
      </c>
      <c r="G4217">
        <v>202604</v>
      </c>
      <c r="H4217" t="s">
        <v>75</v>
      </c>
      <c r="I4217" t="s">
        <v>76</v>
      </c>
      <c r="J4217" t="s">
        <v>77</v>
      </c>
      <c r="K4217" t="s">
        <v>78</v>
      </c>
      <c r="L4217" t="s">
        <v>135</v>
      </c>
      <c r="M4217" t="s">
        <v>136</v>
      </c>
      <c r="N4217" t="s">
        <v>416</v>
      </c>
      <c r="O4217" t="s">
        <v>82</v>
      </c>
      <c r="P4217" t="str">
        <f>"4170051468                    "</f>
        <v xml:space="preserve">4170051468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22.6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1.1000000000000001</v>
      </c>
      <c r="BK4217">
        <v>1.5</v>
      </c>
      <c r="BL4217">
        <v>71.2</v>
      </c>
      <c r="BM4217">
        <v>10.68</v>
      </c>
      <c r="BN4217">
        <v>81.88</v>
      </c>
      <c r="BO4217">
        <v>81.88</v>
      </c>
      <c r="BQ4217" t="s">
        <v>417</v>
      </c>
      <c r="BR4217" t="s">
        <v>84</v>
      </c>
      <c r="BS4217" s="3">
        <v>45867</v>
      </c>
      <c r="BT4217" s="4">
        <v>0.41666666666666669</v>
      </c>
      <c r="BU4217" t="s">
        <v>2522</v>
      </c>
      <c r="BV4217" t="s">
        <v>98</v>
      </c>
      <c r="BY4217">
        <v>5320</v>
      </c>
      <c r="CC4217" t="s">
        <v>136</v>
      </c>
      <c r="CD4217">
        <v>3201</v>
      </c>
      <c r="CE4217" t="s">
        <v>145</v>
      </c>
      <c r="CF4217" s="3">
        <v>45868</v>
      </c>
      <c r="CI4217">
        <v>1</v>
      </c>
      <c r="CJ4217">
        <v>1</v>
      </c>
      <c r="CK4217">
        <v>21</v>
      </c>
      <c r="CL4217" t="s">
        <v>86</v>
      </c>
    </row>
    <row r="4218" spans="1:90" x14ac:dyDescent="0.3">
      <c r="A4218" t="s">
        <v>72</v>
      </c>
      <c r="B4218" t="s">
        <v>73</v>
      </c>
      <c r="C4218" t="s">
        <v>74</v>
      </c>
      <c r="E4218" t="str">
        <f>"080066831570"</f>
        <v>080066831570</v>
      </c>
      <c r="F4218" s="3">
        <v>45866</v>
      </c>
      <c r="G4218">
        <v>202604</v>
      </c>
      <c r="H4218" t="s">
        <v>75</v>
      </c>
      <c r="I4218" t="s">
        <v>76</v>
      </c>
      <c r="J4218" t="s">
        <v>77</v>
      </c>
      <c r="K4218" t="s">
        <v>78</v>
      </c>
      <c r="L4218" t="s">
        <v>168</v>
      </c>
      <c r="M4218" t="s">
        <v>169</v>
      </c>
      <c r="N4218" t="s">
        <v>206</v>
      </c>
      <c r="O4218" t="s">
        <v>82</v>
      </c>
      <c r="P4218" t="str">
        <f>"4170051364                    "</f>
        <v xml:space="preserve">4170051364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22.6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2</v>
      </c>
      <c r="BJ4218">
        <v>1.9</v>
      </c>
      <c r="BK4218">
        <v>2</v>
      </c>
      <c r="BL4218">
        <v>71.2</v>
      </c>
      <c r="BM4218">
        <v>10.68</v>
      </c>
      <c r="BN4218">
        <v>81.88</v>
      </c>
      <c r="BO4218">
        <v>81.88</v>
      </c>
      <c r="BQ4218" t="s">
        <v>207</v>
      </c>
      <c r="BR4218" t="s">
        <v>84</v>
      </c>
      <c r="BS4218" s="3">
        <v>45867</v>
      </c>
      <c r="BT4218" s="4">
        <v>0.38124999999999998</v>
      </c>
      <c r="BU4218" t="s">
        <v>208</v>
      </c>
      <c r="BV4218" t="s">
        <v>98</v>
      </c>
      <c r="BY4218">
        <v>9600</v>
      </c>
      <c r="CA4218" t="s">
        <v>196</v>
      </c>
      <c r="CC4218" t="s">
        <v>169</v>
      </c>
      <c r="CD4218">
        <v>6001</v>
      </c>
      <c r="CE4218" t="s">
        <v>145</v>
      </c>
      <c r="CF4218" s="3">
        <v>45867</v>
      </c>
      <c r="CI4218">
        <v>1</v>
      </c>
      <c r="CJ4218">
        <v>1</v>
      </c>
      <c r="CK4218">
        <v>21</v>
      </c>
      <c r="CL4218" t="s">
        <v>86</v>
      </c>
    </row>
    <row r="4219" spans="1:90" x14ac:dyDescent="0.3">
      <c r="A4219" t="s">
        <v>72</v>
      </c>
      <c r="B4219" t="s">
        <v>73</v>
      </c>
      <c r="C4219" t="s">
        <v>74</v>
      </c>
      <c r="E4219" t="str">
        <f>"080066831610"</f>
        <v>080066831610</v>
      </c>
      <c r="F4219" s="3">
        <v>45866</v>
      </c>
      <c r="G4219">
        <v>202604</v>
      </c>
      <c r="H4219" t="s">
        <v>75</v>
      </c>
      <c r="I4219" t="s">
        <v>76</v>
      </c>
      <c r="J4219" t="s">
        <v>77</v>
      </c>
      <c r="K4219" t="s">
        <v>78</v>
      </c>
      <c r="L4219" t="s">
        <v>168</v>
      </c>
      <c r="M4219" t="s">
        <v>169</v>
      </c>
      <c r="N4219" t="s">
        <v>206</v>
      </c>
      <c r="O4219" t="s">
        <v>82</v>
      </c>
      <c r="P4219" t="str">
        <f>"4170051385                    "</f>
        <v xml:space="preserve">4170051385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22.6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>
        <v>71.2</v>
      </c>
      <c r="BM4219">
        <v>10.68</v>
      </c>
      <c r="BN4219">
        <v>81.88</v>
      </c>
      <c r="BO4219">
        <v>81.88</v>
      </c>
      <c r="BQ4219" t="s">
        <v>207</v>
      </c>
      <c r="BR4219" t="s">
        <v>84</v>
      </c>
      <c r="BS4219" s="3">
        <v>45867</v>
      </c>
      <c r="BT4219" s="4">
        <v>0.38124999999999998</v>
      </c>
      <c r="BU4219" t="s">
        <v>208</v>
      </c>
      <c r="BV4219" t="s">
        <v>98</v>
      </c>
      <c r="BY4219">
        <v>1200</v>
      </c>
      <c r="CA4219" t="s">
        <v>196</v>
      </c>
      <c r="CC4219" t="s">
        <v>169</v>
      </c>
      <c r="CD4219">
        <v>6001</v>
      </c>
      <c r="CE4219" t="s">
        <v>121</v>
      </c>
      <c r="CF4219" s="3">
        <v>45867</v>
      </c>
      <c r="CI4219">
        <v>1</v>
      </c>
      <c r="CJ4219">
        <v>1</v>
      </c>
      <c r="CK4219">
        <v>21</v>
      </c>
      <c r="CL4219" t="s">
        <v>86</v>
      </c>
    </row>
    <row r="4220" spans="1:90" x14ac:dyDescent="0.3">
      <c r="A4220" t="s">
        <v>72</v>
      </c>
      <c r="B4220" t="s">
        <v>73</v>
      </c>
      <c r="C4220" t="s">
        <v>74</v>
      </c>
      <c r="E4220" t="str">
        <f>"080066831670"</f>
        <v>080066831670</v>
      </c>
      <c r="F4220" s="3">
        <v>45866</v>
      </c>
      <c r="G4220">
        <v>202604</v>
      </c>
      <c r="H4220" t="s">
        <v>75</v>
      </c>
      <c r="I4220" t="s">
        <v>76</v>
      </c>
      <c r="J4220" t="s">
        <v>77</v>
      </c>
      <c r="K4220" t="s">
        <v>78</v>
      </c>
      <c r="L4220" t="s">
        <v>277</v>
      </c>
      <c r="M4220" t="s">
        <v>278</v>
      </c>
      <c r="N4220" t="s">
        <v>462</v>
      </c>
      <c r="O4220" t="s">
        <v>82</v>
      </c>
      <c r="P4220" t="str">
        <f>"4170051564                    "</f>
        <v xml:space="preserve">4170051564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22.6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>
        <v>71.2</v>
      </c>
      <c r="BM4220">
        <v>10.68</v>
      </c>
      <c r="BN4220">
        <v>81.88</v>
      </c>
      <c r="BO4220">
        <v>81.88</v>
      </c>
      <c r="BQ4220" t="s">
        <v>463</v>
      </c>
      <c r="BR4220" t="s">
        <v>84</v>
      </c>
      <c r="BS4220" s="3">
        <v>45867</v>
      </c>
      <c r="BT4220" s="4">
        <v>0.34166666666666667</v>
      </c>
      <c r="BU4220" t="s">
        <v>464</v>
      </c>
      <c r="BV4220" t="s">
        <v>98</v>
      </c>
      <c r="BY4220">
        <v>1200</v>
      </c>
      <c r="CA4220" t="s">
        <v>282</v>
      </c>
      <c r="CC4220" t="s">
        <v>278</v>
      </c>
      <c r="CD4220">
        <v>6229</v>
      </c>
      <c r="CE4220" t="s">
        <v>121</v>
      </c>
      <c r="CF4220" s="3">
        <v>45867</v>
      </c>
      <c r="CI4220">
        <v>1</v>
      </c>
      <c r="CJ4220">
        <v>1</v>
      </c>
      <c r="CK4220">
        <v>21</v>
      </c>
      <c r="CL4220" t="s">
        <v>86</v>
      </c>
    </row>
    <row r="4221" spans="1:90" x14ac:dyDescent="0.3">
      <c r="A4221" t="s">
        <v>72</v>
      </c>
      <c r="B4221" t="s">
        <v>73</v>
      </c>
      <c r="C4221" t="s">
        <v>74</v>
      </c>
      <c r="E4221" t="str">
        <f>"080066831630"</f>
        <v>080066831630</v>
      </c>
      <c r="F4221" s="3">
        <v>45866</v>
      </c>
      <c r="G4221">
        <v>202604</v>
      </c>
      <c r="H4221" t="s">
        <v>75</v>
      </c>
      <c r="I4221" t="s">
        <v>76</v>
      </c>
      <c r="J4221" t="s">
        <v>77</v>
      </c>
      <c r="K4221" t="s">
        <v>78</v>
      </c>
      <c r="L4221" t="s">
        <v>75</v>
      </c>
      <c r="M4221" t="s">
        <v>76</v>
      </c>
      <c r="N4221" t="s">
        <v>701</v>
      </c>
      <c r="O4221" t="s">
        <v>82</v>
      </c>
      <c r="P4221" t="str">
        <f>"4170051553                    "</f>
        <v xml:space="preserve">4170051553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17.649999999999999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>
        <v>55.61</v>
      </c>
      <c r="BM4221">
        <v>8.34</v>
      </c>
      <c r="BN4221">
        <v>63.95</v>
      </c>
      <c r="BO4221">
        <v>63.95</v>
      </c>
      <c r="BQ4221" t="s">
        <v>702</v>
      </c>
      <c r="BR4221" t="s">
        <v>84</v>
      </c>
      <c r="BS4221" t="s">
        <v>587</v>
      </c>
      <c r="BW4221" t="s">
        <v>2110</v>
      </c>
      <c r="BX4221" t="s">
        <v>1420</v>
      </c>
      <c r="BY4221">
        <v>1200</v>
      </c>
      <c r="CC4221" t="s">
        <v>76</v>
      </c>
      <c r="CD4221">
        <v>1645</v>
      </c>
      <c r="CE4221" t="s">
        <v>121</v>
      </c>
      <c r="CI4221">
        <v>1</v>
      </c>
      <c r="CJ4221" t="s">
        <v>587</v>
      </c>
      <c r="CK4221">
        <v>22</v>
      </c>
      <c r="CL4221" t="s">
        <v>86</v>
      </c>
    </row>
    <row r="4222" spans="1:90" x14ac:dyDescent="0.3">
      <c r="A4222" t="s">
        <v>72</v>
      </c>
      <c r="B4222" t="s">
        <v>73</v>
      </c>
      <c r="C4222" t="s">
        <v>74</v>
      </c>
      <c r="E4222" t="str">
        <f>"080066831691"</f>
        <v>080066831691</v>
      </c>
      <c r="F4222" s="3">
        <v>45866</v>
      </c>
      <c r="G4222">
        <v>202604</v>
      </c>
      <c r="H4222" t="s">
        <v>75</v>
      </c>
      <c r="I4222" t="s">
        <v>76</v>
      </c>
      <c r="J4222" t="s">
        <v>77</v>
      </c>
      <c r="K4222" t="s">
        <v>78</v>
      </c>
      <c r="L4222" t="s">
        <v>168</v>
      </c>
      <c r="M4222" t="s">
        <v>169</v>
      </c>
      <c r="N4222" t="s">
        <v>206</v>
      </c>
      <c r="O4222" t="s">
        <v>82</v>
      </c>
      <c r="P4222" t="str">
        <f>"4170051453                    "</f>
        <v xml:space="preserve">4170051453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22.6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>
        <v>71.2</v>
      </c>
      <c r="BM4222">
        <v>10.68</v>
      </c>
      <c r="BN4222">
        <v>81.88</v>
      </c>
      <c r="BO4222">
        <v>81.88</v>
      </c>
      <c r="BQ4222" t="s">
        <v>207</v>
      </c>
      <c r="BR4222" t="s">
        <v>84</v>
      </c>
      <c r="BS4222" s="3">
        <v>45867</v>
      </c>
      <c r="BT4222" s="4">
        <v>0.38124999999999998</v>
      </c>
      <c r="BU4222" t="s">
        <v>208</v>
      </c>
      <c r="BV4222" t="s">
        <v>98</v>
      </c>
      <c r="BY4222">
        <v>1200</v>
      </c>
      <c r="CA4222" t="s">
        <v>196</v>
      </c>
      <c r="CC4222" t="s">
        <v>169</v>
      </c>
      <c r="CD4222">
        <v>6001</v>
      </c>
      <c r="CE4222" t="s">
        <v>121</v>
      </c>
      <c r="CF4222" s="3">
        <v>45867</v>
      </c>
      <c r="CI4222">
        <v>1</v>
      </c>
      <c r="CJ4222">
        <v>1</v>
      </c>
      <c r="CK4222">
        <v>21</v>
      </c>
      <c r="CL4222" t="s">
        <v>86</v>
      </c>
    </row>
    <row r="4223" spans="1:90" x14ac:dyDescent="0.3">
      <c r="A4223" t="s">
        <v>72</v>
      </c>
      <c r="B4223" t="s">
        <v>73</v>
      </c>
      <c r="C4223" t="s">
        <v>74</v>
      </c>
      <c r="E4223" t="str">
        <f>"080066831760"</f>
        <v>080066831760</v>
      </c>
      <c r="F4223" s="3">
        <v>45866</v>
      </c>
      <c r="G4223">
        <v>202604</v>
      </c>
      <c r="H4223" t="s">
        <v>75</v>
      </c>
      <c r="I4223" t="s">
        <v>76</v>
      </c>
      <c r="J4223" t="s">
        <v>77</v>
      </c>
      <c r="K4223" t="s">
        <v>78</v>
      </c>
      <c r="L4223" t="s">
        <v>174</v>
      </c>
      <c r="M4223" t="s">
        <v>175</v>
      </c>
      <c r="N4223" t="s">
        <v>176</v>
      </c>
      <c r="O4223" t="s">
        <v>82</v>
      </c>
      <c r="P4223" t="str">
        <f>"4170051490                    "</f>
        <v xml:space="preserve">4170051490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22.6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1</v>
      </c>
      <c r="BJ4223">
        <v>1.1000000000000001</v>
      </c>
      <c r="BK4223">
        <v>1.5</v>
      </c>
      <c r="BL4223">
        <v>71.2</v>
      </c>
      <c r="BM4223">
        <v>10.68</v>
      </c>
      <c r="BN4223">
        <v>81.88</v>
      </c>
      <c r="BO4223">
        <v>81.88</v>
      </c>
      <c r="BQ4223" t="s">
        <v>177</v>
      </c>
      <c r="BR4223" t="s">
        <v>84</v>
      </c>
      <c r="BS4223" s="3">
        <v>45867</v>
      </c>
      <c r="BT4223" s="4">
        <v>0.37152777777777779</v>
      </c>
      <c r="BU4223" t="s">
        <v>178</v>
      </c>
      <c r="BV4223" t="s">
        <v>98</v>
      </c>
      <c r="BY4223">
        <v>5320</v>
      </c>
      <c r="CA4223" t="s">
        <v>173</v>
      </c>
      <c r="CC4223" t="s">
        <v>175</v>
      </c>
      <c r="CD4223">
        <v>6220</v>
      </c>
      <c r="CE4223" t="s">
        <v>145</v>
      </c>
      <c r="CF4223" s="3">
        <v>45867</v>
      </c>
      <c r="CI4223">
        <v>1</v>
      </c>
      <c r="CJ4223">
        <v>1</v>
      </c>
      <c r="CK4223">
        <v>21</v>
      </c>
      <c r="CL4223" t="s">
        <v>86</v>
      </c>
    </row>
    <row r="4224" spans="1:90" x14ac:dyDescent="0.3">
      <c r="A4224" t="s">
        <v>72</v>
      </c>
      <c r="B4224" t="s">
        <v>73</v>
      </c>
      <c r="C4224" t="s">
        <v>74</v>
      </c>
      <c r="E4224" t="str">
        <f>"080066831800"</f>
        <v>080066831800</v>
      </c>
      <c r="F4224" s="3">
        <v>45866</v>
      </c>
      <c r="G4224">
        <v>202604</v>
      </c>
      <c r="H4224" t="s">
        <v>75</v>
      </c>
      <c r="I4224" t="s">
        <v>76</v>
      </c>
      <c r="J4224" t="s">
        <v>77</v>
      </c>
      <c r="K4224" t="s">
        <v>78</v>
      </c>
      <c r="L4224" t="s">
        <v>1291</v>
      </c>
      <c r="M4224" t="s">
        <v>1292</v>
      </c>
      <c r="N4224" t="s">
        <v>2670</v>
      </c>
      <c r="O4224" t="s">
        <v>82</v>
      </c>
      <c r="P4224" t="str">
        <f>"4170051440                    "</f>
        <v xml:space="preserve">4170051440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63.56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3</v>
      </c>
      <c r="BJ4224">
        <v>0.9</v>
      </c>
      <c r="BK4224">
        <v>3</v>
      </c>
      <c r="BL4224">
        <v>200.24</v>
      </c>
      <c r="BM4224">
        <v>30.04</v>
      </c>
      <c r="BN4224">
        <v>230.28</v>
      </c>
      <c r="BO4224">
        <v>230.28</v>
      </c>
      <c r="BQ4224" t="s">
        <v>2671</v>
      </c>
      <c r="BR4224" t="s">
        <v>84</v>
      </c>
      <c r="BS4224" s="3">
        <v>45867</v>
      </c>
      <c r="BT4224" s="4">
        <v>0.69722222222222219</v>
      </c>
      <c r="BU4224" t="s">
        <v>2926</v>
      </c>
      <c r="BV4224" t="s">
        <v>98</v>
      </c>
      <c r="BY4224">
        <v>4256</v>
      </c>
      <c r="CA4224" t="s">
        <v>1296</v>
      </c>
      <c r="CC4224" t="s">
        <v>1292</v>
      </c>
      <c r="CD4224">
        <v>3370</v>
      </c>
      <c r="CE4224" t="s">
        <v>145</v>
      </c>
      <c r="CF4224" s="3">
        <v>45868</v>
      </c>
      <c r="CI4224">
        <v>2</v>
      </c>
      <c r="CJ4224">
        <v>1</v>
      </c>
      <c r="CK4224">
        <v>23</v>
      </c>
      <c r="CL4224" t="s">
        <v>86</v>
      </c>
    </row>
    <row r="4225" spans="1:90" x14ac:dyDescent="0.3">
      <c r="A4225" t="s">
        <v>72</v>
      </c>
      <c r="B4225" t="s">
        <v>73</v>
      </c>
      <c r="C4225" t="s">
        <v>74</v>
      </c>
      <c r="E4225" t="str">
        <f>"080066831945"</f>
        <v>080066831945</v>
      </c>
      <c r="F4225" s="3">
        <v>45866</v>
      </c>
      <c r="G4225">
        <v>202604</v>
      </c>
      <c r="H4225" t="s">
        <v>75</v>
      </c>
      <c r="I4225" t="s">
        <v>76</v>
      </c>
      <c r="J4225" t="s">
        <v>77</v>
      </c>
      <c r="K4225" t="s">
        <v>78</v>
      </c>
      <c r="L4225" t="s">
        <v>168</v>
      </c>
      <c r="M4225" t="s">
        <v>169</v>
      </c>
      <c r="N4225" t="s">
        <v>487</v>
      </c>
      <c r="O4225" t="s">
        <v>82</v>
      </c>
      <c r="P4225" t="str">
        <f>"4170051446                    "</f>
        <v xml:space="preserve">4170051446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22.6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</v>
      </c>
      <c r="BJ4225">
        <v>0.2</v>
      </c>
      <c r="BK4225">
        <v>1</v>
      </c>
      <c r="BL4225">
        <v>71.2</v>
      </c>
      <c r="BM4225">
        <v>10.68</v>
      </c>
      <c r="BN4225">
        <v>81.88</v>
      </c>
      <c r="BO4225">
        <v>81.88</v>
      </c>
      <c r="BQ4225" t="s">
        <v>488</v>
      </c>
      <c r="BR4225" t="s">
        <v>84</v>
      </c>
      <c r="BS4225" s="3">
        <v>45867</v>
      </c>
      <c r="BT4225" s="4">
        <v>0.38263888888888886</v>
      </c>
      <c r="BU4225" t="s">
        <v>3285</v>
      </c>
      <c r="BV4225" t="s">
        <v>98</v>
      </c>
      <c r="BY4225">
        <v>1200</v>
      </c>
      <c r="CA4225" t="s">
        <v>415</v>
      </c>
      <c r="CC4225" t="s">
        <v>169</v>
      </c>
      <c r="CD4225">
        <v>6012</v>
      </c>
      <c r="CE4225" t="s">
        <v>121</v>
      </c>
      <c r="CF4225" s="3">
        <v>45867</v>
      </c>
      <c r="CI4225">
        <v>1</v>
      </c>
      <c r="CJ4225">
        <v>1</v>
      </c>
      <c r="CK4225">
        <v>21</v>
      </c>
      <c r="CL4225" t="s">
        <v>86</v>
      </c>
    </row>
    <row r="4226" spans="1:90" x14ac:dyDescent="0.3">
      <c r="A4226" t="s">
        <v>72</v>
      </c>
      <c r="B4226" t="s">
        <v>73</v>
      </c>
      <c r="C4226" t="s">
        <v>74</v>
      </c>
      <c r="E4226" t="str">
        <f>"080066831970"</f>
        <v>080066831970</v>
      </c>
      <c r="F4226" s="3">
        <v>45866</v>
      </c>
      <c r="G4226">
        <v>202604</v>
      </c>
      <c r="H4226" t="s">
        <v>75</v>
      </c>
      <c r="I4226" t="s">
        <v>76</v>
      </c>
      <c r="J4226" t="s">
        <v>77</v>
      </c>
      <c r="K4226" t="s">
        <v>78</v>
      </c>
      <c r="L4226" t="s">
        <v>168</v>
      </c>
      <c r="M4226" t="s">
        <v>169</v>
      </c>
      <c r="N4226" t="s">
        <v>487</v>
      </c>
      <c r="O4226" t="s">
        <v>82</v>
      </c>
      <c r="P4226" t="str">
        <f>"4170051445                    "</f>
        <v xml:space="preserve">4170051445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22.6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0.2</v>
      </c>
      <c r="BK4226">
        <v>1</v>
      </c>
      <c r="BL4226">
        <v>71.2</v>
      </c>
      <c r="BM4226">
        <v>10.68</v>
      </c>
      <c r="BN4226">
        <v>81.88</v>
      </c>
      <c r="BO4226">
        <v>81.88</v>
      </c>
      <c r="BQ4226" t="s">
        <v>488</v>
      </c>
      <c r="BR4226" t="s">
        <v>84</v>
      </c>
      <c r="BS4226" s="3">
        <v>45867</v>
      </c>
      <c r="BT4226" s="4">
        <v>0.38124999999999998</v>
      </c>
      <c r="BU4226" t="s">
        <v>3285</v>
      </c>
      <c r="BV4226" t="s">
        <v>98</v>
      </c>
      <c r="BY4226">
        <v>1200</v>
      </c>
      <c r="CA4226" t="s">
        <v>415</v>
      </c>
      <c r="CC4226" t="s">
        <v>169</v>
      </c>
      <c r="CD4226">
        <v>6012</v>
      </c>
      <c r="CE4226" t="s">
        <v>121</v>
      </c>
      <c r="CF4226" s="3">
        <v>45867</v>
      </c>
      <c r="CI4226">
        <v>1</v>
      </c>
      <c r="CJ4226">
        <v>1</v>
      </c>
      <c r="CK4226">
        <v>21</v>
      </c>
      <c r="CL4226" t="s">
        <v>86</v>
      </c>
    </row>
    <row r="4227" spans="1:90" x14ac:dyDescent="0.3">
      <c r="A4227" t="s">
        <v>72</v>
      </c>
      <c r="B4227" t="s">
        <v>73</v>
      </c>
      <c r="C4227" t="s">
        <v>74</v>
      </c>
      <c r="E4227" t="str">
        <f>"080066831998"</f>
        <v>080066831998</v>
      </c>
      <c r="F4227" s="3">
        <v>45866</v>
      </c>
      <c r="G4227">
        <v>202604</v>
      </c>
      <c r="H4227" t="s">
        <v>75</v>
      </c>
      <c r="I4227" t="s">
        <v>76</v>
      </c>
      <c r="J4227" t="s">
        <v>77</v>
      </c>
      <c r="K4227" t="s">
        <v>78</v>
      </c>
      <c r="L4227" t="s">
        <v>554</v>
      </c>
      <c r="M4227" t="s">
        <v>555</v>
      </c>
      <c r="N4227" t="s">
        <v>2163</v>
      </c>
      <c r="O4227" t="s">
        <v>82</v>
      </c>
      <c r="P4227" t="str">
        <f>"4170051350                    "</f>
        <v xml:space="preserve">4170051350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33.89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2</v>
      </c>
      <c r="BJ4227">
        <v>2.6</v>
      </c>
      <c r="BK4227">
        <v>3</v>
      </c>
      <c r="BL4227">
        <v>106.77</v>
      </c>
      <c r="BM4227">
        <v>16.02</v>
      </c>
      <c r="BN4227">
        <v>122.79</v>
      </c>
      <c r="BO4227">
        <v>122.79</v>
      </c>
      <c r="BQ4227" t="s">
        <v>2164</v>
      </c>
      <c r="BR4227" t="s">
        <v>84</v>
      </c>
      <c r="BS4227" s="3">
        <v>45867</v>
      </c>
      <c r="BT4227" s="4">
        <v>0.34722222222222221</v>
      </c>
      <c r="BU4227" t="s">
        <v>2631</v>
      </c>
      <c r="BV4227" t="s">
        <v>98</v>
      </c>
      <c r="BY4227">
        <v>13216</v>
      </c>
      <c r="CA4227" t="s">
        <v>156</v>
      </c>
      <c r="CC4227" t="s">
        <v>555</v>
      </c>
      <c r="CD4227" s="5" t="s">
        <v>560</v>
      </c>
      <c r="CE4227" t="s">
        <v>91</v>
      </c>
      <c r="CF4227" s="3">
        <v>45867</v>
      </c>
      <c r="CI4227">
        <v>1</v>
      </c>
      <c r="CJ4227">
        <v>1</v>
      </c>
      <c r="CK4227">
        <v>21</v>
      </c>
      <c r="CL4227" t="s">
        <v>86</v>
      </c>
    </row>
    <row r="4228" spans="1:90" x14ac:dyDescent="0.3">
      <c r="A4228" t="s">
        <v>72</v>
      </c>
      <c r="B4228" t="s">
        <v>73</v>
      </c>
      <c r="C4228" t="s">
        <v>74</v>
      </c>
      <c r="E4228" t="str">
        <f>"080066832006"</f>
        <v>080066832006</v>
      </c>
      <c r="F4228" s="3">
        <v>45866</v>
      </c>
      <c r="G4228">
        <v>202604</v>
      </c>
      <c r="H4228" t="s">
        <v>75</v>
      </c>
      <c r="I4228" t="s">
        <v>76</v>
      </c>
      <c r="J4228" t="s">
        <v>77</v>
      </c>
      <c r="K4228" t="s">
        <v>78</v>
      </c>
      <c r="L4228" t="s">
        <v>135</v>
      </c>
      <c r="M4228" t="s">
        <v>136</v>
      </c>
      <c r="N4228" t="s">
        <v>416</v>
      </c>
      <c r="O4228" t="s">
        <v>95</v>
      </c>
      <c r="P4228" t="str">
        <f>"4170051319                    "</f>
        <v xml:space="preserve">4170051319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52.72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2</v>
      </c>
      <c r="BI4228">
        <v>20</v>
      </c>
      <c r="BJ4228">
        <v>8.1</v>
      </c>
      <c r="BK4228">
        <v>20</v>
      </c>
      <c r="BL4228">
        <v>171.97</v>
      </c>
      <c r="BM4228">
        <v>25.8</v>
      </c>
      <c r="BN4228">
        <v>197.77</v>
      </c>
      <c r="BO4228">
        <v>197.77</v>
      </c>
      <c r="BQ4228" t="s">
        <v>417</v>
      </c>
      <c r="BR4228" t="s">
        <v>84</v>
      </c>
      <c r="BS4228" s="3">
        <v>45867</v>
      </c>
      <c r="BT4228" s="4">
        <v>0.41666666666666669</v>
      </c>
      <c r="BU4228" t="s">
        <v>2522</v>
      </c>
      <c r="BV4228" t="s">
        <v>98</v>
      </c>
      <c r="BY4228">
        <v>40432</v>
      </c>
      <c r="CC4228" t="s">
        <v>136</v>
      </c>
      <c r="CD4228">
        <v>3201</v>
      </c>
      <c r="CE4228" t="s">
        <v>91</v>
      </c>
      <c r="CF4228" s="3">
        <v>45868</v>
      </c>
      <c r="CI4228">
        <v>2</v>
      </c>
      <c r="CJ4228">
        <v>1</v>
      </c>
      <c r="CK4228">
        <v>41</v>
      </c>
      <c r="CL4228" t="s">
        <v>86</v>
      </c>
    </row>
    <row r="4229" spans="1:90" x14ac:dyDescent="0.3">
      <c r="A4229" t="s">
        <v>72</v>
      </c>
      <c r="B4229" t="s">
        <v>73</v>
      </c>
      <c r="C4229" t="s">
        <v>74</v>
      </c>
      <c r="E4229" t="str">
        <f>"080066832015"</f>
        <v>080066832015</v>
      </c>
      <c r="F4229" s="3">
        <v>45866</v>
      </c>
      <c r="G4229">
        <v>202604</v>
      </c>
      <c r="H4229" t="s">
        <v>75</v>
      </c>
      <c r="I4229" t="s">
        <v>76</v>
      </c>
      <c r="J4229" t="s">
        <v>77</v>
      </c>
      <c r="K4229" t="s">
        <v>78</v>
      </c>
      <c r="L4229" t="s">
        <v>75</v>
      </c>
      <c r="M4229" t="s">
        <v>76</v>
      </c>
      <c r="N4229" t="s">
        <v>562</v>
      </c>
      <c r="O4229" t="s">
        <v>82</v>
      </c>
      <c r="P4229" t="str">
        <f>"4170051278                    "</f>
        <v xml:space="preserve">4170051278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17.649999999999999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3</v>
      </c>
      <c r="BJ4229">
        <v>1.7</v>
      </c>
      <c r="BK4229">
        <v>3</v>
      </c>
      <c r="BL4229">
        <v>55.61</v>
      </c>
      <c r="BM4229">
        <v>8.34</v>
      </c>
      <c r="BN4229">
        <v>63.95</v>
      </c>
      <c r="BO4229">
        <v>63.95</v>
      </c>
      <c r="BQ4229" t="s">
        <v>563</v>
      </c>
      <c r="BR4229" t="s">
        <v>84</v>
      </c>
      <c r="BS4229" s="3">
        <v>45867</v>
      </c>
      <c r="BT4229" s="4">
        <v>0.50902777777777775</v>
      </c>
      <c r="BU4229" t="s">
        <v>564</v>
      </c>
      <c r="BV4229" t="s">
        <v>86</v>
      </c>
      <c r="BY4229">
        <v>8512</v>
      </c>
      <c r="CA4229" t="s">
        <v>565</v>
      </c>
      <c r="CC4229" t="s">
        <v>76</v>
      </c>
      <c r="CD4229">
        <v>1619</v>
      </c>
      <c r="CE4229" t="s">
        <v>145</v>
      </c>
      <c r="CF4229" s="3">
        <v>45868</v>
      </c>
      <c r="CI4229">
        <v>1</v>
      </c>
      <c r="CJ4229">
        <v>1</v>
      </c>
      <c r="CK4229">
        <v>22</v>
      </c>
      <c r="CL4229" t="s">
        <v>86</v>
      </c>
    </row>
    <row r="4230" spans="1:90" x14ac:dyDescent="0.3">
      <c r="A4230" t="s">
        <v>72</v>
      </c>
      <c r="B4230" t="s">
        <v>73</v>
      </c>
      <c r="C4230" t="s">
        <v>74</v>
      </c>
      <c r="E4230" t="str">
        <f>"080066832053"</f>
        <v>080066832053</v>
      </c>
      <c r="F4230" s="3">
        <v>45866</v>
      </c>
      <c r="G4230">
        <v>202604</v>
      </c>
      <c r="H4230" t="s">
        <v>75</v>
      </c>
      <c r="I4230" t="s">
        <v>76</v>
      </c>
      <c r="J4230" t="s">
        <v>77</v>
      </c>
      <c r="K4230" t="s">
        <v>78</v>
      </c>
      <c r="L4230" t="s">
        <v>854</v>
      </c>
      <c r="M4230" t="s">
        <v>855</v>
      </c>
      <c r="N4230" t="s">
        <v>1986</v>
      </c>
      <c r="O4230" t="s">
        <v>82</v>
      </c>
      <c r="P4230" t="str">
        <f>"4170051360                    "</f>
        <v xml:space="preserve">4170051360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43.78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16.739999999999998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2</v>
      </c>
      <c r="BJ4230">
        <v>1.4</v>
      </c>
      <c r="BK4230">
        <v>2</v>
      </c>
      <c r="BL4230">
        <v>154.68</v>
      </c>
      <c r="BM4230">
        <v>23.2</v>
      </c>
      <c r="BN4230">
        <v>177.88</v>
      </c>
      <c r="BO4230">
        <v>177.88</v>
      </c>
      <c r="BQ4230" t="s">
        <v>1987</v>
      </c>
      <c r="BR4230" t="s">
        <v>84</v>
      </c>
      <c r="BS4230" s="3">
        <v>45867</v>
      </c>
      <c r="BT4230" s="4">
        <v>0.5756944444444444</v>
      </c>
      <c r="BU4230" t="s">
        <v>1988</v>
      </c>
      <c r="BV4230" t="s">
        <v>98</v>
      </c>
      <c r="BY4230">
        <v>7000</v>
      </c>
      <c r="BZ4230" t="s">
        <v>30</v>
      </c>
      <c r="CA4230" t="s">
        <v>992</v>
      </c>
      <c r="CC4230" t="s">
        <v>855</v>
      </c>
      <c r="CD4230" s="5" t="s">
        <v>1989</v>
      </c>
      <c r="CE4230" t="s">
        <v>145</v>
      </c>
      <c r="CF4230" s="3">
        <v>45867</v>
      </c>
      <c r="CI4230">
        <v>1</v>
      </c>
      <c r="CJ4230">
        <v>1</v>
      </c>
      <c r="CK4230">
        <v>23</v>
      </c>
      <c r="CL4230" t="s">
        <v>86</v>
      </c>
    </row>
    <row r="4231" spans="1:90" x14ac:dyDescent="0.3">
      <c r="A4231" t="s">
        <v>72</v>
      </c>
      <c r="B4231" t="s">
        <v>73</v>
      </c>
      <c r="C4231" t="s">
        <v>74</v>
      </c>
      <c r="E4231" t="str">
        <f>"080066832086"</f>
        <v>080066832086</v>
      </c>
      <c r="F4231" s="3">
        <v>45866</v>
      </c>
      <c r="G4231">
        <v>202604</v>
      </c>
      <c r="H4231" t="s">
        <v>75</v>
      </c>
      <c r="I4231" t="s">
        <v>76</v>
      </c>
      <c r="J4231" t="s">
        <v>77</v>
      </c>
      <c r="K4231" t="s">
        <v>78</v>
      </c>
      <c r="L4231" t="s">
        <v>135</v>
      </c>
      <c r="M4231" t="s">
        <v>136</v>
      </c>
      <c r="N4231" t="s">
        <v>416</v>
      </c>
      <c r="O4231" t="s">
        <v>82</v>
      </c>
      <c r="P4231" t="str">
        <f>"4170051400                    "</f>
        <v xml:space="preserve">4170051400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214.53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2</v>
      </c>
      <c r="BI4231">
        <v>19</v>
      </c>
      <c r="BJ4231">
        <v>5.3</v>
      </c>
      <c r="BK4231">
        <v>19</v>
      </c>
      <c r="BL4231">
        <v>675.89</v>
      </c>
      <c r="BM4231">
        <v>101.38</v>
      </c>
      <c r="BN4231">
        <v>777.27</v>
      </c>
      <c r="BO4231">
        <v>777.27</v>
      </c>
      <c r="BQ4231" t="s">
        <v>417</v>
      </c>
      <c r="BR4231" t="s">
        <v>84</v>
      </c>
      <c r="BS4231" s="3">
        <v>45867</v>
      </c>
      <c r="BT4231" s="4">
        <v>0.41666666666666669</v>
      </c>
      <c r="BU4231" t="s">
        <v>2522</v>
      </c>
      <c r="BV4231" t="s">
        <v>98</v>
      </c>
      <c r="BY4231">
        <v>26565</v>
      </c>
      <c r="CC4231" t="s">
        <v>136</v>
      </c>
      <c r="CD4231">
        <v>3201</v>
      </c>
      <c r="CE4231" t="s">
        <v>145</v>
      </c>
      <c r="CF4231" s="3">
        <v>45868</v>
      </c>
      <c r="CI4231">
        <v>1</v>
      </c>
      <c r="CJ4231">
        <v>1</v>
      </c>
      <c r="CK4231">
        <v>21</v>
      </c>
      <c r="CL4231" t="s">
        <v>86</v>
      </c>
    </row>
    <row r="4232" spans="1:90" x14ac:dyDescent="0.3">
      <c r="A4232" t="s">
        <v>72</v>
      </c>
      <c r="B4232" t="s">
        <v>73</v>
      </c>
      <c r="C4232" t="s">
        <v>74</v>
      </c>
      <c r="E4232" t="str">
        <f>"080066832317"</f>
        <v>080066832317</v>
      </c>
      <c r="F4232" s="3">
        <v>45866</v>
      </c>
      <c r="G4232">
        <v>202604</v>
      </c>
      <c r="H4232" t="s">
        <v>75</v>
      </c>
      <c r="I4232" t="s">
        <v>76</v>
      </c>
      <c r="J4232" t="s">
        <v>77</v>
      </c>
      <c r="K4232" t="s">
        <v>78</v>
      </c>
      <c r="L4232" t="s">
        <v>554</v>
      </c>
      <c r="M4232" t="s">
        <v>555</v>
      </c>
      <c r="N4232" t="s">
        <v>3716</v>
      </c>
      <c r="O4232" t="s">
        <v>82</v>
      </c>
      <c r="P4232" t="str">
        <f>"4170051577                    "</f>
        <v xml:space="preserve">4170051577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22.6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2</v>
      </c>
      <c r="BJ4232">
        <v>1.4</v>
      </c>
      <c r="BK4232">
        <v>2</v>
      </c>
      <c r="BL4232">
        <v>71.2</v>
      </c>
      <c r="BM4232">
        <v>10.68</v>
      </c>
      <c r="BN4232">
        <v>81.88</v>
      </c>
      <c r="BO4232">
        <v>81.88</v>
      </c>
      <c r="BQ4232" t="s">
        <v>3717</v>
      </c>
      <c r="BR4232" t="s">
        <v>84</v>
      </c>
      <c r="BS4232" s="3">
        <v>45867</v>
      </c>
      <c r="BT4232" s="4">
        <v>0.39027777777777778</v>
      </c>
      <c r="BU4232" t="s">
        <v>3718</v>
      </c>
      <c r="BV4232" t="s">
        <v>98</v>
      </c>
      <c r="BY4232">
        <v>7000</v>
      </c>
      <c r="CA4232" t="s">
        <v>2271</v>
      </c>
      <c r="CC4232" t="s">
        <v>555</v>
      </c>
      <c r="CD4232" s="5" t="s">
        <v>560</v>
      </c>
      <c r="CE4232" t="s">
        <v>145</v>
      </c>
      <c r="CF4232" s="3">
        <v>45867</v>
      </c>
      <c r="CI4232">
        <v>1</v>
      </c>
      <c r="CJ4232">
        <v>1</v>
      </c>
      <c r="CK4232">
        <v>21</v>
      </c>
      <c r="CL4232" t="s">
        <v>86</v>
      </c>
    </row>
    <row r="4233" spans="1:90" x14ac:dyDescent="0.3">
      <c r="A4233" t="s">
        <v>72</v>
      </c>
      <c r="B4233" t="s">
        <v>73</v>
      </c>
      <c r="C4233" t="s">
        <v>74</v>
      </c>
      <c r="E4233" t="str">
        <f>"080066832361"</f>
        <v>080066832361</v>
      </c>
      <c r="F4233" s="3">
        <v>45866</v>
      </c>
      <c r="G4233">
        <v>202604</v>
      </c>
      <c r="H4233" t="s">
        <v>75</v>
      </c>
      <c r="I4233" t="s">
        <v>76</v>
      </c>
      <c r="J4233" t="s">
        <v>77</v>
      </c>
      <c r="K4233" t="s">
        <v>78</v>
      </c>
      <c r="L4233" t="s">
        <v>135</v>
      </c>
      <c r="M4233" t="s">
        <v>136</v>
      </c>
      <c r="N4233" t="s">
        <v>1228</v>
      </c>
      <c r="O4233" t="s">
        <v>82</v>
      </c>
      <c r="P4233" t="str">
        <f>"4170051324                    "</f>
        <v xml:space="preserve">4170051324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124.21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2</v>
      </c>
      <c r="BI4233">
        <v>11</v>
      </c>
      <c r="BJ4233">
        <v>5.0999999999999996</v>
      </c>
      <c r="BK4233">
        <v>11</v>
      </c>
      <c r="BL4233">
        <v>391.33</v>
      </c>
      <c r="BM4233">
        <v>58.7</v>
      </c>
      <c r="BN4233">
        <v>450.03</v>
      </c>
      <c r="BO4233">
        <v>450.03</v>
      </c>
      <c r="BQ4233" t="s">
        <v>1229</v>
      </c>
      <c r="BR4233" t="s">
        <v>84</v>
      </c>
      <c r="BS4233" s="3">
        <v>45867</v>
      </c>
      <c r="BT4233" s="4">
        <v>0.41666666666666669</v>
      </c>
      <c r="BU4233" t="s">
        <v>3515</v>
      </c>
      <c r="BV4233" t="s">
        <v>98</v>
      </c>
      <c r="BY4233">
        <v>25477</v>
      </c>
      <c r="CA4233" t="s">
        <v>1319</v>
      </c>
      <c r="CC4233" t="s">
        <v>136</v>
      </c>
      <c r="CD4233">
        <v>3212</v>
      </c>
      <c r="CE4233" t="s">
        <v>145</v>
      </c>
      <c r="CF4233" s="3">
        <v>45868</v>
      </c>
      <c r="CI4233">
        <v>2</v>
      </c>
      <c r="CJ4233">
        <v>1</v>
      </c>
      <c r="CK4233">
        <v>21</v>
      </c>
      <c r="CL4233" t="s">
        <v>86</v>
      </c>
    </row>
    <row r="4234" spans="1:90" x14ac:dyDescent="0.3">
      <c r="A4234" t="s">
        <v>72</v>
      </c>
      <c r="B4234" t="s">
        <v>73</v>
      </c>
      <c r="C4234" t="s">
        <v>74</v>
      </c>
      <c r="E4234" t="str">
        <f>"080066832384"</f>
        <v>080066832384</v>
      </c>
      <c r="F4234" s="3">
        <v>45866</v>
      </c>
      <c r="G4234">
        <v>202604</v>
      </c>
      <c r="H4234" t="s">
        <v>75</v>
      </c>
      <c r="I4234" t="s">
        <v>76</v>
      </c>
      <c r="J4234" t="s">
        <v>77</v>
      </c>
      <c r="K4234" t="s">
        <v>78</v>
      </c>
      <c r="L4234" t="s">
        <v>79</v>
      </c>
      <c r="M4234" t="s">
        <v>80</v>
      </c>
      <c r="N4234" t="s">
        <v>902</v>
      </c>
      <c r="O4234" t="s">
        <v>82</v>
      </c>
      <c r="P4234" t="str">
        <f>"4170051480                    "</f>
        <v xml:space="preserve">4170051480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22.6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>
        <v>71.2</v>
      </c>
      <c r="BM4234">
        <v>10.68</v>
      </c>
      <c r="BN4234">
        <v>81.88</v>
      </c>
      <c r="BO4234">
        <v>81.88</v>
      </c>
      <c r="BQ4234" t="s">
        <v>903</v>
      </c>
      <c r="BR4234" t="s">
        <v>84</v>
      </c>
      <c r="BS4234" s="3">
        <v>45867</v>
      </c>
      <c r="BT4234" s="4">
        <v>0.43055555555555558</v>
      </c>
      <c r="BU4234" t="s">
        <v>3719</v>
      </c>
      <c r="BV4234" t="s">
        <v>98</v>
      </c>
      <c r="BY4234">
        <v>1200</v>
      </c>
      <c r="CA4234" t="s">
        <v>934</v>
      </c>
      <c r="CC4234" t="s">
        <v>80</v>
      </c>
      <c r="CD4234">
        <v>7530</v>
      </c>
      <c r="CE4234" t="s">
        <v>121</v>
      </c>
      <c r="CF4234" s="3">
        <v>45868</v>
      </c>
      <c r="CI4234">
        <v>1</v>
      </c>
      <c r="CJ4234">
        <v>1</v>
      </c>
      <c r="CK4234">
        <v>21</v>
      </c>
      <c r="CL4234" t="s">
        <v>86</v>
      </c>
    </row>
    <row r="4235" spans="1:90" x14ac:dyDescent="0.3">
      <c r="A4235" t="s">
        <v>72</v>
      </c>
      <c r="B4235" t="s">
        <v>73</v>
      </c>
      <c r="C4235" t="s">
        <v>74</v>
      </c>
      <c r="E4235" t="str">
        <f>"080066832450"</f>
        <v>080066832450</v>
      </c>
      <c r="F4235" s="3">
        <v>45866</v>
      </c>
      <c r="G4235">
        <v>202604</v>
      </c>
      <c r="H4235" t="s">
        <v>75</v>
      </c>
      <c r="I4235" t="s">
        <v>76</v>
      </c>
      <c r="J4235" t="s">
        <v>77</v>
      </c>
      <c r="K4235" t="s">
        <v>78</v>
      </c>
      <c r="L4235" t="s">
        <v>168</v>
      </c>
      <c r="M4235" t="s">
        <v>169</v>
      </c>
      <c r="N4235" t="s">
        <v>412</v>
      </c>
      <c r="O4235" t="s">
        <v>82</v>
      </c>
      <c r="P4235" t="str">
        <f>"4170051429                    "</f>
        <v xml:space="preserve">4170051429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22.6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2</v>
      </c>
      <c r="BJ4235">
        <v>1.1000000000000001</v>
      </c>
      <c r="BK4235">
        <v>2</v>
      </c>
      <c r="BL4235">
        <v>71.2</v>
      </c>
      <c r="BM4235">
        <v>10.68</v>
      </c>
      <c r="BN4235">
        <v>81.88</v>
      </c>
      <c r="BO4235">
        <v>81.88</v>
      </c>
      <c r="BQ4235" t="s">
        <v>413</v>
      </c>
      <c r="BR4235" t="s">
        <v>84</v>
      </c>
      <c r="BS4235" s="3">
        <v>45867</v>
      </c>
      <c r="BT4235" s="4">
        <v>0.34027777777777779</v>
      </c>
      <c r="BU4235" t="s">
        <v>1298</v>
      </c>
      <c r="BV4235" t="s">
        <v>98</v>
      </c>
      <c r="BY4235">
        <v>5320</v>
      </c>
      <c r="CA4235" t="s">
        <v>415</v>
      </c>
      <c r="CC4235" t="s">
        <v>169</v>
      </c>
      <c r="CD4235">
        <v>6001</v>
      </c>
      <c r="CE4235" t="s">
        <v>145</v>
      </c>
      <c r="CF4235" s="3">
        <v>45867</v>
      </c>
      <c r="CI4235">
        <v>1</v>
      </c>
      <c r="CJ4235">
        <v>1</v>
      </c>
      <c r="CK4235">
        <v>21</v>
      </c>
      <c r="CL4235" t="s">
        <v>86</v>
      </c>
    </row>
    <row r="4236" spans="1:90" x14ac:dyDescent="0.3">
      <c r="A4236" t="s">
        <v>72</v>
      </c>
      <c r="B4236" t="s">
        <v>73</v>
      </c>
      <c r="C4236" t="s">
        <v>74</v>
      </c>
      <c r="E4236" t="str">
        <f>"080066832504"</f>
        <v>080066832504</v>
      </c>
      <c r="F4236" s="3">
        <v>45866</v>
      </c>
      <c r="G4236">
        <v>202604</v>
      </c>
      <c r="H4236" t="s">
        <v>75</v>
      </c>
      <c r="I4236" t="s">
        <v>76</v>
      </c>
      <c r="J4236" t="s">
        <v>77</v>
      </c>
      <c r="K4236" t="s">
        <v>78</v>
      </c>
      <c r="L4236" t="s">
        <v>305</v>
      </c>
      <c r="M4236" t="s">
        <v>306</v>
      </c>
      <c r="N4236" t="s">
        <v>640</v>
      </c>
      <c r="O4236" t="s">
        <v>95</v>
      </c>
      <c r="P4236" t="str">
        <f>"4170051576                    "</f>
        <v xml:space="preserve">4170051576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162.78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3</v>
      </c>
      <c r="BI4236">
        <v>51</v>
      </c>
      <c r="BJ4236">
        <v>80.599999999999994</v>
      </c>
      <c r="BK4236">
        <v>81</v>
      </c>
      <c r="BL4236">
        <v>518.71</v>
      </c>
      <c r="BM4236">
        <v>77.81</v>
      </c>
      <c r="BN4236">
        <v>596.52</v>
      </c>
      <c r="BO4236">
        <v>596.52</v>
      </c>
      <c r="BQ4236" t="s">
        <v>641</v>
      </c>
      <c r="BR4236" t="s">
        <v>84</v>
      </c>
      <c r="BS4236" s="3">
        <v>45868</v>
      </c>
      <c r="BT4236" s="4">
        <v>0.4236111111111111</v>
      </c>
      <c r="BU4236" t="s">
        <v>3720</v>
      </c>
      <c r="BV4236" t="s">
        <v>98</v>
      </c>
      <c r="BY4236">
        <v>245640</v>
      </c>
      <c r="CA4236" t="s">
        <v>3721</v>
      </c>
      <c r="CC4236" t="s">
        <v>306</v>
      </c>
      <c r="CD4236">
        <v>5201</v>
      </c>
      <c r="CE4236" t="s">
        <v>145</v>
      </c>
      <c r="CF4236" s="3">
        <v>45869</v>
      </c>
      <c r="CI4236">
        <v>3</v>
      </c>
      <c r="CJ4236">
        <v>2</v>
      </c>
      <c r="CK4236">
        <v>41</v>
      </c>
      <c r="CL4236" t="s">
        <v>86</v>
      </c>
    </row>
    <row r="4237" spans="1:90" x14ac:dyDescent="0.3">
      <c r="A4237" t="s">
        <v>72</v>
      </c>
      <c r="B4237" t="s">
        <v>73</v>
      </c>
      <c r="C4237" t="s">
        <v>74</v>
      </c>
      <c r="E4237" t="str">
        <f>"080066832549"</f>
        <v>080066832549</v>
      </c>
      <c r="F4237" s="3">
        <v>45866</v>
      </c>
      <c r="G4237">
        <v>202604</v>
      </c>
      <c r="H4237" t="s">
        <v>75</v>
      </c>
      <c r="I4237" t="s">
        <v>76</v>
      </c>
      <c r="J4237" t="s">
        <v>77</v>
      </c>
      <c r="K4237" t="s">
        <v>78</v>
      </c>
      <c r="L4237" t="s">
        <v>168</v>
      </c>
      <c r="M4237" t="s">
        <v>169</v>
      </c>
      <c r="N4237" t="s">
        <v>202</v>
      </c>
      <c r="O4237" t="s">
        <v>82</v>
      </c>
      <c r="P4237" t="str">
        <f>"4170051578                    "</f>
        <v xml:space="preserve">4170051578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107.28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4</v>
      </c>
      <c r="BJ4237">
        <v>9.1</v>
      </c>
      <c r="BK4237">
        <v>9.5</v>
      </c>
      <c r="BL4237">
        <v>337.98</v>
      </c>
      <c r="BM4237">
        <v>50.7</v>
      </c>
      <c r="BN4237">
        <v>388.68</v>
      </c>
      <c r="BO4237">
        <v>388.68</v>
      </c>
      <c r="BQ4237" t="s">
        <v>203</v>
      </c>
      <c r="BR4237" t="s">
        <v>84</v>
      </c>
      <c r="BS4237" s="3">
        <v>45867</v>
      </c>
      <c r="BT4237" s="4">
        <v>0.37152777777777779</v>
      </c>
      <c r="BU4237" t="s">
        <v>1638</v>
      </c>
      <c r="BV4237" t="s">
        <v>98</v>
      </c>
      <c r="BY4237">
        <v>45632</v>
      </c>
      <c r="CC4237" t="s">
        <v>169</v>
      </c>
      <c r="CD4237">
        <v>6001</v>
      </c>
      <c r="CE4237" t="s">
        <v>145</v>
      </c>
      <c r="CF4237" s="3">
        <v>45867</v>
      </c>
      <c r="CI4237">
        <v>1</v>
      </c>
      <c r="CJ4237">
        <v>1</v>
      </c>
      <c r="CK4237">
        <v>21</v>
      </c>
      <c r="CL4237" t="s">
        <v>86</v>
      </c>
    </row>
    <row r="4238" spans="1:90" x14ac:dyDescent="0.3">
      <c r="A4238" t="s">
        <v>72</v>
      </c>
      <c r="B4238" t="s">
        <v>73</v>
      </c>
      <c r="C4238" t="s">
        <v>74</v>
      </c>
      <c r="E4238" t="str">
        <f>"080066832768"</f>
        <v>080066832768</v>
      </c>
      <c r="F4238" s="3">
        <v>45866</v>
      </c>
      <c r="G4238">
        <v>202604</v>
      </c>
      <c r="H4238" t="s">
        <v>75</v>
      </c>
      <c r="I4238" t="s">
        <v>76</v>
      </c>
      <c r="J4238" t="s">
        <v>77</v>
      </c>
      <c r="K4238" t="s">
        <v>78</v>
      </c>
      <c r="L4238" t="s">
        <v>168</v>
      </c>
      <c r="M4238" t="s">
        <v>169</v>
      </c>
      <c r="N4238" t="s">
        <v>420</v>
      </c>
      <c r="O4238" t="s">
        <v>82</v>
      </c>
      <c r="P4238" t="str">
        <f>"4170051398                    "</f>
        <v xml:space="preserve">4170051398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22.6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>
        <v>71.2</v>
      </c>
      <c r="BM4238">
        <v>10.68</v>
      </c>
      <c r="BN4238">
        <v>81.88</v>
      </c>
      <c r="BO4238">
        <v>81.88</v>
      </c>
      <c r="BQ4238" t="s">
        <v>421</v>
      </c>
      <c r="BR4238" t="s">
        <v>84</v>
      </c>
      <c r="BS4238" s="3">
        <v>45867</v>
      </c>
      <c r="BT4238" s="4">
        <v>0.41319444444444442</v>
      </c>
      <c r="BU4238" t="s">
        <v>1121</v>
      </c>
      <c r="BV4238" t="s">
        <v>98</v>
      </c>
      <c r="BY4238">
        <v>1200</v>
      </c>
      <c r="CA4238" t="s">
        <v>345</v>
      </c>
      <c r="CC4238" t="s">
        <v>169</v>
      </c>
      <c r="CD4238">
        <v>6001</v>
      </c>
      <c r="CE4238" t="s">
        <v>110</v>
      </c>
      <c r="CF4238" s="3">
        <v>45867</v>
      </c>
      <c r="CI4238">
        <v>1</v>
      </c>
      <c r="CJ4238">
        <v>1</v>
      </c>
      <c r="CK4238">
        <v>21</v>
      </c>
      <c r="CL4238" t="s">
        <v>86</v>
      </c>
    </row>
    <row r="4239" spans="1:90" x14ac:dyDescent="0.3">
      <c r="A4239" t="s">
        <v>72</v>
      </c>
      <c r="B4239" t="s">
        <v>73</v>
      </c>
      <c r="C4239" t="s">
        <v>74</v>
      </c>
      <c r="E4239" t="str">
        <f>"080066832822"</f>
        <v>080066832822</v>
      </c>
      <c r="F4239" s="3">
        <v>45866</v>
      </c>
      <c r="G4239">
        <v>202604</v>
      </c>
      <c r="H4239" t="s">
        <v>75</v>
      </c>
      <c r="I4239" t="s">
        <v>76</v>
      </c>
      <c r="J4239" t="s">
        <v>77</v>
      </c>
      <c r="K4239" t="s">
        <v>78</v>
      </c>
      <c r="L4239" t="s">
        <v>92</v>
      </c>
      <c r="M4239" t="s">
        <v>93</v>
      </c>
      <c r="N4239" t="s">
        <v>334</v>
      </c>
      <c r="O4239" t="s">
        <v>82</v>
      </c>
      <c r="P4239" t="str">
        <f>"4170051426                    "</f>
        <v xml:space="preserve">4170051426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22.6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0.2</v>
      </c>
      <c r="BK4239">
        <v>1</v>
      </c>
      <c r="BL4239">
        <v>71.2</v>
      </c>
      <c r="BM4239">
        <v>10.68</v>
      </c>
      <c r="BN4239">
        <v>81.88</v>
      </c>
      <c r="BO4239">
        <v>81.88</v>
      </c>
      <c r="BQ4239" t="s">
        <v>335</v>
      </c>
      <c r="BR4239" t="s">
        <v>84</v>
      </c>
      <c r="BS4239" s="3">
        <v>45867</v>
      </c>
      <c r="BT4239" s="4">
        <v>0.39791666666666664</v>
      </c>
      <c r="BU4239" t="s">
        <v>1365</v>
      </c>
      <c r="BV4239" t="s">
        <v>98</v>
      </c>
      <c r="BY4239">
        <v>1200</v>
      </c>
      <c r="CA4239" t="s">
        <v>337</v>
      </c>
      <c r="CC4239" t="s">
        <v>93</v>
      </c>
      <c r="CD4239">
        <v>4052</v>
      </c>
      <c r="CE4239" t="s">
        <v>110</v>
      </c>
      <c r="CF4239" s="3">
        <v>45867</v>
      </c>
      <c r="CI4239">
        <v>1</v>
      </c>
      <c r="CJ4239">
        <v>1</v>
      </c>
      <c r="CK4239">
        <v>21</v>
      </c>
      <c r="CL4239" t="s">
        <v>86</v>
      </c>
    </row>
    <row r="4240" spans="1:90" x14ac:dyDescent="0.3">
      <c r="A4240" t="s">
        <v>72</v>
      </c>
      <c r="B4240" t="s">
        <v>73</v>
      </c>
      <c r="C4240" t="s">
        <v>74</v>
      </c>
      <c r="E4240" t="str">
        <f>"080066832828"</f>
        <v>080066832828</v>
      </c>
      <c r="F4240" s="3">
        <v>45866</v>
      </c>
      <c r="G4240">
        <v>202604</v>
      </c>
      <c r="H4240" t="s">
        <v>75</v>
      </c>
      <c r="I4240" t="s">
        <v>76</v>
      </c>
      <c r="J4240" t="s">
        <v>77</v>
      </c>
      <c r="K4240" t="s">
        <v>78</v>
      </c>
      <c r="L4240" t="s">
        <v>135</v>
      </c>
      <c r="M4240" t="s">
        <v>136</v>
      </c>
      <c r="N4240" t="s">
        <v>482</v>
      </c>
      <c r="O4240" t="s">
        <v>82</v>
      </c>
      <c r="P4240" t="str">
        <f>"4170051530                    "</f>
        <v xml:space="preserve">4170051530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79.05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7</v>
      </c>
      <c r="BJ4240">
        <v>3.4</v>
      </c>
      <c r="BK4240">
        <v>7</v>
      </c>
      <c r="BL4240">
        <v>249.05</v>
      </c>
      <c r="BM4240">
        <v>37.36</v>
      </c>
      <c r="BN4240">
        <v>286.41000000000003</v>
      </c>
      <c r="BO4240">
        <v>286.41000000000003</v>
      </c>
      <c r="BQ4240" t="s">
        <v>483</v>
      </c>
      <c r="BR4240" t="s">
        <v>84</v>
      </c>
      <c r="BS4240" s="3">
        <v>45867</v>
      </c>
      <c r="BT4240" s="4">
        <v>0.41666666666666669</v>
      </c>
      <c r="BU4240" t="s">
        <v>238</v>
      </c>
      <c r="BV4240" t="s">
        <v>98</v>
      </c>
      <c r="BY4240">
        <v>16965</v>
      </c>
      <c r="CC4240" t="s">
        <v>136</v>
      </c>
      <c r="CD4240">
        <v>3201</v>
      </c>
      <c r="CE4240" t="s">
        <v>145</v>
      </c>
      <c r="CF4240" s="3">
        <v>45868</v>
      </c>
      <c r="CI4240">
        <v>1</v>
      </c>
      <c r="CJ4240">
        <v>1</v>
      </c>
      <c r="CK4240">
        <v>21</v>
      </c>
      <c r="CL4240" t="s">
        <v>86</v>
      </c>
    </row>
    <row r="4241" spans="1:90" x14ac:dyDescent="0.3">
      <c r="A4241" t="s">
        <v>72</v>
      </c>
      <c r="B4241" t="s">
        <v>73</v>
      </c>
      <c r="C4241" t="s">
        <v>74</v>
      </c>
      <c r="E4241" t="str">
        <f>"080066832849"</f>
        <v>080066832849</v>
      </c>
      <c r="F4241" s="3">
        <v>45866</v>
      </c>
      <c r="G4241">
        <v>202604</v>
      </c>
      <c r="H4241" t="s">
        <v>75</v>
      </c>
      <c r="I4241" t="s">
        <v>76</v>
      </c>
      <c r="J4241" t="s">
        <v>77</v>
      </c>
      <c r="K4241" t="s">
        <v>78</v>
      </c>
      <c r="L4241" t="s">
        <v>75</v>
      </c>
      <c r="M4241" t="s">
        <v>76</v>
      </c>
      <c r="N4241" t="s">
        <v>2853</v>
      </c>
      <c r="O4241" t="s">
        <v>82</v>
      </c>
      <c r="P4241" t="str">
        <f>"4170051392                    "</f>
        <v xml:space="preserve">4170051392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17.649999999999999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</v>
      </c>
      <c r="BJ4241">
        <v>0.2</v>
      </c>
      <c r="BK4241">
        <v>1</v>
      </c>
      <c r="BL4241">
        <v>55.61</v>
      </c>
      <c r="BM4241">
        <v>8.34</v>
      </c>
      <c r="BN4241">
        <v>63.95</v>
      </c>
      <c r="BO4241">
        <v>63.95</v>
      </c>
      <c r="BQ4241" t="s">
        <v>2854</v>
      </c>
      <c r="BR4241" t="s">
        <v>84</v>
      </c>
      <c r="BS4241" t="s">
        <v>587</v>
      </c>
      <c r="BW4241" t="s">
        <v>219</v>
      </c>
      <c r="BX4241" t="s">
        <v>1420</v>
      </c>
      <c r="BY4241">
        <v>1200</v>
      </c>
      <c r="CC4241" t="s">
        <v>76</v>
      </c>
      <c r="CD4241">
        <v>1620</v>
      </c>
      <c r="CE4241" t="s">
        <v>121</v>
      </c>
      <c r="CI4241">
        <v>1</v>
      </c>
      <c r="CJ4241" t="s">
        <v>587</v>
      </c>
      <c r="CK4241">
        <v>22</v>
      </c>
      <c r="CL4241" t="s">
        <v>86</v>
      </c>
    </row>
    <row r="4242" spans="1:90" x14ac:dyDescent="0.3">
      <c r="A4242" t="s">
        <v>72</v>
      </c>
      <c r="B4242" t="s">
        <v>73</v>
      </c>
      <c r="C4242" t="s">
        <v>74</v>
      </c>
      <c r="E4242" t="str">
        <f>"080066832874"</f>
        <v>080066832874</v>
      </c>
      <c r="F4242" s="3">
        <v>45866</v>
      </c>
      <c r="G4242">
        <v>202604</v>
      </c>
      <c r="H4242" t="s">
        <v>75</v>
      </c>
      <c r="I4242" t="s">
        <v>76</v>
      </c>
      <c r="J4242" t="s">
        <v>77</v>
      </c>
      <c r="K4242" t="s">
        <v>78</v>
      </c>
      <c r="L4242" t="s">
        <v>503</v>
      </c>
      <c r="M4242" t="s">
        <v>504</v>
      </c>
      <c r="N4242" t="s">
        <v>505</v>
      </c>
      <c r="O4242" t="s">
        <v>82</v>
      </c>
      <c r="P4242" t="str">
        <f>"4170051432                    "</f>
        <v xml:space="preserve">4170051432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43.78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1</v>
      </c>
      <c r="BJ4242">
        <v>0.2</v>
      </c>
      <c r="BK4242">
        <v>1</v>
      </c>
      <c r="BL4242">
        <v>137.94</v>
      </c>
      <c r="BM4242">
        <v>20.69</v>
      </c>
      <c r="BN4242">
        <v>158.63</v>
      </c>
      <c r="BO4242">
        <v>158.63</v>
      </c>
      <c r="BQ4242" t="s">
        <v>506</v>
      </c>
      <c r="BR4242" t="s">
        <v>84</v>
      </c>
      <c r="BS4242" s="3">
        <v>45867</v>
      </c>
      <c r="BT4242" s="4">
        <v>0.4236111111111111</v>
      </c>
      <c r="BU4242" t="s">
        <v>161</v>
      </c>
      <c r="BV4242" t="s">
        <v>98</v>
      </c>
      <c r="BY4242">
        <v>1200</v>
      </c>
      <c r="CA4242" t="s">
        <v>508</v>
      </c>
      <c r="CC4242" t="s">
        <v>504</v>
      </c>
      <c r="CD4242">
        <v>7130</v>
      </c>
      <c r="CE4242" t="s">
        <v>121</v>
      </c>
      <c r="CF4242" s="3">
        <v>45868</v>
      </c>
      <c r="CI4242">
        <v>1</v>
      </c>
      <c r="CJ4242">
        <v>1</v>
      </c>
      <c r="CK4242">
        <v>23</v>
      </c>
      <c r="CL4242" t="s">
        <v>86</v>
      </c>
    </row>
    <row r="4243" spans="1:90" x14ac:dyDescent="0.3">
      <c r="A4243" t="s">
        <v>72</v>
      </c>
      <c r="B4243" t="s">
        <v>73</v>
      </c>
      <c r="C4243" t="s">
        <v>74</v>
      </c>
      <c r="E4243" t="str">
        <f>"080066832896"</f>
        <v>080066832896</v>
      </c>
      <c r="F4243" s="3">
        <v>45866</v>
      </c>
      <c r="G4243">
        <v>202604</v>
      </c>
      <c r="H4243" t="s">
        <v>75</v>
      </c>
      <c r="I4243" t="s">
        <v>76</v>
      </c>
      <c r="J4243" t="s">
        <v>77</v>
      </c>
      <c r="K4243" t="s">
        <v>78</v>
      </c>
      <c r="L4243" t="s">
        <v>135</v>
      </c>
      <c r="M4243" t="s">
        <v>136</v>
      </c>
      <c r="N4243" t="s">
        <v>482</v>
      </c>
      <c r="O4243" t="s">
        <v>82</v>
      </c>
      <c r="P4243" t="str">
        <f>"4170051533                    "</f>
        <v xml:space="preserve">4170051533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33.89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3</v>
      </c>
      <c r="BJ4243">
        <v>1.7</v>
      </c>
      <c r="BK4243">
        <v>3</v>
      </c>
      <c r="BL4243">
        <v>106.77</v>
      </c>
      <c r="BM4243">
        <v>16.02</v>
      </c>
      <c r="BN4243">
        <v>122.79</v>
      </c>
      <c r="BO4243">
        <v>122.79</v>
      </c>
      <c r="BQ4243" t="s">
        <v>483</v>
      </c>
      <c r="BR4243" t="s">
        <v>84</v>
      </c>
      <c r="BS4243" s="3">
        <v>45867</v>
      </c>
      <c r="BT4243" s="4">
        <v>0.41666666666666669</v>
      </c>
      <c r="BU4243" t="s">
        <v>1061</v>
      </c>
      <c r="BV4243" t="s">
        <v>98</v>
      </c>
      <c r="BY4243">
        <v>8428</v>
      </c>
      <c r="CC4243" t="s">
        <v>136</v>
      </c>
      <c r="CD4243">
        <v>3201</v>
      </c>
      <c r="CE4243" t="s">
        <v>91</v>
      </c>
      <c r="CF4243" s="3">
        <v>45868</v>
      </c>
      <c r="CI4243">
        <v>1</v>
      </c>
      <c r="CJ4243">
        <v>1</v>
      </c>
      <c r="CK4243">
        <v>21</v>
      </c>
      <c r="CL4243" t="s">
        <v>86</v>
      </c>
    </row>
    <row r="4244" spans="1:90" x14ac:dyDescent="0.3">
      <c r="A4244" t="s">
        <v>72</v>
      </c>
      <c r="B4244" t="s">
        <v>73</v>
      </c>
      <c r="C4244" t="s">
        <v>74</v>
      </c>
      <c r="E4244" t="str">
        <f>"080066834054"</f>
        <v>080066834054</v>
      </c>
      <c r="F4244" s="3">
        <v>45866</v>
      </c>
      <c r="G4244">
        <v>202604</v>
      </c>
      <c r="H4244" t="s">
        <v>75</v>
      </c>
      <c r="I4244" t="s">
        <v>76</v>
      </c>
      <c r="J4244" t="s">
        <v>77</v>
      </c>
      <c r="K4244" t="s">
        <v>78</v>
      </c>
      <c r="L4244" t="s">
        <v>758</v>
      </c>
      <c r="M4244" t="s">
        <v>759</v>
      </c>
      <c r="N4244" t="s">
        <v>760</v>
      </c>
      <c r="O4244" t="s">
        <v>82</v>
      </c>
      <c r="P4244" t="str">
        <f>"4170051399                    "</f>
        <v xml:space="preserve">4170051399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43.78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</v>
      </c>
      <c r="BJ4244">
        <v>0.2</v>
      </c>
      <c r="BK4244">
        <v>1</v>
      </c>
      <c r="BL4244">
        <v>137.94</v>
      </c>
      <c r="BM4244">
        <v>20.69</v>
      </c>
      <c r="BN4244">
        <v>158.63</v>
      </c>
      <c r="BO4244">
        <v>158.63</v>
      </c>
      <c r="BQ4244" t="s">
        <v>761</v>
      </c>
      <c r="BR4244" t="s">
        <v>84</v>
      </c>
      <c r="BS4244" s="3">
        <v>45867</v>
      </c>
      <c r="BT4244" s="4">
        <v>0.48541666666666666</v>
      </c>
      <c r="BU4244" t="s">
        <v>1819</v>
      </c>
      <c r="BV4244" t="s">
        <v>98</v>
      </c>
      <c r="BY4244">
        <v>1200</v>
      </c>
      <c r="CA4244" t="s">
        <v>3015</v>
      </c>
      <c r="CC4244" t="s">
        <v>759</v>
      </c>
      <c r="CD4244">
        <v>2531</v>
      </c>
      <c r="CE4244" t="s">
        <v>121</v>
      </c>
      <c r="CF4244" s="3">
        <v>45868</v>
      </c>
      <c r="CI4244">
        <v>1</v>
      </c>
      <c r="CJ4244">
        <v>1</v>
      </c>
      <c r="CK4244">
        <v>23</v>
      </c>
      <c r="CL4244" t="s">
        <v>86</v>
      </c>
    </row>
    <row r="4245" spans="1:90" x14ac:dyDescent="0.3">
      <c r="A4245" t="s">
        <v>72</v>
      </c>
      <c r="B4245" t="s">
        <v>73</v>
      </c>
      <c r="C4245" t="s">
        <v>74</v>
      </c>
      <c r="E4245" t="str">
        <f>"080066834097"</f>
        <v>080066834097</v>
      </c>
      <c r="F4245" s="3">
        <v>45866</v>
      </c>
      <c r="G4245">
        <v>202604</v>
      </c>
      <c r="H4245" t="s">
        <v>75</v>
      </c>
      <c r="I4245" t="s">
        <v>76</v>
      </c>
      <c r="J4245" t="s">
        <v>77</v>
      </c>
      <c r="K4245" t="s">
        <v>78</v>
      </c>
      <c r="L4245" t="s">
        <v>168</v>
      </c>
      <c r="M4245" t="s">
        <v>169</v>
      </c>
      <c r="N4245" t="s">
        <v>206</v>
      </c>
      <c r="O4245" t="s">
        <v>95</v>
      </c>
      <c r="P4245" t="str">
        <f>"4170051366                    "</f>
        <v xml:space="preserve">4170051366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63.55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2</v>
      </c>
      <c r="BI4245">
        <v>25</v>
      </c>
      <c r="BJ4245">
        <v>25.2</v>
      </c>
      <c r="BK4245">
        <v>26</v>
      </c>
      <c r="BL4245">
        <v>206.08</v>
      </c>
      <c r="BM4245">
        <v>30.91</v>
      </c>
      <c r="BN4245">
        <v>236.99</v>
      </c>
      <c r="BO4245">
        <v>236.99</v>
      </c>
      <c r="BQ4245" t="s">
        <v>207</v>
      </c>
      <c r="BR4245" t="s">
        <v>84</v>
      </c>
      <c r="BS4245" s="3">
        <v>45868</v>
      </c>
      <c r="BT4245" s="4">
        <v>0.45277777777777778</v>
      </c>
      <c r="BU4245" t="s">
        <v>290</v>
      </c>
      <c r="BV4245" t="s">
        <v>98</v>
      </c>
      <c r="BY4245">
        <v>125808</v>
      </c>
      <c r="CA4245" t="s">
        <v>196</v>
      </c>
      <c r="CC4245" t="s">
        <v>169</v>
      </c>
      <c r="CD4245">
        <v>6001</v>
      </c>
      <c r="CE4245" t="s">
        <v>145</v>
      </c>
      <c r="CF4245" s="3">
        <v>45868</v>
      </c>
      <c r="CI4245">
        <v>3</v>
      </c>
      <c r="CJ4245">
        <v>2</v>
      </c>
      <c r="CK4245">
        <v>41</v>
      </c>
      <c r="CL4245" t="s">
        <v>86</v>
      </c>
    </row>
    <row r="4246" spans="1:90" x14ac:dyDescent="0.3">
      <c r="A4246" t="s">
        <v>72</v>
      </c>
      <c r="B4246" t="s">
        <v>73</v>
      </c>
      <c r="C4246" t="s">
        <v>74</v>
      </c>
      <c r="E4246" t="str">
        <f>"080066834101"</f>
        <v>080066834101</v>
      </c>
      <c r="F4246" s="3">
        <v>45866</v>
      </c>
      <c r="G4246">
        <v>202604</v>
      </c>
      <c r="H4246" t="s">
        <v>75</v>
      </c>
      <c r="I4246" t="s">
        <v>76</v>
      </c>
      <c r="J4246" t="s">
        <v>77</v>
      </c>
      <c r="K4246" t="s">
        <v>78</v>
      </c>
      <c r="L4246" t="s">
        <v>168</v>
      </c>
      <c r="M4246" t="s">
        <v>169</v>
      </c>
      <c r="N4246" t="s">
        <v>202</v>
      </c>
      <c r="O4246" t="s">
        <v>82</v>
      </c>
      <c r="P4246" t="str">
        <f>"4170051407                    "</f>
        <v xml:space="preserve">4170051407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22.6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</v>
      </c>
      <c r="BJ4246">
        <v>0.2</v>
      </c>
      <c r="BK4246">
        <v>1</v>
      </c>
      <c r="BL4246">
        <v>71.2</v>
      </c>
      <c r="BM4246">
        <v>10.68</v>
      </c>
      <c r="BN4246">
        <v>81.88</v>
      </c>
      <c r="BO4246">
        <v>81.88</v>
      </c>
      <c r="BQ4246" t="s">
        <v>203</v>
      </c>
      <c r="BR4246" t="s">
        <v>84</v>
      </c>
      <c r="BS4246" s="3">
        <v>45867</v>
      </c>
      <c r="BT4246" s="4">
        <v>0.37152777777777779</v>
      </c>
      <c r="BU4246" t="s">
        <v>1638</v>
      </c>
      <c r="BV4246" t="s">
        <v>98</v>
      </c>
      <c r="BY4246">
        <v>1200</v>
      </c>
      <c r="CC4246" t="s">
        <v>169</v>
      </c>
      <c r="CD4246">
        <v>6001</v>
      </c>
      <c r="CE4246" t="s">
        <v>121</v>
      </c>
      <c r="CF4246" s="3">
        <v>45867</v>
      </c>
      <c r="CI4246">
        <v>1</v>
      </c>
      <c r="CJ4246">
        <v>1</v>
      </c>
      <c r="CK4246">
        <v>21</v>
      </c>
      <c r="CL4246" t="s">
        <v>86</v>
      </c>
    </row>
    <row r="4247" spans="1:90" x14ac:dyDescent="0.3">
      <c r="A4247" t="s">
        <v>72</v>
      </c>
      <c r="B4247" t="s">
        <v>73</v>
      </c>
      <c r="C4247" t="s">
        <v>74</v>
      </c>
      <c r="E4247" t="str">
        <f>"080066834144"</f>
        <v>080066834144</v>
      </c>
      <c r="F4247" s="3">
        <v>45866</v>
      </c>
      <c r="G4247">
        <v>202604</v>
      </c>
      <c r="H4247" t="s">
        <v>75</v>
      </c>
      <c r="I4247" t="s">
        <v>76</v>
      </c>
      <c r="J4247" t="s">
        <v>77</v>
      </c>
      <c r="K4247" t="s">
        <v>78</v>
      </c>
      <c r="L4247" t="s">
        <v>252</v>
      </c>
      <c r="M4247" t="s">
        <v>253</v>
      </c>
      <c r="N4247" t="s">
        <v>254</v>
      </c>
      <c r="O4247" t="s">
        <v>82</v>
      </c>
      <c r="P4247" t="str">
        <f>"4170051431                    "</f>
        <v xml:space="preserve">4170051431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43.78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>
        <v>137.94</v>
      </c>
      <c r="BM4247">
        <v>20.69</v>
      </c>
      <c r="BN4247">
        <v>158.63</v>
      </c>
      <c r="BO4247">
        <v>158.63</v>
      </c>
      <c r="BQ4247" t="s">
        <v>255</v>
      </c>
      <c r="BR4247" t="s">
        <v>84</v>
      </c>
      <c r="BS4247" s="3">
        <v>45867</v>
      </c>
      <c r="BT4247" s="4">
        <v>0.33194444444444443</v>
      </c>
      <c r="BU4247" t="s">
        <v>2512</v>
      </c>
      <c r="BV4247" t="s">
        <v>98</v>
      </c>
      <c r="BY4247">
        <v>1200</v>
      </c>
      <c r="CA4247" t="s">
        <v>328</v>
      </c>
      <c r="CC4247" t="s">
        <v>253</v>
      </c>
      <c r="CD4247">
        <v>1947</v>
      </c>
      <c r="CE4247" t="s">
        <v>121</v>
      </c>
      <c r="CF4247" s="3">
        <v>45867</v>
      </c>
      <c r="CI4247">
        <v>1</v>
      </c>
      <c r="CJ4247">
        <v>1</v>
      </c>
      <c r="CK4247">
        <v>23</v>
      </c>
      <c r="CL4247" t="s">
        <v>86</v>
      </c>
    </row>
    <row r="4248" spans="1:90" x14ac:dyDescent="0.3">
      <c r="A4248" t="s">
        <v>72</v>
      </c>
      <c r="B4248" t="s">
        <v>73</v>
      </c>
      <c r="C4248" t="s">
        <v>74</v>
      </c>
      <c r="E4248" t="str">
        <f>"080066834172"</f>
        <v>080066834172</v>
      </c>
      <c r="F4248" s="3">
        <v>45866</v>
      </c>
      <c r="G4248">
        <v>202604</v>
      </c>
      <c r="H4248" t="s">
        <v>75</v>
      </c>
      <c r="I4248" t="s">
        <v>76</v>
      </c>
      <c r="J4248" t="s">
        <v>77</v>
      </c>
      <c r="K4248" t="s">
        <v>78</v>
      </c>
      <c r="L4248" t="s">
        <v>240</v>
      </c>
      <c r="M4248" t="s">
        <v>241</v>
      </c>
      <c r="N4248" t="s">
        <v>3722</v>
      </c>
      <c r="O4248" t="s">
        <v>82</v>
      </c>
      <c r="P4248" t="str">
        <f>"4170051394                    "</f>
        <v xml:space="preserve">4170051394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17.649999999999999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1</v>
      </c>
      <c r="BJ4248">
        <v>0.2</v>
      </c>
      <c r="BK4248">
        <v>1</v>
      </c>
      <c r="BL4248">
        <v>55.61</v>
      </c>
      <c r="BM4248">
        <v>8.34</v>
      </c>
      <c r="BN4248">
        <v>63.95</v>
      </c>
      <c r="BO4248">
        <v>63.95</v>
      </c>
      <c r="BQ4248" t="s">
        <v>3723</v>
      </c>
      <c r="BR4248" t="s">
        <v>84</v>
      </c>
      <c r="BS4248" s="3">
        <v>45867</v>
      </c>
      <c r="BT4248" s="4">
        <v>0.43263888888888891</v>
      </c>
      <c r="BU4248" t="s">
        <v>3724</v>
      </c>
      <c r="BV4248" t="s">
        <v>98</v>
      </c>
      <c r="BY4248">
        <v>1200</v>
      </c>
      <c r="CA4248" t="s">
        <v>245</v>
      </c>
      <c r="CC4248" t="s">
        <v>241</v>
      </c>
      <c r="CD4248">
        <v>2013</v>
      </c>
      <c r="CE4248" t="s">
        <v>121</v>
      </c>
      <c r="CF4248" s="3">
        <v>45867</v>
      </c>
      <c r="CI4248">
        <v>1</v>
      </c>
      <c r="CJ4248">
        <v>1</v>
      </c>
      <c r="CK4248">
        <v>22</v>
      </c>
      <c r="CL4248" t="s">
        <v>86</v>
      </c>
    </row>
    <row r="4249" spans="1:90" x14ac:dyDescent="0.3">
      <c r="A4249" t="s">
        <v>72</v>
      </c>
      <c r="B4249" t="s">
        <v>73</v>
      </c>
      <c r="C4249" t="s">
        <v>74</v>
      </c>
      <c r="E4249" t="str">
        <f>"080066834199"</f>
        <v>080066834199</v>
      </c>
      <c r="F4249" s="3">
        <v>45866</v>
      </c>
      <c r="G4249">
        <v>202604</v>
      </c>
      <c r="H4249" t="s">
        <v>75</v>
      </c>
      <c r="I4249" t="s">
        <v>76</v>
      </c>
      <c r="J4249" t="s">
        <v>77</v>
      </c>
      <c r="K4249" t="s">
        <v>78</v>
      </c>
      <c r="L4249" t="s">
        <v>305</v>
      </c>
      <c r="M4249" t="s">
        <v>306</v>
      </c>
      <c r="N4249" t="s">
        <v>640</v>
      </c>
      <c r="O4249" t="s">
        <v>82</v>
      </c>
      <c r="P4249" t="str">
        <f>"4170051513                    "</f>
        <v xml:space="preserve">4170051513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22.6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>
        <v>71.2</v>
      </c>
      <c r="BM4249">
        <v>10.68</v>
      </c>
      <c r="BN4249">
        <v>81.88</v>
      </c>
      <c r="BO4249">
        <v>81.88</v>
      </c>
      <c r="BQ4249" t="s">
        <v>641</v>
      </c>
      <c r="BR4249" t="s">
        <v>84</v>
      </c>
      <c r="BS4249" s="3">
        <v>45867</v>
      </c>
      <c r="BT4249" s="4">
        <v>0.4375</v>
      </c>
      <c r="BU4249" t="s">
        <v>1388</v>
      </c>
      <c r="BV4249" t="s">
        <v>98</v>
      </c>
      <c r="BY4249">
        <v>1200</v>
      </c>
      <c r="CA4249" t="s">
        <v>2174</v>
      </c>
      <c r="CC4249" t="s">
        <v>306</v>
      </c>
      <c r="CD4249">
        <v>5201</v>
      </c>
      <c r="CE4249" t="s">
        <v>121</v>
      </c>
      <c r="CF4249" s="3">
        <v>45867</v>
      </c>
      <c r="CI4249">
        <v>1</v>
      </c>
      <c r="CJ4249">
        <v>1</v>
      </c>
      <c r="CK4249">
        <v>21</v>
      </c>
      <c r="CL4249" t="s">
        <v>86</v>
      </c>
    </row>
    <row r="4250" spans="1:90" x14ac:dyDescent="0.3">
      <c r="A4250" t="s">
        <v>72</v>
      </c>
      <c r="B4250" t="s">
        <v>73</v>
      </c>
      <c r="C4250" t="s">
        <v>74</v>
      </c>
      <c r="E4250" t="str">
        <f>"080066834232"</f>
        <v>080066834232</v>
      </c>
      <c r="F4250" s="3">
        <v>45866</v>
      </c>
      <c r="G4250">
        <v>202604</v>
      </c>
      <c r="H4250" t="s">
        <v>75</v>
      </c>
      <c r="I4250" t="s">
        <v>76</v>
      </c>
      <c r="J4250" t="s">
        <v>77</v>
      </c>
      <c r="K4250" t="s">
        <v>78</v>
      </c>
      <c r="L4250" t="s">
        <v>135</v>
      </c>
      <c r="M4250" t="s">
        <v>136</v>
      </c>
      <c r="N4250" t="s">
        <v>416</v>
      </c>
      <c r="O4250" t="s">
        <v>82</v>
      </c>
      <c r="P4250" t="str">
        <f>"4170051567                    "</f>
        <v xml:space="preserve">4170051567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22.6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</v>
      </c>
      <c r="BJ4250">
        <v>0.2</v>
      </c>
      <c r="BK4250">
        <v>1</v>
      </c>
      <c r="BL4250">
        <v>71.2</v>
      </c>
      <c r="BM4250">
        <v>10.68</v>
      </c>
      <c r="BN4250">
        <v>81.88</v>
      </c>
      <c r="BO4250">
        <v>81.88</v>
      </c>
      <c r="BQ4250" t="s">
        <v>417</v>
      </c>
      <c r="BR4250" t="s">
        <v>84</v>
      </c>
      <c r="BS4250" s="3">
        <v>45867</v>
      </c>
      <c r="BT4250" s="4">
        <v>0.41666666666666669</v>
      </c>
      <c r="BU4250" t="s">
        <v>650</v>
      </c>
      <c r="BV4250" t="s">
        <v>98</v>
      </c>
      <c r="BY4250">
        <v>1200</v>
      </c>
      <c r="CC4250" t="s">
        <v>136</v>
      </c>
      <c r="CD4250">
        <v>3201</v>
      </c>
      <c r="CE4250" t="s">
        <v>121</v>
      </c>
      <c r="CF4250" s="3">
        <v>45868</v>
      </c>
      <c r="CI4250">
        <v>1</v>
      </c>
      <c r="CJ4250">
        <v>1</v>
      </c>
      <c r="CK4250">
        <v>21</v>
      </c>
      <c r="CL4250" t="s">
        <v>86</v>
      </c>
    </row>
    <row r="4251" spans="1:90" x14ac:dyDescent="0.3">
      <c r="A4251" t="s">
        <v>72</v>
      </c>
      <c r="B4251" t="s">
        <v>73</v>
      </c>
      <c r="C4251" t="s">
        <v>74</v>
      </c>
      <c r="E4251" t="str">
        <f>"080066834275"</f>
        <v>080066834275</v>
      </c>
      <c r="F4251" s="3">
        <v>45866</v>
      </c>
      <c r="G4251">
        <v>202604</v>
      </c>
      <c r="H4251" t="s">
        <v>75</v>
      </c>
      <c r="I4251" t="s">
        <v>76</v>
      </c>
      <c r="J4251" t="s">
        <v>77</v>
      </c>
      <c r="K4251" t="s">
        <v>78</v>
      </c>
      <c r="L4251" t="s">
        <v>79</v>
      </c>
      <c r="M4251" t="s">
        <v>80</v>
      </c>
      <c r="N4251" t="s">
        <v>3725</v>
      </c>
      <c r="O4251" t="s">
        <v>82</v>
      </c>
      <c r="P4251" t="str">
        <f>"4170051524                    "</f>
        <v xml:space="preserve">4170051524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39.53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2</v>
      </c>
      <c r="BJ4251">
        <v>3.4</v>
      </c>
      <c r="BK4251">
        <v>3.5</v>
      </c>
      <c r="BL4251">
        <v>124.55</v>
      </c>
      <c r="BM4251">
        <v>18.68</v>
      </c>
      <c r="BN4251">
        <v>143.22999999999999</v>
      </c>
      <c r="BO4251">
        <v>143.22999999999999</v>
      </c>
      <c r="BQ4251" t="s">
        <v>3726</v>
      </c>
      <c r="BR4251" t="s">
        <v>84</v>
      </c>
      <c r="BS4251" s="3">
        <v>45867</v>
      </c>
      <c r="BT4251" s="4">
        <v>0.42638888888888887</v>
      </c>
      <c r="BU4251" t="s">
        <v>3727</v>
      </c>
      <c r="BV4251" t="s">
        <v>98</v>
      </c>
      <c r="BY4251">
        <v>16965</v>
      </c>
      <c r="CA4251" t="s">
        <v>934</v>
      </c>
      <c r="CC4251" t="s">
        <v>80</v>
      </c>
      <c r="CD4251">
        <v>7530</v>
      </c>
      <c r="CE4251" t="s">
        <v>145</v>
      </c>
      <c r="CF4251" s="3">
        <v>45868</v>
      </c>
      <c r="CI4251">
        <v>1</v>
      </c>
      <c r="CJ4251">
        <v>1</v>
      </c>
      <c r="CK4251">
        <v>21</v>
      </c>
      <c r="CL4251" t="s">
        <v>86</v>
      </c>
    </row>
    <row r="4252" spans="1:90" x14ac:dyDescent="0.3">
      <c r="A4252" t="s">
        <v>72</v>
      </c>
      <c r="B4252" t="s">
        <v>73</v>
      </c>
      <c r="C4252" t="s">
        <v>74</v>
      </c>
      <c r="E4252" t="str">
        <f>"080066834320"</f>
        <v>080066834320</v>
      </c>
      <c r="F4252" s="3">
        <v>45866</v>
      </c>
      <c r="G4252">
        <v>202604</v>
      </c>
      <c r="H4252" t="s">
        <v>75</v>
      </c>
      <c r="I4252" t="s">
        <v>76</v>
      </c>
      <c r="J4252" t="s">
        <v>77</v>
      </c>
      <c r="K4252" t="s">
        <v>78</v>
      </c>
      <c r="L4252" t="s">
        <v>135</v>
      </c>
      <c r="M4252" t="s">
        <v>136</v>
      </c>
      <c r="N4252" t="s">
        <v>416</v>
      </c>
      <c r="O4252" t="s">
        <v>82</v>
      </c>
      <c r="P4252" t="str">
        <f>"4170051532                    "</f>
        <v xml:space="preserve">4170051532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33.89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3</v>
      </c>
      <c r="BJ4252">
        <v>2.4</v>
      </c>
      <c r="BK4252">
        <v>3</v>
      </c>
      <c r="BL4252">
        <v>106.77</v>
      </c>
      <c r="BM4252">
        <v>16.02</v>
      </c>
      <c r="BN4252">
        <v>122.79</v>
      </c>
      <c r="BO4252">
        <v>122.79</v>
      </c>
      <c r="BQ4252" t="s">
        <v>417</v>
      </c>
      <c r="BR4252" t="s">
        <v>84</v>
      </c>
      <c r="BS4252" s="3">
        <v>45867</v>
      </c>
      <c r="BT4252" s="4">
        <v>0.41666666666666669</v>
      </c>
      <c r="BU4252" t="s">
        <v>650</v>
      </c>
      <c r="BV4252" t="s">
        <v>98</v>
      </c>
      <c r="BY4252">
        <v>12012</v>
      </c>
      <c r="CC4252" t="s">
        <v>136</v>
      </c>
      <c r="CD4252">
        <v>3201</v>
      </c>
      <c r="CE4252" t="s">
        <v>110</v>
      </c>
      <c r="CF4252" s="3">
        <v>45868</v>
      </c>
      <c r="CI4252">
        <v>1</v>
      </c>
      <c r="CJ4252">
        <v>1</v>
      </c>
      <c r="CK4252">
        <v>21</v>
      </c>
      <c r="CL4252" t="s">
        <v>86</v>
      </c>
    </row>
    <row r="4253" spans="1:90" x14ac:dyDescent="0.3">
      <c r="A4253" t="s">
        <v>72</v>
      </c>
      <c r="B4253" t="s">
        <v>73</v>
      </c>
      <c r="C4253" t="s">
        <v>74</v>
      </c>
      <c r="E4253" t="str">
        <f>"080066834321"</f>
        <v>080066834321</v>
      </c>
      <c r="F4253" s="3">
        <v>45866</v>
      </c>
      <c r="G4253">
        <v>202604</v>
      </c>
      <c r="H4253" t="s">
        <v>75</v>
      </c>
      <c r="I4253" t="s">
        <v>76</v>
      </c>
      <c r="J4253" t="s">
        <v>77</v>
      </c>
      <c r="K4253" t="s">
        <v>78</v>
      </c>
      <c r="L4253" t="s">
        <v>75</v>
      </c>
      <c r="M4253" t="s">
        <v>76</v>
      </c>
      <c r="N4253" t="s">
        <v>3728</v>
      </c>
      <c r="O4253" t="s">
        <v>82</v>
      </c>
      <c r="P4253" t="str">
        <f>"4170051463                    "</f>
        <v xml:space="preserve">4170051463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17.649999999999999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</v>
      </c>
      <c r="BJ4253">
        <v>0.2</v>
      </c>
      <c r="BK4253">
        <v>1</v>
      </c>
      <c r="BL4253">
        <v>55.61</v>
      </c>
      <c r="BM4253">
        <v>8.34</v>
      </c>
      <c r="BN4253">
        <v>63.95</v>
      </c>
      <c r="BO4253">
        <v>63.95</v>
      </c>
      <c r="BQ4253" t="s">
        <v>3729</v>
      </c>
      <c r="BR4253" t="s">
        <v>84</v>
      </c>
      <c r="BS4253" s="3">
        <v>45867</v>
      </c>
      <c r="BT4253" s="4">
        <v>0.32847222222222222</v>
      </c>
      <c r="BU4253" t="s">
        <v>3730</v>
      </c>
      <c r="BV4253" t="s">
        <v>98</v>
      </c>
      <c r="BY4253">
        <v>1200</v>
      </c>
      <c r="CC4253" t="s">
        <v>76</v>
      </c>
      <c r="CD4253">
        <v>1601</v>
      </c>
      <c r="CE4253" t="s">
        <v>110</v>
      </c>
      <c r="CF4253" s="3">
        <v>45867</v>
      </c>
      <c r="CI4253">
        <v>1</v>
      </c>
      <c r="CJ4253">
        <v>1</v>
      </c>
      <c r="CK4253">
        <v>22</v>
      </c>
      <c r="CL4253" t="s">
        <v>86</v>
      </c>
    </row>
    <row r="4254" spans="1:90" x14ac:dyDescent="0.3">
      <c r="A4254" t="s">
        <v>72</v>
      </c>
      <c r="B4254" t="s">
        <v>73</v>
      </c>
      <c r="C4254" t="s">
        <v>74</v>
      </c>
      <c r="E4254" t="str">
        <f>"080066834363"</f>
        <v>080066834363</v>
      </c>
      <c r="F4254" s="3">
        <v>45866</v>
      </c>
      <c r="G4254">
        <v>202604</v>
      </c>
      <c r="H4254" t="s">
        <v>75</v>
      </c>
      <c r="I4254" t="s">
        <v>76</v>
      </c>
      <c r="J4254" t="s">
        <v>77</v>
      </c>
      <c r="K4254" t="s">
        <v>78</v>
      </c>
      <c r="L4254" t="s">
        <v>135</v>
      </c>
      <c r="M4254" t="s">
        <v>136</v>
      </c>
      <c r="N4254" t="s">
        <v>2091</v>
      </c>
      <c r="O4254" t="s">
        <v>82</v>
      </c>
      <c r="P4254" t="str">
        <f>"4170051534                    "</f>
        <v xml:space="preserve">4170051534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22.6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</v>
      </c>
      <c r="BJ4254">
        <v>0.2</v>
      </c>
      <c r="BK4254">
        <v>1</v>
      </c>
      <c r="BL4254">
        <v>71.2</v>
      </c>
      <c r="BM4254">
        <v>10.68</v>
      </c>
      <c r="BN4254">
        <v>81.88</v>
      </c>
      <c r="BO4254">
        <v>81.88</v>
      </c>
      <c r="BQ4254" t="s">
        <v>2092</v>
      </c>
      <c r="BR4254" t="s">
        <v>84</v>
      </c>
      <c r="BS4254" s="3">
        <v>45867</v>
      </c>
      <c r="BT4254" s="4">
        <v>0.41666666666666669</v>
      </c>
      <c r="BU4254" t="s">
        <v>3512</v>
      </c>
      <c r="BV4254" t="s">
        <v>98</v>
      </c>
      <c r="BY4254">
        <v>1200</v>
      </c>
      <c r="CA4254" t="s">
        <v>349</v>
      </c>
      <c r="CC4254" t="s">
        <v>136</v>
      </c>
      <c r="CD4254">
        <v>3201</v>
      </c>
      <c r="CE4254" t="s">
        <v>110</v>
      </c>
      <c r="CF4254" s="3">
        <v>45868</v>
      </c>
      <c r="CI4254">
        <v>1</v>
      </c>
      <c r="CJ4254">
        <v>1</v>
      </c>
      <c r="CK4254">
        <v>21</v>
      </c>
      <c r="CL4254" t="s">
        <v>86</v>
      </c>
    </row>
    <row r="4255" spans="1:90" x14ac:dyDescent="0.3">
      <c r="A4255" t="s">
        <v>72</v>
      </c>
      <c r="B4255" t="s">
        <v>73</v>
      </c>
      <c r="C4255" t="s">
        <v>74</v>
      </c>
      <c r="E4255" t="str">
        <f>"080066834415"</f>
        <v>080066834415</v>
      </c>
      <c r="F4255" s="3">
        <v>45866</v>
      </c>
      <c r="G4255">
        <v>202604</v>
      </c>
      <c r="H4255" t="s">
        <v>75</v>
      </c>
      <c r="I4255" t="s">
        <v>76</v>
      </c>
      <c r="J4255" t="s">
        <v>77</v>
      </c>
      <c r="K4255" t="s">
        <v>78</v>
      </c>
      <c r="L4255" t="s">
        <v>122</v>
      </c>
      <c r="M4255" t="s">
        <v>123</v>
      </c>
      <c r="N4255" t="s">
        <v>283</v>
      </c>
      <c r="O4255" t="s">
        <v>82</v>
      </c>
      <c r="P4255" t="str">
        <f>"4170051561                    "</f>
        <v xml:space="preserve">4170051561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22.6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1</v>
      </c>
      <c r="BJ4255">
        <v>0.2</v>
      </c>
      <c r="BK4255">
        <v>1</v>
      </c>
      <c r="BL4255">
        <v>71.2</v>
      </c>
      <c r="BM4255">
        <v>10.68</v>
      </c>
      <c r="BN4255">
        <v>81.88</v>
      </c>
      <c r="BO4255">
        <v>81.88</v>
      </c>
      <c r="BQ4255" t="s">
        <v>284</v>
      </c>
      <c r="BR4255" t="s">
        <v>84</v>
      </c>
      <c r="BS4255" s="3">
        <v>45867</v>
      </c>
      <c r="BT4255" s="4">
        <v>0.43125000000000002</v>
      </c>
      <c r="BU4255" t="s">
        <v>285</v>
      </c>
      <c r="BV4255" t="s">
        <v>98</v>
      </c>
      <c r="BY4255">
        <v>1200</v>
      </c>
      <c r="CA4255" t="s">
        <v>187</v>
      </c>
      <c r="CC4255" t="s">
        <v>123</v>
      </c>
      <c r="CD4255">
        <v>3608</v>
      </c>
      <c r="CE4255" t="s">
        <v>110</v>
      </c>
      <c r="CF4255" s="3">
        <v>45868</v>
      </c>
      <c r="CI4255">
        <v>1</v>
      </c>
      <c r="CJ4255">
        <v>1</v>
      </c>
      <c r="CK4255">
        <v>21</v>
      </c>
      <c r="CL4255" t="s">
        <v>86</v>
      </c>
    </row>
    <row r="4256" spans="1:90" x14ac:dyDescent="0.3">
      <c r="A4256" t="s">
        <v>72</v>
      </c>
      <c r="B4256" t="s">
        <v>73</v>
      </c>
      <c r="C4256" t="s">
        <v>74</v>
      </c>
      <c r="E4256" t="str">
        <f>"080066834550"</f>
        <v>080066834550</v>
      </c>
      <c r="F4256" s="3">
        <v>45866</v>
      </c>
      <c r="G4256">
        <v>202604</v>
      </c>
      <c r="H4256" t="s">
        <v>75</v>
      </c>
      <c r="I4256" t="s">
        <v>76</v>
      </c>
      <c r="J4256" t="s">
        <v>77</v>
      </c>
      <c r="K4256" t="s">
        <v>78</v>
      </c>
      <c r="L4256" t="s">
        <v>75</v>
      </c>
      <c r="M4256" t="s">
        <v>76</v>
      </c>
      <c r="N4256" t="s">
        <v>1529</v>
      </c>
      <c r="O4256" t="s">
        <v>82</v>
      </c>
      <c r="P4256" t="str">
        <f>"4170051443                    "</f>
        <v xml:space="preserve">4170051443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17.649999999999999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1</v>
      </c>
      <c r="BJ4256">
        <v>0.6</v>
      </c>
      <c r="BK4256">
        <v>1</v>
      </c>
      <c r="BL4256">
        <v>55.61</v>
      </c>
      <c r="BM4256">
        <v>8.34</v>
      </c>
      <c r="BN4256">
        <v>63.95</v>
      </c>
      <c r="BO4256">
        <v>63.95</v>
      </c>
      <c r="BQ4256" t="s">
        <v>1530</v>
      </c>
      <c r="BR4256" t="s">
        <v>84</v>
      </c>
      <c r="BS4256" s="3">
        <v>45867</v>
      </c>
      <c r="BT4256" s="4">
        <v>0.41666666666666669</v>
      </c>
      <c r="BU4256" t="s">
        <v>3731</v>
      </c>
      <c r="BV4256" t="s">
        <v>98</v>
      </c>
      <c r="BY4256">
        <v>3192</v>
      </c>
      <c r="CA4256" t="s">
        <v>371</v>
      </c>
      <c r="CC4256" t="s">
        <v>76</v>
      </c>
      <c r="CD4256">
        <v>1665</v>
      </c>
      <c r="CE4256" t="s">
        <v>110</v>
      </c>
      <c r="CF4256" s="3">
        <v>45868</v>
      </c>
      <c r="CI4256">
        <v>1</v>
      </c>
      <c r="CJ4256">
        <v>1</v>
      </c>
      <c r="CK4256">
        <v>22</v>
      </c>
      <c r="CL4256" t="s">
        <v>86</v>
      </c>
    </row>
    <row r="4257" spans="1:90" x14ac:dyDescent="0.3">
      <c r="A4257" t="s">
        <v>72</v>
      </c>
      <c r="B4257" t="s">
        <v>73</v>
      </c>
      <c r="C4257" t="s">
        <v>74</v>
      </c>
      <c r="E4257" t="str">
        <f>"080066834694"</f>
        <v>080066834694</v>
      </c>
      <c r="F4257" s="3">
        <v>45866</v>
      </c>
      <c r="G4257">
        <v>202604</v>
      </c>
      <c r="H4257" t="s">
        <v>75</v>
      </c>
      <c r="I4257" t="s">
        <v>76</v>
      </c>
      <c r="J4257" t="s">
        <v>77</v>
      </c>
      <c r="K4257" t="s">
        <v>78</v>
      </c>
      <c r="L4257" t="s">
        <v>135</v>
      </c>
      <c r="M4257" t="s">
        <v>136</v>
      </c>
      <c r="N4257" t="s">
        <v>416</v>
      </c>
      <c r="O4257" t="s">
        <v>82</v>
      </c>
      <c r="P4257" t="str">
        <f>"4170051562                    "</f>
        <v xml:space="preserve">4170051562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22.6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2</v>
      </c>
      <c r="BJ4257">
        <v>1.1000000000000001</v>
      </c>
      <c r="BK4257">
        <v>2</v>
      </c>
      <c r="BL4257">
        <v>71.2</v>
      </c>
      <c r="BM4257">
        <v>10.68</v>
      </c>
      <c r="BN4257">
        <v>81.88</v>
      </c>
      <c r="BO4257">
        <v>81.88</v>
      </c>
      <c r="BQ4257" t="s">
        <v>417</v>
      </c>
      <c r="BR4257" t="s">
        <v>84</v>
      </c>
      <c r="BS4257" s="3">
        <v>45867</v>
      </c>
      <c r="BT4257" s="4">
        <v>0.41666666666666669</v>
      </c>
      <c r="BU4257" t="s">
        <v>2522</v>
      </c>
      <c r="BV4257" t="s">
        <v>98</v>
      </c>
      <c r="BY4257">
        <v>5320</v>
      </c>
      <c r="CC4257" t="s">
        <v>136</v>
      </c>
      <c r="CD4257">
        <v>3201</v>
      </c>
      <c r="CE4257" t="s">
        <v>110</v>
      </c>
      <c r="CF4257" s="3">
        <v>45868</v>
      </c>
      <c r="CI4257">
        <v>1</v>
      </c>
      <c r="CJ4257">
        <v>1</v>
      </c>
      <c r="CK4257">
        <v>21</v>
      </c>
      <c r="CL4257" t="s">
        <v>86</v>
      </c>
    </row>
    <row r="4258" spans="1:90" x14ac:dyDescent="0.3">
      <c r="A4258" t="s">
        <v>72</v>
      </c>
      <c r="B4258" t="s">
        <v>73</v>
      </c>
      <c r="C4258" t="s">
        <v>74</v>
      </c>
      <c r="E4258" t="str">
        <f>"080066834749"</f>
        <v>080066834749</v>
      </c>
      <c r="F4258" s="3">
        <v>45866</v>
      </c>
      <c r="G4258">
        <v>202604</v>
      </c>
      <c r="H4258" t="s">
        <v>75</v>
      </c>
      <c r="I4258" t="s">
        <v>76</v>
      </c>
      <c r="J4258" t="s">
        <v>77</v>
      </c>
      <c r="K4258" t="s">
        <v>78</v>
      </c>
      <c r="L4258" t="s">
        <v>168</v>
      </c>
      <c r="M4258" t="s">
        <v>169</v>
      </c>
      <c r="N4258" t="s">
        <v>1871</v>
      </c>
      <c r="O4258" t="s">
        <v>82</v>
      </c>
      <c r="P4258" t="str">
        <f>"4170051455                    "</f>
        <v xml:space="preserve">4170051455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22.6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1.1000000000000001</v>
      </c>
      <c r="BK4258">
        <v>1.5</v>
      </c>
      <c r="BL4258">
        <v>71.2</v>
      </c>
      <c r="BM4258">
        <v>10.68</v>
      </c>
      <c r="BN4258">
        <v>81.88</v>
      </c>
      <c r="BO4258">
        <v>81.88</v>
      </c>
      <c r="BQ4258" t="s">
        <v>1872</v>
      </c>
      <c r="BR4258" t="s">
        <v>84</v>
      </c>
      <c r="BS4258" s="3">
        <v>45867</v>
      </c>
      <c r="BT4258" s="4">
        <v>0.39166666666666666</v>
      </c>
      <c r="BU4258" t="s">
        <v>3732</v>
      </c>
      <c r="BV4258" t="s">
        <v>98</v>
      </c>
      <c r="BY4258">
        <v>5320</v>
      </c>
      <c r="CA4258" t="s">
        <v>415</v>
      </c>
      <c r="CC4258" t="s">
        <v>169</v>
      </c>
      <c r="CD4258">
        <v>6012</v>
      </c>
      <c r="CE4258" t="s">
        <v>110</v>
      </c>
      <c r="CF4258" s="3">
        <v>45867</v>
      </c>
      <c r="CI4258">
        <v>1</v>
      </c>
      <c r="CJ4258">
        <v>1</v>
      </c>
      <c r="CK4258">
        <v>21</v>
      </c>
      <c r="CL4258" t="s">
        <v>86</v>
      </c>
    </row>
    <row r="4259" spans="1:90" x14ac:dyDescent="0.3">
      <c r="A4259" t="s">
        <v>72</v>
      </c>
      <c r="B4259" t="s">
        <v>73</v>
      </c>
      <c r="C4259" t="s">
        <v>74</v>
      </c>
      <c r="E4259" t="str">
        <f>"080066834770"</f>
        <v>080066834770</v>
      </c>
      <c r="F4259" s="3">
        <v>45866</v>
      </c>
      <c r="G4259">
        <v>202604</v>
      </c>
      <c r="H4259" t="s">
        <v>75</v>
      </c>
      <c r="I4259" t="s">
        <v>76</v>
      </c>
      <c r="J4259" t="s">
        <v>77</v>
      </c>
      <c r="K4259" t="s">
        <v>78</v>
      </c>
      <c r="L4259" t="s">
        <v>221</v>
      </c>
      <c r="M4259" t="s">
        <v>222</v>
      </c>
      <c r="N4259" t="s">
        <v>223</v>
      </c>
      <c r="O4259" t="s">
        <v>82</v>
      </c>
      <c r="P4259" t="str">
        <f>"4170051520                    "</f>
        <v xml:space="preserve">4170051520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43.78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2</v>
      </c>
      <c r="BJ4259">
        <v>2</v>
      </c>
      <c r="BK4259">
        <v>2</v>
      </c>
      <c r="BL4259">
        <v>137.94</v>
      </c>
      <c r="BM4259">
        <v>20.69</v>
      </c>
      <c r="BN4259">
        <v>158.63</v>
      </c>
      <c r="BO4259">
        <v>158.63</v>
      </c>
      <c r="BQ4259" t="s">
        <v>224</v>
      </c>
      <c r="BR4259" t="s">
        <v>84</v>
      </c>
      <c r="BS4259" s="3">
        <v>45867</v>
      </c>
      <c r="BT4259" s="4">
        <v>0.3125</v>
      </c>
      <c r="BU4259" t="s">
        <v>2049</v>
      </c>
      <c r="BV4259" t="s">
        <v>98</v>
      </c>
      <c r="BY4259">
        <v>9870</v>
      </c>
      <c r="CC4259" t="s">
        <v>222</v>
      </c>
      <c r="CD4259">
        <v>2740</v>
      </c>
      <c r="CE4259" t="s">
        <v>91</v>
      </c>
      <c r="CF4259" s="3">
        <v>45868</v>
      </c>
      <c r="CI4259">
        <v>1</v>
      </c>
      <c r="CJ4259">
        <v>1</v>
      </c>
      <c r="CK4259">
        <v>23</v>
      </c>
      <c r="CL4259" t="s">
        <v>86</v>
      </c>
    </row>
    <row r="4260" spans="1:90" x14ac:dyDescent="0.3">
      <c r="A4260" t="s">
        <v>72</v>
      </c>
      <c r="B4260" t="s">
        <v>73</v>
      </c>
      <c r="C4260" t="s">
        <v>74</v>
      </c>
      <c r="E4260" t="str">
        <f>"080066835002"</f>
        <v>080066835002</v>
      </c>
      <c r="F4260" s="3">
        <v>45866</v>
      </c>
      <c r="G4260">
        <v>202604</v>
      </c>
      <c r="H4260" t="s">
        <v>75</v>
      </c>
      <c r="I4260" t="s">
        <v>76</v>
      </c>
      <c r="J4260" t="s">
        <v>77</v>
      </c>
      <c r="K4260" t="s">
        <v>78</v>
      </c>
      <c r="L4260" t="s">
        <v>79</v>
      </c>
      <c r="M4260" t="s">
        <v>80</v>
      </c>
      <c r="N4260" t="s">
        <v>141</v>
      </c>
      <c r="O4260" t="s">
        <v>82</v>
      </c>
      <c r="P4260" t="str">
        <f>"4170051501                    "</f>
        <v xml:space="preserve">4170051501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22.6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1.1000000000000001</v>
      </c>
      <c r="BK4260">
        <v>1.5</v>
      </c>
      <c r="BL4260">
        <v>71.2</v>
      </c>
      <c r="BM4260">
        <v>10.68</v>
      </c>
      <c r="BN4260">
        <v>81.88</v>
      </c>
      <c r="BO4260">
        <v>81.88</v>
      </c>
      <c r="BQ4260" t="s">
        <v>142</v>
      </c>
      <c r="BR4260" t="s">
        <v>84</v>
      </c>
      <c r="BS4260" s="3">
        <v>45867</v>
      </c>
      <c r="BT4260" s="4">
        <v>0.40763888888888888</v>
      </c>
      <c r="BU4260" t="s">
        <v>2437</v>
      </c>
      <c r="BV4260" t="s">
        <v>98</v>
      </c>
      <c r="BY4260">
        <v>5320</v>
      </c>
      <c r="CA4260" t="s">
        <v>144</v>
      </c>
      <c r="CC4260" t="s">
        <v>80</v>
      </c>
      <c r="CD4260">
        <v>7441</v>
      </c>
      <c r="CE4260" t="s">
        <v>145</v>
      </c>
      <c r="CF4260" s="3">
        <v>45868</v>
      </c>
      <c r="CI4260">
        <v>1</v>
      </c>
      <c r="CJ4260">
        <v>1</v>
      </c>
      <c r="CK4260">
        <v>21</v>
      </c>
      <c r="CL4260" t="s">
        <v>86</v>
      </c>
    </row>
    <row r="4261" spans="1:90" x14ac:dyDescent="0.3">
      <c r="A4261" t="s">
        <v>72</v>
      </c>
      <c r="B4261" t="s">
        <v>73</v>
      </c>
      <c r="C4261" t="s">
        <v>74</v>
      </c>
      <c r="E4261" t="str">
        <f>"080066835025"</f>
        <v>080066835025</v>
      </c>
      <c r="F4261" s="3">
        <v>45866</v>
      </c>
      <c r="G4261">
        <v>202604</v>
      </c>
      <c r="H4261" t="s">
        <v>75</v>
      </c>
      <c r="I4261" t="s">
        <v>76</v>
      </c>
      <c r="J4261" t="s">
        <v>77</v>
      </c>
      <c r="K4261" t="s">
        <v>78</v>
      </c>
      <c r="L4261" t="s">
        <v>79</v>
      </c>
      <c r="M4261" t="s">
        <v>80</v>
      </c>
      <c r="N4261" t="s">
        <v>3708</v>
      </c>
      <c r="O4261" t="s">
        <v>82</v>
      </c>
      <c r="P4261" t="str">
        <f>"4170051478                    "</f>
        <v xml:space="preserve">4170051478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22.6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2</v>
      </c>
      <c r="BJ4261">
        <v>1.1000000000000001</v>
      </c>
      <c r="BK4261">
        <v>2</v>
      </c>
      <c r="BL4261">
        <v>71.2</v>
      </c>
      <c r="BM4261">
        <v>10.68</v>
      </c>
      <c r="BN4261">
        <v>81.88</v>
      </c>
      <c r="BO4261">
        <v>81.88</v>
      </c>
      <c r="BQ4261" t="s">
        <v>3709</v>
      </c>
      <c r="BR4261" t="s">
        <v>84</v>
      </c>
      <c r="BS4261" s="3">
        <v>45867</v>
      </c>
      <c r="BT4261" s="4">
        <v>0.40555555555555556</v>
      </c>
      <c r="BU4261" t="s">
        <v>356</v>
      </c>
      <c r="BV4261" t="s">
        <v>98</v>
      </c>
      <c r="BY4261">
        <v>5320</v>
      </c>
      <c r="CA4261" t="s">
        <v>144</v>
      </c>
      <c r="CC4261" t="s">
        <v>80</v>
      </c>
      <c r="CD4261">
        <v>7405</v>
      </c>
      <c r="CE4261" t="s">
        <v>3284</v>
      </c>
      <c r="CF4261" s="3">
        <v>45868</v>
      </c>
      <c r="CI4261">
        <v>1</v>
      </c>
      <c r="CJ4261">
        <v>1</v>
      </c>
      <c r="CK4261">
        <v>21</v>
      </c>
      <c r="CL4261" t="s">
        <v>86</v>
      </c>
    </row>
    <row r="4262" spans="1:90" x14ac:dyDescent="0.3">
      <c r="A4262" t="s">
        <v>72</v>
      </c>
      <c r="B4262" t="s">
        <v>73</v>
      </c>
      <c r="C4262" t="s">
        <v>74</v>
      </c>
      <c r="E4262" t="str">
        <f>"080066835051"</f>
        <v>080066835051</v>
      </c>
      <c r="F4262" s="3">
        <v>45866</v>
      </c>
      <c r="G4262">
        <v>202604</v>
      </c>
      <c r="H4262" t="s">
        <v>75</v>
      </c>
      <c r="I4262" t="s">
        <v>76</v>
      </c>
      <c r="J4262" t="s">
        <v>77</v>
      </c>
      <c r="K4262" t="s">
        <v>78</v>
      </c>
      <c r="L4262" t="s">
        <v>168</v>
      </c>
      <c r="M4262" t="s">
        <v>169</v>
      </c>
      <c r="N4262" t="s">
        <v>206</v>
      </c>
      <c r="O4262" t="s">
        <v>82</v>
      </c>
      <c r="P4262" t="str">
        <f>"4170051546                    "</f>
        <v xml:space="preserve">4170051546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22.6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1</v>
      </c>
      <c r="BJ4262">
        <v>0.2</v>
      </c>
      <c r="BK4262">
        <v>1</v>
      </c>
      <c r="BL4262">
        <v>71.2</v>
      </c>
      <c r="BM4262">
        <v>10.68</v>
      </c>
      <c r="BN4262">
        <v>81.88</v>
      </c>
      <c r="BO4262">
        <v>81.88</v>
      </c>
      <c r="BQ4262" t="s">
        <v>207</v>
      </c>
      <c r="BR4262" t="s">
        <v>84</v>
      </c>
      <c r="BS4262" s="3">
        <v>45867</v>
      </c>
      <c r="BT4262" s="4">
        <v>0.38124999999999998</v>
      </c>
      <c r="BU4262" t="s">
        <v>208</v>
      </c>
      <c r="BV4262" t="s">
        <v>98</v>
      </c>
      <c r="BY4262">
        <v>1200</v>
      </c>
      <c r="CA4262" t="s">
        <v>196</v>
      </c>
      <c r="CC4262" t="s">
        <v>169</v>
      </c>
      <c r="CD4262">
        <v>6001</v>
      </c>
      <c r="CE4262" t="s">
        <v>121</v>
      </c>
      <c r="CF4262" s="3">
        <v>45867</v>
      </c>
      <c r="CI4262">
        <v>1</v>
      </c>
      <c r="CJ4262">
        <v>1</v>
      </c>
      <c r="CK4262">
        <v>21</v>
      </c>
      <c r="CL4262" t="s">
        <v>86</v>
      </c>
    </row>
    <row r="4263" spans="1:90" x14ac:dyDescent="0.3">
      <c r="A4263" t="s">
        <v>72</v>
      </c>
      <c r="B4263" t="s">
        <v>73</v>
      </c>
      <c r="C4263" t="s">
        <v>74</v>
      </c>
      <c r="E4263" t="str">
        <f>"080066835082"</f>
        <v>080066835082</v>
      </c>
      <c r="F4263" s="3">
        <v>45866</v>
      </c>
      <c r="G4263">
        <v>202604</v>
      </c>
      <c r="H4263" t="s">
        <v>75</v>
      </c>
      <c r="I4263" t="s">
        <v>76</v>
      </c>
      <c r="J4263" t="s">
        <v>77</v>
      </c>
      <c r="K4263" t="s">
        <v>78</v>
      </c>
      <c r="L4263" t="s">
        <v>79</v>
      </c>
      <c r="M4263" t="s">
        <v>80</v>
      </c>
      <c r="N4263" t="s">
        <v>141</v>
      </c>
      <c r="O4263" t="s">
        <v>82</v>
      </c>
      <c r="P4263" t="str">
        <f>"4170051558                    "</f>
        <v xml:space="preserve">4170051558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22.6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1</v>
      </c>
      <c r="BJ4263">
        <v>0.2</v>
      </c>
      <c r="BK4263">
        <v>1</v>
      </c>
      <c r="BL4263">
        <v>71.2</v>
      </c>
      <c r="BM4263">
        <v>10.68</v>
      </c>
      <c r="BN4263">
        <v>81.88</v>
      </c>
      <c r="BO4263">
        <v>81.88</v>
      </c>
      <c r="BQ4263" t="s">
        <v>142</v>
      </c>
      <c r="BR4263" t="s">
        <v>84</v>
      </c>
      <c r="BS4263" s="3">
        <v>45867</v>
      </c>
      <c r="BT4263" s="4">
        <v>0.40763888888888888</v>
      </c>
      <c r="BU4263" t="s">
        <v>2437</v>
      </c>
      <c r="BV4263" t="s">
        <v>98</v>
      </c>
      <c r="BY4263">
        <v>1200</v>
      </c>
      <c r="CA4263" t="s">
        <v>144</v>
      </c>
      <c r="CC4263" t="s">
        <v>80</v>
      </c>
      <c r="CD4263">
        <v>7441</v>
      </c>
      <c r="CE4263" t="s">
        <v>121</v>
      </c>
      <c r="CF4263" s="3">
        <v>45868</v>
      </c>
      <c r="CI4263">
        <v>1</v>
      </c>
      <c r="CJ4263">
        <v>1</v>
      </c>
      <c r="CK4263">
        <v>21</v>
      </c>
      <c r="CL4263" t="s">
        <v>86</v>
      </c>
    </row>
    <row r="4264" spans="1:90" x14ac:dyDescent="0.3">
      <c r="A4264" t="s">
        <v>72</v>
      </c>
      <c r="B4264" t="s">
        <v>73</v>
      </c>
      <c r="C4264" t="s">
        <v>74</v>
      </c>
      <c r="E4264" t="str">
        <f>"080066835123"</f>
        <v>080066835123</v>
      </c>
      <c r="F4264" s="3">
        <v>45866</v>
      </c>
      <c r="G4264">
        <v>202604</v>
      </c>
      <c r="H4264" t="s">
        <v>75</v>
      </c>
      <c r="I4264" t="s">
        <v>76</v>
      </c>
      <c r="J4264" t="s">
        <v>77</v>
      </c>
      <c r="K4264" t="s">
        <v>78</v>
      </c>
      <c r="L4264" t="s">
        <v>79</v>
      </c>
      <c r="M4264" t="s">
        <v>80</v>
      </c>
      <c r="N4264" t="s">
        <v>1775</v>
      </c>
      <c r="O4264" t="s">
        <v>82</v>
      </c>
      <c r="P4264" t="str">
        <f>"4170051498                    "</f>
        <v xml:space="preserve">4170051498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22.6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1</v>
      </c>
      <c r="BJ4264">
        <v>0.2</v>
      </c>
      <c r="BK4264">
        <v>1</v>
      </c>
      <c r="BL4264">
        <v>71.2</v>
      </c>
      <c r="BM4264">
        <v>10.68</v>
      </c>
      <c r="BN4264">
        <v>81.88</v>
      </c>
      <c r="BO4264">
        <v>81.88</v>
      </c>
      <c r="BQ4264" t="s">
        <v>1776</v>
      </c>
      <c r="BR4264" t="s">
        <v>84</v>
      </c>
      <c r="BS4264" s="3">
        <v>45867</v>
      </c>
      <c r="BT4264" s="4">
        <v>0.40555555555555556</v>
      </c>
      <c r="BU4264" t="s">
        <v>933</v>
      </c>
      <c r="BV4264" t="s">
        <v>98</v>
      </c>
      <c r="BY4264">
        <v>1200</v>
      </c>
      <c r="CA4264" t="s">
        <v>934</v>
      </c>
      <c r="CC4264" t="s">
        <v>80</v>
      </c>
      <c r="CD4264">
        <v>7530</v>
      </c>
      <c r="CE4264" t="s">
        <v>121</v>
      </c>
      <c r="CF4264" s="3">
        <v>45868</v>
      </c>
      <c r="CI4264">
        <v>1</v>
      </c>
      <c r="CJ4264">
        <v>1</v>
      </c>
      <c r="CK4264">
        <v>21</v>
      </c>
      <c r="CL4264" t="s">
        <v>86</v>
      </c>
    </row>
    <row r="4265" spans="1:90" x14ac:dyDescent="0.3">
      <c r="A4265" t="s">
        <v>72</v>
      </c>
      <c r="B4265" t="s">
        <v>73</v>
      </c>
      <c r="C4265" t="s">
        <v>74</v>
      </c>
      <c r="E4265" t="str">
        <f>"080066835279"</f>
        <v>080066835279</v>
      </c>
      <c r="F4265" s="3">
        <v>45866</v>
      </c>
      <c r="G4265">
        <v>202604</v>
      </c>
      <c r="H4265" t="s">
        <v>75</v>
      </c>
      <c r="I4265" t="s">
        <v>76</v>
      </c>
      <c r="J4265" t="s">
        <v>77</v>
      </c>
      <c r="K4265" t="s">
        <v>78</v>
      </c>
      <c r="L4265" t="s">
        <v>122</v>
      </c>
      <c r="M4265" t="s">
        <v>123</v>
      </c>
      <c r="N4265" t="s">
        <v>2931</v>
      </c>
      <c r="O4265" t="s">
        <v>82</v>
      </c>
      <c r="P4265" t="str">
        <f>"4170051419                    "</f>
        <v xml:space="preserve">4170051419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22.6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1</v>
      </c>
      <c r="BJ4265">
        <v>0.2</v>
      </c>
      <c r="BK4265">
        <v>1</v>
      </c>
      <c r="BL4265">
        <v>71.2</v>
      </c>
      <c r="BM4265">
        <v>10.68</v>
      </c>
      <c r="BN4265">
        <v>81.88</v>
      </c>
      <c r="BO4265">
        <v>81.88</v>
      </c>
      <c r="BQ4265" t="s">
        <v>2932</v>
      </c>
      <c r="BR4265" t="s">
        <v>84</v>
      </c>
      <c r="BS4265" s="3">
        <v>45867</v>
      </c>
      <c r="BT4265" s="4">
        <v>0.4826388888888889</v>
      </c>
      <c r="BU4265" t="s">
        <v>3688</v>
      </c>
      <c r="BV4265" t="s">
        <v>98</v>
      </c>
      <c r="BY4265">
        <v>1200</v>
      </c>
      <c r="CA4265" t="s">
        <v>3689</v>
      </c>
      <c r="CC4265" t="s">
        <v>123</v>
      </c>
      <c r="CD4265">
        <v>3610</v>
      </c>
      <c r="CE4265" t="s">
        <v>121</v>
      </c>
      <c r="CF4265" s="3">
        <v>45867</v>
      </c>
      <c r="CI4265">
        <v>1</v>
      </c>
      <c r="CJ4265">
        <v>1</v>
      </c>
      <c r="CK4265">
        <v>21</v>
      </c>
      <c r="CL4265" t="s">
        <v>86</v>
      </c>
    </row>
    <row r="4266" spans="1:90" x14ac:dyDescent="0.3">
      <c r="A4266" t="s">
        <v>72</v>
      </c>
      <c r="B4266" t="s">
        <v>73</v>
      </c>
      <c r="C4266" t="s">
        <v>74</v>
      </c>
      <c r="E4266" t="str">
        <f>"080066835299"</f>
        <v>080066835299</v>
      </c>
      <c r="F4266" s="3">
        <v>45866</v>
      </c>
      <c r="G4266">
        <v>202604</v>
      </c>
      <c r="H4266" t="s">
        <v>75</v>
      </c>
      <c r="I4266" t="s">
        <v>76</v>
      </c>
      <c r="J4266" t="s">
        <v>77</v>
      </c>
      <c r="K4266" t="s">
        <v>78</v>
      </c>
      <c r="L4266" t="s">
        <v>122</v>
      </c>
      <c r="M4266" t="s">
        <v>123</v>
      </c>
      <c r="N4266" t="s">
        <v>2931</v>
      </c>
      <c r="O4266" t="s">
        <v>82</v>
      </c>
      <c r="P4266" t="str">
        <f>"4170051409                    "</f>
        <v xml:space="preserve">4170051409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22.6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>
        <v>71.2</v>
      </c>
      <c r="BM4266">
        <v>10.68</v>
      </c>
      <c r="BN4266">
        <v>81.88</v>
      </c>
      <c r="BO4266">
        <v>81.88</v>
      </c>
      <c r="BQ4266" t="s">
        <v>2932</v>
      </c>
      <c r="BR4266" t="s">
        <v>84</v>
      </c>
      <c r="BS4266" s="3">
        <v>45867</v>
      </c>
      <c r="BT4266" s="4">
        <v>0.48541666666666666</v>
      </c>
      <c r="BU4266" t="s">
        <v>3688</v>
      </c>
      <c r="BV4266" t="s">
        <v>98</v>
      </c>
      <c r="BY4266">
        <v>1200</v>
      </c>
      <c r="BZ4266" t="s">
        <v>89</v>
      </c>
      <c r="CA4266" t="s">
        <v>3689</v>
      </c>
      <c r="CC4266" t="s">
        <v>123</v>
      </c>
      <c r="CD4266">
        <v>3610</v>
      </c>
      <c r="CE4266" t="s">
        <v>121</v>
      </c>
      <c r="CF4266" s="3">
        <v>45867</v>
      </c>
      <c r="CI4266">
        <v>1</v>
      </c>
      <c r="CJ4266">
        <v>1</v>
      </c>
      <c r="CK4266">
        <v>21</v>
      </c>
      <c r="CL4266" t="s">
        <v>86</v>
      </c>
    </row>
    <row r="4267" spans="1:90" x14ac:dyDescent="0.3">
      <c r="A4267" t="s">
        <v>72</v>
      </c>
      <c r="B4267" t="s">
        <v>73</v>
      </c>
      <c r="C4267" t="s">
        <v>74</v>
      </c>
      <c r="E4267" t="str">
        <f>"080066835332"</f>
        <v>080066835332</v>
      </c>
      <c r="F4267" s="3">
        <v>45866</v>
      </c>
      <c r="G4267">
        <v>202604</v>
      </c>
      <c r="H4267" t="s">
        <v>75</v>
      </c>
      <c r="I4267" t="s">
        <v>76</v>
      </c>
      <c r="J4267" t="s">
        <v>77</v>
      </c>
      <c r="K4267" t="s">
        <v>78</v>
      </c>
      <c r="L4267" t="s">
        <v>135</v>
      </c>
      <c r="M4267" t="s">
        <v>136</v>
      </c>
      <c r="N4267" t="s">
        <v>416</v>
      </c>
      <c r="O4267" t="s">
        <v>82</v>
      </c>
      <c r="P4267" t="str">
        <f>"4170051474                    "</f>
        <v xml:space="preserve">4170051474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22.6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>
        <v>71.2</v>
      </c>
      <c r="BM4267">
        <v>10.68</v>
      </c>
      <c r="BN4267">
        <v>81.88</v>
      </c>
      <c r="BO4267">
        <v>81.88</v>
      </c>
      <c r="BQ4267" t="s">
        <v>417</v>
      </c>
      <c r="BR4267" t="s">
        <v>84</v>
      </c>
      <c r="BS4267" s="3">
        <v>45867</v>
      </c>
      <c r="BT4267" s="4">
        <v>0.41666666666666669</v>
      </c>
      <c r="BU4267" t="s">
        <v>650</v>
      </c>
      <c r="BV4267" t="s">
        <v>98</v>
      </c>
      <c r="BY4267">
        <v>1200</v>
      </c>
      <c r="CC4267" t="s">
        <v>136</v>
      </c>
      <c r="CD4267">
        <v>3201</v>
      </c>
      <c r="CE4267" t="s">
        <v>121</v>
      </c>
      <c r="CF4267" s="3">
        <v>45868</v>
      </c>
      <c r="CI4267">
        <v>1</v>
      </c>
      <c r="CJ4267">
        <v>1</v>
      </c>
      <c r="CK4267">
        <v>21</v>
      </c>
      <c r="CL4267" t="s">
        <v>86</v>
      </c>
    </row>
    <row r="4268" spans="1:90" x14ac:dyDescent="0.3">
      <c r="A4268" t="s">
        <v>72</v>
      </c>
      <c r="B4268" t="s">
        <v>73</v>
      </c>
      <c r="C4268" t="s">
        <v>74</v>
      </c>
      <c r="E4268" t="str">
        <f>"080066835400"</f>
        <v>080066835400</v>
      </c>
      <c r="F4268" s="3">
        <v>45866</v>
      </c>
      <c r="G4268">
        <v>202604</v>
      </c>
      <c r="H4268" t="s">
        <v>75</v>
      </c>
      <c r="I4268" t="s">
        <v>76</v>
      </c>
      <c r="J4268" t="s">
        <v>77</v>
      </c>
      <c r="K4268" t="s">
        <v>78</v>
      </c>
      <c r="L4268" t="s">
        <v>151</v>
      </c>
      <c r="M4268" t="s">
        <v>152</v>
      </c>
      <c r="N4268" t="s">
        <v>3733</v>
      </c>
      <c r="O4268" t="s">
        <v>95</v>
      </c>
      <c r="P4268" t="str">
        <f>"4170051483                    "</f>
        <v xml:space="preserve">4170051483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43.7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9</v>
      </c>
      <c r="BJ4268">
        <v>5</v>
      </c>
      <c r="BK4268">
        <v>9</v>
      </c>
      <c r="BL4268">
        <v>143.55000000000001</v>
      </c>
      <c r="BM4268">
        <v>21.53</v>
      </c>
      <c r="BN4268">
        <v>165.08</v>
      </c>
      <c r="BO4268">
        <v>165.08</v>
      </c>
      <c r="BQ4268" t="s">
        <v>3734</v>
      </c>
      <c r="BR4268" t="s">
        <v>84</v>
      </c>
      <c r="BS4268" s="3">
        <v>45867</v>
      </c>
      <c r="BT4268" s="4">
        <v>0.42569444444444443</v>
      </c>
      <c r="BU4268" t="s">
        <v>3735</v>
      </c>
      <c r="BV4268" t="s">
        <v>98</v>
      </c>
      <c r="BY4268">
        <v>24786</v>
      </c>
      <c r="CA4268" t="s">
        <v>2137</v>
      </c>
      <c r="CC4268" t="s">
        <v>152</v>
      </c>
      <c r="CD4268" s="5" t="s">
        <v>717</v>
      </c>
      <c r="CE4268" t="s">
        <v>91</v>
      </c>
      <c r="CF4268" s="3">
        <v>45867</v>
      </c>
      <c r="CI4268">
        <v>1</v>
      </c>
      <c r="CJ4268">
        <v>1</v>
      </c>
      <c r="CK4268">
        <v>41</v>
      </c>
      <c r="CL4268" t="s">
        <v>86</v>
      </c>
    </row>
    <row r="4269" spans="1:90" x14ac:dyDescent="0.3">
      <c r="A4269" t="s">
        <v>72</v>
      </c>
      <c r="B4269" t="s">
        <v>73</v>
      </c>
      <c r="C4269" t="s">
        <v>74</v>
      </c>
      <c r="E4269" t="str">
        <f>"080066835423"</f>
        <v>080066835423</v>
      </c>
      <c r="F4269" s="3">
        <v>45866</v>
      </c>
      <c r="G4269">
        <v>202604</v>
      </c>
      <c r="H4269" t="s">
        <v>75</v>
      </c>
      <c r="I4269" t="s">
        <v>76</v>
      </c>
      <c r="J4269" t="s">
        <v>77</v>
      </c>
      <c r="K4269" t="s">
        <v>78</v>
      </c>
      <c r="L4269" t="s">
        <v>79</v>
      </c>
      <c r="M4269" t="s">
        <v>80</v>
      </c>
      <c r="N4269" t="s">
        <v>141</v>
      </c>
      <c r="O4269" t="s">
        <v>82</v>
      </c>
      <c r="P4269" t="str">
        <f>"4170051495                    "</f>
        <v xml:space="preserve">4170051495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33.89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3</v>
      </c>
      <c r="BJ4269">
        <v>1.8</v>
      </c>
      <c r="BK4269">
        <v>3</v>
      </c>
      <c r="BL4269">
        <v>106.77</v>
      </c>
      <c r="BM4269">
        <v>16.02</v>
      </c>
      <c r="BN4269">
        <v>122.79</v>
      </c>
      <c r="BO4269">
        <v>122.79</v>
      </c>
      <c r="BQ4269" t="s">
        <v>142</v>
      </c>
      <c r="BR4269" t="s">
        <v>84</v>
      </c>
      <c r="BS4269" s="3">
        <v>45867</v>
      </c>
      <c r="BT4269" s="4">
        <v>0.40763888888888888</v>
      </c>
      <c r="BU4269" t="s">
        <v>2437</v>
      </c>
      <c r="BV4269" t="s">
        <v>98</v>
      </c>
      <c r="BY4269">
        <v>9044</v>
      </c>
      <c r="CA4269" t="s">
        <v>144</v>
      </c>
      <c r="CC4269" t="s">
        <v>80</v>
      </c>
      <c r="CD4269">
        <v>7441</v>
      </c>
      <c r="CE4269" t="s">
        <v>145</v>
      </c>
      <c r="CF4269" s="3">
        <v>45868</v>
      </c>
      <c r="CI4269">
        <v>1</v>
      </c>
      <c r="CJ4269">
        <v>1</v>
      </c>
      <c r="CK4269">
        <v>21</v>
      </c>
      <c r="CL4269" t="s">
        <v>86</v>
      </c>
    </row>
    <row r="4270" spans="1:90" x14ac:dyDescent="0.3">
      <c r="A4270" t="s">
        <v>72</v>
      </c>
      <c r="B4270" t="s">
        <v>73</v>
      </c>
      <c r="C4270" t="s">
        <v>74</v>
      </c>
      <c r="E4270" t="str">
        <f>"080066835446"</f>
        <v>080066835446</v>
      </c>
      <c r="F4270" s="3">
        <v>45866</v>
      </c>
      <c r="G4270">
        <v>202604</v>
      </c>
      <c r="H4270" t="s">
        <v>75</v>
      </c>
      <c r="I4270" t="s">
        <v>76</v>
      </c>
      <c r="J4270" t="s">
        <v>77</v>
      </c>
      <c r="K4270" t="s">
        <v>78</v>
      </c>
      <c r="L4270" t="s">
        <v>79</v>
      </c>
      <c r="M4270" t="s">
        <v>80</v>
      </c>
      <c r="N4270" t="s">
        <v>141</v>
      </c>
      <c r="O4270" t="s">
        <v>82</v>
      </c>
      <c r="P4270" t="str">
        <f>"4170051575                    "</f>
        <v xml:space="preserve">4170051575                    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22.6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2</v>
      </c>
      <c r="BJ4270">
        <v>1.1000000000000001</v>
      </c>
      <c r="BK4270">
        <v>2</v>
      </c>
      <c r="BL4270">
        <v>71.2</v>
      </c>
      <c r="BM4270">
        <v>10.68</v>
      </c>
      <c r="BN4270">
        <v>81.88</v>
      </c>
      <c r="BO4270">
        <v>81.88</v>
      </c>
      <c r="BQ4270" t="s">
        <v>142</v>
      </c>
      <c r="BR4270" t="s">
        <v>84</v>
      </c>
      <c r="BS4270" s="3">
        <v>45867</v>
      </c>
      <c r="BT4270" s="4">
        <v>0.40763888888888888</v>
      </c>
      <c r="BU4270" t="s">
        <v>2437</v>
      </c>
      <c r="BV4270" t="s">
        <v>98</v>
      </c>
      <c r="BY4270">
        <v>5320</v>
      </c>
      <c r="CA4270" t="s">
        <v>144</v>
      </c>
      <c r="CC4270" t="s">
        <v>80</v>
      </c>
      <c r="CD4270">
        <v>7441</v>
      </c>
      <c r="CE4270" t="s">
        <v>145</v>
      </c>
      <c r="CF4270" s="3">
        <v>45868</v>
      </c>
      <c r="CI4270">
        <v>1</v>
      </c>
      <c r="CJ4270">
        <v>1</v>
      </c>
      <c r="CK4270">
        <v>21</v>
      </c>
      <c r="CL4270" t="s">
        <v>86</v>
      </c>
    </row>
    <row r="4271" spans="1:90" x14ac:dyDescent="0.3">
      <c r="A4271" t="s">
        <v>72</v>
      </c>
      <c r="B4271" t="s">
        <v>73</v>
      </c>
      <c r="C4271" t="s">
        <v>74</v>
      </c>
      <c r="E4271" t="str">
        <f>"080066835578"</f>
        <v>080066835578</v>
      </c>
      <c r="F4271" s="3">
        <v>45866</v>
      </c>
      <c r="G4271">
        <v>202604</v>
      </c>
      <c r="H4271" t="s">
        <v>75</v>
      </c>
      <c r="I4271" t="s">
        <v>76</v>
      </c>
      <c r="J4271" t="s">
        <v>77</v>
      </c>
      <c r="K4271" t="s">
        <v>78</v>
      </c>
      <c r="L4271" t="s">
        <v>79</v>
      </c>
      <c r="M4271" t="s">
        <v>80</v>
      </c>
      <c r="N4271" t="s">
        <v>931</v>
      </c>
      <c r="O4271" t="s">
        <v>82</v>
      </c>
      <c r="P4271" t="str">
        <f>"4170051544                    "</f>
        <v xml:space="preserve">4170051544                    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22.6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1</v>
      </c>
      <c r="BJ4271">
        <v>0.2</v>
      </c>
      <c r="BK4271">
        <v>1</v>
      </c>
      <c r="BL4271">
        <v>71.2</v>
      </c>
      <c r="BM4271">
        <v>10.68</v>
      </c>
      <c r="BN4271">
        <v>81.88</v>
      </c>
      <c r="BO4271">
        <v>81.88</v>
      </c>
      <c r="BQ4271" t="s">
        <v>932</v>
      </c>
      <c r="BR4271" t="s">
        <v>84</v>
      </c>
      <c r="BS4271" s="3">
        <v>45867</v>
      </c>
      <c r="BT4271" s="4">
        <v>0.40555555555555556</v>
      </c>
      <c r="BU4271" t="s">
        <v>933</v>
      </c>
      <c r="BV4271" t="s">
        <v>98</v>
      </c>
      <c r="BY4271">
        <v>1200</v>
      </c>
      <c r="CA4271" t="s">
        <v>934</v>
      </c>
      <c r="CC4271" t="s">
        <v>80</v>
      </c>
      <c r="CD4271">
        <v>7535</v>
      </c>
      <c r="CE4271" t="s">
        <v>121</v>
      </c>
      <c r="CF4271" s="3">
        <v>45868</v>
      </c>
      <c r="CI4271">
        <v>1</v>
      </c>
      <c r="CJ4271">
        <v>1</v>
      </c>
      <c r="CK4271">
        <v>21</v>
      </c>
      <c r="CL4271" t="s">
        <v>86</v>
      </c>
    </row>
    <row r="4272" spans="1:90" x14ac:dyDescent="0.3">
      <c r="A4272" t="s">
        <v>72</v>
      </c>
      <c r="B4272" t="s">
        <v>73</v>
      </c>
      <c r="C4272" t="s">
        <v>74</v>
      </c>
      <c r="E4272" t="str">
        <f>"080066835641"</f>
        <v>080066835641</v>
      </c>
      <c r="F4272" s="3">
        <v>45866</v>
      </c>
      <c r="G4272">
        <v>202604</v>
      </c>
      <c r="H4272" t="s">
        <v>75</v>
      </c>
      <c r="I4272" t="s">
        <v>76</v>
      </c>
      <c r="J4272" t="s">
        <v>77</v>
      </c>
      <c r="K4272" t="s">
        <v>78</v>
      </c>
      <c r="L4272" t="s">
        <v>122</v>
      </c>
      <c r="M4272" t="s">
        <v>123</v>
      </c>
      <c r="N4272" t="s">
        <v>267</v>
      </c>
      <c r="O4272" t="s">
        <v>82</v>
      </c>
      <c r="P4272" t="str">
        <f>"4170051486                    "</f>
        <v xml:space="preserve">4170051486                    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62.11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3</v>
      </c>
      <c r="BJ4272">
        <v>5.4</v>
      </c>
      <c r="BK4272">
        <v>5.5</v>
      </c>
      <c r="BL4272">
        <v>195.69</v>
      </c>
      <c r="BM4272">
        <v>29.35</v>
      </c>
      <c r="BN4272">
        <v>225.04</v>
      </c>
      <c r="BO4272">
        <v>225.04</v>
      </c>
      <c r="BQ4272" t="s">
        <v>268</v>
      </c>
      <c r="BR4272" t="s">
        <v>84</v>
      </c>
      <c r="BS4272" s="3">
        <v>45867</v>
      </c>
      <c r="BT4272" s="4">
        <v>0.42708333333333331</v>
      </c>
      <c r="BU4272" t="s">
        <v>3736</v>
      </c>
      <c r="BV4272" t="s">
        <v>98</v>
      </c>
      <c r="BY4272">
        <v>26928</v>
      </c>
      <c r="CA4272" t="s">
        <v>522</v>
      </c>
      <c r="CC4272" t="s">
        <v>123</v>
      </c>
      <c r="CD4272">
        <v>3610</v>
      </c>
      <c r="CE4272" t="s">
        <v>91</v>
      </c>
      <c r="CF4272" s="3">
        <v>45867</v>
      </c>
      <c r="CI4272">
        <v>1</v>
      </c>
      <c r="CJ4272">
        <v>1</v>
      </c>
      <c r="CK4272">
        <v>21</v>
      </c>
      <c r="CL4272" t="s">
        <v>86</v>
      </c>
    </row>
    <row r="4273" spans="1:90" x14ac:dyDescent="0.3">
      <c r="A4273" t="s">
        <v>72</v>
      </c>
      <c r="B4273" t="s">
        <v>73</v>
      </c>
      <c r="C4273" t="s">
        <v>74</v>
      </c>
      <c r="E4273" t="str">
        <f>"080066835638"</f>
        <v>080066835638</v>
      </c>
      <c r="F4273" s="3">
        <v>45866</v>
      </c>
      <c r="G4273">
        <v>202604</v>
      </c>
      <c r="H4273" t="s">
        <v>75</v>
      </c>
      <c r="I4273" t="s">
        <v>76</v>
      </c>
      <c r="J4273" t="s">
        <v>77</v>
      </c>
      <c r="K4273" t="s">
        <v>78</v>
      </c>
      <c r="L4273" t="s">
        <v>122</v>
      </c>
      <c r="M4273" t="s">
        <v>123</v>
      </c>
      <c r="N4273" t="s">
        <v>283</v>
      </c>
      <c r="O4273" t="s">
        <v>82</v>
      </c>
      <c r="P4273" t="str">
        <f>"4170051557                    "</f>
        <v xml:space="preserve">4170051557                    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22.6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1</v>
      </c>
      <c r="BJ4273">
        <v>0.2</v>
      </c>
      <c r="BK4273">
        <v>1</v>
      </c>
      <c r="BL4273">
        <v>71.2</v>
      </c>
      <c r="BM4273">
        <v>10.68</v>
      </c>
      <c r="BN4273">
        <v>81.88</v>
      </c>
      <c r="BO4273">
        <v>81.88</v>
      </c>
      <c r="BQ4273" t="s">
        <v>284</v>
      </c>
      <c r="BR4273" t="s">
        <v>84</v>
      </c>
      <c r="BS4273" s="3">
        <v>45867</v>
      </c>
      <c r="BT4273" s="4">
        <v>0.43194444444444446</v>
      </c>
      <c r="BU4273" t="s">
        <v>285</v>
      </c>
      <c r="BV4273" t="s">
        <v>98</v>
      </c>
      <c r="BY4273">
        <v>1200</v>
      </c>
      <c r="CA4273" t="s">
        <v>187</v>
      </c>
      <c r="CC4273" t="s">
        <v>123</v>
      </c>
      <c r="CD4273">
        <v>3608</v>
      </c>
      <c r="CE4273" t="s">
        <v>121</v>
      </c>
      <c r="CF4273" s="3">
        <v>45868</v>
      </c>
      <c r="CI4273">
        <v>1</v>
      </c>
      <c r="CJ4273">
        <v>1</v>
      </c>
      <c r="CK4273">
        <v>21</v>
      </c>
      <c r="CL4273" t="s">
        <v>86</v>
      </c>
    </row>
    <row r="4274" spans="1:90" x14ac:dyDescent="0.3">
      <c r="A4274" t="s">
        <v>72</v>
      </c>
      <c r="B4274" t="s">
        <v>73</v>
      </c>
      <c r="C4274" t="s">
        <v>74</v>
      </c>
      <c r="E4274" t="str">
        <f>"080066835843"</f>
        <v>080066835843</v>
      </c>
      <c r="F4274" s="3">
        <v>45866</v>
      </c>
      <c r="G4274">
        <v>202604</v>
      </c>
      <c r="H4274" t="s">
        <v>75</v>
      </c>
      <c r="I4274" t="s">
        <v>76</v>
      </c>
      <c r="J4274" t="s">
        <v>77</v>
      </c>
      <c r="K4274" t="s">
        <v>78</v>
      </c>
      <c r="L4274" t="s">
        <v>168</v>
      </c>
      <c r="M4274" t="s">
        <v>169</v>
      </c>
      <c r="N4274" t="s">
        <v>726</v>
      </c>
      <c r="O4274" t="s">
        <v>82</v>
      </c>
      <c r="P4274" t="str">
        <f>"4170051500                    "</f>
        <v xml:space="preserve">4170051500                    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22.6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1</v>
      </c>
      <c r="BJ4274">
        <v>0.2</v>
      </c>
      <c r="BK4274">
        <v>1</v>
      </c>
      <c r="BL4274">
        <v>71.2</v>
      </c>
      <c r="BM4274">
        <v>10.68</v>
      </c>
      <c r="BN4274">
        <v>81.88</v>
      </c>
      <c r="BO4274">
        <v>81.88</v>
      </c>
      <c r="BQ4274" t="s">
        <v>727</v>
      </c>
      <c r="BR4274" t="s">
        <v>84</v>
      </c>
      <c r="BS4274" s="3">
        <v>45867</v>
      </c>
      <c r="BT4274" s="4">
        <v>0.41736111111111113</v>
      </c>
      <c r="BU4274" t="s">
        <v>3737</v>
      </c>
      <c r="BV4274" t="s">
        <v>98</v>
      </c>
      <c r="BY4274">
        <v>1200</v>
      </c>
      <c r="CA4274" t="s">
        <v>423</v>
      </c>
      <c r="CC4274" t="s">
        <v>169</v>
      </c>
      <c r="CD4274">
        <v>6001</v>
      </c>
      <c r="CE4274" t="s">
        <v>121</v>
      </c>
      <c r="CF4274" s="3">
        <v>45867</v>
      </c>
      <c r="CI4274">
        <v>1</v>
      </c>
      <c r="CJ4274">
        <v>1</v>
      </c>
      <c r="CK4274">
        <v>21</v>
      </c>
      <c r="CL4274" t="s">
        <v>86</v>
      </c>
    </row>
    <row r="4275" spans="1:90" x14ac:dyDescent="0.3">
      <c r="A4275" t="s">
        <v>72</v>
      </c>
      <c r="B4275" t="s">
        <v>73</v>
      </c>
      <c r="C4275" t="s">
        <v>74</v>
      </c>
      <c r="E4275" t="str">
        <f>"080066835900"</f>
        <v>080066835900</v>
      </c>
      <c r="F4275" s="3">
        <v>45866</v>
      </c>
      <c r="G4275">
        <v>202604</v>
      </c>
      <c r="H4275" t="s">
        <v>75</v>
      </c>
      <c r="I4275" t="s">
        <v>76</v>
      </c>
      <c r="J4275" t="s">
        <v>77</v>
      </c>
      <c r="K4275" t="s">
        <v>78</v>
      </c>
      <c r="L4275" t="s">
        <v>305</v>
      </c>
      <c r="M4275" t="s">
        <v>306</v>
      </c>
      <c r="N4275" t="s">
        <v>640</v>
      </c>
      <c r="O4275" t="s">
        <v>82</v>
      </c>
      <c r="P4275" t="str">
        <f>"4170051477                    "</f>
        <v xml:space="preserve">4170051477                    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90.34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8</v>
      </c>
      <c r="BJ4275">
        <v>6.8</v>
      </c>
      <c r="BK4275">
        <v>8</v>
      </c>
      <c r="BL4275">
        <v>284.62</v>
      </c>
      <c r="BM4275">
        <v>42.69</v>
      </c>
      <c r="BN4275">
        <v>327.31</v>
      </c>
      <c r="BO4275">
        <v>327.31</v>
      </c>
      <c r="BQ4275" t="s">
        <v>641</v>
      </c>
      <c r="BR4275" t="s">
        <v>84</v>
      </c>
      <c r="BS4275" s="3">
        <v>45867</v>
      </c>
      <c r="BT4275" s="4">
        <v>0.46388888888888891</v>
      </c>
      <c r="BU4275" t="s">
        <v>1388</v>
      </c>
      <c r="BV4275" t="s">
        <v>86</v>
      </c>
      <c r="BY4275">
        <v>34020</v>
      </c>
      <c r="CA4275" t="s">
        <v>2174</v>
      </c>
      <c r="CC4275" t="s">
        <v>306</v>
      </c>
      <c r="CD4275">
        <v>5201</v>
      </c>
      <c r="CE4275" t="s">
        <v>91</v>
      </c>
      <c r="CF4275" s="3">
        <v>45867</v>
      </c>
      <c r="CI4275">
        <v>1</v>
      </c>
      <c r="CJ4275">
        <v>1</v>
      </c>
      <c r="CK4275">
        <v>21</v>
      </c>
      <c r="CL4275" t="s">
        <v>86</v>
      </c>
    </row>
    <row r="4276" spans="1:90" x14ac:dyDescent="0.3">
      <c r="A4276" t="s">
        <v>72</v>
      </c>
      <c r="B4276" t="s">
        <v>73</v>
      </c>
      <c r="C4276" t="s">
        <v>74</v>
      </c>
      <c r="E4276" t="str">
        <f>"080066836106"</f>
        <v>080066836106</v>
      </c>
      <c r="F4276" s="3">
        <v>45866</v>
      </c>
      <c r="G4276">
        <v>202604</v>
      </c>
      <c r="H4276" t="s">
        <v>75</v>
      </c>
      <c r="I4276" t="s">
        <v>76</v>
      </c>
      <c r="J4276" t="s">
        <v>77</v>
      </c>
      <c r="K4276" t="s">
        <v>78</v>
      </c>
      <c r="L4276" t="s">
        <v>122</v>
      </c>
      <c r="M4276" t="s">
        <v>123</v>
      </c>
      <c r="N4276" t="s">
        <v>1825</v>
      </c>
      <c r="O4276" t="s">
        <v>82</v>
      </c>
      <c r="P4276" t="str">
        <f>"4170051565                    "</f>
        <v xml:space="preserve">4170051565                    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22.6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1</v>
      </c>
      <c r="BI4276">
        <v>1</v>
      </c>
      <c r="BJ4276">
        <v>0.9</v>
      </c>
      <c r="BK4276">
        <v>1</v>
      </c>
      <c r="BL4276">
        <v>71.2</v>
      </c>
      <c r="BM4276">
        <v>10.68</v>
      </c>
      <c r="BN4276">
        <v>81.88</v>
      </c>
      <c r="BO4276">
        <v>81.88</v>
      </c>
      <c r="BQ4276" t="s">
        <v>1826</v>
      </c>
      <c r="BR4276" t="s">
        <v>84</v>
      </c>
      <c r="BS4276" s="3">
        <v>45867</v>
      </c>
      <c r="BT4276" s="4">
        <v>0.47916666666666669</v>
      </c>
      <c r="BU4276" t="s">
        <v>3738</v>
      </c>
      <c r="BV4276" t="s">
        <v>98</v>
      </c>
      <c r="BY4276">
        <v>4400</v>
      </c>
      <c r="CA4276" t="s">
        <v>522</v>
      </c>
      <c r="CC4276" t="s">
        <v>123</v>
      </c>
      <c r="CD4276">
        <v>3610</v>
      </c>
      <c r="CE4276" t="s">
        <v>91</v>
      </c>
      <c r="CF4276" s="3">
        <v>45867</v>
      </c>
      <c r="CI4276">
        <v>1</v>
      </c>
      <c r="CJ4276">
        <v>1</v>
      </c>
      <c r="CK4276">
        <v>21</v>
      </c>
      <c r="CL4276" t="s">
        <v>86</v>
      </c>
    </row>
    <row r="4277" spans="1:90" x14ac:dyDescent="0.3">
      <c r="A4277" t="s">
        <v>72</v>
      </c>
      <c r="B4277" t="s">
        <v>73</v>
      </c>
      <c r="C4277" t="s">
        <v>74</v>
      </c>
      <c r="E4277" t="str">
        <f>"080066836907"</f>
        <v>080066836907</v>
      </c>
      <c r="F4277" s="3">
        <v>45866</v>
      </c>
      <c r="G4277">
        <v>202604</v>
      </c>
      <c r="H4277" t="s">
        <v>75</v>
      </c>
      <c r="I4277" t="s">
        <v>76</v>
      </c>
      <c r="J4277" t="s">
        <v>77</v>
      </c>
      <c r="K4277" t="s">
        <v>78</v>
      </c>
      <c r="L4277" t="s">
        <v>75</v>
      </c>
      <c r="M4277" t="s">
        <v>76</v>
      </c>
      <c r="N4277" t="s">
        <v>1241</v>
      </c>
      <c r="O4277" t="s">
        <v>82</v>
      </c>
      <c r="P4277" t="str">
        <f>"4170051456                    "</f>
        <v xml:space="preserve">4170051456                    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17.649999999999999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1</v>
      </c>
      <c r="BI4277">
        <v>1</v>
      </c>
      <c r="BJ4277">
        <v>0.2</v>
      </c>
      <c r="BK4277">
        <v>1</v>
      </c>
      <c r="BL4277">
        <v>55.61</v>
      </c>
      <c r="BM4277">
        <v>8.34</v>
      </c>
      <c r="BN4277">
        <v>63.95</v>
      </c>
      <c r="BO4277">
        <v>63.95</v>
      </c>
      <c r="BQ4277" t="s">
        <v>1242</v>
      </c>
      <c r="BR4277" t="s">
        <v>84</v>
      </c>
      <c r="BS4277" s="3">
        <v>45867</v>
      </c>
      <c r="BT4277" s="4">
        <v>0.46041666666666664</v>
      </c>
      <c r="BU4277" t="s">
        <v>3739</v>
      </c>
      <c r="BV4277" t="s">
        <v>86</v>
      </c>
      <c r="BY4277">
        <v>1200</v>
      </c>
      <c r="CA4277" t="s">
        <v>1247</v>
      </c>
      <c r="CC4277" t="s">
        <v>76</v>
      </c>
      <c r="CD4277">
        <v>1624</v>
      </c>
      <c r="CE4277" t="s">
        <v>121</v>
      </c>
      <c r="CF4277" s="3">
        <v>45867</v>
      </c>
      <c r="CI4277">
        <v>1</v>
      </c>
      <c r="CJ4277">
        <v>1</v>
      </c>
      <c r="CK4277">
        <v>22</v>
      </c>
      <c r="CL4277" t="s">
        <v>86</v>
      </c>
    </row>
    <row r="4278" spans="1:90" x14ac:dyDescent="0.3">
      <c r="A4278" t="s">
        <v>72</v>
      </c>
      <c r="B4278" t="s">
        <v>73</v>
      </c>
      <c r="C4278" t="s">
        <v>74</v>
      </c>
      <c r="E4278" t="str">
        <f>"080066836957"</f>
        <v>080066836957</v>
      </c>
      <c r="F4278" s="3">
        <v>45866</v>
      </c>
      <c r="G4278">
        <v>202604</v>
      </c>
      <c r="H4278" t="s">
        <v>75</v>
      </c>
      <c r="I4278" t="s">
        <v>76</v>
      </c>
      <c r="J4278" t="s">
        <v>77</v>
      </c>
      <c r="K4278" t="s">
        <v>78</v>
      </c>
      <c r="L4278" t="s">
        <v>168</v>
      </c>
      <c r="M4278" t="s">
        <v>169</v>
      </c>
      <c r="N4278" t="s">
        <v>726</v>
      </c>
      <c r="O4278" t="s">
        <v>82</v>
      </c>
      <c r="P4278" t="str">
        <f>"4170051471                    "</f>
        <v xml:space="preserve">4170051471                    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67.760000000000005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0</v>
      </c>
      <c r="BH4278">
        <v>1</v>
      </c>
      <c r="BI4278">
        <v>4</v>
      </c>
      <c r="BJ4278">
        <v>6</v>
      </c>
      <c r="BK4278">
        <v>6</v>
      </c>
      <c r="BL4278">
        <v>213.48</v>
      </c>
      <c r="BM4278">
        <v>32.020000000000003</v>
      </c>
      <c r="BN4278">
        <v>245.5</v>
      </c>
      <c r="BO4278">
        <v>245.5</v>
      </c>
      <c r="BQ4278" t="s">
        <v>727</v>
      </c>
      <c r="BR4278" t="s">
        <v>84</v>
      </c>
      <c r="BS4278" s="3">
        <v>45867</v>
      </c>
      <c r="BT4278" s="4">
        <v>0.41736111111111113</v>
      </c>
      <c r="BU4278" t="s">
        <v>3737</v>
      </c>
      <c r="BV4278" t="s">
        <v>98</v>
      </c>
      <c r="BY4278">
        <v>30096</v>
      </c>
      <c r="CA4278" t="s">
        <v>423</v>
      </c>
      <c r="CC4278" t="s">
        <v>169</v>
      </c>
      <c r="CD4278">
        <v>6001</v>
      </c>
      <c r="CE4278" t="s">
        <v>91</v>
      </c>
      <c r="CF4278" s="3">
        <v>45867</v>
      </c>
      <c r="CI4278">
        <v>1</v>
      </c>
      <c r="CJ4278">
        <v>1</v>
      </c>
      <c r="CK4278">
        <v>21</v>
      </c>
      <c r="CL4278" t="s">
        <v>86</v>
      </c>
    </row>
    <row r="4279" spans="1:90" x14ac:dyDescent="0.3">
      <c r="A4279" t="s">
        <v>72</v>
      </c>
      <c r="B4279" t="s">
        <v>73</v>
      </c>
      <c r="C4279" t="s">
        <v>74</v>
      </c>
      <c r="E4279" t="str">
        <f>"080066836960"</f>
        <v>080066836960</v>
      </c>
      <c r="F4279" s="3">
        <v>45866</v>
      </c>
      <c r="G4279">
        <v>202604</v>
      </c>
      <c r="H4279" t="s">
        <v>75</v>
      </c>
      <c r="I4279" t="s">
        <v>76</v>
      </c>
      <c r="J4279" t="s">
        <v>77</v>
      </c>
      <c r="K4279" t="s">
        <v>78</v>
      </c>
      <c r="L4279" t="s">
        <v>79</v>
      </c>
      <c r="M4279" t="s">
        <v>80</v>
      </c>
      <c r="N4279" t="s">
        <v>1636</v>
      </c>
      <c r="O4279" t="s">
        <v>82</v>
      </c>
      <c r="P4279" t="str">
        <f>"4170051389                    "</f>
        <v xml:space="preserve">4170051389                    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22.6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1</v>
      </c>
      <c r="BI4279">
        <v>1</v>
      </c>
      <c r="BJ4279">
        <v>0.2</v>
      </c>
      <c r="BK4279">
        <v>1</v>
      </c>
      <c r="BL4279">
        <v>71.2</v>
      </c>
      <c r="BM4279">
        <v>10.68</v>
      </c>
      <c r="BN4279">
        <v>81.88</v>
      </c>
      <c r="BO4279">
        <v>81.88</v>
      </c>
      <c r="BQ4279" t="s">
        <v>1637</v>
      </c>
      <c r="BR4279" t="s">
        <v>84</v>
      </c>
      <c r="BS4279" s="3">
        <v>45867</v>
      </c>
      <c r="BT4279" s="4">
        <v>0.44444444444444442</v>
      </c>
      <c r="BU4279" t="s">
        <v>1638</v>
      </c>
      <c r="BV4279" t="s">
        <v>86</v>
      </c>
      <c r="BW4279" t="s">
        <v>87</v>
      </c>
      <c r="BX4279" t="s">
        <v>88</v>
      </c>
      <c r="BY4279">
        <v>1200</v>
      </c>
      <c r="CA4279" t="s">
        <v>526</v>
      </c>
      <c r="CC4279" t="s">
        <v>80</v>
      </c>
      <c r="CD4279">
        <v>7925</v>
      </c>
      <c r="CE4279" t="s">
        <v>121</v>
      </c>
      <c r="CF4279" s="3">
        <v>45868</v>
      </c>
      <c r="CI4279">
        <v>1</v>
      </c>
      <c r="CJ4279">
        <v>1</v>
      </c>
      <c r="CK4279">
        <v>21</v>
      </c>
      <c r="CL4279" t="s">
        <v>86</v>
      </c>
    </row>
    <row r="4280" spans="1:90" x14ac:dyDescent="0.3">
      <c r="A4280" t="s">
        <v>72</v>
      </c>
      <c r="B4280" t="s">
        <v>73</v>
      </c>
      <c r="C4280" t="s">
        <v>74</v>
      </c>
      <c r="E4280" t="str">
        <f>"080066837023"</f>
        <v>080066837023</v>
      </c>
      <c r="F4280" s="3">
        <v>45866</v>
      </c>
      <c r="G4280">
        <v>202604</v>
      </c>
      <c r="H4280" t="s">
        <v>75</v>
      </c>
      <c r="I4280" t="s">
        <v>76</v>
      </c>
      <c r="J4280" t="s">
        <v>77</v>
      </c>
      <c r="K4280" t="s">
        <v>78</v>
      </c>
      <c r="L4280" t="s">
        <v>92</v>
      </c>
      <c r="M4280" t="s">
        <v>93</v>
      </c>
      <c r="N4280" t="s">
        <v>291</v>
      </c>
      <c r="O4280" t="s">
        <v>82</v>
      </c>
      <c r="P4280" t="str">
        <f>"4170051413                    "</f>
        <v xml:space="preserve">4170051413                    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22.6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0</v>
      </c>
      <c r="BH4280">
        <v>1</v>
      </c>
      <c r="BI4280">
        <v>1</v>
      </c>
      <c r="BJ4280">
        <v>0.2</v>
      </c>
      <c r="BK4280">
        <v>1</v>
      </c>
      <c r="BL4280">
        <v>71.2</v>
      </c>
      <c r="BM4280">
        <v>10.68</v>
      </c>
      <c r="BN4280">
        <v>81.88</v>
      </c>
      <c r="BO4280">
        <v>81.88</v>
      </c>
      <c r="BQ4280" t="s">
        <v>292</v>
      </c>
      <c r="BR4280" t="s">
        <v>84</v>
      </c>
      <c r="BS4280" s="3">
        <v>45867</v>
      </c>
      <c r="BT4280" s="4">
        <v>0.33263888888888887</v>
      </c>
      <c r="BU4280" t="s">
        <v>2177</v>
      </c>
      <c r="BV4280" t="s">
        <v>98</v>
      </c>
      <c r="BY4280">
        <v>1200</v>
      </c>
      <c r="CA4280" t="s">
        <v>2178</v>
      </c>
      <c r="CC4280" t="s">
        <v>93</v>
      </c>
      <c r="CD4280">
        <v>4000</v>
      </c>
      <c r="CE4280" t="s">
        <v>121</v>
      </c>
      <c r="CF4280" s="3">
        <v>45867</v>
      </c>
      <c r="CI4280">
        <v>1</v>
      </c>
      <c r="CJ4280">
        <v>1</v>
      </c>
      <c r="CK4280">
        <v>21</v>
      </c>
      <c r="CL4280" t="s">
        <v>86</v>
      </c>
    </row>
    <row r="4281" spans="1:90" x14ac:dyDescent="0.3">
      <c r="A4281" t="s">
        <v>72</v>
      </c>
      <c r="B4281" t="s">
        <v>73</v>
      </c>
      <c r="C4281" t="s">
        <v>74</v>
      </c>
      <c r="E4281" t="str">
        <f>"080066837067"</f>
        <v>080066837067</v>
      </c>
      <c r="F4281" s="3">
        <v>45866</v>
      </c>
      <c r="G4281">
        <v>202604</v>
      </c>
      <c r="H4281" t="s">
        <v>75</v>
      </c>
      <c r="I4281" t="s">
        <v>76</v>
      </c>
      <c r="J4281" t="s">
        <v>77</v>
      </c>
      <c r="K4281" t="s">
        <v>78</v>
      </c>
      <c r="L4281" t="s">
        <v>240</v>
      </c>
      <c r="M4281" t="s">
        <v>241</v>
      </c>
      <c r="N4281" t="s">
        <v>1341</v>
      </c>
      <c r="O4281" t="s">
        <v>82</v>
      </c>
      <c r="P4281" t="str">
        <f>"4170051451                    "</f>
        <v xml:space="preserve">4170051451                    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17.649999999999999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1</v>
      </c>
      <c r="BI4281">
        <v>1</v>
      </c>
      <c r="BJ4281">
        <v>0.2</v>
      </c>
      <c r="BK4281">
        <v>1</v>
      </c>
      <c r="BL4281">
        <v>55.61</v>
      </c>
      <c r="BM4281">
        <v>8.34</v>
      </c>
      <c r="BN4281">
        <v>63.95</v>
      </c>
      <c r="BO4281">
        <v>63.95</v>
      </c>
      <c r="BQ4281" t="s">
        <v>1342</v>
      </c>
      <c r="BR4281" t="s">
        <v>84</v>
      </c>
      <c r="BS4281" s="3">
        <v>45867</v>
      </c>
      <c r="BT4281" s="4">
        <v>0.39583333333333331</v>
      </c>
      <c r="BU4281" t="s">
        <v>1343</v>
      </c>
      <c r="BV4281" t="s">
        <v>98</v>
      </c>
      <c r="BY4281">
        <v>1200</v>
      </c>
      <c r="CA4281" t="s">
        <v>1344</v>
      </c>
      <c r="CC4281" t="s">
        <v>241</v>
      </c>
      <c r="CD4281">
        <v>2169</v>
      </c>
      <c r="CE4281" t="s">
        <v>121</v>
      </c>
      <c r="CF4281" s="3">
        <v>45868</v>
      </c>
      <c r="CI4281">
        <v>1</v>
      </c>
      <c r="CJ4281">
        <v>1</v>
      </c>
      <c r="CK4281">
        <v>22</v>
      </c>
      <c r="CL4281" t="s">
        <v>86</v>
      </c>
    </row>
    <row r="4282" spans="1:90" x14ac:dyDescent="0.3">
      <c r="A4282" t="s">
        <v>72</v>
      </c>
      <c r="B4282" t="s">
        <v>73</v>
      </c>
      <c r="C4282" t="s">
        <v>74</v>
      </c>
      <c r="E4282" t="str">
        <f>"080066837101"</f>
        <v>080066837101</v>
      </c>
      <c r="F4282" s="3">
        <v>45866</v>
      </c>
      <c r="G4282">
        <v>202604</v>
      </c>
      <c r="H4282" t="s">
        <v>75</v>
      </c>
      <c r="I4282" t="s">
        <v>76</v>
      </c>
      <c r="J4282" t="s">
        <v>77</v>
      </c>
      <c r="K4282" t="s">
        <v>78</v>
      </c>
      <c r="L4282" t="s">
        <v>3740</v>
      </c>
      <c r="M4282" t="s">
        <v>3741</v>
      </c>
      <c r="N4282" t="s">
        <v>3742</v>
      </c>
      <c r="O4282" t="s">
        <v>82</v>
      </c>
      <c r="P4282" t="str">
        <f>"4170051401                    "</f>
        <v xml:space="preserve">4170051401                    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43.78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16.739999999999998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1</v>
      </c>
      <c r="BI4282">
        <v>2</v>
      </c>
      <c r="BJ4282">
        <v>1.4</v>
      </c>
      <c r="BK4282">
        <v>2</v>
      </c>
      <c r="BL4282">
        <v>154.68</v>
      </c>
      <c r="BM4282">
        <v>23.2</v>
      </c>
      <c r="BN4282">
        <v>177.88</v>
      </c>
      <c r="BO4282">
        <v>177.88</v>
      </c>
      <c r="BQ4282" t="s">
        <v>3743</v>
      </c>
      <c r="BR4282" t="s">
        <v>84</v>
      </c>
      <c r="BS4282" s="3">
        <v>45867</v>
      </c>
      <c r="BT4282" s="4">
        <v>0.37986111111111109</v>
      </c>
      <c r="BU4282" t="s">
        <v>3744</v>
      </c>
      <c r="BV4282" t="s">
        <v>98</v>
      </c>
      <c r="BY4282">
        <v>7200</v>
      </c>
      <c r="BZ4282" t="s">
        <v>30</v>
      </c>
      <c r="CA4282" t="s">
        <v>3745</v>
      </c>
      <c r="CC4282" t="s">
        <v>3741</v>
      </c>
      <c r="CD4282">
        <v>3875</v>
      </c>
      <c r="CE4282" t="s">
        <v>91</v>
      </c>
      <c r="CF4282" s="3">
        <v>45867</v>
      </c>
      <c r="CI4282">
        <v>2</v>
      </c>
      <c r="CJ4282">
        <v>1</v>
      </c>
      <c r="CK4282">
        <v>23</v>
      </c>
      <c r="CL4282" t="s">
        <v>86</v>
      </c>
    </row>
    <row r="4283" spans="1:90" x14ac:dyDescent="0.3">
      <c r="A4283" t="s">
        <v>72</v>
      </c>
      <c r="B4283" t="s">
        <v>73</v>
      </c>
      <c r="C4283" t="s">
        <v>74</v>
      </c>
      <c r="E4283" t="str">
        <f>"080066837121"</f>
        <v>080066837121</v>
      </c>
      <c r="F4283" s="3">
        <v>45866</v>
      </c>
      <c r="G4283">
        <v>202604</v>
      </c>
      <c r="H4283" t="s">
        <v>75</v>
      </c>
      <c r="I4283" t="s">
        <v>76</v>
      </c>
      <c r="J4283" t="s">
        <v>77</v>
      </c>
      <c r="K4283" t="s">
        <v>78</v>
      </c>
      <c r="L4283" t="s">
        <v>670</v>
      </c>
      <c r="M4283" t="s">
        <v>671</v>
      </c>
      <c r="N4283" t="s">
        <v>3150</v>
      </c>
      <c r="O4283" t="s">
        <v>82</v>
      </c>
      <c r="P4283" t="str">
        <f>"4170051441                    "</f>
        <v xml:space="preserve">4170051441                    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17.649999999999999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1</v>
      </c>
      <c r="BI4283">
        <v>1</v>
      </c>
      <c r="BJ4283">
        <v>0.2</v>
      </c>
      <c r="BK4283">
        <v>1</v>
      </c>
      <c r="BL4283">
        <v>55.61</v>
      </c>
      <c r="BM4283">
        <v>8.34</v>
      </c>
      <c r="BN4283">
        <v>63.95</v>
      </c>
      <c r="BO4283">
        <v>63.95</v>
      </c>
      <c r="BQ4283" t="s">
        <v>3151</v>
      </c>
      <c r="BR4283" t="s">
        <v>84</v>
      </c>
      <c r="BS4283" s="3">
        <v>45867</v>
      </c>
      <c r="BT4283" s="4">
        <v>0.42777777777777776</v>
      </c>
      <c r="BU4283" t="s">
        <v>3746</v>
      </c>
      <c r="BV4283" t="s">
        <v>98</v>
      </c>
      <c r="BY4283">
        <v>1200</v>
      </c>
      <c r="CA4283" t="s">
        <v>461</v>
      </c>
      <c r="CC4283" t="s">
        <v>671</v>
      </c>
      <c r="CD4283">
        <v>2163</v>
      </c>
      <c r="CE4283" t="s">
        <v>121</v>
      </c>
      <c r="CF4283" s="3">
        <v>45868</v>
      </c>
      <c r="CI4283">
        <v>1</v>
      </c>
      <c r="CJ4283">
        <v>1</v>
      </c>
      <c r="CK4283">
        <v>22</v>
      </c>
      <c r="CL4283" t="s">
        <v>86</v>
      </c>
    </row>
    <row r="4284" spans="1:90" x14ac:dyDescent="0.3">
      <c r="A4284" t="s">
        <v>72</v>
      </c>
      <c r="B4284" t="s">
        <v>73</v>
      </c>
      <c r="C4284" t="s">
        <v>74</v>
      </c>
      <c r="E4284" t="str">
        <f>"080066837166"</f>
        <v>080066837166</v>
      </c>
      <c r="F4284" s="3">
        <v>45866</v>
      </c>
      <c r="G4284">
        <v>202604</v>
      </c>
      <c r="H4284" t="s">
        <v>75</v>
      </c>
      <c r="I4284" t="s">
        <v>76</v>
      </c>
      <c r="J4284" t="s">
        <v>77</v>
      </c>
      <c r="K4284" t="s">
        <v>78</v>
      </c>
      <c r="L4284" t="s">
        <v>79</v>
      </c>
      <c r="M4284" t="s">
        <v>80</v>
      </c>
      <c r="N4284" t="s">
        <v>286</v>
      </c>
      <c r="O4284" t="s">
        <v>82</v>
      </c>
      <c r="P4284" t="str">
        <f>"4170051447                    "</f>
        <v xml:space="preserve">4170051447                    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112.92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1</v>
      </c>
      <c r="BI4284">
        <v>10</v>
      </c>
      <c r="BJ4284">
        <v>5.6</v>
      </c>
      <c r="BK4284">
        <v>10</v>
      </c>
      <c r="BL4284">
        <v>355.76</v>
      </c>
      <c r="BM4284">
        <v>53.36</v>
      </c>
      <c r="BN4284">
        <v>409.12</v>
      </c>
      <c r="BO4284">
        <v>409.12</v>
      </c>
      <c r="BQ4284" t="s">
        <v>287</v>
      </c>
      <c r="BR4284" t="s">
        <v>84</v>
      </c>
      <c r="BS4284" s="3">
        <v>45867</v>
      </c>
      <c r="BT4284" s="4">
        <v>0.32777777777777778</v>
      </c>
      <c r="BU4284" t="s">
        <v>650</v>
      </c>
      <c r="BV4284" t="s">
        <v>98</v>
      </c>
      <c r="BY4284">
        <v>28072</v>
      </c>
      <c r="CA4284" t="s">
        <v>289</v>
      </c>
      <c r="CC4284" t="s">
        <v>80</v>
      </c>
      <c r="CD4284">
        <v>7530</v>
      </c>
      <c r="CE4284" t="s">
        <v>91</v>
      </c>
      <c r="CF4284" s="3">
        <v>45868</v>
      </c>
      <c r="CI4284">
        <v>1</v>
      </c>
      <c r="CJ4284">
        <v>1</v>
      </c>
      <c r="CK4284">
        <v>21</v>
      </c>
      <c r="CL4284" t="s">
        <v>86</v>
      </c>
    </row>
    <row r="4285" spans="1:90" x14ac:dyDescent="0.3">
      <c r="A4285" t="s">
        <v>72</v>
      </c>
      <c r="B4285" t="s">
        <v>73</v>
      </c>
      <c r="C4285" t="s">
        <v>74</v>
      </c>
      <c r="E4285" t="str">
        <f>"080066837170"</f>
        <v>080066837170</v>
      </c>
      <c r="F4285" s="3">
        <v>45866</v>
      </c>
      <c r="G4285">
        <v>202604</v>
      </c>
      <c r="H4285" t="s">
        <v>75</v>
      </c>
      <c r="I4285" t="s">
        <v>76</v>
      </c>
      <c r="J4285" t="s">
        <v>77</v>
      </c>
      <c r="K4285" t="s">
        <v>78</v>
      </c>
      <c r="L4285" t="s">
        <v>79</v>
      </c>
      <c r="M4285" t="s">
        <v>80</v>
      </c>
      <c r="N4285" t="s">
        <v>689</v>
      </c>
      <c r="O4285" t="s">
        <v>82</v>
      </c>
      <c r="P4285" t="str">
        <f>"4170051509                    "</f>
        <v xml:space="preserve">4170051509                    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22.6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  <c r="BH4285">
        <v>1</v>
      </c>
      <c r="BI4285">
        <v>1</v>
      </c>
      <c r="BJ4285">
        <v>0.2</v>
      </c>
      <c r="BK4285">
        <v>1</v>
      </c>
      <c r="BL4285">
        <v>71.2</v>
      </c>
      <c r="BM4285">
        <v>10.68</v>
      </c>
      <c r="BN4285">
        <v>81.88</v>
      </c>
      <c r="BO4285">
        <v>81.88</v>
      </c>
      <c r="BQ4285" t="s">
        <v>690</v>
      </c>
      <c r="BR4285" t="s">
        <v>84</v>
      </c>
      <c r="BS4285" s="3">
        <v>45867</v>
      </c>
      <c r="BT4285" s="4">
        <v>0.42222222222222222</v>
      </c>
      <c r="BU4285" t="s">
        <v>691</v>
      </c>
      <c r="BV4285" t="s">
        <v>98</v>
      </c>
      <c r="BY4285">
        <v>1200</v>
      </c>
      <c r="CA4285" t="s">
        <v>692</v>
      </c>
      <c r="CC4285" t="s">
        <v>80</v>
      </c>
      <c r="CD4285">
        <v>7800</v>
      </c>
      <c r="CE4285" t="s">
        <v>121</v>
      </c>
      <c r="CF4285" s="3">
        <v>45868</v>
      </c>
      <c r="CI4285">
        <v>1</v>
      </c>
      <c r="CJ4285">
        <v>1</v>
      </c>
      <c r="CK4285">
        <v>21</v>
      </c>
      <c r="CL4285" t="s">
        <v>86</v>
      </c>
    </row>
    <row r="4286" spans="1:90" x14ac:dyDescent="0.3">
      <c r="A4286" t="s">
        <v>72</v>
      </c>
      <c r="B4286" t="s">
        <v>73</v>
      </c>
      <c r="C4286" t="s">
        <v>74</v>
      </c>
      <c r="E4286" t="str">
        <f>"080066837388"</f>
        <v>080066837388</v>
      </c>
      <c r="F4286" s="3">
        <v>45866</v>
      </c>
      <c r="G4286">
        <v>202604</v>
      </c>
      <c r="H4286" t="s">
        <v>75</v>
      </c>
      <c r="I4286" t="s">
        <v>76</v>
      </c>
      <c r="J4286" t="s">
        <v>77</v>
      </c>
      <c r="K4286" t="s">
        <v>78</v>
      </c>
      <c r="L4286" t="s">
        <v>240</v>
      </c>
      <c r="M4286" t="s">
        <v>241</v>
      </c>
      <c r="N4286" t="s">
        <v>1070</v>
      </c>
      <c r="O4286" t="s">
        <v>82</v>
      </c>
      <c r="P4286" t="str">
        <f>"4170051550                    "</f>
        <v xml:space="preserve">4170051550                    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17.649999999999999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  <c r="BH4286">
        <v>1</v>
      </c>
      <c r="BI4286">
        <v>2</v>
      </c>
      <c r="BJ4286">
        <v>6.5</v>
      </c>
      <c r="BK4286">
        <v>7</v>
      </c>
      <c r="BL4286">
        <v>55.61</v>
      </c>
      <c r="BM4286">
        <v>8.34</v>
      </c>
      <c r="BN4286">
        <v>63.95</v>
      </c>
      <c r="BO4286">
        <v>63.95</v>
      </c>
      <c r="BQ4286" t="s">
        <v>1071</v>
      </c>
      <c r="BR4286" t="s">
        <v>84</v>
      </c>
      <c r="BS4286" s="3">
        <v>45867</v>
      </c>
      <c r="BT4286" s="4">
        <v>0.4375</v>
      </c>
      <c r="BU4286" t="s">
        <v>1072</v>
      </c>
      <c r="BV4286" t="s">
        <v>98</v>
      </c>
      <c r="BY4286">
        <v>32256</v>
      </c>
      <c r="CA4286" t="s">
        <v>1073</v>
      </c>
      <c r="CC4286" t="s">
        <v>241</v>
      </c>
      <c r="CD4286">
        <v>2007</v>
      </c>
      <c r="CE4286" t="s">
        <v>91</v>
      </c>
      <c r="CF4286" s="3">
        <v>45867</v>
      </c>
      <c r="CI4286">
        <v>1</v>
      </c>
      <c r="CJ4286">
        <v>1</v>
      </c>
      <c r="CK4286">
        <v>22</v>
      </c>
      <c r="CL4286" t="s">
        <v>86</v>
      </c>
    </row>
    <row r="4287" spans="1:90" x14ac:dyDescent="0.3">
      <c r="A4287" t="s">
        <v>72</v>
      </c>
      <c r="B4287" t="s">
        <v>73</v>
      </c>
      <c r="C4287" t="s">
        <v>74</v>
      </c>
      <c r="E4287" t="str">
        <f>"080066837430"</f>
        <v>080066837430</v>
      </c>
      <c r="F4287" s="3">
        <v>45866</v>
      </c>
      <c r="G4287">
        <v>202604</v>
      </c>
      <c r="H4287" t="s">
        <v>75</v>
      </c>
      <c r="I4287" t="s">
        <v>76</v>
      </c>
      <c r="J4287" t="s">
        <v>77</v>
      </c>
      <c r="K4287" t="s">
        <v>78</v>
      </c>
      <c r="L4287" t="s">
        <v>92</v>
      </c>
      <c r="M4287" t="s">
        <v>93</v>
      </c>
      <c r="N4287" t="s">
        <v>723</v>
      </c>
      <c r="O4287" t="s">
        <v>82</v>
      </c>
      <c r="P4287" t="str">
        <f>"4170051572                    "</f>
        <v xml:space="preserve">4170051572                    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39.53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  <c r="BH4287">
        <v>1</v>
      </c>
      <c r="BI4287">
        <v>2</v>
      </c>
      <c r="BJ4287">
        <v>3.5</v>
      </c>
      <c r="BK4287">
        <v>3.5</v>
      </c>
      <c r="BL4287">
        <v>124.55</v>
      </c>
      <c r="BM4287">
        <v>18.68</v>
      </c>
      <c r="BN4287">
        <v>143.22999999999999</v>
      </c>
      <c r="BO4287">
        <v>143.22999999999999</v>
      </c>
      <c r="BQ4287" t="s">
        <v>724</v>
      </c>
      <c r="BR4287" t="s">
        <v>84</v>
      </c>
      <c r="BS4287" s="3">
        <v>45867</v>
      </c>
      <c r="BT4287" s="4">
        <v>0.46875</v>
      </c>
      <c r="BU4287" t="s">
        <v>3747</v>
      </c>
      <c r="BV4287" t="s">
        <v>86</v>
      </c>
      <c r="BW4287" t="s">
        <v>194</v>
      </c>
      <c r="BX4287" t="s">
        <v>1174</v>
      </c>
      <c r="BY4287">
        <v>17400</v>
      </c>
      <c r="CA4287" t="s">
        <v>3689</v>
      </c>
      <c r="CC4287" t="s">
        <v>93</v>
      </c>
      <c r="CD4287">
        <v>4000</v>
      </c>
      <c r="CE4287" t="s">
        <v>91</v>
      </c>
      <c r="CF4287" s="3">
        <v>45867</v>
      </c>
      <c r="CI4287">
        <v>1</v>
      </c>
      <c r="CJ4287">
        <v>1</v>
      </c>
      <c r="CK4287">
        <v>21</v>
      </c>
      <c r="CL4287" t="s">
        <v>86</v>
      </c>
    </row>
    <row r="4288" spans="1:90" x14ac:dyDescent="0.3">
      <c r="A4288" t="s">
        <v>72</v>
      </c>
      <c r="B4288" t="s">
        <v>73</v>
      </c>
      <c r="C4288" t="s">
        <v>74</v>
      </c>
      <c r="E4288" t="str">
        <f>"080066837464"</f>
        <v>080066837464</v>
      </c>
      <c r="F4288" s="3">
        <v>45866</v>
      </c>
      <c r="G4288">
        <v>202604</v>
      </c>
      <c r="H4288" t="s">
        <v>75</v>
      </c>
      <c r="I4288" t="s">
        <v>76</v>
      </c>
      <c r="J4288" t="s">
        <v>77</v>
      </c>
      <c r="K4288" t="s">
        <v>78</v>
      </c>
      <c r="L4288" t="s">
        <v>92</v>
      </c>
      <c r="M4288" t="s">
        <v>93</v>
      </c>
      <c r="N4288" t="s">
        <v>3748</v>
      </c>
      <c r="O4288" t="s">
        <v>82</v>
      </c>
      <c r="P4288" t="str">
        <f>"4170051406                    "</f>
        <v xml:space="preserve">4170051406                    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141.15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  <c r="BH4288">
        <v>1</v>
      </c>
      <c r="BI4288">
        <v>9</v>
      </c>
      <c r="BJ4288">
        <v>12.5</v>
      </c>
      <c r="BK4288">
        <v>12.5</v>
      </c>
      <c r="BL4288">
        <v>444.69</v>
      </c>
      <c r="BM4288">
        <v>66.7</v>
      </c>
      <c r="BN4288">
        <v>511.39</v>
      </c>
      <c r="BO4288">
        <v>511.39</v>
      </c>
      <c r="BQ4288" t="s">
        <v>3749</v>
      </c>
      <c r="BR4288" t="s">
        <v>84</v>
      </c>
      <c r="BS4288" s="3">
        <v>45867</v>
      </c>
      <c r="BT4288" s="4">
        <v>0.3888888888888889</v>
      </c>
      <c r="BU4288" t="s">
        <v>3750</v>
      </c>
      <c r="BV4288" t="s">
        <v>98</v>
      </c>
      <c r="BY4288">
        <v>62400</v>
      </c>
      <c r="CA4288" t="s">
        <v>3751</v>
      </c>
      <c r="CC4288" t="s">
        <v>93</v>
      </c>
      <c r="CD4288">
        <v>4093</v>
      </c>
      <c r="CE4288" t="s">
        <v>91</v>
      </c>
      <c r="CF4288" s="3">
        <v>45867</v>
      </c>
      <c r="CI4288">
        <v>1</v>
      </c>
      <c r="CJ4288">
        <v>1</v>
      </c>
      <c r="CK4288">
        <v>21</v>
      </c>
      <c r="CL4288" t="s">
        <v>86</v>
      </c>
    </row>
    <row r="4289" spans="1:90" x14ac:dyDescent="0.3">
      <c r="A4289" t="s">
        <v>72</v>
      </c>
      <c r="B4289" t="s">
        <v>73</v>
      </c>
      <c r="C4289" t="s">
        <v>74</v>
      </c>
      <c r="E4289" t="str">
        <f>"080066837507"</f>
        <v>080066837507</v>
      </c>
      <c r="F4289" s="3">
        <v>45866</v>
      </c>
      <c r="G4289">
        <v>202604</v>
      </c>
      <c r="H4289" t="s">
        <v>75</v>
      </c>
      <c r="I4289" t="s">
        <v>76</v>
      </c>
      <c r="J4289" t="s">
        <v>77</v>
      </c>
      <c r="K4289" t="s">
        <v>78</v>
      </c>
      <c r="L4289" t="s">
        <v>670</v>
      </c>
      <c r="M4289" t="s">
        <v>671</v>
      </c>
      <c r="N4289" t="s">
        <v>672</v>
      </c>
      <c r="O4289" t="s">
        <v>311</v>
      </c>
      <c r="P4289" t="str">
        <f>"4170051332                    "</f>
        <v xml:space="preserve">4170051332                    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17.66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0</v>
      </c>
      <c r="BG4289">
        <v>0</v>
      </c>
      <c r="BH4289">
        <v>1</v>
      </c>
      <c r="BI4289">
        <v>4</v>
      </c>
      <c r="BJ4289">
        <v>7.3</v>
      </c>
      <c r="BK4289">
        <v>8</v>
      </c>
      <c r="BL4289">
        <v>55.63</v>
      </c>
      <c r="BM4289">
        <v>8.34</v>
      </c>
      <c r="BN4289">
        <v>63.97</v>
      </c>
      <c r="BO4289">
        <v>63.97</v>
      </c>
      <c r="BQ4289" t="s">
        <v>673</v>
      </c>
      <c r="BR4289" t="s">
        <v>84</v>
      </c>
      <c r="BS4289" s="3">
        <v>45867</v>
      </c>
      <c r="BT4289" s="4">
        <v>0.41319444444444442</v>
      </c>
      <c r="BU4289" t="s">
        <v>3697</v>
      </c>
      <c r="BV4289" t="s">
        <v>98</v>
      </c>
      <c r="BY4289">
        <v>36400</v>
      </c>
      <c r="CA4289" t="s">
        <v>676</v>
      </c>
      <c r="CC4289" t="s">
        <v>671</v>
      </c>
      <c r="CD4289">
        <v>2163</v>
      </c>
      <c r="CE4289" t="s">
        <v>91</v>
      </c>
      <c r="CF4289" s="3">
        <v>45868</v>
      </c>
      <c r="CI4289">
        <v>1</v>
      </c>
      <c r="CJ4289">
        <v>1</v>
      </c>
      <c r="CK4289">
        <v>32</v>
      </c>
      <c r="CL4289" t="s">
        <v>86</v>
      </c>
    </row>
    <row r="4290" spans="1:90" x14ac:dyDescent="0.3">
      <c r="A4290" t="s">
        <v>72</v>
      </c>
      <c r="B4290" t="s">
        <v>73</v>
      </c>
      <c r="C4290" t="s">
        <v>74</v>
      </c>
      <c r="E4290" t="str">
        <f>"080066837537"</f>
        <v>080066837537</v>
      </c>
      <c r="F4290" s="3">
        <v>45866</v>
      </c>
      <c r="G4290">
        <v>202604</v>
      </c>
      <c r="H4290" t="s">
        <v>75</v>
      </c>
      <c r="I4290" t="s">
        <v>76</v>
      </c>
      <c r="J4290" t="s">
        <v>77</v>
      </c>
      <c r="K4290" t="s">
        <v>78</v>
      </c>
      <c r="L4290" t="s">
        <v>168</v>
      </c>
      <c r="M4290" t="s">
        <v>169</v>
      </c>
      <c r="N4290" t="s">
        <v>206</v>
      </c>
      <c r="O4290" t="s">
        <v>82</v>
      </c>
      <c r="P4290" t="str">
        <f>"4170051368                    "</f>
        <v xml:space="preserve">4170051368                    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90.34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0</v>
      </c>
      <c r="BH4290">
        <v>2</v>
      </c>
      <c r="BI4290">
        <v>4</v>
      </c>
      <c r="BJ4290">
        <v>7.9</v>
      </c>
      <c r="BK4290">
        <v>8</v>
      </c>
      <c r="BL4290">
        <v>284.62</v>
      </c>
      <c r="BM4290">
        <v>42.69</v>
      </c>
      <c r="BN4290">
        <v>327.31</v>
      </c>
      <c r="BO4290">
        <v>327.31</v>
      </c>
      <c r="BQ4290" t="s">
        <v>207</v>
      </c>
      <c r="BR4290" t="s">
        <v>84</v>
      </c>
      <c r="BS4290" s="3">
        <v>45867</v>
      </c>
      <c r="BT4290" s="4">
        <v>0.38124999999999998</v>
      </c>
      <c r="BU4290" t="s">
        <v>208</v>
      </c>
      <c r="BV4290" t="s">
        <v>98</v>
      </c>
      <c r="BY4290">
        <v>39585</v>
      </c>
      <c r="CA4290" t="s">
        <v>196</v>
      </c>
      <c r="CC4290" t="s">
        <v>169</v>
      </c>
      <c r="CD4290">
        <v>6001</v>
      </c>
      <c r="CE4290" t="s">
        <v>145</v>
      </c>
      <c r="CF4290" s="3">
        <v>45867</v>
      </c>
      <c r="CI4290">
        <v>1</v>
      </c>
      <c r="CJ4290">
        <v>1</v>
      </c>
      <c r="CK4290">
        <v>21</v>
      </c>
      <c r="CL4290" t="s">
        <v>86</v>
      </c>
    </row>
    <row r="4291" spans="1:90" x14ac:dyDescent="0.3">
      <c r="A4291" t="s">
        <v>72</v>
      </c>
      <c r="B4291" t="s">
        <v>73</v>
      </c>
      <c r="C4291" t="s">
        <v>74</v>
      </c>
      <c r="E4291" t="str">
        <f>"080066837764"</f>
        <v>080066837764</v>
      </c>
      <c r="F4291" s="3">
        <v>45866</v>
      </c>
      <c r="G4291">
        <v>202604</v>
      </c>
      <c r="H4291" t="s">
        <v>75</v>
      </c>
      <c r="I4291" t="s">
        <v>76</v>
      </c>
      <c r="J4291" t="s">
        <v>77</v>
      </c>
      <c r="K4291" t="s">
        <v>78</v>
      </c>
      <c r="L4291" t="s">
        <v>240</v>
      </c>
      <c r="M4291" t="s">
        <v>241</v>
      </c>
      <c r="N4291" t="s">
        <v>686</v>
      </c>
      <c r="O4291" t="s">
        <v>95</v>
      </c>
      <c r="P4291" t="str">
        <f>"4170051393                    "</f>
        <v xml:space="preserve">4170051393                    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58.37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  <c r="BE4291">
        <v>0</v>
      </c>
      <c r="BF4291">
        <v>0</v>
      </c>
      <c r="BG4291">
        <v>0</v>
      </c>
      <c r="BH4291">
        <v>2</v>
      </c>
      <c r="BI4291">
        <v>40</v>
      </c>
      <c r="BJ4291">
        <v>17.899999999999999</v>
      </c>
      <c r="BK4291">
        <v>40</v>
      </c>
      <c r="BL4291">
        <v>189.76</v>
      </c>
      <c r="BM4291">
        <v>28.46</v>
      </c>
      <c r="BN4291">
        <v>218.22</v>
      </c>
      <c r="BO4291">
        <v>218.22</v>
      </c>
      <c r="BQ4291" t="s">
        <v>687</v>
      </c>
      <c r="BR4291" t="s">
        <v>84</v>
      </c>
      <c r="BS4291" s="3">
        <v>45867</v>
      </c>
      <c r="BT4291" s="4">
        <v>0.38124999999999998</v>
      </c>
      <c r="BU4291" t="s">
        <v>938</v>
      </c>
      <c r="BV4291" t="s">
        <v>98</v>
      </c>
      <c r="BY4291">
        <v>44640</v>
      </c>
      <c r="CA4291" t="s">
        <v>451</v>
      </c>
      <c r="CC4291" t="s">
        <v>241</v>
      </c>
      <c r="CD4291">
        <v>2094</v>
      </c>
      <c r="CE4291" t="s">
        <v>2802</v>
      </c>
      <c r="CF4291" s="3">
        <v>45867</v>
      </c>
      <c r="CI4291">
        <v>1</v>
      </c>
      <c r="CJ4291">
        <v>1</v>
      </c>
      <c r="CK4291">
        <v>42</v>
      </c>
      <c r="CL4291" t="s">
        <v>86</v>
      </c>
    </row>
    <row r="4292" spans="1:90" x14ac:dyDescent="0.3">
      <c r="A4292" t="s">
        <v>72</v>
      </c>
      <c r="B4292" t="s">
        <v>73</v>
      </c>
      <c r="C4292" t="s">
        <v>74</v>
      </c>
      <c r="E4292" t="str">
        <f>"080066837767"</f>
        <v>080066837767</v>
      </c>
      <c r="F4292" s="3">
        <v>45866</v>
      </c>
      <c r="G4292">
        <v>202604</v>
      </c>
      <c r="H4292" t="s">
        <v>75</v>
      </c>
      <c r="I4292" t="s">
        <v>76</v>
      </c>
      <c r="J4292" t="s">
        <v>77</v>
      </c>
      <c r="K4292" t="s">
        <v>78</v>
      </c>
      <c r="L4292" t="s">
        <v>554</v>
      </c>
      <c r="M4292" t="s">
        <v>555</v>
      </c>
      <c r="N4292" t="s">
        <v>556</v>
      </c>
      <c r="O4292" t="s">
        <v>82</v>
      </c>
      <c r="P4292" t="str">
        <f>"4170051448                    "</f>
        <v xml:space="preserve">4170051448                    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22.6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0</v>
      </c>
      <c r="BH4292">
        <v>1</v>
      </c>
      <c r="BI4292">
        <v>1</v>
      </c>
      <c r="BJ4292">
        <v>0.2</v>
      </c>
      <c r="BK4292">
        <v>1</v>
      </c>
      <c r="BL4292">
        <v>71.2</v>
      </c>
      <c r="BM4292">
        <v>10.68</v>
      </c>
      <c r="BN4292">
        <v>81.88</v>
      </c>
      <c r="BO4292">
        <v>81.88</v>
      </c>
      <c r="BQ4292" t="s">
        <v>557</v>
      </c>
      <c r="BR4292" t="s">
        <v>84</v>
      </c>
      <c r="BS4292" s="3">
        <v>45867</v>
      </c>
      <c r="BT4292" s="4">
        <v>0.3527777777777778</v>
      </c>
      <c r="BU4292" t="s">
        <v>558</v>
      </c>
      <c r="BV4292" t="s">
        <v>98</v>
      </c>
      <c r="BY4292">
        <v>1200</v>
      </c>
      <c r="CA4292" t="s">
        <v>559</v>
      </c>
      <c r="CC4292" t="s">
        <v>555</v>
      </c>
      <c r="CD4292" s="5" t="s">
        <v>560</v>
      </c>
      <c r="CE4292" t="s">
        <v>121</v>
      </c>
      <c r="CF4292" s="3">
        <v>45867</v>
      </c>
      <c r="CI4292">
        <v>1</v>
      </c>
      <c r="CJ4292">
        <v>1</v>
      </c>
      <c r="CK4292">
        <v>21</v>
      </c>
      <c r="CL4292" t="s">
        <v>86</v>
      </c>
    </row>
    <row r="4293" spans="1:90" x14ac:dyDescent="0.3">
      <c r="A4293" t="s">
        <v>72</v>
      </c>
      <c r="B4293" t="s">
        <v>73</v>
      </c>
      <c r="C4293" t="s">
        <v>74</v>
      </c>
      <c r="E4293" t="str">
        <f>"080066837792"</f>
        <v>080066837792</v>
      </c>
      <c r="F4293" s="3">
        <v>45866</v>
      </c>
      <c r="G4293">
        <v>202604</v>
      </c>
      <c r="H4293" t="s">
        <v>75</v>
      </c>
      <c r="I4293" t="s">
        <v>76</v>
      </c>
      <c r="J4293" t="s">
        <v>77</v>
      </c>
      <c r="K4293" t="s">
        <v>78</v>
      </c>
      <c r="L4293" t="s">
        <v>151</v>
      </c>
      <c r="M4293" t="s">
        <v>152</v>
      </c>
      <c r="N4293" t="s">
        <v>272</v>
      </c>
      <c r="O4293" t="s">
        <v>82</v>
      </c>
      <c r="P4293" t="str">
        <f>"4170051581                    "</f>
        <v xml:space="preserve">4170051581                    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22.6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  <c r="BE4293">
        <v>0</v>
      </c>
      <c r="BF4293">
        <v>0</v>
      </c>
      <c r="BG4293">
        <v>0</v>
      </c>
      <c r="BH4293">
        <v>1</v>
      </c>
      <c r="BI4293">
        <v>1</v>
      </c>
      <c r="BJ4293">
        <v>0.2</v>
      </c>
      <c r="BK4293">
        <v>1</v>
      </c>
      <c r="BL4293">
        <v>71.2</v>
      </c>
      <c r="BM4293">
        <v>10.68</v>
      </c>
      <c r="BN4293">
        <v>81.88</v>
      </c>
      <c r="BO4293">
        <v>81.88</v>
      </c>
      <c r="BQ4293" t="s">
        <v>273</v>
      </c>
      <c r="BR4293" t="s">
        <v>84</v>
      </c>
      <c r="BS4293" s="3">
        <v>45867</v>
      </c>
      <c r="BT4293" s="4">
        <v>0.41736111111111113</v>
      </c>
      <c r="BU4293" t="s">
        <v>486</v>
      </c>
      <c r="BV4293" t="s">
        <v>98</v>
      </c>
      <c r="BY4293">
        <v>1200</v>
      </c>
      <c r="CC4293" t="s">
        <v>152</v>
      </c>
      <c r="CD4293" s="5" t="s">
        <v>276</v>
      </c>
      <c r="CE4293" t="s">
        <v>121</v>
      </c>
      <c r="CF4293" s="3">
        <v>45867</v>
      </c>
      <c r="CI4293">
        <v>1</v>
      </c>
      <c r="CJ4293">
        <v>1</v>
      </c>
      <c r="CK4293">
        <v>21</v>
      </c>
      <c r="CL4293" t="s">
        <v>86</v>
      </c>
    </row>
    <row r="4294" spans="1:90" x14ac:dyDescent="0.3">
      <c r="A4294" t="s">
        <v>72</v>
      </c>
      <c r="B4294" t="s">
        <v>73</v>
      </c>
      <c r="C4294" t="s">
        <v>74</v>
      </c>
      <c r="E4294" t="str">
        <f>"080066837804"</f>
        <v>080066837804</v>
      </c>
      <c r="F4294" s="3">
        <v>45866</v>
      </c>
      <c r="G4294">
        <v>202604</v>
      </c>
      <c r="H4294" t="s">
        <v>75</v>
      </c>
      <c r="I4294" t="s">
        <v>76</v>
      </c>
      <c r="J4294" t="s">
        <v>77</v>
      </c>
      <c r="K4294" t="s">
        <v>78</v>
      </c>
      <c r="L4294" t="s">
        <v>452</v>
      </c>
      <c r="M4294" t="s">
        <v>453</v>
      </c>
      <c r="N4294" t="s">
        <v>968</v>
      </c>
      <c r="O4294" t="s">
        <v>82</v>
      </c>
      <c r="P4294" t="str">
        <f>"4170051569                    "</f>
        <v xml:space="preserve">4170051569                    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17.649999999999999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0</v>
      </c>
      <c r="BH4294">
        <v>1</v>
      </c>
      <c r="BI4294">
        <v>1</v>
      </c>
      <c r="BJ4294">
        <v>1.1000000000000001</v>
      </c>
      <c r="BK4294">
        <v>2</v>
      </c>
      <c r="BL4294">
        <v>55.61</v>
      </c>
      <c r="BM4294">
        <v>8.34</v>
      </c>
      <c r="BN4294">
        <v>63.95</v>
      </c>
      <c r="BO4294">
        <v>63.95</v>
      </c>
      <c r="BQ4294" t="s">
        <v>1098</v>
      </c>
      <c r="BR4294" t="s">
        <v>84</v>
      </c>
      <c r="BS4294" s="3">
        <v>45867</v>
      </c>
      <c r="BT4294" s="4">
        <v>0.46319444444444446</v>
      </c>
      <c r="BU4294" t="s">
        <v>1632</v>
      </c>
      <c r="BV4294" t="s">
        <v>98</v>
      </c>
      <c r="BY4294">
        <v>5320</v>
      </c>
      <c r="CA4294" t="s">
        <v>1541</v>
      </c>
      <c r="CC4294" t="s">
        <v>453</v>
      </c>
      <c r="CD4294">
        <v>1559</v>
      </c>
      <c r="CE4294" t="s">
        <v>145</v>
      </c>
      <c r="CF4294" s="3">
        <v>45867</v>
      </c>
      <c r="CI4294">
        <v>1</v>
      </c>
      <c r="CJ4294">
        <v>1</v>
      </c>
      <c r="CK4294">
        <v>22</v>
      </c>
      <c r="CL4294" t="s">
        <v>86</v>
      </c>
    </row>
    <row r="4295" spans="1:90" x14ac:dyDescent="0.3">
      <c r="A4295" t="s">
        <v>72</v>
      </c>
      <c r="B4295" t="s">
        <v>73</v>
      </c>
      <c r="C4295" t="s">
        <v>74</v>
      </c>
      <c r="E4295" t="str">
        <f>"080066837816"</f>
        <v>080066837816</v>
      </c>
      <c r="F4295" s="3">
        <v>45866</v>
      </c>
      <c r="G4295">
        <v>202604</v>
      </c>
      <c r="H4295" t="s">
        <v>75</v>
      </c>
      <c r="I4295" t="s">
        <v>76</v>
      </c>
      <c r="J4295" t="s">
        <v>77</v>
      </c>
      <c r="K4295" t="s">
        <v>78</v>
      </c>
      <c r="L4295" t="s">
        <v>79</v>
      </c>
      <c r="M4295" t="s">
        <v>80</v>
      </c>
      <c r="N4295" t="s">
        <v>931</v>
      </c>
      <c r="O4295" t="s">
        <v>82</v>
      </c>
      <c r="P4295" t="str">
        <f>"4170051404                    "</f>
        <v xml:space="preserve">4170051404                    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22.6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0</v>
      </c>
      <c r="BH4295">
        <v>1</v>
      </c>
      <c r="BI4295">
        <v>1</v>
      </c>
      <c r="BJ4295">
        <v>0.2</v>
      </c>
      <c r="BK4295">
        <v>1</v>
      </c>
      <c r="BL4295">
        <v>71.2</v>
      </c>
      <c r="BM4295">
        <v>10.68</v>
      </c>
      <c r="BN4295">
        <v>81.88</v>
      </c>
      <c r="BO4295">
        <v>81.88</v>
      </c>
      <c r="BQ4295" t="s">
        <v>932</v>
      </c>
      <c r="BR4295" t="s">
        <v>84</v>
      </c>
      <c r="BS4295" s="3">
        <v>45867</v>
      </c>
      <c r="BT4295" s="4">
        <v>0.40555555555555556</v>
      </c>
      <c r="BU4295" t="s">
        <v>933</v>
      </c>
      <c r="BV4295" t="s">
        <v>98</v>
      </c>
      <c r="BY4295">
        <v>1200</v>
      </c>
      <c r="CA4295" t="s">
        <v>934</v>
      </c>
      <c r="CC4295" t="s">
        <v>80</v>
      </c>
      <c r="CD4295">
        <v>7535</v>
      </c>
      <c r="CE4295" t="s">
        <v>121</v>
      </c>
      <c r="CF4295" s="3">
        <v>45868</v>
      </c>
      <c r="CI4295">
        <v>1</v>
      </c>
      <c r="CJ4295">
        <v>1</v>
      </c>
      <c r="CK4295">
        <v>21</v>
      </c>
      <c r="CL4295" t="s">
        <v>86</v>
      </c>
    </row>
    <row r="4296" spans="1:90" x14ac:dyDescent="0.3">
      <c r="A4296" t="s">
        <v>72</v>
      </c>
      <c r="B4296" t="s">
        <v>73</v>
      </c>
      <c r="C4296" t="s">
        <v>74</v>
      </c>
      <c r="E4296" t="str">
        <f>"080066837847"</f>
        <v>080066837847</v>
      </c>
      <c r="F4296" s="3">
        <v>45866</v>
      </c>
      <c r="G4296">
        <v>202604</v>
      </c>
      <c r="H4296" t="s">
        <v>75</v>
      </c>
      <c r="I4296" t="s">
        <v>76</v>
      </c>
      <c r="J4296" t="s">
        <v>77</v>
      </c>
      <c r="K4296" t="s">
        <v>78</v>
      </c>
      <c r="L4296" t="s">
        <v>854</v>
      </c>
      <c r="M4296" t="s">
        <v>855</v>
      </c>
      <c r="N4296" t="s">
        <v>429</v>
      </c>
      <c r="O4296" t="s">
        <v>95</v>
      </c>
      <c r="P4296" t="str">
        <f>"4170051387                    "</f>
        <v xml:space="preserve">4170051387                    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61.64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16.739999999999998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  <c r="BE4296">
        <v>0</v>
      </c>
      <c r="BF4296">
        <v>0</v>
      </c>
      <c r="BG4296">
        <v>0</v>
      </c>
      <c r="BH4296">
        <v>1</v>
      </c>
      <c r="BI4296">
        <v>4</v>
      </c>
      <c r="BJ4296">
        <v>4.0999999999999996</v>
      </c>
      <c r="BK4296">
        <v>5</v>
      </c>
      <c r="BL4296">
        <v>216.8</v>
      </c>
      <c r="BM4296">
        <v>32.520000000000003</v>
      </c>
      <c r="BN4296">
        <v>249.32</v>
      </c>
      <c r="BO4296">
        <v>249.32</v>
      </c>
      <c r="BQ4296" t="s">
        <v>430</v>
      </c>
      <c r="BR4296" t="s">
        <v>84</v>
      </c>
      <c r="BS4296" s="3">
        <v>45867</v>
      </c>
      <c r="BT4296" s="4">
        <v>0.57638888888888884</v>
      </c>
      <c r="BU4296" t="s">
        <v>1601</v>
      </c>
      <c r="BV4296" t="s">
        <v>98</v>
      </c>
      <c r="BY4296">
        <v>20358</v>
      </c>
      <c r="BZ4296" t="s">
        <v>30</v>
      </c>
      <c r="CA4296" t="s">
        <v>992</v>
      </c>
      <c r="CC4296" t="s">
        <v>855</v>
      </c>
      <c r="CD4296" s="5" t="s">
        <v>993</v>
      </c>
      <c r="CE4296" t="s">
        <v>145</v>
      </c>
      <c r="CF4296" s="3">
        <v>45867</v>
      </c>
      <c r="CI4296">
        <v>1</v>
      </c>
      <c r="CJ4296">
        <v>1</v>
      </c>
      <c r="CK4296">
        <v>43</v>
      </c>
      <c r="CL4296" t="s">
        <v>86</v>
      </c>
    </row>
    <row r="4297" spans="1:90" x14ac:dyDescent="0.3">
      <c r="A4297" t="s">
        <v>72</v>
      </c>
      <c r="B4297" t="s">
        <v>73</v>
      </c>
      <c r="C4297" t="s">
        <v>74</v>
      </c>
      <c r="E4297" t="str">
        <f>"080066837850"</f>
        <v>080066837850</v>
      </c>
      <c r="F4297" s="3">
        <v>45866</v>
      </c>
      <c r="G4297">
        <v>202604</v>
      </c>
      <c r="H4297" t="s">
        <v>75</v>
      </c>
      <c r="I4297" t="s">
        <v>76</v>
      </c>
      <c r="J4297" t="s">
        <v>77</v>
      </c>
      <c r="K4297" t="s">
        <v>78</v>
      </c>
      <c r="L4297" t="s">
        <v>79</v>
      </c>
      <c r="M4297" t="s">
        <v>80</v>
      </c>
      <c r="N4297" t="s">
        <v>3752</v>
      </c>
      <c r="O4297" t="s">
        <v>82</v>
      </c>
      <c r="P4297" t="str">
        <f>"4170051408                    "</f>
        <v xml:space="preserve">4170051408                    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22.6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0</v>
      </c>
      <c r="BH4297">
        <v>1</v>
      </c>
      <c r="BI4297">
        <v>1</v>
      </c>
      <c r="BJ4297">
        <v>0.2</v>
      </c>
      <c r="BK4297">
        <v>1</v>
      </c>
      <c r="BL4297">
        <v>71.2</v>
      </c>
      <c r="BM4297">
        <v>10.68</v>
      </c>
      <c r="BN4297">
        <v>81.88</v>
      </c>
      <c r="BO4297">
        <v>81.88</v>
      </c>
      <c r="BQ4297" t="s">
        <v>3753</v>
      </c>
      <c r="BR4297" t="s">
        <v>84</v>
      </c>
      <c r="BS4297" s="3">
        <v>45867</v>
      </c>
      <c r="BT4297" s="4">
        <v>0.37638888888888888</v>
      </c>
      <c r="BU4297" t="s">
        <v>3754</v>
      </c>
      <c r="BV4297" t="s">
        <v>98</v>
      </c>
      <c r="BY4297">
        <v>1200</v>
      </c>
      <c r="CA4297" t="s">
        <v>1596</v>
      </c>
      <c r="CC4297" t="s">
        <v>80</v>
      </c>
      <c r="CD4297">
        <v>7500</v>
      </c>
      <c r="CE4297" t="s">
        <v>121</v>
      </c>
      <c r="CF4297" s="3">
        <v>45868</v>
      </c>
      <c r="CI4297">
        <v>1</v>
      </c>
      <c r="CJ4297">
        <v>1</v>
      </c>
      <c r="CK4297">
        <v>21</v>
      </c>
      <c r="CL4297" t="s">
        <v>86</v>
      </c>
    </row>
    <row r="4298" spans="1:90" x14ac:dyDescent="0.3">
      <c r="A4298" t="s">
        <v>72</v>
      </c>
      <c r="B4298" t="s">
        <v>73</v>
      </c>
      <c r="C4298" t="s">
        <v>74</v>
      </c>
      <c r="E4298" t="str">
        <f>"080066837880"</f>
        <v>080066837880</v>
      </c>
      <c r="F4298" s="3">
        <v>45866</v>
      </c>
      <c r="G4298">
        <v>202604</v>
      </c>
      <c r="H4298" t="s">
        <v>75</v>
      </c>
      <c r="I4298" t="s">
        <v>76</v>
      </c>
      <c r="J4298" t="s">
        <v>77</v>
      </c>
      <c r="K4298" t="s">
        <v>78</v>
      </c>
      <c r="L4298" t="s">
        <v>704</v>
      </c>
      <c r="M4298" t="s">
        <v>705</v>
      </c>
      <c r="N4298" t="s">
        <v>848</v>
      </c>
      <c r="O4298" t="s">
        <v>82</v>
      </c>
      <c r="P4298" t="str">
        <f>"4170051599                    "</f>
        <v xml:space="preserve">4170051599                    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43.78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0</v>
      </c>
      <c r="BH4298">
        <v>1</v>
      </c>
      <c r="BI4298">
        <v>1</v>
      </c>
      <c r="BJ4298">
        <v>0.2</v>
      </c>
      <c r="BK4298">
        <v>1</v>
      </c>
      <c r="BL4298">
        <v>137.94</v>
      </c>
      <c r="BM4298">
        <v>20.69</v>
      </c>
      <c r="BN4298">
        <v>158.63</v>
      </c>
      <c r="BO4298">
        <v>158.63</v>
      </c>
      <c r="BQ4298" t="s">
        <v>849</v>
      </c>
      <c r="BR4298" t="s">
        <v>84</v>
      </c>
      <c r="BS4298" s="3">
        <v>45867</v>
      </c>
      <c r="BT4298" s="4">
        <v>0.58263888888888893</v>
      </c>
      <c r="BU4298" t="s">
        <v>1697</v>
      </c>
      <c r="BV4298" t="s">
        <v>98</v>
      </c>
      <c r="BY4298">
        <v>1200</v>
      </c>
      <c r="CA4298" t="s">
        <v>1152</v>
      </c>
      <c r="CC4298" t="s">
        <v>705</v>
      </c>
      <c r="CD4298">
        <v>6850</v>
      </c>
      <c r="CE4298" t="s">
        <v>121</v>
      </c>
      <c r="CF4298" s="3">
        <v>45868</v>
      </c>
      <c r="CI4298">
        <v>2</v>
      </c>
      <c r="CJ4298">
        <v>1</v>
      </c>
      <c r="CK4298">
        <v>23</v>
      </c>
      <c r="CL4298" t="s">
        <v>86</v>
      </c>
    </row>
    <row r="4299" spans="1:90" x14ac:dyDescent="0.3">
      <c r="A4299" t="s">
        <v>72</v>
      </c>
      <c r="B4299" t="s">
        <v>73</v>
      </c>
      <c r="C4299" t="s">
        <v>74</v>
      </c>
      <c r="E4299" t="str">
        <f>"080066837882"</f>
        <v>080066837882</v>
      </c>
      <c r="F4299" s="3">
        <v>45866</v>
      </c>
      <c r="G4299">
        <v>202604</v>
      </c>
      <c r="H4299" t="s">
        <v>75</v>
      </c>
      <c r="I4299" t="s">
        <v>76</v>
      </c>
      <c r="J4299" t="s">
        <v>77</v>
      </c>
      <c r="K4299" t="s">
        <v>78</v>
      </c>
      <c r="L4299" t="s">
        <v>854</v>
      </c>
      <c r="M4299" t="s">
        <v>855</v>
      </c>
      <c r="N4299" t="s">
        <v>429</v>
      </c>
      <c r="O4299" t="s">
        <v>82</v>
      </c>
      <c r="P4299" t="str">
        <f>"4170051391                    "</f>
        <v xml:space="preserve">4170051391                    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43.78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16.739999999999998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0</v>
      </c>
      <c r="BH4299">
        <v>1</v>
      </c>
      <c r="BI4299">
        <v>2</v>
      </c>
      <c r="BJ4299">
        <v>1.4</v>
      </c>
      <c r="BK4299">
        <v>2</v>
      </c>
      <c r="BL4299">
        <v>154.68</v>
      </c>
      <c r="BM4299">
        <v>23.2</v>
      </c>
      <c r="BN4299">
        <v>177.88</v>
      </c>
      <c r="BO4299">
        <v>177.88</v>
      </c>
      <c r="BQ4299" t="s">
        <v>430</v>
      </c>
      <c r="BR4299" t="s">
        <v>84</v>
      </c>
      <c r="BS4299" s="3">
        <v>45867</v>
      </c>
      <c r="BT4299" s="4">
        <v>0.57499999999999996</v>
      </c>
      <c r="BU4299" t="s">
        <v>1601</v>
      </c>
      <c r="BV4299" t="s">
        <v>98</v>
      </c>
      <c r="BY4299">
        <v>7000</v>
      </c>
      <c r="BZ4299" t="s">
        <v>30</v>
      </c>
      <c r="CA4299" t="s">
        <v>992</v>
      </c>
      <c r="CC4299" t="s">
        <v>855</v>
      </c>
      <c r="CD4299" s="5" t="s">
        <v>993</v>
      </c>
      <c r="CE4299" t="s">
        <v>145</v>
      </c>
      <c r="CF4299" s="3">
        <v>45867</v>
      </c>
      <c r="CI4299">
        <v>1</v>
      </c>
      <c r="CJ4299">
        <v>1</v>
      </c>
      <c r="CK4299">
        <v>23</v>
      </c>
      <c r="CL4299" t="s">
        <v>86</v>
      </c>
    </row>
    <row r="4300" spans="1:90" x14ac:dyDescent="0.3">
      <c r="A4300" t="s">
        <v>72</v>
      </c>
      <c r="B4300" t="s">
        <v>73</v>
      </c>
      <c r="C4300" t="s">
        <v>74</v>
      </c>
      <c r="E4300" t="str">
        <f>"080066837916"</f>
        <v>080066837916</v>
      </c>
      <c r="F4300" s="3">
        <v>45866</v>
      </c>
      <c r="G4300">
        <v>202604</v>
      </c>
      <c r="H4300" t="s">
        <v>75</v>
      </c>
      <c r="I4300" t="s">
        <v>76</v>
      </c>
      <c r="J4300" t="s">
        <v>77</v>
      </c>
      <c r="K4300" t="s">
        <v>78</v>
      </c>
      <c r="L4300" t="s">
        <v>1370</v>
      </c>
      <c r="M4300" t="s">
        <v>1371</v>
      </c>
      <c r="N4300" t="s">
        <v>1346</v>
      </c>
      <c r="O4300" t="s">
        <v>82</v>
      </c>
      <c r="P4300" t="str">
        <f>"4170051396                    "</f>
        <v xml:space="preserve">4170051396                    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43.78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  <c r="BE4300">
        <v>0</v>
      </c>
      <c r="BF4300">
        <v>0</v>
      </c>
      <c r="BG4300">
        <v>0</v>
      </c>
      <c r="BH4300">
        <v>1</v>
      </c>
      <c r="BI4300">
        <v>1</v>
      </c>
      <c r="BJ4300">
        <v>0.2</v>
      </c>
      <c r="BK4300">
        <v>1</v>
      </c>
      <c r="BL4300">
        <v>137.94</v>
      </c>
      <c r="BM4300">
        <v>20.69</v>
      </c>
      <c r="BN4300">
        <v>158.63</v>
      </c>
      <c r="BO4300">
        <v>158.63</v>
      </c>
      <c r="BQ4300" t="s">
        <v>1347</v>
      </c>
      <c r="BR4300" t="s">
        <v>84</v>
      </c>
      <c r="BS4300" s="3">
        <v>45867</v>
      </c>
      <c r="BT4300" s="4">
        <v>0.52361111111111114</v>
      </c>
      <c r="BU4300" t="s">
        <v>3755</v>
      </c>
      <c r="BV4300" t="s">
        <v>98</v>
      </c>
      <c r="BY4300">
        <v>1200</v>
      </c>
      <c r="CA4300" t="s">
        <v>3756</v>
      </c>
      <c r="CC4300" t="s">
        <v>1371</v>
      </c>
      <c r="CD4300" s="5" t="s">
        <v>1376</v>
      </c>
      <c r="CE4300" t="s">
        <v>121</v>
      </c>
      <c r="CF4300" s="3">
        <v>45868</v>
      </c>
      <c r="CI4300">
        <v>1</v>
      </c>
      <c r="CJ4300">
        <v>1</v>
      </c>
      <c r="CK4300">
        <v>23</v>
      </c>
      <c r="CL4300" t="s">
        <v>86</v>
      </c>
    </row>
    <row r="4301" spans="1:90" x14ac:dyDescent="0.3">
      <c r="A4301" t="s">
        <v>72</v>
      </c>
      <c r="B4301" t="s">
        <v>73</v>
      </c>
      <c r="C4301" t="s">
        <v>74</v>
      </c>
      <c r="E4301" t="str">
        <f>"080066837926"</f>
        <v>080066837926</v>
      </c>
      <c r="F4301" s="3">
        <v>45866</v>
      </c>
      <c r="G4301">
        <v>202604</v>
      </c>
      <c r="H4301" t="s">
        <v>75</v>
      </c>
      <c r="I4301" t="s">
        <v>76</v>
      </c>
      <c r="J4301" t="s">
        <v>77</v>
      </c>
      <c r="K4301" t="s">
        <v>78</v>
      </c>
      <c r="L4301" t="s">
        <v>79</v>
      </c>
      <c r="M4301" t="s">
        <v>80</v>
      </c>
      <c r="N4301" t="s">
        <v>159</v>
      </c>
      <c r="O4301" t="s">
        <v>82</v>
      </c>
      <c r="P4301" t="str">
        <f>"4170051560                    "</f>
        <v xml:space="preserve">4170051560                    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22.6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0</v>
      </c>
      <c r="BH4301">
        <v>1</v>
      </c>
      <c r="BI4301">
        <v>1</v>
      </c>
      <c r="BJ4301">
        <v>1.4</v>
      </c>
      <c r="BK4301">
        <v>1.5</v>
      </c>
      <c r="BL4301">
        <v>71.2</v>
      </c>
      <c r="BM4301">
        <v>10.68</v>
      </c>
      <c r="BN4301">
        <v>81.88</v>
      </c>
      <c r="BO4301">
        <v>81.88</v>
      </c>
      <c r="BQ4301" t="s">
        <v>160</v>
      </c>
      <c r="BR4301" t="s">
        <v>84</v>
      </c>
      <c r="BS4301" s="3">
        <v>45867</v>
      </c>
      <c r="BT4301" s="4">
        <v>0.4236111111111111</v>
      </c>
      <c r="BU4301" t="s">
        <v>3757</v>
      </c>
      <c r="BV4301" t="s">
        <v>98</v>
      </c>
      <c r="BY4301">
        <v>7000</v>
      </c>
      <c r="CA4301" t="s">
        <v>3411</v>
      </c>
      <c r="CC4301" t="s">
        <v>80</v>
      </c>
      <c r="CD4301">
        <v>7441</v>
      </c>
      <c r="CE4301" t="s">
        <v>145</v>
      </c>
      <c r="CF4301" s="3">
        <v>45868</v>
      </c>
      <c r="CI4301">
        <v>1</v>
      </c>
      <c r="CJ4301">
        <v>1</v>
      </c>
      <c r="CK4301">
        <v>21</v>
      </c>
      <c r="CL4301" t="s">
        <v>86</v>
      </c>
    </row>
    <row r="4302" spans="1:90" x14ac:dyDescent="0.3">
      <c r="A4302" t="s">
        <v>72</v>
      </c>
      <c r="B4302" t="s">
        <v>73</v>
      </c>
      <c r="C4302" t="s">
        <v>74</v>
      </c>
      <c r="E4302" t="str">
        <f>"080066837955"</f>
        <v>080066837955</v>
      </c>
      <c r="F4302" s="3">
        <v>45866</v>
      </c>
      <c r="G4302">
        <v>202604</v>
      </c>
      <c r="H4302" t="s">
        <v>75</v>
      </c>
      <c r="I4302" t="s">
        <v>76</v>
      </c>
      <c r="J4302" t="s">
        <v>77</v>
      </c>
      <c r="K4302" t="s">
        <v>78</v>
      </c>
      <c r="L4302" t="s">
        <v>240</v>
      </c>
      <c r="M4302" t="s">
        <v>241</v>
      </c>
      <c r="N4302" t="s">
        <v>2276</v>
      </c>
      <c r="O4302" t="s">
        <v>82</v>
      </c>
      <c r="P4302" t="str">
        <f>"4170051464                    "</f>
        <v xml:space="preserve">4170051464                    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17.649999999999999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0</v>
      </c>
      <c r="BG4302">
        <v>0</v>
      </c>
      <c r="BH4302">
        <v>1</v>
      </c>
      <c r="BI4302">
        <v>1</v>
      </c>
      <c r="BJ4302">
        <v>0.2</v>
      </c>
      <c r="BK4302">
        <v>1</v>
      </c>
      <c r="BL4302">
        <v>55.61</v>
      </c>
      <c r="BM4302">
        <v>8.34</v>
      </c>
      <c r="BN4302">
        <v>63.95</v>
      </c>
      <c r="BO4302">
        <v>63.95</v>
      </c>
      <c r="BQ4302" t="s">
        <v>2277</v>
      </c>
      <c r="BR4302" t="s">
        <v>84</v>
      </c>
      <c r="BS4302" s="3">
        <v>45867</v>
      </c>
      <c r="BT4302" s="4">
        <v>0.41597222222222224</v>
      </c>
      <c r="BU4302" t="s">
        <v>3758</v>
      </c>
      <c r="BV4302" t="s">
        <v>98</v>
      </c>
      <c r="BY4302">
        <v>1200</v>
      </c>
      <c r="CA4302" t="s">
        <v>617</v>
      </c>
      <c r="CC4302" t="s">
        <v>241</v>
      </c>
      <c r="CD4302">
        <v>2000</v>
      </c>
      <c r="CE4302" t="s">
        <v>121</v>
      </c>
      <c r="CF4302" s="3">
        <v>45867</v>
      </c>
      <c r="CI4302">
        <v>1</v>
      </c>
      <c r="CJ4302">
        <v>1</v>
      </c>
      <c r="CK4302">
        <v>22</v>
      </c>
      <c r="CL4302" t="s">
        <v>86</v>
      </c>
    </row>
    <row r="4303" spans="1:90" x14ac:dyDescent="0.3">
      <c r="A4303" t="s">
        <v>72</v>
      </c>
      <c r="B4303" t="s">
        <v>73</v>
      </c>
      <c r="C4303" t="s">
        <v>74</v>
      </c>
      <c r="E4303" t="str">
        <f>"080066837971"</f>
        <v>080066837971</v>
      </c>
      <c r="F4303" s="3">
        <v>45866</v>
      </c>
      <c r="G4303">
        <v>202604</v>
      </c>
      <c r="H4303" t="s">
        <v>75</v>
      </c>
      <c r="I4303" t="s">
        <v>76</v>
      </c>
      <c r="J4303" t="s">
        <v>77</v>
      </c>
      <c r="K4303" t="s">
        <v>78</v>
      </c>
      <c r="L4303" t="s">
        <v>122</v>
      </c>
      <c r="M4303" t="s">
        <v>123</v>
      </c>
      <c r="N4303" t="s">
        <v>972</v>
      </c>
      <c r="O4303" t="s">
        <v>82</v>
      </c>
      <c r="P4303" t="str">
        <f>"4170051589                    "</f>
        <v xml:space="preserve">4170051589                    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22.6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  <c r="BE4303">
        <v>0</v>
      </c>
      <c r="BF4303">
        <v>0</v>
      </c>
      <c r="BG4303">
        <v>0</v>
      </c>
      <c r="BH4303">
        <v>1</v>
      </c>
      <c r="BI4303">
        <v>1</v>
      </c>
      <c r="BJ4303">
        <v>1.4</v>
      </c>
      <c r="BK4303">
        <v>1.5</v>
      </c>
      <c r="BL4303">
        <v>71.2</v>
      </c>
      <c r="BM4303">
        <v>10.68</v>
      </c>
      <c r="BN4303">
        <v>81.88</v>
      </c>
      <c r="BO4303">
        <v>81.88</v>
      </c>
      <c r="BQ4303" t="s">
        <v>973</v>
      </c>
      <c r="BR4303" t="s">
        <v>84</v>
      </c>
      <c r="BS4303" s="3">
        <v>45867</v>
      </c>
      <c r="BT4303" s="4">
        <v>0.44791666666666669</v>
      </c>
      <c r="BU4303" t="s">
        <v>3759</v>
      </c>
      <c r="BV4303" t="s">
        <v>98</v>
      </c>
      <c r="BY4303">
        <v>7000</v>
      </c>
      <c r="CA4303" t="s">
        <v>522</v>
      </c>
      <c r="CC4303" t="s">
        <v>123</v>
      </c>
      <c r="CD4303">
        <v>3610</v>
      </c>
      <c r="CE4303" t="s">
        <v>145</v>
      </c>
      <c r="CF4303" s="3">
        <v>45867</v>
      </c>
      <c r="CI4303">
        <v>1</v>
      </c>
      <c r="CJ4303">
        <v>1</v>
      </c>
      <c r="CK4303">
        <v>21</v>
      </c>
      <c r="CL4303" t="s">
        <v>86</v>
      </c>
    </row>
    <row r="4304" spans="1:90" x14ac:dyDescent="0.3">
      <c r="A4304" t="s">
        <v>72</v>
      </c>
      <c r="B4304" t="s">
        <v>73</v>
      </c>
      <c r="C4304" t="s">
        <v>74</v>
      </c>
      <c r="E4304" t="str">
        <f>"080066838076"</f>
        <v>080066838076</v>
      </c>
      <c r="F4304" s="3">
        <v>45866</v>
      </c>
      <c r="G4304">
        <v>202604</v>
      </c>
      <c r="H4304" t="s">
        <v>75</v>
      </c>
      <c r="I4304" t="s">
        <v>76</v>
      </c>
      <c r="J4304" t="s">
        <v>77</v>
      </c>
      <c r="K4304" t="s">
        <v>78</v>
      </c>
      <c r="L4304" t="s">
        <v>135</v>
      </c>
      <c r="M4304" t="s">
        <v>136</v>
      </c>
      <c r="N4304" t="s">
        <v>2456</v>
      </c>
      <c r="O4304" t="s">
        <v>82</v>
      </c>
      <c r="P4304" t="str">
        <f>"4170051127                    "</f>
        <v xml:space="preserve">4170051127                    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22.6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16.739999999999998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1</v>
      </c>
      <c r="BI4304">
        <v>1</v>
      </c>
      <c r="BJ4304">
        <v>0.2</v>
      </c>
      <c r="BK4304">
        <v>1</v>
      </c>
      <c r="BL4304">
        <v>87.94</v>
      </c>
      <c r="BM4304">
        <v>13.19</v>
      </c>
      <c r="BN4304">
        <v>101.13</v>
      </c>
      <c r="BO4304">
        <v>101.13</v>
      </c>
      <c r="BQ4304" t="s">
        <v>2457</v>
      </c>
      <c r="BR4304" t="s">
        <v>84</v>
      </c>
      <c r="BS4304" s="3">
        <v>45868</v>
      </c>
      <c r="BT4304" s="4">
        <v>0.41666666666666669</v>
      </c>
      <c r="BU4304" t="s">
        <v>3760</v>
      </c>
      <c r="BV4304" t="s">
        <v>86</v>
      </c>
      <c r="BY4304">
        <v>1200</v>
      </c>
      <c r="BZ4304" t="s">
        <v>30</v>
      </c>
      <c r="CC4304" t="s">
        <v>136</v>
      </c>
      <c r="CD4304">
        <v>3699</v>
      </c>
      <c r="CE4304" t="s">
        <v>121</v>
      </c>
      <c r="CF4304" s="3">
        <v>45869</v>
      </c>
      <c r="CI4304">
        <v>1</v>
      </c>
      <c r="CJ4304">
        <v>2</v>
      </c>
      <c r="CK4304">
        <v>21</v>
      </c>
      <c r="CL4304" t="s">
        <v>86</v>
      </c>
    </row>
    <row r="4305" spans="1:90" x14ac:dyDescent="0.3">
      <c r="A4305" t="s">
        <v>72</v>
      </c>
      <c r="B4305" t="s">
        <v>73</v>
      </c>
      <c r="C4305" t="s">
        <v>74</v>
      </c>
      <c r="E4305" t="str">
        <f>"080066838125"</f>
        <v>080066838125</v>
      </c>
      <c r="F4305" s="3">
        <v>45866</v>
      </c>
      <c r="G4305">
        <v>202604</v>
      </c>
      <c r="H4305" t="s">
        <v>75</v>
      </c>
      <c r="I4305" t="s">
        <v>76</v>
      </c>
      <c r="J4305" t="s">
        <v>77</v>
      </c>
      <c r="K4305" t="s">
        <v>78</v>
      </c>
      <c r="L4305" t="s">
        <v>79</v>
      </c>
      <c r="M4305" t="s">
        <v>80</v>
      </c>
      <c r="N4305" t="s">
        <v>931</v>
      </c>
      <c r="O4305" t="s">
        <v>82</v>
      </c>
      <c r="P4305" t="str">
        <f>"4170051403                    "</f>
        <v xml:space="preserve">4170051403                    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22.6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  <c r="BH4305">
        <v>1</v>
      </c>
      <c r="BI4305">
        <v>1</v>
      </c>
      <c r="BJ4305">
        <v>0.2</v>
      </c>
      <c r="BK4305">
        <v>1</v>
      </c>
      <c r="BL4305">
        <v>71.2</v>
      </c>
      <c r="BM4305">
        <v>10.68</v>
      </c>
      <c r="BN4305">
        <v>81.88</v>
      </c>
      <c r="BO4305">
        <v>81.88</v>
      </c>
      <c r="BQ4305" t="s">
        <v>932</v>
      </c>
      <c r="BR4305" t="s">
        <v>84</v>
      </c>
      <c r="BS4305" s="3">
        <v>45867</v>
      </c>
      <c r="BT4305" s="4">
        <v>0.40555555555555556</v>
      </c>
      <c r="BU4305" t="s">
        <v>933</v>
      </c>
      <c r="BV4305" t="s">
        <v>98</v>
      </c>
      <c r="BY4305">
        <v>1200</v>
      </c>
      <c r="CA4305" t="s">
        <v>934</v>
      </c>
      <c r="CC4305" t="s">
        <v>80</v>
      </c>
      <c r="CD4305">
        <v>7535</v>
      </c>
      <c r="CE4305" t="s">
        <v>121</v>
      </c>
      <c r="CF4305" s="3">
        <v>45868</v>
      </c>
      <c r="CI4305">
        <v>1</v>
      </c>
      <c r="CJ4305">
        <v>1</v>
      </c>
      <c r="CK4305">
        <v>21</v>
      </c>
      <c r="CL4305" t="s">
        <v>86</v>
      </c>
    </row>
    <row r="4306" spans="1:90" x14ac:dyDescent="0.3">
      <c r="A4306" t="s">
        <v>72</v>
      </c>
      <c r="B4306" t="s">
        <v>73</v>
      </c>
      <c r="C4306" t="s">
        <v>74</v>
      </c>
      <c r="E4306" t="str">
        <f>"080066838183"</f>
        <v>080066838183</v>
      </c>
      <c r="F4306" s="3">
        <v>45866</v>
      </c>
      <c r="G4306">
        <v>202604</v>
      </c>
      <c r="H4306" t="s">
        <v>75</v>
      </c>
      <c r="I4306" t="s">
        <v>76</v>
      </c>
      <c r="J4306" t="s">
        <v>77</v>
      </c>
      <c r="K4306" t="s">
        <v>78</v>
      </c>
      <c r="L4306" t="s">
        <v>3761</v>
      </c>
      <c r="M4306" t="s">
        <v>3762</v>
      </c>
      <c r="N4306" t="s">
        <v>3763</v>
      </c>
      <c r="O4306" t="s">
        <v>82</v>
      </c>
      <c r="P4306" t="str">
        <f>"4170051555                    "</f>
        <v xml:space="preserve">4170051555                    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31.78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0</v>
      </c>
      <c r="BH4306">
        <v>1</v>
      </c>
      <c r="BI4306">
        <v>1</v>
      </c>
      <c r="BJ4306">
        <v>0.2</v>
      </c>
      <c r="BK4306">
        <v>1</v>
      </c>
      <c r="BL4306">
        <v>100.13</v>
      </c>
      <c r="BM4306">
        <v>15.02</v>
      </c>
      <c r="BN4306">
        <v>115.15</v>
      </c>
      <c r="BO4306">
        <v>115.15</v>
      </c>
      <c r="BQ4306" t="s">
        <v>3764</v>
      </c>
      <c r="BR4306" t="s">
        <v>84</v>
      </c>
      <c r="BS4306" s="3">
        <v>45867</v>
      </c>
      <c r="BT4306" s="4">
        <v>0.41041666666666665</v>
      </c>
      <c r="BU4306" t="s">
        <v>1407</v>
      </c>
      <c r="BV4306" t="s">
        <v>98</v>
      </c>
      <c r="BY4306">
        <v>1200</v>
      </c>
      <c r="CA4306" t="s">
        <v>3765</v>
      </c>
      <c r="CC4306" t="s">
        <v>3762</v>
      </c>
      <c r="CD4306">
        <v>1786</v>
      </c>
      <c r="CE4306" t="s">
        <v>121</v>
      </c>
      <c r="CF4306" s="3">
        <v>45867</v>
      </c>
      <c r="CI4306">
        <v>1</v>
      </c>
      <c r="CJ4306">
        <v>1</v>
      </c>
      <c r="CK4306">
        <v>24</v>
      </c>
      <c r="CL4306" t="s">
        <v>86</v>
      </c>
    </row>
    <row r="4307" spans="1:90" x14ac:dyDescent="0.3">
      <c r="A4307" t="s">
        <v>72</v>
      </c>
      <c r="B4307" t="s">
        <v>73</v>
      </c>
      <c r="C4307" t="s">
        <v>74</v>
      </c>
      <c r="E4307" t="str">
        <f>"080066838545"</f>
        <v>080066838545</v>
      </c>
      <c r="F4307" s="3">
        <v>45866</v>
      </c>
      <c r="G4307">
        <v>202604</v>
      </c>
      <c r="H4307" t="s">
        <v>75</v>
      </c>
      <c r="I4307" t="s">
        <v>76</v>
      </c>
      <c r="J4307" t="s">
        <v>77</v>
      </c>
      <c r="K4307" t="s">
        <v>78</v>
      </c>
      <c r="L4307" t="s">
        <v>319</v>
      </c>
      <c r="M4307" t="s">
        <v>320</v>
      </c>
      <c r="N4307" t="s">
        <v>785</v>
      </c>
      <c r="O4307" t="s">
        <v>82</v>
      </c>
      <c r="P4307" t="str">
        <f>"4170051388                    "</f>
        <v xml:space="preserve">4170051388                    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63.56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0</v>
      </c>
      <c r="BH4307">
        <v>1</v>
      </c>
      <c r="BI4307">
        <v>3</v>
      </c>
      <c r="BJ4307">
        <v>1.5</v>
      </c>
      <c r="BK4307">
        <v>3</v>
      </c>
      <c r="BL4307">
        <v>200.24</v>
      </c>
      <c r="BM4307">
        <v>30.04</v>
      </c>
      <c r="BN4307">
        <v>230.28</v>
      </c>
      <c r="BO4307">
        <v>230.28</v>
      </c>
      <c r="BQ4307" t="s">
        <v>786</v>
      </c>
      <c r="BR4307" t="s">
        <v>84</v>
      </c>
      <c r="BS4307" s="3">
        <v>45867</v>
      </c>
      <c r="BT4307" s="4">
        <v>0.52708333333333335</v>
      </c>
      <c r="BU4307" t="s">
        <v>3766</v>
      </c>
      <c r="BV4307" t="s">
        <v>98</v>
      </c>
      <c r="BY4307">
        <v>7680</v>
      </c>
      <c r="BZ4307" t="s">
        <v>89</v>
      </c>
      <c r="CA4307" t="s">
        <v>1590</v>
      </c>
      <c r="CC4307" t="s">
        <v>320</v>
      </c>
      <c r="CD4307">
        <v>1028</v>
      </c>
      <c r="CE4307" t="s">
        <v>91</v>
      </c>
      <c r="CF4307" s="3">
        <v>45867</v>
      </c>
      <c r="CI4307">
        <v>1</v>
      </c>
      <c r="CJ4307">
        <v>1</v>
      </c>
      <c r="CK4307">
        <v>23</v>
      </c>
      <c r="CL4307" t="s">
        <v>86</v>
      </c>
    </row>
    <row r="4308" spans="1:90" x14ac:dyDescent="0.3">
      <c r="A4308" t="s">
        <v>72</v>
      </c>
      <c r="B4308" t="s">
        <v>73</v>
      </c>
      <c r="C4308" t="s">
        <v>74</v>
      </c>
      <c r="E4308" t="str">
        <f>"080066838552"</f>
        <v>080066838552</v>
      </c>
      <c r="F4308" s="3">
        <v>45866</v>
      </c>
      <c r="G4308">
        <v>202604</v>
      </c>
      <c r="H4308" t="s">
        <v>75</v>
      </c>
      <c r="I4308" t="s">
        <v>76</v>
      </c>
      <c r="J4308" t="s">
        <v>77</v>
      </c>
      <c r="K4308" t="s">
        <v>78</v>
      </c>
      <c r="L4308" t="s">
        <v>1400</v>
      </c>
      <c r="M4308" t="s">
        <v>1401</v>
      </c>
      <c r="N4308" t="s">
        <v>606</v>
      </c>
      <c r="O4308" t="s">
        <v>82</v>
      </c>
      <c r="P4308" t="str">
        <f>"4170051600                    "</f>
        <v xml:space="preserve">4170051600                    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43.78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0</v>
      </c>
      <c r="BH4308">
        <v>1</v>
      </c>
      <c r="BI4308">
        <v>1</v>
      </c>
      <c r="BJ4308">
        <v>0.2</v>
      </c>
      <c r="BK4308">
        <v>1</v>
      </c>
      <c r="BL4308">
        <v>137.94</v>
      </c>
      <c r="BM4308">
        <v>20.69</v>
      </c>
      <c r="BN4308">
        <v>158.63</v>
      </c>
      <c r="BO4308">
        <v>158.63</v>
      </c>
      <c r="BQ4308" t="s">
        <v>1403</v>
      </c>
      <c r="BR4308" t="s">
        <v>84</v>
      </c>
      <c r="BS4308" s="3">
        <v>45867</v>
      </c>
      <c r="BT4308" s="4">
        <v>0.66666666666666663</v>
      </c>
      <c r="BU4308" t="s">
        <v>3767</v>
      </c>
      <c r="BV4308" t="s">
        <v>98</v>
      </c>
      <c r="BY4308">
        <v>1200</v>
      </c>
      <c r="CC4308" t="s">
        <v>1401</v>
      </c>
      <c r="CD4308">
        <v>4449</v>
      </c>
      <c r="CE4308" t="s">
        <v>121</v>
      </c>
      <c r="CF4308" s="3">
        <v>45868</v>
      </c>
      <c r="CI4308">
        <v>1</v>
      </c>
      <c r="CJ4308">
        <v>1</v>
      </c>
      <c r="CK4308">
        <v>23</v>
      </c>
      <c r="CL4308" t="s">
        <v>86</v>
      </c>
    </row>
    <row r="4309" spans="1:90" x14ac:dyDescent="0.3">
      <c r="A4309" t="s">
        <v>72</v>
      </c>
      <c r="B4309" t="s">
        <v>73</v>
      </c>
      <c r="C4309" t="s">
        <v>74</v>
      </c>
      <c r="E4309" t="str">
        <f>"080066838617"</f>
        <v>080066838617</v>
      </c>
      <c r="F4309" s="3">
        <v>45866</v>
      </c>
      <c r="G4309">
        <v>202604</v>
      </c>
      <c r="H4309" t="s">
        <v>75</v>
      </c>
      <c r="I4309" t="s">
        <v>76</v>
      </c>
      <c r="J4309" t="s">
        <v>77</v>
      </c>
      <c r="K4309" t="s">
        <v>78</v>
      </c>
      <c r="L4309" t="s">
        <v>197</v>
      </c>
      <c r="M4309" t="s">
        <v>198</v>
      </c>
      <c r="N4309" t="s">
        <v>945</v>
      </c>
      <c r="O4309" t="s">
        <v>82</v>
      </c>
      <c r="P4309" t="str">
        <f>"4170051462                    "</f>
        <v xml:space="preserve">4170051462                    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17.649999999999999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  <c r="BH4309">
        <v>1</v>
      </c>
      <c r="BI4309">
        <v>1</v>
      </c>
      <c r="BJ4309">
        <v>0.2</v>
      </c>
      <c r="BK4309">
        <v>1</v>
      </c>
      <c r="BL4309">
        <v>55.61</v>
      </c>
      <c r="BM4309">
        <v>8.34</v>
      </c>
      <c r="BN4309">
        <v>63.95</v>
      </c>
      <c r="BO4309">
        <v>63.95</v>
      </c>
      <c r="BQ4309" t="s">
        <v>946</v>
      </c>
      <c r="BR4309" t="s">
        <v>84</v>
      </c>
      <c r="BS4309" s="3">
        <v>45867</v>
      </c>
      <c r="BT4309" s="4">
        <v>0.3923611111111111</v>
      </c>
      <c r="BU4309" t="s">
        <v>3617</v>
      </c>
      <c r="BV4309" t="s">
        <v>98</v>
      </c>
      <c r="BY4309">
        <v>1200</v>
      </c>
      <c r="CA4309" t="s">
        <v>318</v>
      </c>
      <c r="CC4309" t="s">
        <v>198</v>
      </c>
      <c r="CD4309">
        <v>1422</v>
      </c>
      <c r="CE4309" t="s">
        <v>121</v>
      </c>
      <c r="CF4309" s="3">
        <v>45867</v>
      </c>
      <c r="CI4309">
        <v>1</v>
      </c>
      <c r="CJ4309">
        <v>1</v>
      </c>
      <c r="CK4309">
        <v>22</v>
      </c>
      <c r="CL4309" t="s">
        <v>86</v>
      </c>
    </row>
    <row r="4310" spans="1:90" x14ac:dyDescent="0.3">
      <c r="A4310" t="s">
        <v>72</v>
      </c>
      <c r="B4310" t="s">
        <v>73</v>
      </c>
      <c r="C4310" t="s">
        <v>74</v>
      </c>
      <c r="E4310" t="str">
        <f>"080066838647"</f>
        <v>080066838647</v>
      </c>
      <c r="F4310" s="3">
        <v>45866</v>
      </c>
      <c r="G4310">
        <v>202604</v>
      </c>
      <c r="H4310" t="s">
        <v>75</v>
      </c>
      <c r="I4310" t="s">
        <v>76</v>
      </c>
      <c r="J4310" t="s">
        <v>77</v>
      </c>
      <c r="K4310" t="s">
        <v>78</v>
      </c>
      <c r="L4310" t="s">
        <v>92</v>
      </c>
      <c r="M4310" t="s">
        <v>93</v>
      </c>
      <c r="N4310" t="s">
        <v>339</v>
      </c>
      <c r="O4310" t="s">
        <v>95</v>
      </c>
      <c r="P4310" t="str">
        <f>"4170051595                    "</f>
        <v xml:space="preserve">4170051595                    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99.63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  <c r="BE4310">
        <v>0</v>
      </c>
      <c r="BF4310">
        <v>0</v>
      </c>
      <c r="BG4310">
        <v>0</v>
      </c>
      <c r="BH4310">
        <v>2</v>
      </c>
      <c r="BI4310">
        <v>46</v>
      </c>
      <c r="BJ4310">
        <v>17.899999999999999</v>
      </c>
      <c r="BK4310">
        <v>46</v>
      </c>
      <c r="BL4310">
        <v>319.76</v>
      </c>
      <c r="BM4310">
        <v>47.96</v>
      </c>
      <c r="BN4310">
        <v>367.72</v>
      </c>
      <c r="BO4310">
        <v>367.72</v>
      </c>
      <c r="BQ4310" t="s">
        <v>340</v>
      </c>
      <c r="BR4310" t="s">
        <v>84</v>
      </c>
      <c r="BS4310" s="3">
        <v>45867</v>
      </c>
      <c r="BT4310" s="4">
        <v>0.47847222222222224</v>
      </c>
      <c r="BU4310" t="s">
        <v>1190</v>
      </c>
      <c r="BV4310" t="s">
        <v>98</v>
      </c>
      <c r="BY4310">
        <v>89280</v>
      </c>
      <c r="CA4310" t="s">
        <v>337</v>
      </c>
      <c r="CC4310" t="s">
        <v>93</v>
      </c>
      <c r="CD4310">
        <v>4052</v>
      </c>
      <c r="CE4310" t="s">
        <v>145</v>
      </c>
      <c r="CF4310" s="3">
        <v>45867</v>
      </c>
      <c r="CI4310">
        <v>1</v>
      </c>
      <c r="CJ4310">
        <v>1</v>
      </c>
      <c r="CK4310">
        <v>41</v>
      </c>
      <c r="CL4310" t="s">
        <v>86</v>
      </c>
    </row>
    <row r="4311" spans="1:90" x14ac:dyDescent="0.3">
      <c r="A4311" t="s">
        <v>72</v>
      </c>
      <c r="B4311" t="s">
        <v>73</v>
      </c>
      <c r="C4311" t="s">
        <v>74</v>
      </c>
      <c r="E4311" t="str">
        <f>"080066838680"</f>
        <v>080066838680</v>
      </c>
      <c r="F4311" s="3">
        <v>45866</v>
      </c>
      <c r="G4311">
        <v>202604</v>
      </c>
      <c r="H4311" t="s">
        <v>75</v>
      </c>
      <c r="I4311" t="s">
        <v>76</v>
      </c>
      <c r="J4311" t="s">
        <v>77</v>
      </c>
      <c r="K4311" t="s">
        <v>78</v>
      </c>
      <c r="L4311" t="s">
        <v>122</v>
      </c>
      <c r="M4311" t="s">
        <v>123</v>
      </c>
      <c r="N4311" t="s">
        <v>283</v>
      </c>
      <c r="O4311" t="s">
        <v>82</v>
      </c>
      <c r="P4311" t="str">
        <f>"4170050704                    "</f>
        <v xml:space="preserve">4170050704                    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22.6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  <c r="BE4311">
        <v>0</v>
      </c>
      <c r="BF4311">
        <v>0</v>
      </c>
      <c r="BG4311">
        <v>0</v>
      </c>
      <c r="BH4311">
        <v>1</v>
      </c>
      <c r="BI4311">
        <v>1</v>
      </c>
      <c r="BJ4311">
        <v>0.2</v>
      </c>
      <c r="BK4311">
        <v>1</v>
      </c>
      <c r="BL4311">
        <v>71.2</v>
      </c>
      <c r="BM4311">
        <v>10.68</v>
      </c>
      <c r="BN4311">
        <v>81.88</v>
      </c>
      <c r="BO4311">
        <v>81.88</v>
      </c>
      <c r="BQ4311" t="s">
        <v>284</v>
      </c>
      <c r="BR4311" t="s">
        <v>84</v>
      </c>
      <c r="BS4311" s="3">
        <v>45867</v>
      </c>
      <c r="BT4311" s="4">
        <v>0.43125000000000002</v>
      </c>
      <c r="BU4311" t="s">
        <v>285</v>
      </c>
      <c r="BV4311" t="s">
        <v>98</v>
      </c>
      <c r="BY4311">
        <v>1200</v>
      </c>
      <c r="CA4311" t="s">
        <v>187</v>
      </c>
      <c r="CC4311" t="s">
        <v>123</v>
      </c>
      <c r="CD4311">
        <v>3608</v>
      </c>
      <c r="CE4311" t="s">
        <v>121</v>
      </c>
      <c r="CF4311" s="3">
        <v>45868</v>
      </c>
      <c r="CI4311">
        <v>1</v>
      </c>
      <c r="CJ4311">
        <v>1</v>
      </c>
      <c r="CK4311">
        <v>21</v>
      </c>
      <c r="CL4311" t="s">
        <v>86</v>
      </c>
    </row>
    <row r="4312" spans="1:90" x14ac:dyDescent="0.3">
      <c r="A4312" t="s">
        <v>72</v>
      </c>
      <c r="B4312" t="s">
        <v>73</v>
      </c>
      <c r="C4312" t="s">
        <v>74</v>
      </c>
      <c r="E4312" t="str">
        <f>"080066838745"</f>
        <v>080066838745</v>
      </c>
      <c r="F4312" s="3">
        <v>45866</v>
      </c>
      <c r="G4312">
        <v>202604</v>
      </c>
      <c r="H4312" t="s">
        <v>75</v>
      </c>
      <c r="I4312" t="s">
        <v>76</v>
      </c>
      <c r="J4312" t="s">
        <v>77</v>
      </c>
      <c r="K4312" t="s">
        <v>78</v>
      </c>
      <c r="L4312" t="s">
        <v>168</v>
      </c>
      <c r="M4312" t="s">
        <v>169</v>
      </c>
      <c r="N4312" t="s">
        <v>1192</v>
      </c>
      <c r="O4312" t="s">
        <v>82</v>
      </c>
      <c r="P4312" t="str">
        <f>"4170051587                    "</f>
        <v xml:space="preserve">4170051587                    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22.6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  <c r="BE4312">
        <v>0</v>
      </c>
      <c r="BF4312">
        <v>0</v>
      </c>
      <c r="BG4312">
        <v>0</v>
      </c>
      <c r="BH4312">
        <v>1</v>
      </c>
      <c r="BI4312">
        <v>2</v>
      </c>
      <c r="BJ4312">
        <v>1.9</v>
      </c>
      <c r="BK4312">
        <v>2</v>
      </c>
      <c r="BL4312">
        <v>71.2</v>
      </c>
      <c r="BM4312">
        <v>10.68</v>
      </c>
      <c r="BN4312">
        <v>81.88</v>
      </c>
      <c r="BO4312">
        <v>81.88</v>
      </c>
      <c r="BQ4312" t="s">
        <v>1193</v>
      </c>
      <c r="BR4312" t="s">
        <v>84</v>
      </c>
      <c r="BS4312" s="3">
        <v>45867</v>
      </c>
      <c r="BT4312" s="4">
        <v>0.36736111111111114</v>
      </c>
      <c r="BU4312" t="s">
        <v>3381</v>
      </c>
      <c r="BV4312" t="s">
        <v>98</v>
      </c>
      <c r="BY4312">
        <v>9600</v>
      </c>
      <c r="CA4312" t="s">
        <v>173</v>
      </c>
      <c r="CC4312" t="s">
        <v>169</v>
      </c>
      <c r="CD4312">
        <v>6001</v>
      </c>
      <c r="CE4312" t="s">
        <v>145</v>
      </c>
      <c r="CF4312" s="3">
        <v>45867</v>
      </c>
      <c r="CI4312">
        <v>1</v>
      </c>
      <c r="CJ4312">
        <v>1</v>
      </c>
      <c r="CK4312">
        <v>21</v>
      </c>
      <c r="CL4312" t="s">
        <v>86</v>
      </c>
    </row>
    <row r="4313" spans="1:90" x14ac:dyDescent="0.3">
      <c r="A4313" t="s">
        <v>72</v>
      </c>
      <c r="B4313" t="s">
        <v>73</v>
      </c>
      <c r="C4313" t="s">
        <v>74</v>
      </c>
      <c r="E4313" t="str">
        <f>"080066838753"</f>
        <v>080066838753</v>
      </c>
      <c r="F4313" s="3">
        <v>45866</v>
      </c>
      <c r="G4313">
        <v>202604</v>
      </c>
      <c r="H4313" t="s">
        <v>75</v>
      </c>
      <c r="I4313" t="s">
        <v>76</v>
      </c>
      <c r="J4313" t="s">
        <v>77</v>
      </c>
      <c r="K4313" t="s">
        <v>78</v>
      </c>
      <c r="L4313" t="s">
        <v>135</v>
      </c>
      <c r="M4313" t="s">
        <v>136</v>
      </c>
      <c r="N4313" t="s">
        <v>2825</v>
      </c>
      <c r="O4313" t="s">
        <v>82</v>
      </c>
      <c r="P4313" t="str">
        <f>"4170051602                    "</f>
        <v xml:space="preserve">4170051602                    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22.6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0</v>
      </c>
      <c r="BH4313">
        <v>1</v>
      </c>
      <c r="BI4313">
        <v>1</v>
      </c>
      <c r="BJ4313">
        <v>0.2</v>
      </c>
      <c r="BK4313">
        <v>1</v>
      </c>
      <c r="BL4313">
        <v>71.2</v>
      </c>
      <c r="BM4313">
        <v>10.68</v>
      </c>
      <c r="BN4313">
        <v>81.88</v>
      </c>
      <c r="BO4313">
        <v>81.88</v>
      </c>
      <c r="BQ4313" t="s">
        <v>2826</v>
      </c>
      <c r="BR4313" t="s">
        <v>84</v>
      </c>
      <c r="BS4313" s="3">
        <v>45867</v>
      </c>
      <c r="BT4313" s="4">
        <v>0.41666666666666669</v>
      </c>
      <c r="BU4313" t="s">
        <v>3338</v>
      </c>
      <c r="BV4313" t="s">
        <v>98</v>
      </c>
      <c r="BY4313">
        <v>1200</v>
      </c>
      <c r="CA4313" t="s">
        <v>349</v>
      </c>
      <c r="CC4313" t="s">
        <v>136</v>
      </c>
      <c r="CD4313">
        <v>3201</v>
      </c>
      <c r="CE4313" t="s">
        <v>121</v>
      </c>
      <c r="CF4313" s="3">
        <v>45868</v>
      </c>
      <c r="CI4313">
        <v>5</v>
      </c>
      <c r="CJ4313">
        <v>1</v>
      </c>
      <c r="CK4313">
        <v>21</v>
      </c>
      <c r="CL4313" t="s">
        <v>86</v>
      </c>
    </row>
    <row r="4314" spans="1:90" x14ac:dyDescent="0.3">
      <c r="A4314" t="s">
        <v>72</v>
      </c>
      <c r="B4314" t="s">
        <v>73</v>
      </c>
      <c r="C4314" t="s">
        <v>74</v>
      </c>
      <c r="E4314" t="str">
        <f>"080066838826"</f>
        <v>080066838826</v>
      </c>
      <c r="F4314" s="3">
        <v>45866</v>
      </c>
      <c r="G4314">
        <v>202604</v>
      </c>
      <c r="H4314" t="s">
        <v>75</v>
      </c>
      <c r="I4314" t="s">
        <v>76</v>
      </c>
      <c r="J4314" t="s">
        <v>77</v>
      </c>
      <c r="K4314" t="s">
        <v>78</v>
      </c>
      <c r="L4314" t="s">
        <v>102</v>
      </c>
      <c r="M4314" t="s">
        <v>103</v>
      </c>
      <c r="N4314" t="s">
        <v>798</v>
      </c>
      <c r="O4314" t="s">
        <v>82</v>
      </c>
      <c r="P4314" t="str">
        <f>"4170051511                    "</f>
        <v xml:space="preserve">4170051511                    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31.78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  <c r="BE4314">
        <v>0</v>
      </c>
      <c r="BF4314">
        <v>0</v>
      </c>
      <c r="BG4314">
        <v>0</v>
      </c>
      <c r="BH4314">
        <v>1</v>
      </c>
      <c r="BI4314">
        <v>1</v>
      </c>
      <c r="BJ4314">
        <v>1.1000000000000001</v>
      </c>
      <c r="BK4314">
        <v>1.5</v>
      </c>
      <c r="BL4314">
        <v>100.13</v>
      </c>
      <c r="BM4314">
        <v>15.02</v>
      </c>
      <c r="BN4314">
        <v>115.15</v>
      </c>
      <c r="BO4314">
        <v>115.15</v>
      </c>
      <c r="BQ4314" t="s">
        <v>3768</v>
      </c>
      <c r="BR4314" t="s">
        <v>84</v>
      </c>
      <c r="BS4314" s="3">
        <v>45867</v>
      </c>
      <c r="BT4314" s="4">
        <v>0.4909722222222222</v>
      </c>
      <c r="BU4314" t="s">
        <v>3769</v>
      </c>
      <c r="BV4314" t="s">
        <v>98</v>
      </c>
      <c r="BY4314">
        <v>5320</v>
      </c>
      <c r="CA4314" t="s">
        <v>2296</v>
      </c>
      <c r="CC4314" t="s">
        <v>103</v>
      </c>
      <c r="CD4314">
        <v>1739</v>
      </c>
      <c r="CE4314" t="s">
        <v>145</v>
      </c>
      <c r="CF4314" s="3">
        <v>45867</v>
      </c>
      <c r="CI4314">
        <v>1</v>
      </c>
      <c r="CJ4314">
        <v>1</v>
      </c>
      <c r="CK4314">
        <v>24</v>
      </c>
      <c r="CL4314" t="s">
        <v>86</v>
      </c>
    </row>
    <row r="4315" spans="1:90" x14ac:dyDescent="0.3">
      <c r="A4315" t="s">
        <v>72</v>
      </c>
      <c r="B4315" t="s">
        <v>73</v>
      </c>
      <c r="C4315" t="s">
        <v>74</v>
      </c>
      <c r="E4315" t="str">
        <f>"080066838839"</f>
        <v>080066838839</v>
      </c>
      <c r="F4315" s="3">
        <v>45866</v>
      </c>
      <c r="G4315">
        <v>202604</v>
      </c>
      <c r="H4315" t="s">
        <v>75</v>
      </c>
      <c r="I4315" t="s">
        <v>76</v>
      </c>
      <c r="J4315" t="s">
        <v>77</v>
      </c>
      <c r="K4315" t="s">
        <v>78</v>
      </c>
      <c r="L4315" t="s">
        <v>542</v>
      </c>
      <c r="M4315" t="s">
        <v>543</v>
      </c>
      <c r="N4315" t="s">
        <v>352</v>
      </c>
      <c r="O4315" t="s">
        <v>82</v>
      </c>
      <c r="P4315" t="str">
        <f>"4170051584                    "</f>
        <v xml:space="preserve">4170051584                    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17.649999999999999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  <c r="BE4315">
        <v>0</v>
      </c>
      <c r="BF4315">
        <v>0</v>
      </c>
      <c r="BG4315">
        <v>0</v>
      </c>
      <c r="BH4315">
        <v>1</v>
      </c>
      <c r="BI4315">
        <v>1</v>
      </c>
      <c r="BJ4315">
        <v>0.2</v>
      </c>
      <c r="BK4315">
        <v>1</v>
      </c>
      <c r="BL4315">
        <v>55.61</v>
      </c>
      <c r="BM4315">
        <v>8.34</v>
      </c>
      <c r="BN4315">
        <v>63.95</v>
      </c>
      <c r="BO4315">
        <v>63.95</v>
      </c>
      <c r="BQ4315" t="s">
        <v>353</v>
      </c>
      <c r="BR4315" t="s">
        <v>84</v>
      </c>
      <c r="BS4315" s="3">
        <v>45867</v>
      </c>
      <c r="BT4315" s="4">
        <v>0.40972222222222221</v>
      </c>
      <c r="BU4315" t="s">
        <v>3340</v>
      </c>
      <c r="BV4315" t="s">
        <v>98</v>
      </c>
      <c r="BY4315">
        <v>1200</v>
      </c>
      <c r="CA4315" t="s">
        <v>748</v>
      </c>
      <c r="CC4315" t="s">
        <v>543</v>
      </c>
      <c r="CD4315">
        <v>1451</v>
      </c>
      <c r="CE4315" t="s">
        <v>121</v>
      </c>
      <c r="CF4315" s="3">
        <v>45868</v>
      </c>
      <c r="CI4315">
        <v>1</v>
      </c>
      <c r="CJ4315">
        <v>1</v>
      </c>
      <c r="CK4315">
        <v>22</v>
      </c>
      <c r="CL4315" t="s">
        <v>86</v>
      </c>
    </row>
    <row r="4316" spans="1:90" x14ac:dyDescent="0.3">
      <c r="A4316" t="s">
        <v>72</v>
      </c>
      <c r="B4316" t="s">
        <v>73</v>
      </c>
      <c r="C4316" t="s">
        <v>74</v>
      </c>
      <c r="E4316" t="str">
        <f>"080066838868"</f>
        <v>080066838868</v>
      </c>
      <c r="F4316" s="3">
        <v>45866</v>
      </c>
      <c r="G4316">
        <v>202604</v>
      </c>
      <c r="H4316" t="s">
        <v>75</v>
      </c>
      <c r="I4316" t="s">
        <v>76</v>
      </c>
      <c r="J4316" t="s">
        <v>77</v>
      </c>
      <c r="K4316" t="s">
        <v>78</v>
      </c>
      <c r="L4316" t="s">
        <v>146</v>
      </c>
      <c r="M4316" t="s">
        <v>146</v>
      </c>
      <c r="N4316" t="s">
        <v>633</v>
      </c>
      <c r="O4316" t="s">
        <v>82</v>
      </c>
      <c r="P4316" t="str">
        <f>"4170051541                    "</f>
        <v xml:space="preserve">4170051541                    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43.78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  <c r="BH4316">
        <v>1</v>
      </c>
      <c r="BI4316">
        <v>1</v>
      </c>
      <c r="BJ4316">
        <v>0.2</v>
      </c>
      <c r="BK4316">
        <v>1</v>
      </c>
      <c r="BL4316">
        <v>137.94</v>
      </c>
      <c r="BM4316">
        <v>20.69</v>
      </c>
      <c r="BN4316">
        <v>158.63</v>
      </c>
      <c r="BO4316">
        <v>158.63</v>
      </c>
      <c r="BQ4316" t="s">
        <v>634</v>
      </c>
      <c r="BR4316" t="s">
        <v>84</v>
      </c>
      <c r="BS4316" s="3">
        <v>45867</v>
      </c>
      <c r="BT4316" s="4">
        <v>0.5180555555555556</v>
      </c>
      <c r="BU4316" t="s">
        <v>1748</v>
      </c>
      <c r="BV4316" t="s">
        <v>98</v>
      </c>
      <c r="BY4316">
        <v>1200</v>
      </c>
      <c r="CA4316" t="s">
        <v>989</v>
      </c>
      <c r="CC4316" t="s">
        <v>146</v>
      </c>
      <c r="CD4316">
        <v>7646</v>
      </c>
      <c r="CE4316" t="s">
        <v>121</v>
      </c>
      <c r="CF4316" s="3">
        <v>45868</v>
      </c>
      <c r="CI4316">
        <v>1</v>
      </c>
      <c r="CJ4316">
        <v>1</v>
      </c>
      <c r="CK4316">
        <v>23</v>
      </c>
      <c r="CL4316" t="s">
        <v>86</v>
      </c>
    </row>
    <row r="4317" spans="1:90" x14ac:dyDescent="0.3">
      <c r="A4317" t="s">
        <v>72</v>
      </c>
      <c r="B4317" t="s">
        <v>73</v>
      </c>
      <c r="C4317" t="s">
        <v>74</v>
      </c>
      <c r="E4317" t="str">
        <f>"080066838878"</f>
        <v>080066838878</v>
      </c>
      <c r="F4317" s="3">
        <v>45866</v>
      </c>
      <c r="G4317">
        <v>202604</v>
      </c>
      <c r="H4317" t="s">
        <v>75</v>
      </c>
      <c r="I4317" t="s">
        <v>76</v>
      </c>
      <c r="J4317" t="s">
        <v>77</v>
      </c>
      <c r="K4317" t="s">
        <v>78</v>
      </c>
      <c r="L4317" t="s">
        <v>704</v>
      </c>
      <c r="M4317" t="s">
        <v>705</v>
      </c>
      <c r="N4317" t="s">
        <v>706</v>
      </c>
      <c r="O4317" t="s">
        <v>82</v>
      </c>
      <c r="P4317" t="str">
        <f>"4170051424                    "</f>
        <v xml:space="preserve">4170051424                    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43.78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  <c r="BH4317">
        <v>1</v>
      </c>
      <c r="BI4317">
        <v>1</v>
      </c>
      <c r="BJ4317">
        <v>1.1000000000000001</v>
      </c>
      <c r="BK4317">
        <v>1.5</v>
      </c>
      <c r="BL4317">
        <v>137.94</v>
      </c>
      <c r="BM4317">
        <v>20.69</v>
      </c>
      <c r="BN4317">
        <v>158.63</v>
      </c>
      <c r="BO4317">
        <v>158.63</v>
      </c>
      <c r="BQ4317" t="s">
        <v>707</v>
      </c>
      <c r="BR4317" t="s">
        <v>84</v>
      </c>
      <c r="BS4317" s="3">
        <v>45867</v>
      </c>
      <c r="BT4317" s="4">
        <v>0.58819444444444446</v>
      </c>
      <c r="BU4317" t="s">
        <v>3770</v>
      </c>
      <c r="BV4317" t="s">
        <v>98</v>
      </c>
      <c r="BY4317">
        <v>5320</v>
      </c>
      <c r="CA4317" t="s">
        <v>1152</v>
      </c>
      <c r="CC4317" t="s">
        <v>705</v>
      </c>
      <c r="CD4317">
        <v>6849</v>
      </c>
      <c r="CE4317" t="s">
        <v>145</v>
      </c>
      <c r="CF4317" s="3">
        <v>45868</v>
      </c>
      <c r="CI4317">
        <v>2</v>
      </c>
      <c r="CJ4317">
        <v>1</v>
      </c>
      <c r="CK4317">
        <v>23</v>
      </c>
      <c r="CL4317" t="s">
        <v>86</v>
      </c>
    </row>
    <row r="4318" spans="1:90" x14ac:dyDescent="0.3">
      <c r="A4318" t="s">
        <v>72</v>
      </c>
      <c r="B4318" t="s">
        <v>73</v>
      </c>
      <c r="C4318" t="s">
        <v>74</v>
      </c>
      <c r="E4318" t="str">
        <f>"080066838928"</f>
        <v>080066838928</v>
      </c>
      <c r="F4318" s="3">
        <v>45866</v>
      </c>
      <c r="G4318">
        <v>202604</v>
      </c>
      <c r="H4318" t="s">
        <v>75</v>
      </c>
      <c r="I4318" t="s">
        <v>76</v>
      </c>
      <c r="J4318" t="s">
        <v>77</v>
      </c>
      <c r="K4318" t="s">
        <v>78</v>
      </c>
      <c r="L4318" t="s">
        <v>151</v>
      </c>
      <c r="M4318" t="s">
        <v>152</v>
      </c>
      <c r="N4318" t="s">
        <v>153</v>
      </c>
      <c r="O4318" t="s">
        <v>82</v>
      </c>
      <c r="P4318" t="str">
        <f>"4170051508                    "</f>
        <v xml:space="preserve">4170051508                    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22.6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0</v>
      </c>
      <c r="BF4318">
        <v>0</v>
      </c>
      <c r="BG4318">
        <v>0</v>
      </c>
      <c r="BH4318">
        <v>1</v>
      </c>
      <c r="BI4318">
        <v>1</v>
      </c>
      <c r="BJ4318">
        <v>0.2</v>
      </c>
      <c r="BK4318">
        <v>1</v>
      </c>
      <c r="BL4318">
        <v>71.2</v>
      </c>
      <c r="BM4318">
        <v>10.68</v>
      </c>
      <c r="BN4318">
        <v>81.88</v>
      </c>
      <c r="BO4318">
        <v>81.88</v>
      </c>
      <c r="BQ4318" t="s">
        <v>154</v>
      </c>
      <c r="BR4318" t="s">
        <v>84</v>
      </c>
      <c r="BS4318" s="3">
        <v>45867</v>
      </c>
      <c r="BT4318" s="4">
        <v>0.34722222222222221</v>
      </c>
      <c r="BU4318" t="s">
        <v>155</v>
      </c>
      <c r="BV4318" t="s">
        <v>98</v>
      </c>
      <c r="BY4318">
        <v>1200</v>
      </c>
      <c r="CA4318" t="s">
        <v>156</v>
      </c>
      <c r="CC4318" t="s">
        <v>152</v>
      </c>
      <c r="CD4318" s="5" t="s">
        <v>157</v>
      </c>
      <c r="CE4318" t="s">
        <v>121</v>
      </c>
      <c r="CF4318" s="3">
        <v>45867</v>
      </c>
      <c r="CI4318">
        <v>1</v>
      </c>
      <c r="CJ4318">
        <v>1</v>
      </c>
      <c r="CK4318">
        <v>21</v>
      </c>
      <c r="CL4318" t="s">
        <v>86</v>
      </c>
    </row>
    <row r="4319" spans="1:90" x14ac:dyDescent="0.3">
      <c r="A4319" t="s">
        <v>72</v>
      </c>
      <c r="B4319" t="s">
        <v>73</v>
      </c>
      <c r="C4319" t="s">
        <v>74</v>
      </c>
      <c r="E4319" t="str">
        <f>"080066838952"</f>
        <v>080066838952</v>
      </c>
      <c r="F4319" s="3">
        <v>45866</v>
      </c>
      <c r="G4319">
        <v>202604</v>
      </c>
      <c r="H4319" t="s">
        <v>75</v>
      </c>
      <c r="I4319" t="s">
        <v>76</v>
      </c>
      <c r="J4319" t="s">
        <v>77</v>
      </c>
      <c r="K4319" t="s">
        <v>78</v>
      </c>
      <c r="L4319" t="s">
        <v>75</v>
      </c>
      <c r="M4319" t="s">
        <v>76</v>
      </c>
      <c r="N4319" t="s">
        <v>562</v>
      </c>
      <c r="O4319" t="s">
        <v>311</v>
      </c>
      <c r="P4319" t="str">
        <f>"4170051633                    "</f>
        <v xml:space="preserve">4170051633                    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23.6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  <c r="BE4319">
        <v>0</v>
      </c>
      <c r="BF4319">
        <v>0</v>
      </c>
      <c r="BG4319">
        <v>0</v>
      </c>
      <c r="BH4319">
        <v>1</v>
      </c>
      <c r="BI4319">
        <v>11</v>
      </c>
      <c r="BJ4319">
        <v>8.6999999999999993</v>
      </c>
      <c r="BK4319">
        <v>11</v>
      </c>
      <c r="BL4319">
        <v>74.349999999999994</v>
      </c>
      <c r="BM4319">
        <v>11.15</v>
      </c>
      <c r="BN4319">
        <v>85.5</v>
      </c>
      <c r="BO4319">
        <v>85.5</v>
      </c>
      <c r="BQ4319" t="s">
        <v>563</v>
      </c>
      <c r="BR4319" t="s">
        <v>84</v>
      </c>
      <c r="BS4319" s="3">
        <v>45867</v>
      </c>
      <c r="BT4319" s="4">
        <v>0.42569444444444443</v>
      </c>
      <c r="BU4319" t="s">
        <v>564</v>
      </c>
      <c r="BV4319" t="s">
        <v>98</v>
      </c>
      <c r="BY4319">
        <v>43740</v>
      </c>
      <c r="CA4319" t="s">
        <v>565</v>
      </c>
      <c r="CC4319" t="s">
        <v>76</v>
      </c>
      <c r="CD4319">
        <v>1619</v>
      </c>
      <c r="CE4319" t="s">
        <v>2742</v>
      </c>
      <c r="CF4319" s="3">
        <v>45868</v>
      </c>
      <c r="CI4319">
        <v>1</v>
      </c>
      <c r="CJ4319">
        <v>1</v>
      </c>
      <c r="CK4319">
        <v>32</v>
      </c>
      <c r="CL4319" t="s">
        <v>86</v>
      </c>
    </row>
    <row r="4320" spans="1:90" x14ac:dyDescent="0.3">
      <c r="A4320" t="s">
        <v>72</v>
      </c>
      <c r="B4320" t="s">
        <v>73</v>
      </c>
      <c r="C4320" t="s">
        <v>74</v>
      </c>
      <c r="E4320" t="str">
        <f>"080066839052"</f>
        <v>080066839052</v>
      </c>
      <c r="F4320" s="3">
        <v>45866</v>
      </c>
      <c r="G4320">
        <v>202604</v>
      </c>
      <c r="H4320" t="s">
        <v>75</v>
      </c>
      <c r="I4320" t="s">
        <v>76</v>
      </c>
      <c r="J4320" t="s">
        <v>77</v>
      </c>
      <c r="K4320" t="s">
        <v>78</v>
      </c>
      <c r="L4320" t="s">
        <v>234</v>
      </c>
      <c r="M4320" t="s">
        <v>235</v>
      </c>
      <c r="N4320" t="s">
        <v>3771</v>
      </c>
      <c r="O4320" t="s">
        <v>82</v>
      </c>
      <c r="P4320" t="str">
        <f>"4170051405                    "</f>
        <v xml:space="preserve">4170051405                    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17.649999999999999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  <c r="BE4320">
        <v>0</v>
      </c>
      <c r="BF4320">
        <v>0</v>
      </c>
      <c r="BG4320">
        <v>0</v>
      </c>
      <c r="BH4320">
        <v>1</v>
      </c>
      <c r="BI4320">
        <v>1</v>
      </c>
      <c r="BJ4320">
        <v>1.1000000000000001</v>
      </c>
      <c r="BK4320">
        <v>2</v>
      </c>
      <c r="BL4320">
        <v>55.61</v>
      </c>
      <c r="BM4320">
        <v>8.34</v>
      </c>
      <c r="BN4320">
        <v>63.95</v>
      </c>
      <c r="BO4320">
        <v>63.95</v>
      </c>
      <c r="BQ4320" t="s">
        <v>3772</v>
      </c>
      <c r="BR4320" t="s">
        <v>84</v>
      </c>
      <c r="BS4320" s="3">
        <v>45867</v>
      </c>
      <c r="BT4320" s="4">
        <v>0.34930555555555554</v>
      </c>
      <c r="BU4320" t="s">
        <v>768</v>
      </c>
      <c r="BV4320" t="s">
        <v>98</v>
      </c>
      <c r="BY4320">
        <v>5320</v>
      </c>
      <c r="CA4320" t="s">
        <v>3773</v>
      </c>
      <c r="CC4320" t="s">
        <v>235</v>
      </c>
      <c r="CD4320">
        <v>1682</v>
      </c>
      <c r="CE4320" t="s">
        <v>145</v>
      </c>
      <c r="CF4320" s="3">
        <v>45868</v>
      </c>
      <c r="CI4320">
        <v>1</v>
      </c>
      <c r="CJ4320">
        <v>1</v>
      </c>
      <c r="CK4320">
        <v>22</v>
      </c>
      <c r="CL4320" t="s">
        <v>86</v>
      </c>
    </row>
    <row r="4321" spans="1:90" x14ac:dyDescent="0.3">
      <c r="A4321" t="s">
        <v>72</v>
      </c>
      <c r="B4321" t="s">
        <v>73</v>
      </c>
      <c r="C4321" t="s">
        <v>74</v>
      </c>
      <c r="E4321" t="str">
        <f>"080066839089"</f>
        <v>080066839089</v>
      </c>
      <c r="F4321" s="3">
        <v>45866</v>
      </c>
      <c r="G4321">
        <v>202604</v>
      </c>
      <c r="H4321" t="s">
        <v>75</v>
      </c>
      <c r="I4321" t="s">
        <v>76</v>
      </c>
      <c r="J4321" t="s">
        <v>77</v>
      </c>
      <c r="K4321" t="s">
        <v>78</v>
      </c>
      <c r="L4321" t="s">
        <v>240</v>
      </c>
      <c r="M4321" t="s">
        <v>241</v>
      </c>
      <c r="N4321" t="s">
        <v>610</v>
      </c>
      <c r="O4321" t="s">
        <v>82</v>
      </c>
      <c r="P4321" t="str">
        <f>"4170051570                    "</f>
        <v xml:space="preserve">4170051570                    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17.649999999999999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0</v>
      </c>
      <c r="BH4321">
        <v>1</v>
      </c>
      <c r="BI4321">
        <v>2</v>
      </c>
      <c r="BJ4321">
        <v>1.7</v>
      </c>
      <c r="BK4321">
        <v>2</v>
      </c>
      <c r="BL4321">
        <v>55.61</v>
      </c>
      <c r="BM4321">
        <v>8.34</v>
      </c>
      <c r="BN4321">
        <v>63.95</v>
      </c>
      <c r="BO4321">
        <v>63.95</v>
      </c>
      <c r="BQ4321" t="s">
        <v>611</v>
      </c>
      <c r="BR4321" t="s">
        <v>84</v>
      </c>
      <c r="BS4321" s="3">
        <v>45867</v>
      </c>
      <c r="BT4321" s="4">
        <v>0.38680555555555557</v>
      </c>
      <c r="BU4321" t="s">
        <v>3774</v>
      </c>
      <c r="BV4321" t="s">
        <v>98</v>
      </c>
      <c r="BY4321">
        <v>8550</v>
      </c>
      <c r="CA4321" t="s">
        <v>451</v>
      </c>
      <c r="CC4321" t="s">
        <v>241</v>
      </c>
      <c r="CD4321">
        <v>2197</v>
      </c>
      <c r="CE4321" t="s">
        <v>145</v>
      </c>
      <c r="CF4321" s="3">
        <v>45867</v>
      </c>
      <c r="CI4321">
        <v>1</v>
      </c>
      <c r="CJ4321">
        <v>1</v>
      </c>
      <c r="CK4321">
        <v>22</v>
      </c>
      <c r="CL4321" t="s">
        <v>86</v>
      </c>
    </row>
    <row r="4322" spans="1:90" x14ac:dyDescent="0.3">
      <c r="A4322" t="s">
        <v>72</v>
      </c>
      <c r="B4322" t="s">
        <v>73</v>
      </c>
      <c r="C4322" t="s">
        <v>74</v>
      </c>
      <c r="E4322" t="str">
        <f>"080066839161"</f>
        <v>080066839161</v>
      </c>
      <c r="F4322" s="3">
        <v>45866</v>
      </c>
      <c r="G4322">
        <v>202604</v>
      </c>
      <c r="H4322" t="s">
        <v>75</v>
      </c>
      <c r="I4322" t="s">
        <v>76</v>
      </c>
      <c r="J4322" t="s">
        <v>77</v>
      </c>
      <c r="K4322" t="s">
        <v>78</v>
      </c>
      <c r="L4322" t="s">
        <v>554</v>
      </c>
      <c r="M4322" t="s">
        <v>555</v>
      </c>
      <c r="N4322" t="s">
        <v>2163</v>
      </c>
      <c r="O4322" t="s">
        <v>82</v>
      </c>
      <c r="P4322" t="str">
        <f>"4170051512                    "</f>
        <v xml:space="preserve">4170051512                    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22.6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  <c r="BH4322">
        <v>1</v>
      </c>
      <c r="BI4322">
        <v>1</v>
      </c>
      <c r="BJ4322">
        <v>0.2</v>
      </c>
      <c r="BK4322">
        <v>1</v>
      </c>
      <c r="BL4322">
        <v>71.2</v>
      </c>
      <c r="BM4322">
        <v>10.68</v>
      </c>
      <c r="BN4322">
        <v>81.88</v>
      </c>
      <c r="BO4322">
        <v>81.88</v>
      </c>
      <c r="BQ4322" t="s">
        <v>2164</v>
      </c>
      <c r="BR4322" t="s">
        <v>84</v>
      </c>
      <c r="BS4322" s="3">
        <v>45867</v>
      </c>
      <c r="BT4322" s="4">
        <v>0.34930555555555554</v>
      </c>
      <c r="BU4322" t="s">
        <v>2631</v>
      </c>
      <c r="BV4322" t="s">
        <v>98</v>
      </c>
      <c r="BY4322">
        <v>1200</v>
      </c>
      <c r="CA4322" t="s">
        <v>156</v>
      </c>
      <c r="CC4322" t="s">
        <v>555</v>
      </c>
      <c r="CD4322" s="5" t="s">
        <v>560</v>
      </c>
      <c r="CE4322" t="s">
        <v>121</v>
      </c>
      <c r="CF4322" s="3">
        <v>45867</v>
      </c>
      <c r="CI4322">
        <v>1</v>
      </c>
      <c r="CJ4322">
        <v>1</v>
      </c>
      <c r="CK4322">
        <v>21</v>
      </c>
      <c r="CL4322" t="s">
        <v>86</v>
      </c>
    </row>
    <row r="4323" spans="1:90" x14ac:dyDescent="0.3">
      <c r="A4323" t="s">
        <v>72</v>
      </c>
      <c r="B4323" t="s">
        <v>73</v>
      </c>
      <c r="C4323" t="s">
        <v>74</v>
      </c>
      <c r="E4323" t="str">
        <f>"080066839212"</f>
        <v>080066839212</v>
      </c>
      <c r="F4323" s="3">
        <v>45866</v>
      </c>
      <c r="G4323">
        <v>202604</v>
      </c>
      <c r="H4323" t="s">
        <v>75</v>
      </c>
      <c r="I4323" t="s">
        <v>76</v>
      </c>
      <c r="J4323" t="s">
        <v>77</v>
      </c>
      <c r="K4323" t="s">
        <v>78</v>
      </c>
      <c r="L4323" t="s">
        <v>197</v>
      </c>
      <c r="M4323" t="s">
        <v>198</v>
      </c>
      <c r="N4323" t="s">
        <v>3775</v>
      </c>
      <c r="O4323" t="s">
        <v>82</v>
      </c>
      <c r="P4323" t="str">
        <f>"4170051395                    "</f>
        <v xml:space="preserve">4170051395                    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17.649999999999999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0</v>
      </c>
      <c r="BH4323">
        <v>1</v>
      </c>
      <c r="BI4323">
        <v>1</v>
      </c>
      <c r="BJ4323">
        <v>0.2</v>
      </c>
      <c r="BK4323">
        <v>1</v>
      </c>
      <c r="BL4323">
        <v>55.61</v>
      </c>
      <c r="BM4323">
        <v>8.34</v>
      </c>
      <c r="BN4323">
        <v>63.95</v>
      </c>
      <c r="BO4323">
        <v>63.95</v>
      </c>
      <c r="BQ4323" t="s">
        <v>3776</v>
      </c>
      <c r="BR4323" t="s">
        <v>84</v>
      </c>
      <c r="BS4323" s="3">
        <v>45867</v>
      </c>
      <c r="BT4323" s="4">
        <v>0.37291666666666667</v>
      </c>
      <c r="BU4323" t="s">
        <v>1011</v>
      </c>
      <c r="BV4323" t="s">
        <v>98</v>
      </c>
      <c r="BY4323">
        <v>1200</v>
      </c>
      <c r="CA4323" t="s">
        <v>1799</v>
      </c>
      <c r="CC4323" t="s">
        <v>198</v>
      </c>
      <c r="CD4323">
        <v>1401</v>
      </c>
      <c r="CE4323" t="s">
        <v>121</v>
      </c>
      <c r="CF4323" s="3">
        <v>45867</v>
      </c>
      <c r="CI4323">
        <v>1</v>
      </c>
      <c r="CJ4323">
        <v>1</v>
      </c>
      <c r="CK4323">
        <v>22</v>
      </c>
      <c r="CL4323" t="s">
        <v>86</v>
      </c>
    </row>
    <row r="4324" spans="1:90" x14ac:dyDescent="0.3">
      <c r="A4324" t="s">
        <v>72</v>
      </c>
      <c r="B4324" t="s">
        <v>73</v>
      </c>
      <c r="C4324" t="s">
        <v>74</v>
      </c>
      <c r="E4324" t="str">
        <f>"080066839236"</f>
        <v>080066839236</v>
      </c>
      <c r="F4324" s="3">
        <v>45866</v>
      </c>
      <c r="G4324">
        <v>202604</v>
      </c>
      <c r="H4324" t="s">
        <v>75</v>
      </c>
      <c r="I4324" t="s">
        <v>76</v>
      </c>
      <c r="J4324" t="s">
        <v>77</v>
      </c>
      <c r="K4324" t="s">
        <v>78</v>
      </c>
      <c r="L4324" t="s">
        <v>151</v>
      </c>
      <c r="M4324" t="s">
        <v>152</v>
      </c>
      <c r="N4324" t="s">
        <v>153</v>
      </c>
      <c r="O4324" t="s">
        <v>82</v>
      </c>
      <c r="P4324" t="str">
        <f>"4170051592                    "</f>
        <v xml:space="preserve">4170051592                    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22.6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  <c r="BH4324">
        <v>1</v>
      </c>
      <c r="BI4324">
        <v>1</v>
      </c>
      <c r="BJ4324">
        <v>0.2</v>
      </c>
      <c r="BK4324">
        <v>1</v>
      </c>
      <c r="BL4324">
        <v>71.2</v>
      </c>
      <c r="BM4324">
        <v>10.68</v>
      </c>
      <c r="BN4324">
        <v>81.88</v>
      </c>
      <c r="BO4324">
        <v>81.88</v>
      </c>
      <c r="BQ4324" t="s">
        <v>154</v>
      </c>
      <c r="BR4324" t="s">
        <v>84</v>
      </c>
      <c r="BS4324" s="3">
        <v>45867</v>
      </c>
      <c r="BT4324" s="4">
        <v>0.44444444444444442</v>
      </c>
      <c r="BU4324" t="s">
        <v>3777</v>
      </c>
      <c r="BV4324" t="s">
        <v>86</v>
      </c>
      <c r="BW4324" t="s">
        <v>395</v>
      </c>
      <c r="BX4324" t="s">
        <v>905</v>
      </c>
      <c r="BY4324">
        <v>1200</v>
      </c>
      <c r="CA4324" t="s">
        <v>2504</v>
      </c>
      <c r="CC4324" t="s">
        <v>152</v>
      </c>
      <c r="CD4324" s="5" t="s">
        <v>157</v>
      </c>
      <c r="CE4324" t="s">
        <v>121</v>
      </c>
      <c r="CF4324" s="3">
        <v>45867</v>
      </c>
      <c r="CI4324">
        <v>1</v>
      </c>
      <c r="CJ4324">
        <v>1</v>
      </c>
      <c r="CK4324">
        <v>21</v>
      </c>
      <c r="CL4324" t="s">
        <v>86</v>
      </c>
    </row>
    <row r="4325" spans="1:90" x14ac:dyDescent="0.3">
      <c r="A4325" t="s">
        <v>72</v>
      </c>
      <c r="B4325" t="s">
        <v>73</v>
      </c>
      <c r="C4325" t="s">
        <v>74</v>
      </c>
      <c r="E4325" t="str">
        <f>"080066839297"</f>
        <v>080066839297</v>
      </c>
      <c r="F4325" s="3">
        <v>45866</v>
      </c>
      <c r="G4325">
        <v>202604</v>
      </c>
      <c r="H4325" t="s">
        <v>75</v>
      </c>
      <c r="I4325" t="s">
        <v>76</v>
      </c>
      <c r="J4325" t="s">
        <v>77</v>
      </c>
      <c r="K4325" t="s">
        <v>78</v>
      </c>
      <c r="L4325" t="s">
        <v>92</v>
      </c>
      <c r="M4325" t="s">
        <v>93</v>
      </c>
      <c r="N4325" t="s">
        <v>723</v>
      </c>
      <c r="O4325" t="s">
        <v>82</v>
      </c>
      <c r="P4325" t="str">
        <f>"4170051585                    "</f>
        <v xml:space="preserve">4170051585                    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129.86000000000001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0</v>
      </c>
      <c r="BH4325">
        <v>1</v>
      </c>
      <c r="BI4325">
        <v>5</v>
      </c>
      <c r="BJ4325">
        <v>11.1</v>
      </c>
      <c r="BK4325">
        <v>11.5</v>
      </c>
      <c r="BL4325">
        <v>409.12</v>
      </c>
      <c r="BM4325">
        <v>61.37</v>
      </c>
      <c r="BN4325">
        <v>470.49</v>
      </c>
      <c r="BO4325">
        <v>470.49</v>
      </c>
      <c r="BQ4325" t="s">
        <v>724</v>
      </c>
      <c r="BR4325" t="s">
        <v>84</v>
      </c>
      <c r="BS4325" s="3">
        <v>45867</v>
      </c>
      <c r="BT4325" s="4">
        <v>0.46875</v>
      </c>
      <c r="BU4325" t="s">
        <v>2480</v>
      </c>
      <c r="BV4325" t="s">
        <v>86</v>
      </c>
      <c r="BW4325" t="s">
        <v>194</v>
      </c>
      <c r="BX4325" t="s">
        <v>1174</v>
      </c>
      <c r="BY4325">
        <v>55296</v>
      </c>
      <c r="CA4325" t="s">
        <v>522</v>
      </c>
      <c r="CC4325" t="s">
        <v>93</v>
      </c>
      <c r="CD4325">
        <v>4000</v>
      </c>
      <c r="CE4325" t="s">
        <v>91</v>
      </c>
      <c r="CF4325" s="3">
        <v>45867</v>
      </c>
      <c r="CI4325">
        <v>1</v>
      </c>
      <c r="CJ4325">
        <v>1</v>
      </c>
      <c r="CK4325">
        <v>21</v>
      </c>
      <c r="CL4325" t="s">
        <v>86</v>
      </c>
    </row>
    <row r="4326" spans="1:90" x14ac:dyDescent="0.3">
      <c r="A4326" t="s">
        <v>72</v>
      </c>
      <c r="B4326" t="s">
        <v>73</v>
      </c>
      <c r="C4326" t="s">
        <v>74</v>
      </c>
      <c r="E4326" t="str">
        <f>"080066839345"</f>
        <v>080066839345</v>
      </c>
      <c r="F4326" s="3">
        <v>45866</v>
      </c>
      <c r="G4326">
        <v>202604</v>
      </c>
      <c r="H4326" t="s">
        <v>75</v>
      </c>
      <c r="I4326" t="s">
        <v>76</v>
      </c>
      <c r="J4326" t="s">
        <v>77</v>
      </c>
      <c r="K4326" t="s">
        <v>78</v>
      </c>
      <c r="L4326" t="s">
        <v>503</v>
      </c>
      <c r="M4326" t="s">
        <v>504</v>
      </c>
      <c r="N4326" t="s">
        <v>505</v>
      </c>
      <c r="O4326" t="s">
        <v>82</v>
      </c>
      <c r="P4326" t="str">
        <f>"4170051433                    "</f>
        <v xml:space="preserve">4170051433                    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63.56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0</v>
      </c>
      <c r="BH4326">
        <v>1</v>
      </c>
      <c r="BI4326">
        <v>3</v>
      </c>
      <c r="BJ4326">
        <v>1.1000000000000001</v>
      </c>
      <c r="BK4326">
        <v>3</v>
      </c>
      <c r="BL4326">
        <v>200.24</v>
      </c>
      <c r="BM4326">
        <v>30.04</v>
      </c>
      <c r="BN4326">
        <v>230.28</v>
      </c>
      <c r="BO4326">
        <v>230.28</v>
      </c>
      <c r="BQ4326" t="s">
        <v>506</v>
      </c>
      <c r="BR4326" t="s">
        <v>84</v>
      </c>
      <c r="BS4326" s="3">
        <v>45867</v>
      </c>
      <c r="BT4326" s="4">
        <v>0.4236111111111111</v>
      </c>
      <c r="BU4326" t="s">
        <v>161</v>
      </c>
      <c r="BV4326" t="s">
        <v>98</v>
      </c>
      <c r="BY4326">
        <v>5320</v>
      </c>
      <c r="CA4326" t="s">
        <v>508</v>
      </c>
      <c r="CC4326" t="s">
        <v>504</v>
      </c>
      <c r="CD4326">
        <v>7130</v>
      </c>
      <c r="CE4326" t="s">
        <v>145</v>
      </c>
      <c r="CF4326" s="3">
        <v>45868</v>
      </c>
      <c r="CI4326">
        <v>1</v>
      </c>
      <c r="CJ4326">
        <v>1</v>
      </c>
      <c r="CK4326">
        <v>23</v>
      </c>
      <c r="CL4326" t="s">
        <v>86</v>
      </c>
    </row>
    <row r="4327" spans="1:90" x14ac:dyDescent="0.3">
      <c r="A4327" t="s">
        <v>72</v>
      </c>
      <c r="B4327" t="s">
        <v>73</v>
      </c>
      <c r="C4327" t="s">
        <v>74</v>
      </c>
      <c r="E4327" t="str">
        <f>"080066839544"</f>
        <v>080066839544</v>
      </c>
      <c r="F4327" s="3">
        <v>45866</v>
      </c>
      <c r="G4327">
        <v>202604</v>
      </c>
      <c r="H4327" t="s">
        <v>75</v>
      </c>
      <c r="I4327" t="s">
        <v>76</v>
      </c>
      <c r="J4327" t="s">
        <v>77</v>
      </c>
      <c r="K4327" t="s">
        <v>78</v>
      </c>
      <c r="L4327" t="s">
        <v>102</v>
      </c>
      <c r="M4327" t="s">
        <v>103</v>
      </c>
      <c r="N4327" t="s">
        <v>3402</v>
      </c>
      <c r="O4327" t="s">
        <v>82</v>
      </c>
      <c r="P4327" t="str">
        <f>"4170051504                    "</f>
        <v xml:space="preserve">4170051504                    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31.78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  <c r="BH4327">
        <v>1</v>
      </c>
      <c r="BI4327">
        <v>1</v>
      </c>
      <c r="BJ4327">
        <v>0.2</v>
      </c>
      <c r="BK4327">
        <v>1</v>
      </c>
      <c r="BL4327">
        <v>100.13</v>
      </c>
      <c r="BM4327">
        <v>15.02</v>
      </c>
      <c r="BN4327">
        <v>115.15</v>
      </c>
      <c r="BO4327">
        <v>115.15</v>
      </c>
      <c r="BQ4327" t="s">
        <v>3403</v>
      </c>
      <c r="BR4327" t="s">
        <v>84</v>
      </c>
      <c r="BS4327" s="3">
        <v>45867</v>
      </c>
      <c r="BT4327" s="4">
        <v>0.51041666666666663</v>
      </c>
      <c r="BU4327" t="s">
        <v>2295</v>
      </c>
      <c r="BV4327" t="s">
        <v>98</v>
      </c>
      <c r="BY4327">
        <v>1200</v>
      </c>
      <c r="CA4327" t="s">
        <v>2296</v>
      </c>
      <c r="CC4327" t="s">
        <v>103</v>
      </c>
      <c r="CD4327">
        <v>1739</v>
      </c>
      <c r="CE4327" t="s">
        <v>121</v>
      </c>
      <c r="CF4327" s="3">
        <v>45867</v>
      </c>
      <c r="CI4327">
        <v>1</v>
      </c>
      <c r="CJ4327">
        <v>1</v>
      </c>
      <c r="CK4327">
        <v>24</v>
      </c>
      <c r="CL4327" t="s">
        <v>86</v>
      </c>
    </row>
    <row r="4328" spans="1:90" x14ac:dyDescent="0.3">
      <c r="A4328" t="s">
        <v>72</v>
      </c>
      <c r="B4328" t="s">
        <v>73</v>
      </c>
      <c r="C4328" t="s">
        <v>74</v>
      </c>
      <c r="E4328" t="str">
        <f>"080066839571"</f>
        <v>080066839571</v>
      </c>
      <c r="F4328" s="3">
        <v>45866</v>
      </c>
      <c r="G4328">
        <v>202604</v>
      </c>
      <c r="H4328" t="s">
        <v>75</v>
      </c>
      <c r="I4328" t="s">
        <v>76</v>
      </c>
      <c r="J4328" t="s">
        <v>77</v>
      </c>
      <c r="K4328" t="s">
        <v>78</v>
      </c>
      <c r="L4328" t="s">
        <v>135</v>
      </c>
      <c r="M4328" t="s">
        <v>136</v>
      </c>
      <c r="N4328" t="s">
        <v>379</v>
      </c>
      <c r="O4328" t="s">
        <v>82</v>
      </c>
      <c r="P4328" t="str">
        <f>"4170051492                    "</f>
        <v xml:space="preserve">4170051492                    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22.6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  <c r="BE4328">
        <v>0</v>
      </c>
      <c r="BF4328">
        <v>0</v>
      </c>
      <c r="BG4328">
        <v>0</v>
      </c>
      <c r="BH4328">
        <v>1</v>
      </c>
      <c r="BI4328">
        <v>1</v>
      </c>
      <c r="BJ4328">
        <v>0.2</v>
      </c>
      <c r="BK4328">
        <v>1</v>
      </c>
      <c r="BL4328">
        <v>71.2</v>
      </c>
      <c r="BM4328">
        <v>10.68</v>
      </c>
      <c r="BN4328">
        <v>81.88</v>
      </c>
      <c r="BO4328">
        <v>81.88</v>
      </c>
      <c r="BQ4328" t="s">
        <v>380</v>
      </c>
      <c r="BR4328" t="s">
        <v>84</v>
      </c>
      <c r="BS4328" s="3">
        <v>45867</v>
      </c>
      <c r="BT4328" s="4">
        <v>0.41666666666666669</v>
      </c>
      <c r="BU4328" t="s">
        <v>3778</v>
      </c>
      <c r="BV4328" t="s">
        <v>98</v>
      </c>
      <c r="BY4328">
        <v>1200</v>
      </c>
      <c r="CA4328" t="s">
        <v>1319</v>
      </c>
      <c r="CC4328" t="s">
        <v>136</v>
      </c>
      <c r="CD4328">
        <v>3212</v>
      </c>
      <c r="CE4328" t="s">
        <v>121</v>
      </c>
      <c r="CF4328" s="3">
        <v>45868</v>
      </c>
      <c r="CI4328">
        <v>2</v>
      </c>
      <c r="CJ4328">
        <v>1</v>
      </c>
      <c r="CK4328">
        <v>21</v>
      </c>
      <c r="CL4328" t="s">
        <v>86</v>
      </c>
    </row>
    <row r="4329" spans="1:90" x14ac:dyDescent="0.3">
      <c r="A4329" t="s">
        <v>72</v>
      </c>
      <c r="B4329" t="s">
        <v>73</v>
      </c>
      <c r="C4329" t="s">
        <v>74</v>
      </c>
      <c r="E4329" t="str">
        <f>"080066839600"</f>
        <v>080066839600</v>
      </c>
      <c r="F4329" s="3">
        <v>45866</v>
      </c>
      <c r="G4329">
        <v>202604</v>
      </c>
      <c r="H4329" t="s">
        <v>75</v>
      </c>
      <c r="I4329" t="s">
        <v>76</v>
      </c>
      <c r="J4329" t="s">
        <v>77</v>
      </c>
      <c r="K4329" t="s">
        <v>78</v>
      </c>
      <c r="L4329" t="s">
        <v>122</v>
      </c>
      <c r="M4329" t="s">
        <v>123</v>
      </c>
      <c r="N4329" t="s">
        <v>2931</v>
      </c>
      <c r="O4329" t="s">
        <v>82</v>
      </c>
      <c r="P4329" t="str">
        <f>"4170050333                    "</f>
        <v xml:space="preserve">4170050333                    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22.6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0</v>
      </c>
      <c r="BH4329">
        <v>1</v>
      </c>
      <c r="BI4329">
        <v>1</v>
      </c>
      <c r="BJ4329">
        <v>0.2</v>
      </c>
      <c r="BK4329">
        <v>1</v>
      </c>
      <c r="BL4329">
        <v>71.2</v>
      </c>
      <c r="BM4329">
        <v>10.68</v>
      </c>
      <c r="BN4329">
        <v>81.88</v>
      </c>
      <c r="BO4329">
        <v>81.88</v>
      </c>
      <c r="BQ4329" t="s">
        <v>2932</v>
      </c>
      <c r="BR4329" t="s">
        <v>84</v>
      </c>
      <c r="BS4329" s="3">
        <v>45867</v>
      </c>
      <c r="BT4329" s="4">
        <v>0.48333333333333334</v>
      </c>
      <c r="BU4329" t="s">
        <v>3688</v>
      </c>
      <c r="BV4329" t="s">
        <v>98</v>
      </c>
      <c r="BY4329">
        <v>1200</v>
      </c>
      <c r="CA4329" t="s">
        <v>3689</v>
      </c>
      <c r="CC4329" t="s">
        <v>123</v>
      </c>
      <c r="CD4329">
        <v>3610</v>
      </c>
      <c r="CE4329" t="s">
        <v>121</v>
      </c>
      <c r="CF4329" s="3">
        <v>45867</v>
      </c>
      <c r="CI4329">
        <v>1</v>
      </c>
      <c r="CJ4329">
        <v>1</v>
      </c>
      <c r="CK4329">
        <v>21</v>
      </c>
      <c r="CL4329" t="s">
        <v>86</v>
      </c>
    </row>
    <row r="4330" spans="1:90" x14ac:dyDescent="0.3">
      <c r="A4330" t="s">
        <v>72</v>
      </c>
      <c r="B4330" t="s">
        <v>73</v>
      </c>
      <c r="C4330" t="s">
        <v>74</v>
      </c>
      <c r="E4330" t="str">
        <f>"080066839630"</f>
        <v>080066839630</v>
      </c>
      <c r="F4330" s="3">
        <v>45866</v>
      </c>
      <c r="G4330">
        <v>202604</v>
      </c>
      <c r="H4330" t="s">
        <v>75</v>
      </c>
      <c r="I4330" t="s">
        <v>76</v>
      </c>
      <c r="J4330" t="s">
        <v>77</v>
      </c>
      <c r="K4330" t="s">
        <v>78</v>
      </c>
      <c r="L4330" t="s">
        <v>1128</v>
      </c>
      <c r="M4330" t="s">
        <v>1129</v>
      </c>
      <c r="N4330" t="s">
        <v>2083</v>
      </c>
      <c r="O4330" t="s">
        <v>82</v>
      </c>
      <c r="P4330" t="str">
        <f>"4170050232                    "</f>
        <v xml:space="preserve">4170050232                    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22.6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  <c r="BE4330">
        <v>0</v>
      </c>
      <c r="BF4330">
        <v>0</v>
      </c>
      <c r="BG4330">
        <v>0</v>
      </c>
      <c r="BH4330">
        <v>1</v>
      </c>
      <c r="BI4330">
        <v>1</v>
      </c>
      <c r="BJ4330">
        <v>0.2</v>
      </c>
      <c r="BK4330">
        <v>1</v>
      </c>
      <c r="BL4330">
        <v>71.2</v>
      </c>
      <c r="BM4330">
        <v>10.68</v>
      </c>
      <c r="BN4330">
        <v>81.88</v>
      </c>
      <c r="BO4330">
        <v>81.88</v>
      </c>
      <c r="BQ4330" t="s">
        <v>2084</v>
      </c>
      <c r="BR4330" t="s">
        <v>84</v>
      </c>
      <c r="BS4330" s="3">
        <v>45867</v>
      </c>
      <c r="BT4330" s="4">
        <v>0.34236111111111112</v>
      </c>
      <c r="BU4330" t="s">
        <v>2524</v>
      </c>
      <c r="BV4330" t="s">
        <v>98</v>
      </c>
      <c r="BY4330">
        <v>1200</v>
      </c>
      <c r="CA4330" t="s">
        <v>1133</v>
      </c>
      <c r="CC4330" t="s">
        <v>1129</v>
      </c>
      <c r="CD4330">
        <v>7600</v>
      </c>
      <c r="CE4330" t="s">
        <v>121</v>
      </c>
      <c r="CF4330" s="3">
        <v>45868</v>
      </c>
      <c r="CI4330">
        <v>1</v>
      </c>
      <c r="CJ4330">
        <v>1</v>
      </c>
      <c r="CK4330">
        <v>21</v>
      </c>
      <c r="CL4330" t="s">
        <v>86</v>
      </c>
    </row>
    <row r="4331" spans="1:90" x14ac:dyDescent="0.3">
      <c r="A4331" t="s">
        <v>72</v>
      </c>
      <c r="B4331" t="s">
        <v>73</v>
      </c>
      <c r="C4331" t="s">
        <v>74</v>
      </c>
      <c r="E4331" t="str">
        <f>"080066839658"</f>
        <v>080066839658</v>
      </c>
      <c r="F4331" s="3">
        <v>45866</v>
      </c>
      <c r="G4331">
        <v>202604</v>
      </c>
      <c r="H4331" t="s">
        <v>75</v>
      </c>
      <c r="I4331" t="s">
        <v>76</v>
      </c>
      <c r="J4331" t="s">
        <v>77</v>
      </c>
      <c r="K4331" t="s">
        <v>78</v>
      </c>
      <c r="L4331" t="s">
        <v>240</v>
      </c>
      <c r="M4331" t="s">
        <v>241</v>
      </c>
      <c r="N4331" t="s">
        <v>1808</v>
      </c>
      <c r="O4331" t="s">
        <v>82</v>
      </c>
      <c r="P4331" t="str">
        <f>"4170051539                    "</f>
        <v xml:space="preserve">4170051539                    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17.649999999999999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  <c r="BH4331">
        <v>1</v>
      </c>
      <c r="BI4331">
        <v>1</v>
      </c>
      <c r="BJ4331">
        <v>0.2</v>
      </c>
      <c r="BK4331">
        <v>1</v>
      </c>
      <c r="BL4331">
        <v>55.61</v>
      </c>
      <c r="BM4331">
        <v>8.34</v>
      </c>
      <c r="BN4331">
        <v>63.95</v>
      </c>
      <c r="BO4331">
        <v>63.95</v>
      </c>
      <c r="BQ4331" t="s">
        <v>1809</v>
      </c>
      <c r="BR4331" t="s">
        <v>84</v>
      </c>
      <c r="BS4331" s="3">
        <v>45867</v>
      </c>
      <c r="BT4331" s="4">
        <v>0.45208333333333334</v>
      </c>
      <c r="BU4331" t="s">
        <v>405</v>
      </c>
      <c r="BV4331" t="s">
        <v>86</v>
      </c>
      <c r="BW4331" t="s">
        <v>395</v>
      </c>
      <c r="BX4331" t="s">
        <v>396</v>
      </c>
      <c r="BY4331">
        <v>1200</v>
      </c>
      <c r="CA4331" t="s">
        <v>245</v>
      </c>
      <c r="CC4331" t="s">
        <v>241</v>
      </c>
      <c r="CD4331">
        <v>2013</v>
      </c>
      <c r="CE4331" t="s">
        <v>121</v>
      </c>
      <c r="CF4331" s="3">
        <v>45867</v>
      </c>
      <c r="CI4331">
        <v>1</v>
      </c>
      <c r="CJ4331">
        <v>1</v>
      </c>
      <c r="CK4331">
        <v>22</v>
      </c>
      <c r="CL4331" t="s">
        <v>86</v>
      </c>
    </row>
    <row r="4332" spans="1:90" x14ac:dyDescent="0.3">
      <c r="A4332" t="s">
        <v>72</v>
      </c>
      <c r="B4332" t="s">
        <v>73</v>
      </c>
      <c r="C4332" t="s">
        <v>74</v>
      </c>
      <c r="E4332" t="str">
        <f>"080066839708"</f>
        <v>080066839708</v>
      </c>
      <c r="F4332" s="3">
        <v>45866</v>
      </c>
      <c r="G4332">
        <v>202604</v>
      </c>
      <c r="H4332" t="s">
        <v>75</v>
      </c>
      <c r="I4332" t="s">
        <v>76</v>
      </c>
      <c r="J4332" t="s">
        <v>77</v>
      </c>
      <c r="K4332" t="s">
        <v>78</v>
      </c>
      <c r="L4332" t="s">
        <v>542</v>
      </c>
      <c r="M4332" t="s">
        <v>543</v>
      </c>
      <c r="N4332" t="s">
        <v>352</v>
      </c>
      <c r="O4332" t="s">
        <v>82</v>
      </c>
      <c r="P4332" t="str">
        <f>"4170051549                    "</f>
        <v xml:space="preserve">4170051549                    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17.649999999999999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0</v>
      </c>
      <c r="BH4332">
        <v>1</v>
      </c>
      <c r="BI4332">
        <v>1</v>
      </c>
      <c r="BJ4332">
        <v>0.2</v>
      </c>
      <c r="BK4332">
        <v>1</v>
      </c>
      <c r="BL4332">
        <v>55.61</v>
      </c>
      <c r="BM4332">
        <v>8.34</v>
      </c>
      <c r="BN4332">
        <v>63.95</v>
      </c>
      <c r="BO4332">
        <v>63.95</v>
      </c>
      <c r="BQ4332" t="s">
        <v>353</v>
      </c>
      <c r="BR4332" t="s">
        <v>84</v>
      </c>
      <c r="BS4332" s="3">
        <v>45867</v>
      </c>
      <c r="BT4332" s="4">
        <v>0.40972222222222221</v>
      </c>
      <c r="BU4332" t="s">
        <v>3340</v>
      </c>
      <c r="BV4332" t="s">
        <v>98</v>
      </c>
      <c r="BY4332">
        <v>1200</v>
      </c>
      <c r="CA4332" t="s">
        <v>748</v>
      </c>
      <c r="CC4332" t="s">
        <v>543</v>
      </c>
      <c r="CD4332">
        <v>1451</v>
      </c>
      <c r="CE4332" t="s">
        <v>121</v>
      </c>
      <c r="CF4332" s="3">
        <v>45868</v>
      </c>
      <c r="CI4332">
        <v>1</v>
      </c>
      <c r="CJ4332">
        <v>1</v>
      </c>
      <c r="CK4332">
        <v>22</v>
      </c>
      <c r="CL4332" t="s">
        <v>86</v>
      </c>
    </row>
    <row r="4333" spans="1:90" x14ac:dyDescent="0.3">
      <c r="A4333" t="s">
        <v>72</v>
      </c>
      <c r="B4333" t="s">
        <v>73</v>
      </c>
      <c r="C4333" t="s">
        <v>74</v>
      </c>
      <c r="E4333" t="str">
        <f>"080066839767"</f>
        <v>080066839767</v>
      </c>
      <c r="F4333" s="3">
        <v>45866</v>
      </c>
      <c r="G4333">
        <v>202604</v>
      </c>
      <c r="H4333" t="s">
        <v>75</v>
      </c>
      <c r="I4333" t="s">
        <v>76</v>
      </c>
      <c r="J4333" t="s">
        <v>77</v>
      </c>
      <c r="K4333" t="s">
        <v>78</v>
      </c>
      <c r="L4333" t="s">
        <v>604</v>
      </c>
      <c r="M4333" t="s">
        <v>605</v>
      </c>
      <c r="N4333" t="s">
        <v>3779</v>
      </c>
      <c r="O4333" t="s">
        <v>82</v>
      </c>
      <c r="P4333" t="str">
        <f>"4170051528                    "</f>
        <v xml:space="preserve">4170051528                    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241.5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2</v>
      </c>
      <c r="BI4333">
        <v>12</v>
      </c>
      <c r="BJ4333">
        <v>8.1</v>
      </c>
      <c r="BK4333">
        <v>12</v>
      </c>
      <c r="BL4333">
        <v>760.86</v>
      </c>
      <c r="BM4333">
        <v>114.13</v>
      </c>
      <c r="BN4333">
        <v>874.99</v>
      </c>
      <c r="BO4333">
        <v>874.99</v>
      </c>
      <c r="BQ4333" t="s">
        <v>3780</v>
      </c>
      <c r="BR4333" t="s">
        <v>84</v>
      </c>
      <c r="BS4333" s="3">
        <v>45868</v>
      </c>
      <c r="BT4333" s="4">
        <v>0.46736111111111112</v>
      </c>
      <c r="BU4333" t="s">
        <v>285</v>
      </c>
      <c r="BV4333" t="s">
        <v>98</v>
      </c>
      <c r="BY4333">
        <v>40716</v>
      </c>
      <c r="CA4333" t="s">
        <v>3605</v>
      </c>
      <c r="CC4333" t="s">
        <v>605</v>
      </c>
      <c r="CD4333">
        <v>4490</v>
      </c>
      <c r="CE4333" t="s">
        <v>145</v>
      </c>
      <c r="CF4333" s="3">
        <v>45868</v>
      </c>
      <c r="CI4333">
        <v>5</v>
      </c>
      <c r="CJ4333">
        <v>2</v>
      </c>
      <c r="CK4333">
        <v>23</v>
      </c>
      <c r="CL4333" t="s">
        <v>86</v>
      </c>
    </row>
    <row r="4334" spans="1:90" x14ac:dyDescent="0.3">
      <c r="A4334" t="s">
        <v>72</v>
      </c>
      <c r="B4334" t="s">
        <v>73</v>
      </c>
      <c r="C4334" t="s">
        <v>74</v>
      </c>
      <c r="E4334" t="str">
        <f>"080066839827"</f>
        <v>080066839827</v>
      </c>
      <c r="F4334" s="3">
        <v>45866</v>
      </c>
      <c r="G4334">
        <v>202604</v>
      </c>
      <c r="H4334" t="s">
        <v>75</v>
      </c>
      <c r="I4334" t="s">
        <v>76</v>
      </c>
      <c r="J4334" t="s">
        <v>77</v>
      </c>
      <c r="K4334" t="s">
        <v>78</v>
      </c>
      <c r="L4334" t="s">
        <v>92</v>
      </c>
      <c r="M4334" t="s">
        <v>93</v>
      </c>
      <c r="N4334" t="s">
        <v>3781</v>
      </c>
      <c r="O4334" t="s">
        <v>82</v>
      </c>
      <c r="P4334" t="str">
        <f>"4170051545                    "</f>
        <v xml:space="preserve">4170051545                    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22.6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0</v>
      </c>
      <c r="BH4334">
        <v>1</v>
      </c>
      <c r="BI4334">
        <v>1</v>
      </c>
      <c r="BJ4334">
        <v>0.2</v>
      </c>
      <c r="BK4334">
        <v>1</v>
      </c>
      <c r="BL4334">
        <v>71.2</v>
      </c>
      <c r="BM4334">
        <v>10.68</v>
      </c>
      <c r="BN4334">
        <v>81.88</v>
      </c>
      <c r="BO4334">
        <v>81.88</v>
      </c>
      <c r="BQ4334" t="s">
        <v>3782</v>
      </c>
      <c r="BR4334" t="s">
        <v>84</v>
      </c>
      <c r="BS4334" s="3">
        <v>45867</v>
      </c>
      <c r="BT4334" s="4">
        <v>0.64236111111111116</v>
      </c>
      <c r="BU4334" t="s">
        <v>97</v>
      </c>
      <c r="BV4334" t="s">
        <v>86</v>
      </c>
      <c r="BW4334" t="s">
        <v>219</v>
      </c>
      <c r="BX4334" t="s">
        <v>220</v>
      </c>
      <c r="BY4334">
        <v>1200</v>
      </c>
      <c r="CA4334" t="s">
        <v>100</v>
      </c>
      <c r="CC4334" t="s">
        <v>93</v>
      </c>
      <c r="CD4334">
        <v>4000</v>
      </c>
      <c r="CE4334" t="s">
        <v>121</v>
      </c>
      <c r="CF4334" s="3">
        <v>45868</v>
      </c>
      <c r="CI4334">
        <v>1</v>
      </c>
      <c r="CJ4334">
        <v>1</v>
      </c>
      <c r="CK4334">
        <v>21</v>
      </c>
      <c r="CL4334" t="s">
        <v>86</v>
      </c>
    </row>
    <row r="4335" spans="1:90" x14ac:dyDescent="0.3">
      <c r="A4335" t="s">
        <v>72</v>
      </c>
      <c r="B4335" t="s">
        <v>73</v>
      </c>
      <c r="C4335" t="s">
        <v>74</v>
      </c>
      <c r="E4335" t="str">
        <f>"080066839846"</f>
        <v>080066839846</v>
      </c>
      <c r="F4335" s="3">
        <v>45866</v>
      </c>
      <c r="G4335">
        <v>202604</v>
      </c>
      <c r="H4335" t="s">
        <v>75</v>
      </c>
      <c r="I4335" t="s">
        <v>76</v>
      </c>
      <c r="J4335" t="s">
        <v>77</v>
      </c>
      <c r="K4335" t="s">
        <v>78</v>
      </c>
      <c r="L4335" t="s">
        <v>92</v>
      </c>
      <c r="M4335" t="s">
        <v>93</v>
      </c>
      <c r="N4335" t="s">
        <v>339</v>
      </c>
      <c r="O4335" t="s">
        <v>95</v>
      </c>
      <c r="P4335" t="str">
        <f>"4170051596                    "</f>
        <v xml:space="preserve">4170051596                    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114.06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  <c r="BH4335">
        <v>3</v>
      </c>
      <c r="BI4335">
        <v>54</v>
      </c>
      <c r="BJ4335">
        <v>12.2</v>
      </c>
      <c r="BK4335">
        <v>54</v>
      </c>
      <c r="BL4335">
        <v>365.23</v>
      </c>
      <c r="BM4335">
        <v>54.78</v>
      </c>
      <c r="BN4335">
        <v>420.01</v>
      </c>
      <c r="BO4335">
        <v>420.01</v>
      </c>
      <c r="BQ4335" t="s">
        <v>340</v>
      </c>
      <c r="BR4335" t="s">
        <v>84</v>
      </c>
      <c r="BS4335" s="3">
        <v>45867</v>
      </c>
      <c r="BT4335" s="4">
        <v>0.47847222222222224</v>
      </c>
      <c r="BU4335" t="s">
        <v>1190</v>
      </c>
      <c r="BV4335" t="s">
        <v>98</v>
      </c>
      <c r="BY4335">
        <v>20358</v>
      </c>
      <c r="CA4335" t="s">
        <v>337</v>
      </c>
      <c r="CC4335" t="s">
        <v>93</v>
      </c>
      <c r="CD4335">
        <v>4052</v>
      </c>
      <c r="CE4335" t="s">
        <v>145</v>
      </c>
      <c r="CF4335" s="3">
        <v>45867</v>
      </c>
      <c r="CI4335">
        <v>1</v>
      </c>
      <c r="CJ4335">
        <v>1</v>
      </c>
      <c r="CK4335">
        <v>41</v>
      </c>
      <c r="CL4335" t="s">
        <v>86</v>
      </c>
    </row>
    <row r="4336" spans="1:90" x14ac:dyDescent="0.3">
      <c r="A4336" t="s">
        <v>72</v>
      </c>
      <c r="B4336" t="s">
        <v>73</v>
      </c>
      <c r="C4336" t="s">
        <v>74</v>
      </c>
      <c r="E4336" t="str">
        <f>"080066839881"</f>
        <v>080066839881</v>
      </c>
      <c r="F4336" s="3">
        <v>45866</v>
      </c>
      <c r="G4336">
        <v>202604</v>
      </c>
      <c r="H4336" t="s">
        <v>75</v>
      </c>
      <c r="I4336" t="s">
        <v>76</v>
      </c>
      <c r="J4336" t="s">
        <v>77</v>
      </c>
      <c r="K4336" t="s">
        <v>78</v>
      </c>
      <c r="L4336" t="s">
        <v>79</v>
      </c>
      <c r="M4336" t="s">
        <v>80</v>
      </c>
      <c r="N4336" t="s">
        <v>3783</v>
      </c>
      <c r="O4336" t="s">
        <v>82</v>
      </c>
      <c r="P4336" t="str">
        <f>"4170051608                    "</f>
        <v xml:space="preserve">4170051608                    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22.6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0</v>
      </c>
      <c r="BH4336">
        <v>1</v>
      </c>
      <c r="BI4336">
        <v>1</v>
      </c>
      <c r="BJ4336">
        <v>0.2</v>
      </c>
      <c r="BK4336">
        <v>1</v>
      </c>
      <c r="BL4336">
        <v>71.2</v>
      </c>
      <c r="BM4336">
        <v>10.68</v>
      </c>
      <c r="BN4336">
        <v>81.88</v>
      </c>
      <c r="BO4336">
        <v>81.88</v>
      </c>
      <c r="BQ4336" t="s">
        <v>3784</v>
      </c>
      <c r="BR4336" t="s">
        <v>84</v>
      </c>
      <c r="BS4336" s="3">
        <v>45867</v>
      </c>
      <c r="BT4336" s="4">
        <v>0.45347222222222222</v>
      </c>
      <c r="BU4336" t="s">
        <v>3785</v>
      </c>
      <c r="BV4336" t="s">
        <v>86</v>
      </c>
      <c r="BW4336" t="s">
        <v>87</v>
      </c>
      <c r="BX4336" t="s">
        <v>1185</v>
      </c>
      <c r="BY4336">
        <v>1200</v>
      </c>
      <c r="CA4336" t="s">
        <v>579</v>
      </c>
      <c r="CC4336" t="s">
        <v>80</v>
      </c>
      <c r="CD4336">
        <v>7460</v>
      </c>
      <c r="CE4336" t="s">
        <v>121</v>
      </c>
      <c r="CF4336" s="3">
        <v>45868</v>
      </c>
      <c r="CI4336">
        <v>1</v>
      </c>
      <c r="CJ4336">
        <v>1</v>
      </c>
      <c r="CK4336">
        <v>21</v>
      </c>
      <c r="CL4336" t="s">
        <v>86</v>
      </c>
    </row>
    <row r="4337" spans="1:90" x14ac:dyDescent="0.3">
      <c r="A4337" t="s">
        <v>72</v>
      </c>
      <c r="B4337" t="s">
        <v>73</v>
      </c>
      <c r="C4337" t="s">
        <v>74</v>
      </c>
      <c r="E4337" t="str">
        <f>"080066839921"</f>
        <v>080066839921</v>
      </c>
      <c r="F4337" s="3">
        <v>45866</v>
      </c>
      <c r="G4337">
        <v>202604</v>
      </c>
      <c r="H4337" t="s">
        <v>75</v>
      </c>
      <c r="I4337" t="s">
        <v>76</v>
      </c>
      <c r="J4337" t="s">
        <v>77</v>
      </c>
      <c r="K4337" t="s">
        <v>78</v>
      </c>
      <c r="L4337" t="s">
        <v>441</v>
      </c>
      <c r="M4337" t="s">
        <v>442</v>
      </c>
      <c r="N4337" t="s">
        <v>443</v>
      </c>
      <c r="O4337" t="s">
        <v>82</v>
      </c>
      <c r="P4337" t="str">
        <f>"4170051613                    "</f>
        <v xml:space="preserve">4170051613                    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43.78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0</v>
      </c>
      <c r="BF4337">
        <v>0</v>
      </c>
      <c r="BG4337">
        <v>0</v>
      </c>
      <c r="BH4337">
        <v>1</v>
      </c>
      <c r="BI4337">
        <v>1</v>
      </c>
      <c r="BJ4337">
        <v>0.2</v>
      </c>
      <c r="BK4337">
        <v>1</v>
      </c>
      <c r="BL4337">
        <v>137.94</v>
      </c>
      <c r="BM4337">
        <v>20.69</v>
      </c>
      <c r="BN4337">
        <v>158.63</v>
      </c>
      <c r="BO4337">
        <v>158.63</v>
      </c>
      <c r="BQ4337" t="s">
        <v>444</v>
      </c>
      <c r="BR4337" t="s">
        <v>84</v>
      </c>
      <c r="BS4337" s="3">
        <v>45867</v>
      </c>
      <c r="BT4337" s="4">
        <v>0.66666666666666663</v>
      </c>
      <c r="BU4337" t="s">
        <v>3757</v>
      </c>
      <c r="BV4337" t="s">
        <v>98</v>
      </c>
      <c r="BY4337">
        <v>1200</v>
      </c>
      <c r="CA4337" t="s">
        <v>3786</v>
      </c>
      <c r="CC4337" t="s">
        <v>442</v>
      </c>
      <c r="CD4337">
        <v>7185</v>
      </c>
      <c r="CE4337" t="s">
        <v>121</v>
      </c>
      <c r="CF4337" s="3">
        <v>45868</v>
      </c>
      <c r="CI4337">
        <v>2</v>
      </c>
      <c r="CJ4337">
        <v>1</v>
      </c>
      <c r="CK4337">
        <v>23</v>
      </c>
      <c r="CL4337" t="s">
        <v>86</v>
      </c>
    </row>
    <row r="4338" spans="1:90" x14ac:dyDescent="0.3">
      <c r="A4338" t="s">
        <v>72</v>
      </c>
      <c r="B4338" t="s">
        <v>73</v>
      </c>
      <c r="C4338" t="s">
        <v>74</v>
      </c>
      <c r="E4338" t="str">
        <f>"080066839924"</f>
        <v>080066839924</v>
      </c>
      <c r="F4338" s="3">
        <v>45866</v>
      </c>
      <c r="G4338">
        <v>202604</v>
      </c>
      <c r="H4338" t="s">
        <v>75</v>
      </c>
      <c r="I4338" t="s">
        <v>76</v>
      </c>
      <c r="J4338" t="s">
        <v>77</v>
      </c>
      <c r="K4338" t="s">
        <v>78</v>
      </c>
      <c r="L4338" t="s">
        <v>168</v>
      </c>
      <c r="M4338" t="s">
        <v>169</v>
      </c>
      <c r="N4338" t="s">
        <v>420</v>
      </c>
      <c r="O4338" t="s">
        <v>82</v>
      </c>
      <c r="P4338" t="str">
        <f>"4170051466                    "</f>
        <v xml:space="preserve">4170051466                    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39.53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  <c r="BE4338">
        <v>0</v>
      </c>
      <c r="BF4338">
        <v>0</v>
      </c>
      <c r="BG4338">
        <v>0</v>
      </c>
      <c r="BH4338">
        <v>1</v>
      </c>
      <c r="BI4338">
        <v>2</v>
      </c>
      <c r="BJ4338">
        <v>3.4</v>
      </c>
      <c r="BK4338">
        <v>3.5</v>
      </c>
      <c r="BL4338">
        <v>124.55</v>
      </c>
      <c r="BM4338">
        <v>18.68</v>
      </c>
      <c r="BN4338">
        <v>143.22999999999999</v>
      </c>
      <c r="BO4338">
        <v>143.22999999999999</v>
      </c>
      <c r="BQ4338" t="s">
        <v>421</v>
      </c>
      <c r="BR4338" t="s">
        <v>84</v>
      </c>
      <c r="BS4338" s="3">
        <v>45867</v>
      </c>
      <c r="BT4338" s="4">
        <v>0.4201388888888889</v>
      </c>
      <c r="BU4338" t="s">
        <v>1121</v>
      </c>
      <c r="BV4338" t="s">
        <v>98</v>
      </c>
      <c r="BY4338">
        <v>17150</v>
      </c>
      <c r="CA4338" t="s">
        <v>423</v>
      </c>
      <c r="CC4338" t="s">
        <v>169</v>
      </c>
      <c r="CD4338">
        <v>6001</v>
      </c>
      <c r="CE4338" t="s">
        <v>91</v>
      </c>
      <c r="CF4338" s="3">
        <v>45867</v>
      </c>
      <c r="CI4338">
        <v>1</v>
      </c>
      <c r="CJ4338">
        <v>1</v>
      </c>
      <c r="CK4338">
        <v>21</v>
      </c>
      <c r="CL4338" t="s">
        <v>86</v>
      </c>
    </row>
    <row r="4339" spans="1:90" x14ac:dyDescent="0.3">
      <c r="A4339" t="s">
        <v>72</v>
      </c>
      <c r="B4339" t="s">
        <v>73</v>
      </c>
      <c r="C4339" t="s">
        <v>74</v>
      </c>
      <c r="E4339" t="str">
        <f>"080066839968"</f>
        <v>080066839968</v>
      </c>
      <c r="F4339" s="3">
        <v>45866</v>
      </c>
      <c r="G4339">
        <v>202604</v>
      </c>
      <c r="H4339" t="s">
        <v>75</v>
      </c>
      <c r="I4339" t="s">
        <v>76</v>
      </c>
      <c r="J4339" t="s">
        <v>77</v>
      </c>
      <c r="K4339" t="s">
        <v>78</v>
      </c>
      <c r="L4339" t="s">
        <v>79</v>
      </c>
      <c r="M4339" t="s">
        <v>80</v>
      </c>
      <c r="N4339" t="s">
        <v>286</v>
      </c>
      <c r="O4339" t="s">
        <v>82</v>
      </c>
      <c r="P4339" t="str">
        <f>"4170051540                    "</f>
        <v xml:space="preserve">4170051540                    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22.6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  <c r="BE4339">
        <v>0</v>
      </c>
      <c r="BF4339">
        <v>0</v>
      </c>
      <c r="BG4339">
        <v>0</v>
      </c>
      <c r="BH4339">
        <v>1</v>
      </c>
      <c r="BI4339">
        <v>1</v>
      </c>
      <c r="BJ4339">
        <v>0.2</v>
      </c>
      <c r="BK4339">
        <v>1</v>
      </c>
      <c r="BL4339">
        <v>71.2</v>
      </c>
      <c r="BM4339">
        <v>10.68</v>
      </c>
      <c r="BN4339">
        <v>81.88</v>
      </c>
      <c r="BO4339">
        <v>81.88</v>
      </c>
      <c r="BQ4339" t="s">
        <v>287</v>
      </c>
      <c r="BR4339" t="s">
        <v>84</v>
      </c>
      <c r="BS4339" s="3">
        <v>45867</v>
      </c>
      <c r="BT4339" s="4">
        <v>0.32708333333333334</v>
      </c>
      <c r="BU4339" t="s">
        <v>650</v>
      </c>
      <c r="BV4339" t="s">
        <v>98</v>
      </c>
      <c r="BY4339">
        <v>1200</v>
      </c>
      <c r="CA4339" t="s">
        <v>289</v>
      </c>
      <c r="CC4339" t="s">
        <v>80</v>
      </c>
      <c r="CD4339">
        <v>7530</v>
      </c>
      <c r="CE4339" t="s">
        <v>121</v>
      </c>
      <c r="CF4339" s="3">
        <v>45869</v>
      </c>
      <c r="CI4339">
        <v>1</v>
      </c>
      <c r="CJ4339">
        <v>1</v>
      </c>
      <c r="CK4339">
        <v>21</v>
      </c>
      <c r="CL4339" t="s">
        <v>86</v>
      </c>
    </row>
    <row r="4340" spans="1:90" x14ac:dyDescent="0.3">
      <c r="A4340" t="s">
        <v>72</v>
      </c>
      <c r="B4340" t="s">
        <v>73</v>
      </c>
      <c r="C4340" t="s">
        <v>74</v>
      </c>
      <c r="E4340" t="str">
        <f>"080066839978"</f>
        <v>080066839978</v>
      </c>
      <c r="F4340" s="3">
        <v>45866</v>
      </c>
      <c r="G4340">
        <v>202604</v>
      </c>
      <c r="H4340" t="s">
        <v>75</v>
      </c>
      <c r="I4340" t="s">
        <v>76</v>
      </c>
      <c r="J4340" t="s">
        <v>77</v>
      </c>
      <c r="K4340" t="s">
        <v>78</v>
      </c>
      <c r="L4340" t="s">
        <v>240</v>
      </c>
      <c r="M4340" t="s">
        <v>241</v>
      </c>
      <c r="N4340" t="s">
        <v>798</v>
      </c>
      <c r="O4340" t="s">
        <v>82</v>
      </c>
      <c r="P4340" t="str">
        <f>"4170051548                    "</f>
        <v xml:space="preserve">4170051548                    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17.649999999999999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0</v>
      </c>
      <c r="BG4340">
        <v>0</v>
      </c>
      <c r="BH4340">
        <v>1</v>
      </c>
      <c r="BI4340">
        <v>3</v>
      </c>
      <c r="BJ4340">
        <v>1.1000000000000001</v>
      </c>
      <c r="BK4340">
        <v>3</v>
      </c>
      <c r="BL4340">
        <v>55.61</v>
      </c>
      <c r="BM4340">
        <v>8.34</v>
      </c>
      <c r="BN4340">
        <v>63.95</v>
      </c>
      <c r="BO4340">
        <v>63.95</v>
      </c>
      <c r="BQ4340" t="s">
        <v>799</v>
      </c>
      <c r="BR4340" t="s">
        <v>84</v>
      </c>
      <c r="BS4340" s="3">
        <v>45867</v>
      </c>
      <c r="BT4340" s="4">
        <v>0.43194444444444446</v>
      </c>
      <c r="BU4340" t="s">
        <v>3724</v>
      </c>
      <c r="BV4340" t="s">
        <v>98</v>
      </c>
      <c r="BY4340">
        <v>5320</v>
      </c>
      <c r="CA4340" t="s">
        <v>245</v>
      </c>
      <c r="CC4340" t="s">
        <v>241</v>
      </c>
      <c r="CD4340">
        <v>2013</v>
      </c>
      <c r="CE4340" t="s">
        <v>145</v>
      </c>
      <c r="CF4340" s="3">
        <v>45867</v>
      </c>
      <c r="CI4340">
        <v>1</v>
      </c>
      <c r="CJ4340">
        <v>1</v>
      </c>
      <c r="CK4340">
        <v>22</v>
      </c>
      <c r="CL4340" t="s">
        <v>86</v>
      </c>
    </row>
    <row r="4341" spans="1:90" x14ac:dyDescent="0.3">
      <c r="A4341" t="s">
        <v>72</v>
      </c>
      <c r="B4341" t="s">
        <v>73</v>
      </c>
      <c r="C4341" t="s">
        <v>74</v>
      </c>
      <c r="E4341" t="str">
        <f>"080066840014"</f>
        <v>080066840014</v>
      </c>
      <c r="F4341" s="3">
        <v>45866</v>
      </c>
      <c r="G4341">
        <v>202604</v>
      </c>
      <c r="H4341" t="s">
        <v>75</v>
      </c>
      <c r="I4341" t="s">
        <v>76</v>
      </c>
      <c r="J4341" t="s">
        <v>77</v>
      </c>
      <c r="K4341" t="s">
        <v>78</v>
      </c>
      <c r="L4341" t="s">
        <v>566</v>
      </c>
      <c r="M4341" t="s">
        <v>567</v>
      </c>
      <c r="N4341" t="s">
        <v>568</v>
      </c>
      <c r="O4341" t="s">
        <v>95</v>
      </c>
      <c r="P4341" t="str">
        <f>"4170051476                    "</f>
        <v xml:space="preserve">4170051476                    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54.56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  <c r="BH4341">
        <v>1</v>
      </c>
      <c r="BI4341">
        <v>20</v>
      </c>
      <c r="BJ4341">
        <v>9.5</v>
      </c>
      <c r="BK4341">
        <v>20</v>
      </c>
      <c r="BL4341">
        <v>177.77</v>
      </c>
      <c r="BM4341">
        <v>26.67</v>
      </c>
      <c r="BN4341">
        <v>204.44</v>
      </c>
      <c r="BO4341">
        <v>204.44</v>
      </c>
      <c r="BQ4341" t="s">
        <v>569</v>
      </c>
      <c r="BR4341" t="s">
        <v>84</v>
      </c>
      <c r="BS4341" s="3">
        <v>45867</v>
      </c>
      <c r="BT4341" s="4">
        <v>0.42708333333333331</v>
      </c>
      <c r="BU4341" t="s">
        <v>3787</v>
      </c>
      <c r="BV4341" t="s">
        <v>98</v>
      </c>
      <c r="BY4341">
        <v>47740</v>
      </c>
      <c r="CA4341" t="s">
        <v>571</v>
      </c>
      <c r="CC4341" t="s">
        <v>567</v>
      </c>
      <c r="CD4341">
        <v>2210</v>
      </c>
      <c r="CE4341" t="s">
        <v>91</v>
      </c>
      <c r="CF4341" s="3">
        <v>45867</v>
      </c>
      <c r="CI4341">
        <v>1</v>
      </c>
      <c r="CJ4341">
        <v>1</v>
      </c>
      <c r="CK4341">
        <v>44</v>
      </c>
      <c r="CL4341" t="s">
        <v>86</v>
      </c>
    </row>
    <row r="4342" spans="1:90" x14ac:dyDescent="0.3">
      <c r="A4342" t="s">
        <v>72</v>
      </c>
      <c r="B4342" t="s">
        <v>73</v>
      </c>
      <c r="C4342" t="s">
        <v>74</v>
      </c>
      <c r="E4342" t="str">
        <f>"080066840024"</f>
        <v>080066840024</v>
      </c>
      <c r="F4342" s="3">
        <v>45866</v>
      </c>
      <c r="G4342">
        <v>202604</v>
      </c>
      <c r="H4342" t="s">
        <v>75</v>
      </c>
      <c r="I4342" t="s">
        <v>76</v>
      </c>
      <c r="J4342" t="s">
        <v>77</v>
      </c>
      <c r="K4342" t="s">
        <v>78</v>
      </c>
      <c r="L4342" t="s">
        <v>240</v>
      </c>
      <c r="M4342" t="s">
        <v>241</v>
      </c>
      <c r="N4342" t="s">
        <v>1808</v>
      </c>
      <c r="O4342" t="s">
        <v>82</v>
      </c>
      <c r="P4342" t="str">
        <f>"4170050342                    "</f>
        <v xml:space="preserve">4170050342                    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17.649999999999999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0</v>
      </c>
      <c r="BH4342">
        <v>1</v>
      </c>
      <c r="BI4342">
        <v>5</v>
      </c>
      <c r="BJ4342">
        <v>1</v>
      </c>
      <c r="BK4342">
        <v>5</v>
      </c>
      <c r="BL4342">
        <v>55.61</v>
      </c>
      <c r="BM4342">
        <v>8.34</v>
      </c>
      <c r="BN4342">
        <v>63.95</v>
      </c>
      <c r="BO4342">
        <v>63.95</v>
      </c>
      <c r="BQ4342" t="s">
        <v>1809</v>
      </c>
      <c r="BR4342" t="s">
        <v>84</v>
      </c>
      <c r="BS4342" s="3">
        <v>45867</v>
      </c>
      <c r="BT4342" s="4">
        <v>0.4513888888888889</v>
      </c>
      <c r="BU4342" t="s">
        <v>405</v>
      </c>
      <c r="BV4342" t="s">
        <v>86</v>
      </c>
      <c r="BW4342" t="s">
        <v>395</v>
      </c>
      <c r="BX4342" t="s">
        <v>396</v>
      </c>
      <c r="BY4342">
        <v>5120</v>
      </c>
      <c r="BZ4342" t="s">
        <v>89</v>
      </c>
      <c r="CA4342" t="s">
        <v>245</v>
      </c>
      <c r="CC4342" t="s">
        <v>241</v>
      </c>
      <c r="CD4342">
        <v>2013</v>
      </c>
      <c r="CE4342" t="s">
        <v>91</v>
      </c>
      <c r="CF4342" s="3">
        <v>45867</v>
      </c>
      <c r="CI4342">
        <v>1</v>
      </c>
      <c r="CJ4342">
        <v>1</v>
      </c>
      <c r="CK4342">
        <v>22</v>
      </c>
      <c r="CL4342" t="s">
        <v>86</v>
      </c>
    </row>
    <row r="4343" spans="1:90" x14ac:dyDescent="0.3">
      <c r="A4343" t="s">
        <v>72</v>
      </c>
      <c r="B4343" t="s">
        <v>73</v>
      </c>
      <c r="C4343" t="s">
        <v>74</v>
      </c>
      <c r="E4343" t="str">
        <f>"080066840060"</f>
        <v>080066840060</v>
      </c>
      <c r="F4343" s="3">
        <v>45866</v>
      </c>
      <c r="G4343">
        <v>202604</v>
      </c>
      <c r="H4343" t="s">
        <v>75</v>
      </c>
      <c r="I4343" t="s">
        <v>76</v>
      </c>
      <c r="J4343" t="s">
        <v>77</v>
      </c>
      <c r="K4343" t="s">
        <v>78</v>
      </c>
      <c r="L4343" t="s">
        <v>135</v>
      </c>
      <c r="M4343" t="s">
        <v>136</v>
      </c>
      <c r="N4343" t="s">
        <v>1228</v>
      </c>
      <c r="O4343" t="s">
        <v>82</v>
      </c>
      <c r="P4343" t="str">
        <f>"4170051484                    "</f>
        <v xml:space="preserve">4170051484                    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33.89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0</v>
      </c>
      <c r="BH4343">
        <v>1</v>
      </c>
      <c r="BI4343">
        <v>3</v>
      </c>
      <c r="BJ4343">
        <v>2.4</v>
      </c>
      <c r="BK4343">
        <v>3</v>
      </c>
      <c r="BL4343">
        <v>106.77</v>
      </c>
      <c r="BM4343">
        <v>16.02</v>
      </c>
      <c r="BN4343">
        <v>122.79</v>
      </c>
      <c r="BO4343">
        <v>122.79</v>
      </c>
      <c r="BQ4343" t="s">
        <v>1229</v>
      </c>
      <c r="BR4343" t="s">
        <v>84</v>
      </c>
      <c r="BS4343" s="3">
        <v>45867</v>
      </c>
      <c r="BT4343" s="4">
        <v>0.41666666666666669</v>
      </c>
      <c r="BU4343" t="s">
        <v>3515</v>
      </c>
      <c r="BV4343" t="s">
        <v>98</v>
      </c>
      <c r="BY4343">
        <v>11832</v>
      </c>
      <c r="BZ4343" t="s">
        <v>89</v>
      </c>
      <c r="CA4343" t="s">
        <v>1319</v>
      </c>
      <c r="CC4343" t="s">
        <v>136</v>
      </c>
      <c r="CD4343">
        <v>3212</v>
      </c>
      <c r="CE4343" t="s">
        <v>91</v>
      </c>
      <c r="CF4343" s="3">
        <v>45868</v>
      </c>
      <c r="CI4343">
        <v>2</v>
      </c>
      <c r="CJ4343">
        <v>1</v>
      </c>
      <c r="CK4343">
        <v>21</v>
      </c>
      <c r="CL4343" t="s">
        <v>86</v>
      </c>
    </row>
    <row r="4344" spans="1:90" x14ac:dyDescent="0.3">
      <c r="A4344" t="s">
        <v>72</v>
      </c>
      <c r="B4344" t="s">
        <v>73</v>
      </c>
      <c r="C4344" t="s">
        <v>74</v>
      </c>
      <c r="E4344" t="str">
        <f>"080066840400"</f>
        <v>080066840400</v>
      </c>
      <c r="F4344" s="3">
        <v>45866</v>
      </c>
      <c r="G4344">
        <v>202604</v>
      </c>
      <c r="H4344" t="s">
        <v>75</v>
      </c>
      <c r="I4344" t="s">
        <v>76</v>
      </c>
      <c r="J4344" t="s">
        <v>77</v>
      </c>
      <c r="K4344" t="s">
        <v>78</v>
      </c>
      <c r="L4344" t="s">
        <v>79</v>
      </c>
      <c r="M4344" t="s">
        <v>80</v>
      </c>
      <c r="N4344" t="s">
        <v>931</v>
      </c>
      <c r="O4344" t="s">
        <v>82</v>
      </c>
      <c r="P4344" t="str">
        <f>"4170051538                    "</f>
        <v xml:space="preserve">4170051538                    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22.6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  <c r="BE4344">
        <v>0</v>
      </c>
      <c r="BF4344">
        <v>0</v>
      </c>
      <c r="BG4344">
        <v>0</v>
      </c>
      <c r="BH4344">
        <v>1</v>
      </c>
      <c r="BI4344">
        <v>1</v>
      </c>
      <c r="BJ4344">
        <v>0.2</v>
      </c>
      <c r="BK4344">
        <v>1</v>
      </c>
      <c r="BL4344">
        <v>71.2</v>
      </c>
      <c r="BM4344">
        <v>10.68</v>
      </c>
      <c r="BN4344">
        <v>81.88</v>
      </c>
      <c r="BO4344">
        <v>81.88</v>
      </c>
      <c r="BQ4344" t="s">
        <v>932</v>
      </c>
      <c r="BR4344" t="s">
        <v>84</v>
      </c>
      <c r="BS4344" s="3">
        <v>45867</v>
      </c>
      <c r="BT4344" s="4">
        <v>0.40555555555555556</v>
      </c>
      <c r="BU4344" t="s">
        <v>933</v>
      </c>
      <c r="BV4344" t="s">
        <v>98</v>
      </c>
      <c r="BY4344">
        <v>1200</v>
      </c>
      <c r="CA4344" t="s">
        <v>934</v>
      </c>
      <c r="CC4344" t="s">
        <v>80</v>
      </c>
      <c r="CD4344">
        <v>7535</v>
      </c>
      <c r="CE4344" t="s">
        <v>121</v>
      </c>
      <c r="CF4344" s="3">
        <v>45868</v>
      </c>
      <c r="CI4344">
        <v>1</v>
      </c>
      <c r="CJ4344">
        <v>1</v>
      </c>
      <c r="CK4344">
        <v>21</v>
      </c>
      <c r="CL4344" t="s">
        <v>86</v>
      </c>
    </row>
    <row r="4345" spans="1:90" x14ac:dyDescent="0.3">
      <c r="A4345" t="s">
        <v>72</v>
      </c>
      <c r="B4345" t="s">
        <v>73</v>
      </c>
      <c r="C4345" t="s">
        <v>74</v>
      </c>
      <c r="E4345" t="str">
        <f>"080066840421"</f>
        <v>080066840421</v>
      </c>
      <c r="F4345" s="3">
        <v>45866</v>
      </c>
      <c r="G4345">
        <v>202604</v>
      </c>
      <c r="H4345" t="s">
        <v>75</v>
      </c>
      <c r="I4345" t="s">
        <v>76</v>
      </c>
      <c r="J4345" t="s">
        <v>77</v>
      </c>
      <c r="K4345" t="s">
        <v>78</v>
      </c>
      <c r="L4345" t="s">
        <v>92</v>
      </c>
      <c r="M4345" t="s">
        <v>93</v>
      </c>
      <c r="N4345" t="s">
        <v>3748</v>
      </c>
      <c r="O4345" t="s">
        <v>82</v>
      </c>
      <c r="P4345" t="str">
        <f>"4170051402                    "</f>
        <v xml:space="preserve">4170051402                    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62.11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0</v>
      </c>
      <c r="BG4345">
        <v>0</v>
      </c>
      <c r="BH4345">
        <v>1</v>
      </c>
      <c r="BI4345">
        <v>3</v>
      </c>
      <c r="BJ4345">
        <v>5.5</v>
      </c>
      <c r="BK4345">
        <v>5.5</v>
      </c>
      <c r="BL4345">
        <v>195.69</v>
      </c>
      <c r="BM4345">
        <v>29.35</v>
      </c>
      <c r="BN4345">
        <v>225.04</v>
      </c>
      <c r="BO4345">
        <v>225.04</v>
      </c>
      <c r="BQ4345" t="s">
        <v>3749</v>
      </c>
      <c r="BR4345" t="s">
        <v>84</v>
      </c>
      <c r="BS4345" s="3">
        <v>45867</v>
      </c>
      <c r="BT4345" s="4">
        <v>0.41597222222222224</v>
      </c>
      <c r="BU4345" t="s">
        <v>3750</v>
      </c>
      <c r="BV4345" t="s">
        <v>98</v>
      </c>
      <c r="BY4345">
        <v>27744</v>
      </c>
      <c r="CA4345" t="s">
        <v>3751</v>
      </c>
      <c r="CC4345" t="s">
        <v>93</v>
      </c>
      <c r="CD4345">
        <v>4093</v>
      </c>
      <c r="CE4345" t="s">
        <v>91</v>
      </c>
      <c r="CF4345" s="3">
        <v>45867</v>
      </c>
      <c r="CI4345">
        <v>1</v>
      </c>
      <c r="CJ4345">
        <v>1</v>
      </c>
      <c r="CK4345">
        <v>21</v>
      </c>
      <c r="CL4345" t="s">
        <v>86</v>
      </c>
    </row>
    <row r="4346" spans="1:90" x14ac:dyDescent="0.3">
      <c r="A4346" t="s">
        <v>72</v>
      </c>
      <c r="B4346" t="s">
        <v>73</v>
      </c>
      <c r="C4346" t="s">
        <v>74</v>
      </c>
      <c r="E4346" t="str">
        <f>"080066840431"</f>
        <v>080066840431</v>
      </c>
      <c r="F4346" s="3">
        <v>45866</v>
      </c>
      <c r="G4346">
        <v>202604</v>
      </c>
      <c r="H4346" t="s">
        <v>75</v>
      </c>
      <c r="I4346" t="s">
        <v>76</v>
      </c>
      <c r="J4346" t="s">
        <v>77</v>
      </c>
      <c r="K4346" t="s">
        <v>78</v>
      </c>
      <c r="L4346" t="s">
        <v>854</v>
      </c>
      <c r="M4346" t="s">
        <v>855</v>
      </c>
      <c r="N4346" t="s">
        <v>856</v>
      </c>
      <c r="O4346" t="s">
        <v>82</v>
      </c>
      <c r="P4346" t="str">
        <f>"4170051617                    "</f>
        <v xml:space="preserve">4170051617                    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43.78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16.739999999999998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  <c r="BH4346">
        <v>1</v>
      </c>
      <c r="BI4346">
        <v>1</v>
      </c>
      <c r="BJ4346">
        <v>0.2</v>
      </c>
      <c r="BK4346">
        <v>1</v>
      </c>
      <c r="BL4346">
        <v>154.68</v>
      </c>
      <c r="BM4346">
        <v>23.2</v>
      </c>
      <c r="BN4346">
        <v>177.88</v>
      </c>
      <c r="BO4346">
        <v>177.88</v>
      </c>
      <c r="BQ4346" t="s">
        <v>857</v>
      </c>
      <c r="BR4346" t="s">
        <v>84</v>
      </c>
      <c r="BS4346" s="3">
        <v>45867</v>
      </c>
      <c r="BT4346" s="4">
        <v>0.54513888888888884</v>
      </c>
      <c r="BU4346" t="s">
        <v>3788</v>
      </c>
      <c r="BV4346" t="s">
        <v>98</v>
      </c>
      <c r="BY4346">
        <v>1200</v>
      </c>
      <c r="BZ4346" t="s">
        <v>30</v>
      </c>
      <c r="CA4346" t="s">
        <v>3789</v>
      </c>
      <c r="CC4346" t="s">
        <v>855</v>
      </c>
      <c r="CD4346" s="5" t="s">
        <v>860</v>
      </c>
      <c r="CE4346" t="s">
        <v>121</v>
      </c>
      <c r="CF4346" s="3">
        <v>45868</v>
      </c>
      <c r="CI4346">
        <v>1</v>
      </c>
      <c r="CJ4346">
        <v>1</v>
      </c>
      <c r="CK4346">
        <v>23</v>
      </c>
      <c r="CL4346" t="s">
        <v>86</v>
      </c>
    </row>
    <row r="4347" spans="1:90" x14ac:dyDescent="0.3">
      <c r="A4347" t="s">
        <v>72</v>
      </c>
      <c r="B4347" t="s">
        <v>73</v>
      </c>
      <c r="C4347" t="s">
        <v>74</v>
      </c>
      <c r="E4347" t="str">
        <f>"080066840467"</f>
        <v>080066840467</v>
      </c>
      <c r="F4347" s="3">
        <v>45866</v>
      </c>
      <c r="G4347">
        <v>202604</v>
      </c>
      <c r="H4347" t="s">
        <v>75</v>
      </c>
      <c r="I4347" t="s">
        <v>76</v>
      </c>
      <c r="J4347" t="s">
        <v>77</v>
      </c>
      <c r="K4347" t="s">
        <v>78</v>
      </c>
      <c r="L4347" t="s">
        <v>305</v>
      </c>
      <c r="M4347" t="s">
        <v>306</v>
      </c>
      <c r="N4347" t="s">
        <v>1320</v>
      </c>
      <c r="O4347" t="s">
        <v>82</v>
      </c>
      <c r="P4347" t="str">
        <f>"4170051618                    "</f>
        <v xml:space="preserve">4170051618                    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45.18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0</v>
      </c>
      <c r="BH4347">
        <v>1</v>
      </c>
      <c r="BI4347">
        <v>4</v>
      </c>
      <c r="BJ4347">
        <v>3.4</v>
      </c>
      <c r="BK4347">
        <v>4</v>
      </c>
      <c r="BL4347">
        <v>142.34</v>
      </c>
      <c r="BM4347">
        <v>21.35</v>
      </c>
      <c r="BN4347">
        <v>163.69</v>
      </c>
      <c r="BO4347">
        <v>163.69</v>
      </c>
      <c r="BQ4347" t="s">
        <v>308</v>
      </c>
      <c r="BR4347" t="s">
        <v>84</v>
      </c>
      <c r="BS4347" s="3">
        <v>45867</v>
      </c>
      <c r="BT4347" s="4">
        <v>0.4375</v>
      </c>
      <c r="BU4347" t="s">
        <v>2253</v>
      </c>
      <c r="BV4347" t="s">
        <v>98</v>
      </c>
      <c r="BY4347">
        <v>16965</v>
      </c>
      <c r="CA4347" t="s">
        <v>2174</v>
      </c>
      <c r="CC4347" t="s">
        <v>306</v>
      </c>
      <c r="CD4347">
        <v>5201</v>
      </c>
      <c r="CE4347" t="s">
        <v>145</v>
      </c>
      <c r="CF4347" s="3">
        <v>45867</v>
      </c>
      <c r="CI4347">
        <v>1</v>
      </c>
      <c r="CJ4347">
        <v>1</v>
      </c>
      <c r="CK4347">
        <v>21</v>
      </c>
      <c r="CL4347" t="s">
        <v>86</v>
      </c>
    </row>
    <row r="4348" spans="1:90" x14ac:dyDescent="0.3">
      <c r="A4348" t="s">
        <v>72</v>
      </c>
      <c r="B4348" t="s">
        <v>73</v>
      </c>
      <c r="C4348" t="s">
        <v>74</v>
      </c>
      <c r="E4348" t="str">
        <f>"080066840468"</f>
        <v>080066840468</v>
      </c>
      <c r="F4348" s="3">
        <v>45866</v>
      </c>
      <c r="G4348">
        <v>202604</v>
      </c>
      <c r="H4348" t="s">
        <v>75</v>
      </c>
      <c r="I4348" t="s">
        <v>76</v>
      </c>
      <c r="J4348" t="s">
        <v>77</v>
      </c>
      <c r="K4348" t="s">
        <v>78</v>
      </c>
      <c r="L4348" t="s">
        <v>111</v>
      </c>
      <c r="M4348" t="s">
        <v>112</v>
      </c>
      <c r="N4348" t="s">
        <v>113</v>
      </c>
      <c r="O4348" t="s">
        <v>82</v>
      </c>
      <c r="P4348" t="str">
        <f>"4170051460                    "</f>
        <v xml:space="preserve">4170051460                    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43.78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  <c r="BH4348">
        <v>1</v>
      </c>
      <c r="BI4348">
        <v>1</v>
      </c>
      <c r="BJ4348">
        <v>0.2</v>
      </c>
      <c r="BK4348">
        <v>1</v>
      </c>
      <c r="BL4348">
        <v>137.94</v>
      </c>
      <c r="BM4348">
        <v>20.69</v>
      </c>
      <c r="BN4348">
        <v>158.63</v>
      </c>
      <c r="BO4348">
        <v>158.63</v>
      </c>
      <c r="BQ4348" t="s">
        <v>537</v>
      </c>
      <c r="BR4348" t="s">
        <v>84</v>
      </c>
      <c r="BS4348" s="3">
        <v>45867</v>
      </c>
      <c r="BT4348" s="4">
        <v>0.4375</v>
      </c>
      <c r="BU4348" t="s">
        <v>115</v>
      </c>
      <c r="BV4348" t="s">
        <v>98</v>
      </c>
      <c r="BY4348">
        <v>1200</v>
      </c>
      <c r="CA4348" t="s">
        <v>116</v>
      </c>
      <c r="CC4348" t="s">
        <v>112</v>
      </c>
      <c r="CD4348">
        <v>1871</v>
      </c>
      <c r="CE4348" t="s">
        <v>121</v>
      </c>
      <c r="CF4348" s="3">
        <v>45867</v>
      </c>
      <c r="CI4348">
        <v>1</v>
      </c>
      <c r="CJ4348">
        <v>1</v>
      </c>
      <c r="CK4348">
        <v>23</v>
      </c>
      <c r="CL4348" t="s">
        <v>86</v>
      </c>
    </row>
    <row r="4349" spans="1:90" x14ac:dyDescent="0.3">
      <c r="A4349" t="s">
        <v>72</v>
      </c>
      <c r="B4349" t="s">
        <v>73</v>
      </c>
      <c r="C4349" t="s">
        <v>74</v>
      </c>
      <c r="E4349" t="str">
        <f>"080066840619"</f>
        <v>080066840619</v>
      </c>
      <c r="F4349" s="3">
        <v>45866</v>
      </c>
      <c r="G4349">
        <v>202604</v>
      </c>
      <c r="H4349" t="s">
        <v>75</v>
      </c>
      <c r="I4349" t="s">
        <v>76</v>
      </c>
      <c r="J4349" t="s">
        <v>77</v>
      </c>
      <c r="K4349" t="s">
        <v>78</v>
      </c>
      <c r="L4349" t="s">
        <v>174</v>
      </c>
      <c r="M4349" t="s">
        <v>175</v>
      </c>
      <c r="N4349" t="s">
        <v>176</v>
      </c>
      <c r="O4349" t="s">
        <v>82</v>
      </c>
      <c r="P4349" t="str">
        <f>"4170051493                    "</f>
        <v xml:space="preserve">4170051493                    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28.24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  <c r="BE4349">
        <v>0</v>
      </c>
      <c r="BF4349">
        <v>0</v>
      </c>
      <c r="BG4349">
        <v>0</v>
      </c>
      <c r="BH4349">
        <v>1</v>
      </c>
      <c r="BI4349">
        <v>1</v>
      </c>
      <c r="BJ4349">
        <v>2.2999999999999998</v>
      </c>
      <c r="BK4349">
        <v>2.5</v>
      </c>
      <c r="BL4349">
        <v>88.98</v>
      </c>
      <c r="BM4349">
        <v>13.35</v>
      </c>
      <c r="BN4349">
        <v>102.33</v>
      </c>
      <c r="BO4349">
        <v>102.33</v>
      </c>
      <c r="BQ4349" t="s">
        <v>177</v>
      </c>
      <c r="BR4349" t="s">
        <v>84</v>
      </c>
      <c r="BS4349" s="3">
        <v>45867</v>
      </c>
      <c r="BT4349" s="4">
        <v>0.37152777777777779</v>
      </c>
      <c r="BU4349" t="s">
        <v>178</v>
      </c>
      <c r="BV4349" t="s">
        <v>98</v>
      </c>
      <c r="BY4349">
        <v>11368</v>
      </c>
      <c r="CA4349" t="s">
        <v>173</v>
      </c>
      <c r="CC4349" t="s">
        <v>175</v>
      </c>
      <c r="CD4349">
        <v>6220</v>
      </c>
      <c r="CE4349" t="s">
        <v>145</v>
      </c>
      <c r="CF4349" s="3">
        <v>45867</v>
      </c>
      <c r="CI4349">
        <v>1</v>
      </c>
      <c r="CJ4349">
        <v>1</v>
      </c>
      <c r="CK4349">
        <v>21</v>
      </c>
      <c r="CL4349" t="s">
        <v>86</v>
      </c>
    </row>
    <row r="4350" spans="1:90" x14ac:dyDescent="0.3">
      <c r="A4350" t="s">
        <v>72</v>
      </c>
      <c r="B4350" t="s">
        <v>73</v>
      </c>
      <c r="C4350" t="s">
        <v>74</v>
      </c>
      <c r="E4350" t="str">
        <f>"080066841407"</f>
        <v>080066841407</v>
      </c>
      <c r="F4350" s="3">
        <v>45866</v>
      </c>
      <c r="G4350">
        <v>202604</v>
      </c>
      <c r="H4350" t="s">
        <v>75</v>
      </c>
      <c r="I4350" t="s">
        <v>76</v>
      </c>
      <c r="J4350" t="s">
        <v>77</v>
      </c>
      <c r="K4350" t="s">
        <v>78</v>
      </c>
      <c r="L4350" t="s">
        <v>1000</v>
      </c>
      <c r="M4350" t="s">
        <v>1001</v>
      </c>
      <c r="N4350" t="s">
        <v>1002</v>
      </c>
      <c r="O4350" t="s">
        <v>95</v>
      </c>
      <c r="P4350" t="str">
        <f>"4170051695                    "</f>
        <v xml:space="preserve">4170051695                    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94.89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  <c r="BH4350">
        <v>2</v>
      </c>
      <c r="BI4350">
        <v>52</v>
      </c>
      <c r="BJ4350">
        <v>33</v>
      </c>
      <c r="BK4350">
        <v>52</v>
      </c>
      <c r="BL4350">
        <v>304.82</v>
      </c>
      <c r="BM4350">
        <v>45.72</v>
      </c>
      <c r="BN4350">
        <v>350.54</v>
      </c>
      <c r="BO4350">
        <v>350.54</v>
      </c>
      <c r="BQ4350" t="s">
        <v>1003</v>
      </c>
      <c r="BR4350" t="s">
        <v>84</v>
      </c>
      <c r="BS4350" s="3">
        <v>45868</v>
      </c>
      <c r="BT4350" s="4">
        <v>0.41666666666666669</v>
      </c>
      <c r="BU4350" t="s">
        <v>3354</v>
      </c>
      <c r="BV4350" t="s">
        <v>86</v>
      </c>
      <c r="BW4350" t="s">
        <v>395</v>
      </c>
      <c r="BX4350" t="s">
        <v>957</v>
      </c>
      <c r="BY4350">
        <v>82460</v>
      </c>
      <c r="CC4350" t="s">
        <v>1001</v>
      </c>
      <c r="CD4350">
        <v>2410</v>
      </c>
      <c r="CE4350" t="s">
        <v>2420</v>
      </c>
      <c r="CF4350" s="3">
        <v>45868</v>
      </c>
      <c r="CI4350">
        <v>1</v>
      </c>
      <c r="CJ4350">
        <v>2</v>
      </c>
      <c r="CK4350">
        <v>44</v>
      </c>
      <c r="CL4350" t="s">
        <v>86</v>
      </c>
    </row>
    <row r="4351" spans="1:90" x14ac:dyDescent="0.3">
      <c r="A4351" t="s">
        <v>72</v>
      </c>
      <c r="B4351" t="s">
        <v>73</v>
      </c>
      <c r="C4351" t="s">
        <v>74</v>
      </c>
      <c r="E4351" t="str">
        <f>"080066841638"</f>
        <v>080066841638</v>
      </c>
      <c r="F4351" s="3">
        <v>45866</v>
      </c>
      <c r="G4351">
        <v>202604</v>
      </c>
      <c r="H4351" t="s">
        <v>75</v>
      </c>
      <c r="I4351" t="s">
        <v>76</v>
      </c>
      <c r="J4351" t="s">
        <v>77</v>
      </c>
      <c r="K4351" t="s">
        <v>78</v>
      </c>
      <c r="L4351" t="s">
        <v>92</v>
      </c>
      <c r="M4351" t="s">
        <v>93</v>
      </c>
      <c r="N4351" t="s">
        <v>1977</v>
      </c>
      <c r="O4351" t="s">
        <v>95</v>
      </c>
      <c r="P4351" t="str">
        <f>"4170051382                    "</f>
        <v xml:space="preserve">4170051382                    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56.33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  <c r="BH4351">
        <v>2</v>
      </c>
      <c r="BI4351">
        <v>20</v>
      </c>
      <c r="BJ4351">
        <v>21.1</v>
      </c>
      <c r="BK4351">
        <v>22</v>
      </c>
      <c r="BL4351">
        <v>183.34</v>
      </c>
      <c r="BM4351">
        <v>27.5</v>
      </c>
      <c r="BN4351">
        <v>210.84</v>
      </c>
      <c r="BO4351">
        <v>210.84</v>
      </c>
      <c r="BQ4351" t="s">
        <v>1978</v>
      </c>
      <c r="BR4351" t="s">
        <v>84</v>
      </c>
      <c r="BS4351" s="3">
        <v>45867</v>
      </c>
      <c r="BT4351" s="4">
        <v>0.39374999999999999</v>
      </c>
      <c r="BU4351" t="s">
        <v>478</v>
      </c>
      <c r="BV4351" t="s">
        <v>98</v>
      </c>
      <c r="BY4351">
        <v>105285</v>
      </c>
      <c r="CA4351" t="s">
        <v>337</v>
      </c>
      <c r="CC4351" t="s">
        <v>93</v>
      </c>
      <c r="CD4351">
        <v>4060</v>
      </c>
      <c r="CE4351" t="s">
        <v>145</v>
      </c>
      <c r="CF4351" s="3">
        <v>45867</v>
      </c>
      <c r="CI4351">
        <v>1</v>
      </c>
      <c r="CJ4351">
        <v>1</v>
      </c>
      <c r="CK4351">
        <v>41</v>
      </c>
      <c r="CL4351" t="s">
        <v>86</v>
      </c>
    </row>
    <row r="4352" spans="1:90" x14ac:dyDescent="0.3">
      <c r="A4352" t="s">
        <v>72</v>
      </c>
      <c r="B4352" t="s">
        <v>73</v>
      </c>
      <c r="C4352" t="s">
        <v>74</v>
      </c>
      <c r="E4352" t="str">
        <f>"080066841641"</f>
        <v>080066841641</v>
      </c>
      <c r="F4352" s="3">
        <v>45866</v>
      </c>
      <c r="G4352">
        <v>202604</v>
      </c>
      <c r="H4352" t="s">
        <v>75</v>
      </c>
      <c r="I4352" t="s">
        <v>76</v>
      </c>
      <c r="J4352" t="s">
        <v>77</v>
      </c>
      <c r="K4352" t="s">
        <v>78</v>
      </c>
      <c r="L4352" t="s">
        <v>75</v>
      </c>
      <c r="M4352" t="s">
        <v>76</v>
      </c>
      <c r="N4352" t="s">
        <v>368</v>
      </c>
      <c r="O4352" t="s">
        <v>82</v>
      </c>
      <c r="P4352" t="str">
        <f>"4170051652                    "</f>
        <v xml:space="preserve">4170051652                    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17.649999999999999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0</v>
      </c>
      <c r="BH4352">
        <v>1</v>
      </c>
      <c r="BI4352">
        <v>1</v>
      </c>
      <c r="BJ4352">
        <v>0.2</v>
      </c>
      <c r="BK4352">
        <v>1</v>
      </c>
      <c r="BL4352">
        <v>55.61</v>
      </c>
      <c r="BM4352">
        <v>8.34</v>
      </c>
      <c r="BN4352">
        <v>63.95</v>
      </c>
      <c r="BO4352">
        <v>63.95</v>
      </c>
      <c r="BQ4352" t="s">
        <v>369</v>
      </c>
      <c r="BR4352" t="s">
        <v>84</v>
      </c>
      <c r="BS4352" s="3">
        <v>45867</v>
      </c>
      <c r="BT4352" s="4">
        <v>0.42291666666666666</v>
      </c>
      <c r="BU4352" t="s">
        <v>1797</v>
      </c>
      <c r="BV4352" t="s">
        <v>98</v>
      </c>
      <c r="BY4352">
        <v>1200</v>
      </c>
      <c r="CA4352" t="s">
        <v>371</v>
      </c>
      <c r="CC4352" t="s">
        <v>76</v>
      </c>
      <c r="CD4352">
        <v>1665</v>
      </c>
      <c r="CE4352" t="s">
        <v>121</v>
      </c>
      <c r="CF4352" s="3">
        <v>45868</v>
      </c>
      <c r="CI4352">
        <v>1</v>
      </c>
      <c r="CJ4352">
        <v>1</v>
      </c>
      <c r="CK4352">
        <v>22</v>
      </c>
      <c r="CL4352" t="s">
        <v>86</v>
      </c>
    </row>
    <row r="4353" spans="1:90" x14ac:dyDescent="0.3">
      <c r="A4353" t="s">
        <v>72</v>
      </c>
      <c r="B4353" t="s">
        <v>73</v>
      </c>
      <c r="C4353" t="s">
        <v>74</v>
      </c>
      <c r="E4353" t="str">
        <f>"080066841669"</f>
        <v>080066841669</v>
      </c>
      <c r="F4353" s="3">
        <v>45866</v>
      </c>
      <c r="G4353">
        <v>202604</v>
      </c>
      <c r="H4353" t="s">
        <v>75</v>
      </c>
      <c r="I4353" t="s">
        <v>76</v>
      </c>
      <c r="J4353" t="s">
        <v>77</v>
      </c>
      <c r="K4353" t="s">
        <v>78</v>
      </c>
      <c r="L4353" t="s">
        <v>79</v>
      </c>
      <c r="M4353" t="s">
        <v>80</v>
      </c>
      <c r="N4353" t="s">
        <v>141</v>
      </c>
      <c r="O4353" t="s">
        <v>82</v>
      </c>
      <c r="P4353" t="str">
        <f>"4170051661                    "</f>
        <v xml:space="preserve">4170051661                    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22.6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  <c r="BE4353">
        <v>0</v>
      </c>
      <c r="BF4353">
        <v>0</v>
      </c>
      <c r="BG4353">
        <v>0</v>
      </c>
      <c r="BH4353">
        <v>1</v>
      </c>
      <c r="BI4353">
        <v>1</v>
      </c>
      <c r="BJ4353">
        <v>1.1000000000000001</v>
      </c>
      <c r="BK4353">
        <v>1.5</v>
      </c>
      <c r="BL4353">
        <v>71.2</v>
      </c>
      <c r="BM4353">
        <v>10.68</v>
      </c>
      <c r="BN4353">
        <v>81.88</v>
      </c>
      <c r="BO4353">
        <v>81.88</v>
      </c>
      <c r="BQ4353" t="s">
        <v>142</v>
      </c>
      <c r="BR4353" t="s">
        <v>84</v>
      </c>
      <c r="BS4353" s="3">
        <v>45867</v>
      </c>
      <c r="BT4353" s="4">
        <v>0.40763888888888888</v>
      </c>
      <c r="BU4353" t="s">
        <v>2437</v>
      </c>
      <c r="BV4353" t="s">
        <v>98</v>
      </c>
      <c r="BY4353">
        <v>5320</v>
      </c>
      <c r="CA4353" t="s">
        <v>144</v>
      </c>
      <c r="CC4353" t="s">
        <v>80</v>
      </c>
      <c r="CD4353">
        <v>7441</v>
      </c>
      <c r="CE4353" t="s">
        <v>145</v>
      </c>
      <c r="CF4353" s="3">
        <v>45868</v>
      </c>
      <c r="CI4353">
        <v>1</v>
      </c>
      <c r="CJ4353">
        <v>1</v>
      </c>
      <c r="CK4353">
        <v>21</v>
      </c>
      <c r="CL4353" t="s">
        <v>86</v>
      </c>
    </row>
    <row r="4354" spans="1:90" x14ac:dyDescent="0.3">
      <c r="A4354" t="s">
        <v>72</v>
      </c>
      <c r="B4354" t="s">
        <v>73</v>
      </c>
      <c r="C4354" t="s">
        <v>74</v>
      </c>
      <c r="E4354" t="str">
        <f>"080066841685"</f>
        <v>080066841685</v>
      </c>
      <c r="F4354" s="3">
        <v>45866</v>
      </c>
      <c r="G4354">
        <v>202604</v>
      </c>
      <c r="H4354" t="s">
        <v>75</v>
      </c>
      <c r="I4354" t="s">
        <v>76</v>
      </c>
      <c r="J4354" t="s">
        <v>77</v>
      </c>
      <c r="K4354" t="s">
        <v>78</v>
      </c>
      <c r="L4354" t="s">
        <v>542</v>
      </c>
      <c r="M4354" t="s">
        <v>543</v>
      </c>
      <c r="N4354" t="s">
        <v>352</v>
      </c>
      <c r="O4354" t="s">
        <v>82</v>
      </c>
      <c r="P4354" t="str">
        <f>"4170051537                    "</f>
        <v xml:space="preserve">4170051537                    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17.649999999999999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  <c r="BH4354">
        <v>1</v>
      </c>
      <c r="BI4354">
        <v>1</v>
      </c>
      <c r="BJ4354">
        <v>0.2</v>
      </c>
      <c r="BK4354">
        <v>1</v>
      </c>
      <c r="BL4354">
        <v>55.61</v>
      </c>
      <c r="BM4354">
        <v>8.34</v>
      </c>
      <c r="BN4354">
        <v>63.95</v>
      </c>
      <c r="BO4354">
        <v>63.95</v>
      </c>
      <c r="BQ4354" t="s">
        <v>353</v>
      </c>
      <c r="BR4354" t="s">
        <v>84</v>
      </c>
      <c r="BS4354" s="3">
        <v>45867</v>
      </c>
      <c r="BT4354" s="4">
        <v>0.40972222222222221</v>
      </c>
      <c r="BU4354" t="s">
        <v>3340</v>
      </c>
      <c r="BV4354" t="s">
        <v>98</v>
      </c>
      <c r="BY4354">
        <v>1200</v>
      </c>
      <c r="CA4354" t="s">
        <v>748</v>
      </c>
      <c r="CC4354" t="s">
        <v>543</v>
      </c>
      <c r="CD4354">
        <v>1451</v>
      </c>
      <c r="CE4354" t="s">
        <v>121</v>
      </c>
      <c r="CF4354" s="3">
        <v>45868</v>
      </c>
      <c r="CI4354">
        <v>1</v>
      </c>
      <c r="CJ4354">
        <v>1</v>
      </c>
      <c r="CK4354">
        <v>22</v>
      </c>
      <c r="CL4354" t="s">
        <v>86</v>
      </c>
    </row>
    <row r="4355" spans="1:90" x14ac:dyDescent="0.3">
      <c r="A4355" t="s">
        <v>72</v>
      </c>
      <c r="B4355" t="s">
        <v>73</v>
      </c>
      <c r="C4355" t="s">
        <v>74</v>
      </c>
      <c r="E4355" t="str">
        <f>"080066841703"</f>
        <v>080066841703</v>
      </c>
      <c r="F4355" s="3">
        <v>45866</v>
      </c>
      <c r="G4355">
        <v>202604</v>
      </c>
      <c r="H4355" t="s">
        <v>75</v>
      </c>
      <c r="I4355" t="s">
        <v>76</v>
      </c>
      <c r="J4355" t="s">
        <v>77</v>
      </c>
      <c r="K4355" t="s">
        <v>78</v>
      </c>
      <c r="L4355" t="s">
        <v>240</v>
      </c>
      <c r="M4355" t="s">
        <v>241</v>
      </c>
      <c r="N4355" t="s">
        <v>242</v>
      </c>
      <c r="O4355" t="s">
        <v>82</v>
      </c>
      <c r="P4355" t="str">
        <f>"4170051430                    "</f>
        <v xml:space="preserve">4170051430                    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17.649999999999999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0</v>
      </c>
      <c r="BH4355">
        <v>1</v>
      </c>
      <c r="BI4355">
        <v>1</v>
      </c>
      <c r="BJ4355">
        <v>1.1000000000000001</v>
      </c>
      <c r="BK4355">
        <v>2</v>
      </c>
      <c r="BL4355">
        <v>55.61</v>
      </c>
      <c r="BM4355">
        <v>8.34</v>
      </c>
      <c r="BN4355">
        <v>63.95</v>
      </c>
      <c r="BO4355">
        <v>63.95</v>
      </c>
      <c r="BQ4355" t="s">
        <v>243</v>
      </c>
      <c r="BR4355" t="s">
        <v>84</v>
      </c>
      <c r="BS4355" s="3">
        <v>45867</v>
      </c>
      <c r="BT4355" s="4">
        <v>0.36805555555555558</v>
      </c>
      <c r="BU4355" t="s">
        <v>244</v>
      </c>
      <c r="BV4355" t="s">
        <v>98</v>
      </c>
      <c r="BY4355">
        <v>5320</v>
      </c>
      <c r="CA4355" t="s">
        <v>245</v>
      </c>
      <c r="CC4355" t="s">
        <v>241</v>
      </c>
      <c r="CD4355">
        <v>2091</v>
      </c>
      <c r="CE4355" t="s">
        <v>145</v>
      </c>
      <c r="CF4355" s="3">
        <v>45867</v>
      </c>
      <c r="CI4355">
        <v>1</v>
      </c>
      <c r="CJ4355">
        <v>1</v>
      </c>
      <c r="CK4355">
        <v>22</v>
      </c>
      <c r="CL4355" t="s">
        <v>86</v>
      </c>
    </row>
    <row r="4356" spans="1:90" x14ac:dyDescent="0.3">
      <c r="A4356" t="s">
        <v>72</v>
      </c>
      <c r="B4356" t="s">
        <v>73</v>
      </c>
      <c r="C4356" t="s">
        <v>74</v>
      </c>
      <c r="E4356" t="str">
        <f>"080066841717"</f>
        <v>080066841717</v>
      </c>
      <c r="F4356" s="3">
        <v>45866</v>
      </c>
      <c r="G4356">
        <v>202604</v>
      </c>
      <c r="H4356" t="s">
        <v>75</v>
      </c>
      <c r="I4356" t="s">
        <v>76</v>
      </c>
      <c r="J4356" t="s">
        <v>77</v>
      </c>
      <c r="K4356" t="s">
        <v>78</v>
      </c>
      <c r="L4356" t="s">
        <v>75</v>
      </c>
      <c r="M4356" t="s">
        <v>76</v>
      </c>
      <c r="N4356" t="s">
        <v>949</v>
      </c>
      <c r="O4356" t="s">
        <v>82</v>
      </c>
      <c r="P4356" t="str">
        <f>"4170051551                    "</f>
        <v xml:space="preserve">4170051551                    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17.649999999999999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  <c r="BH4356">
        <v>1</v>
      </c>
      <c r="BI4356">
        <v>1</v>
      </c>
      <c r="BJ4356">
        <v>0.2</v>
      </c>
      <c r="BK4356">
        <v>1</v>
      </c>
      <c r="BL4356">
        <v>55.61</v>
      </c>
      <c r="BM4356">
        <v>8.34</v>
      </c>
      <c r="BN4356">
        <v>63.95</v>
      </c>
      <c r="BO4356">
        <v>63.95</v>
      </c>
      <c r="BQ4356" t="s">
        <v>950</v>
      </c>
      <c r="BR4356" t="s">
        <v>84</v>
      </c>
      <c r="BS4356" s="3">
        <v>45867</v>
      </c>
      <c r="BT4356" s="4">
        <v>0.33263888888888887</v>
      </c>
      <c r="BU4356" t="s">
        <v>3790</v>
      </c>
      <c r="BV4356" t="s">
        <v>98</v>
      </c>
      <c r="BY4356">
        <v>1200</v>
      </c>
      <c r="CC4356" t="s">
        <v>76</v>
      </c>
      <c r="CD4356">
        <v>1601</v>
      </c>
      <c r="CE4356" t="s">
        <v>121</v>
      </c>
      <c r="CF4356" s="3">
        <v>45867</v>
      </c>
      <c r="CI4356">
        <v>1</v>
      </c>
      <c r="CJ4356">
        <v>1</v>
      </c>
      <c r="CK4356">
        <v>22</v>
      </c>
      <c r="CL4356" t="s">
        <v>86</v>
      </c>
    </row>
    <row r="4357" spans="1:90" x14ac:dyDescent="0.3">
      <c r="A4357" t="s">
        <v>72</v>
      </c>
      <c r="B4357" t="s">
        <v>73</v>
      </c>
      <c r="C4357" t="s">
        <v>74</v>
      </c>
      <c r="E4357" t="str">
        <f>"080066841733"</f>
        <v>080066841733</v>
      </c>
      <c r="F4357" s="3">
        <v>45866</v>
      </c>
      <c r="G4357">
        <v>202604</v>
      </c>
      <c r="H4357" t="s">
        <v>75</v>
      </c>
      <c r="I4357" t="s">
        <v>76</v>
      </c>
      <c r="J4357" t="s">
        <v>77</v>
      </c>
      <c r="K4357" t="s">
        <v>78</v>
      </c>
      <c r="L4357" t="s">
        <v>240</v>
      </c>
      <c r="M4357" t="s">
        <v>241</v>
      </c>
      <c r="N4357" t="s">
        <v>851</v>
      </c>
      <c r="O4357" t="s">
        <v>82</v>
      </c>
      <c r="P4357" t="str">
        <f>"4170051689                    "</f>
        <v xml:space="preserve">4170051689                    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17.649999999999999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  <c r="BH4357">
        <v>1</v>
      </c>
      <c r="BI4357">
        <v>1</v>
      </c>
      <c r="BJ4357">
        <v>0.2</v>
      </c>
      <c r="BK4357">
        <v>1</v>
      </c>
      <c r="BL4357">
        <v>55.61</v>
      </c>
      <c r="BM4357">
        <v>8.34</v>
      </c>
      <c r="BN4357">
        <v>63.95</v>
      </c>
      <c r="BO4357">
        <v>63.95</v>
      </c>
      <c r="BQ4357" t="s">
        <v>852</v>
      </c>
      <c r="BR4357" t="s">
        <v>84</v>
      </c>
      <c r="BS4357" s="3">
        <v>45867</v>
      </c>
      <c r="BT4357" s="4">
        <v>0.42638888888888887</v>
      </c>
      <c r="BU4357" t="s">
        <v>3791</v>
      </c>
      <c r="BV4357" t="s">
        <v>98</v>
      </c>
      <c r="BY4357">
        <v>1200</v>
      </c>
      <c r="CA4357" t="s">
        <v>451</v>
      </c>
      <c r="CC4357" t="s">
        <v>241</v>
      </c>
      <c r="CD4357">
        <v>2094</v>
      </c>
      <c r="CE4357" t="s">
        <v>121</v>
      </c>
      <c r="CF4357" s="3">
        <v>45867</v>
      </c>
      <c r="CI4357">
        <v>1</v>
      </c>
      <c r="CJ4357">
        <v>1</v>
      </c>
      <c r="CK4357">
        <v>22</v>
      </c>
      <c r="CL4357" t="s">
        <v>86</v>
      </c>
    </row>
    <row r="4358" spans="1:90" x14ac:dyDescent="0.3">
      <c r="A4358" t="s">
        <v>72</v>
      </c>
      <c r="B4358" t="s">
        <v>73</v>
      </c>
      <c r="C4358" t="s">
        <v>74</v>
      </c>
      <c r="E4358" t="str">
        <f>"080066841734"</f>
        <v>080066841734</v>
      </c>
      <c r="F4358" s="3">
        <v>45866</v>
      </c>
      <c r="G4358">
        <v>202604</v>
      </c>
      <c r="H4358" t="s">
        <v>75</v>
      </c>
      <c r="I4358" t="s">
        <v>76</v>
      </c>
      <c r="J4358" t="s">
        <v>77</v>
      </c>
      <c r="K4358" t="s">
        <v>78</v>
      </c>
      <c r="L4358" t="s">
        <v>704</v>
      </c>
      <c r="M4358" t="s">
        <v>705</v>
      </c>
      <c r="N4358" t="s">
        <v>848</v>
      </c>
      <c r="O4358" t="s">
        <v>82</v>
      </c>
      <c r="P4358" t="str">
        <f>"4170051543                    "</f>
        <v xml:space="preserve">4170051543                    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43.78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  <c r="BE4358">
        <v>0</v>
      </c>
      <c r="BF4358">
        <v>0</v>
      </c>
      <c r="BG4358">
        <v>0</v>
      </c>
      <c r="BH4358">
        <v>1</v>
      </c>
      <c r="BI4358">
        <v>1</v>
      </c>
      <c r="BJ4358">
        <v>1.1000000000000001</v>
      </c>
      <c r="BK4358">
        <v>1.5</v>
      </c>
      <c r="BL4358">
        <v>137.94</v>
      </c>
      <c r="BM4358">
        <v>20.69</v>
      </c>
      <c r="BN4358">
        <v>158.63</v>
      </c>
      <c r="BO4358">
        <v>158.63</v>
      </c>
      <c r="BQ4358" t="s">
        <v>849</v>
      </c>
      <c r="BR4358" t="s">
        <v>84</v>
      </c>
      <c r="BS4358" s="3">
        <v>45867</v>
      </c>
      <c r="BT4358" s="4">
        <v>0.58194444444444449</v>
      </c>
      <c r="BU4358" t="s">
        <v>2274</v>
      </c>
      <c r="BV4358" t="s">
        <v>98</v>
      </c>
      <c r="BY4358">
        <v>5320</v>
      </c>
      <c r="CA4358" t="s">
        <v>1152</v>
      </c>
      <c r="CC4358" t="s">
        <v>705</v>
      </c>
      <c r="CD4358">
        <v>6850</v>
      </c>
      <c r="CE4358" t="s">
        <v>145</v>
      </c>
      <c r="CF4358" s="3">
        <v>45868</v>
      </c>
      <c r="CI4358">
        <v>2</v>
      </c>
      <c r="CJ4358">
        <v>1</v>
      </c>
      <c r="CK4358">
        <v>23</v>
      </c>
      <c r="CL4358" t="s">
        <v>86</v>
      </c>
    </row>
    <row r="4359" spans="1:90" x14ac:dyDescent="0.3">
      <c r="A4359" t="s">
        <v>72</v>
      </c>
      <c r="B4359" t="s">
        <v>73</v>
      </c>
      <c r="C4359" t="s">
        <v>74</v>
      </c>
      <c r="E4359" t="str">
        <f>"080066841757"</f>
        <v>080066841757</v>
      </c>
      <c r="F4359" s="3">
        <v>45866</v>
      </c>
      <c r="G4359">
        <v>202604</v>
      </c>
      <c r="H4359" t="s">
        <v>75</v>
      </c>
      <c r="I4359" t="s">
        <v>76</v>
      </c>
      <c r="J4359" t="s">
        <v>77</v>
      </c>
      <c r="K4359" t="s">
        <v>78</v>
      </c>
      <c r="L4359" t="s">
        <v>240</v>
      </c>
      <c r="M4359" t="s">
        <v>241</v>
      </c>
      <c r="N4359" t="s">
        <v>242</v>
      </c>
      <c r="O4359" t="s">
        <v>82</v>
      </c>
      <c r="P4359" t="str">
        <f>"4170051556                    "</f>
        <v xml:space="preserve">4170051556                    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17.649999999999999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  <c r="BE4359">
        <v>0</v>
      </c>
      <c r="BF4359">
        <v>0</v>
      </c>
      <c r="BG4359">
        <v>0</v>
      </c>
      <c r="BH4359">
        <v>1</v>
      </c>
      <c r="BI4359">
        <v>1</v>
      </c>
      <c r="BJ4359">
        <v>0.2</v>
      </c>
      <c r="BK4359">
        <v>1</v>
      </c>
      <c r="BL4359">
        <v>55.61</v>
      </c>
      <c r="BM4359">
        <v>8.34</v>
      </c>
      <c r="BN4359">
        <v>63.95</v>
      </c>
      <c r="BO4359">
        <v>63.95</v>
      </c>
      <c r="BQ4359" t="s">
        <v>243</v>
      </c>
      <c r="BR4359" t="s">
        <v>84</v>
      </c>
      <c r="BS4359" s="3">
        <v>45867</v>
      </c>
      <c r="BT4359" s="4">
        <v>0.39583333333333331</v>
      </c>
      <c r="BU4359" t="s">
        <v>244</v>
      </c>
      <c r="BV4359" t="s">
        <v>98</v>
      </c>
      <c r="BY4359">
        <v>1200</v>
      </c>
      <c r="CA4359" t="s">
        <v>245</v>
      </c>
      <c r="CC4359" t="s">
        <v>241</v>
      </c>
      <c r="CD4359">
        <v>2091</v>
      </c>
      <c r="CE4359" t="s">
        <v>121</v>
      </c>
      <c r="CF4359" s="3">
        <v>45867</v>
      </c>
      <c r="CI4359">
        <v>1</v>
      </c>
      <c r="CJ4359">
        <v>1</v>
      </c>
      <c r="CK4359">
        <v>22</v>
      </c>
      <c r="CL4359" t="s">
        <v>86</v>
      </c>
    </row>
    <row r="4360" spans="1:90" x14ac:dyDescent="0.3">
      <c r="A4360" t="s">
        <v>72</v>
      </c>
      <c r="B4360" t="s">
        <v>73</v>
      </c>
      <c r="C4360" t="s">
        <v>74</v>
      </c>
      <c r="E4360" t="str">
        <f>"080066841936"</f>
        <v>080066841936</v>
      </c>
      <c r="F4360" s="3">
        <v>45866</v>
      </c>
      <c r="G4360">
        <v>202604</v>
      </c>
      <c r="H4360" t="s">
        <v>75</v>
      </c>
      <c r="I4360" t="s">
        <v>76</v>
      </c>
      <c r="J4360" t="s">
        <v>77</v>
      </c>
      <c r="K4360" t="s">
        <v>78</v>
      </c>
      <c r="L4360" t="s">
        <v>151</v>
      </c>
      <c r="M4360" t="s">
        <v>152</v>
      </c>
      <c r="N4360" t="s">
        <v>835</v>
      </c>
      <c r="O4360" t="s">
        <v>82</v>
      </c>
      <c r="P4360" t="str">
        <f>"4170051479                    "</f>
        <v xml:space="preserve">4170051479                    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22.6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  <c r="BE4360">
        <v>0</v>
      </c>
      <c r="BF4360">
        <v>0</v>
      </c>
      <c r="BG4360">
        <v>0</v>
      </c>
      <c r="BH4360">
        <v>1</v>
      </c>
      <c r="BI4360">
        <v>1</v>
      </c>
      <c r="BJ4360">
        <v>0.2</v>
      </c>
      <c r="BK4360">
        <v>1</v>
      </c>
      <c r="BL4360">
        <v>71.2</v>
      </c>
      <c r="BM4360">
        <v>10.68</v>
      </c>
      <c r="BN4360">
        <v>81.88</v>
      </c>
      <c r="BO4360">
        <v>81.88</v>
      </c>
      <c r="BQ4360" t="s">
        <v>836</v>
      </c>
      <c r="BR4360" t="s">
        <v>84</v>
      </c>
      <c r="BS4360" s="3">
        <v>45867</v>
      </c>
      <c r="BT4360" s="4">
        <v>0.38541666666666669</v>
      </c>
      <c r="BU4360" t="s">
        <v>3091</v>
      </c>
      <c r="BV4360" t="s">
        <v>98</v>
      </c>
      <c r="BY4360">
        <v>1200</v>
      </c>
      <c r="CA4360" t="s">
        <v>2137</v>
      </c>
      <c r="CC4360" t="s">
        <v>152</v>
      </c>
      <c r="CD4360" s="5" t="s">
        <v>717</v>
      </c>
      <c r="CE4360" t="s">
        <v>121</v>
      </c>
      <c r="CF4360" s="3">
        <v>45867</v>
      </c>
      <c r="CI4360">
        <v>1</v>
      </c>
      <c r="CJ4360">
        <v>1</v>
      </c>
      <c r="CK4360">
        <v>21</v>
      </c>
      <c r="CL4360" t="s">
        <v>86</v>
      </c>
    </row>
    <row r="4361" spans="1:90" x14ac:dyDescent="0.3">
      <c r="A4361" t="s">
        <v>72</v>
      </c>
      <c r="B4361" t="s">
        <v>73</v>
      </c>
      <c r="C4361" t="s">
        <v>74</v>
      </c>
      <c r="E4361" t="str">
        <f>"080066841974"</f>
        <v>080066841974</v>
      </c>
      <c r="F4361" s="3">
        <v>45866</v>
      </c>
      <c r="G4361">
        <v>202604</v>
      </c>
      <c r="H4361" t="s">
        <v>75</v>
      </c>
      <c r="I4361" t="s">
        <v>76</v>
      </c>
      <c r="J4361" t="s">
        <v>77</v>
      </c>
      <c r="K4361" t="s">
        <v>78</v>
      </c>
      <c r="L4361" t="s">
        <v>350</v>
      </c>
      <c r="M4361" t="s">
        <v>351</v>
      </c>
      <c r="N4361" t="s">
        <v>352</v>
      </c>
      <c r="O4361" t="s">
        <v>82</v>
      </c>
      <c r="P4361" t="str">
        <f>"4170051659                    "</f>
        <v xml:space="preserve">4170051659                    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22.6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  <c r="BE4361">
        <v>0</v>
      </c>
      <c r="BF4361">
        <v>0</v>
      </c>
      <c r="BG4361">
        <v>0</v>
      </c>
      <c r="BH4361">
        <v>1</v>
      </c>
      <c r="BI4361">
        <v>1</v>
      </c>
      <c r="BJ4361">
        <v>0.2</v>
      </c>
      <c r="BK4361">
        <v>1</v>
      </c>
      <c r="BL4361">
        <v>71.2</v>
      </c>
      <c r="BM4361">
        <v>10.68</v>
      </c>
      <c r="BN4361">
        <v>81.88</v>
      </c>
      <c r="BO4361">
        <v>81.88</v>
      </c>
      <c r="BQ4361" t="s">
        <v>353</v>
      </c>
      <c r="BR4361" t="s">
        <v>84</v>
      </c>
      <c r="BS4361" s="3">
        <v>45867</v>
      </c>
      <c r="BT4361" s="4">
        <v>0.43402777777777779</v>
      </c>
      <c r="BU4361" t="s">
        <v>354</v>
      </c>
      <c r="BV4361" t="s">
        <v>98</v>
      </c>
      <c r="BY4361">
        <v>1200</v>
      </c>
      <c r="CA4361" t="s">
        <v>337</v>
      </c>
      <c r="CC4361" t="s">
        <v>351</v>
      </c>
      <c r="CD4361">
        <v>4133</v>
      </c>
      <c r="CE4361" t="s">
        <v>121</v>
      </c>
      <c r="CF4361" s="3">
        <v>45867</v>
      </c>
      <c r="CI4361">
        <v>1</v>
      </c>
      <c r="CJ4361">
        <v>1</v>
      </c>
      <c r="CK4361">
        <v>21</v>
      </c>
      <c r="CL4361" t="s">
        <v>86</v>
      </c>
    </row>
    <row r="4362" spans="1:90" x14ac:dyDescent="0.3">
      <c r="A4362" t="s">
        <v>72</v>
      </c>
      <c r="B4362" t="s">
        <v>73</v>
      </c>
      <c r="C4362" t="s">
        <v>74</v>
      </c>
      <c r="E4362" t="str">
        <f>"080066841992"</f>
        <v>080066841992</v>
      </c>
      <c r="F4362" s="3">
        <v>45866</v>
      </c>
      <c r="G4362">
        <v>202604</v>
      </c>
      <c r="H4362" t="s">
        <v>75</v>
      </c>
      <c r="I4362" t="s">
        <v>76</v>
      </c>
      <c r="J4362" t="s">
        <v>77</v>
      </c>
      <c r="K4362" t="s">
        <v>78</v>
      </c>
      <c r="L4362" t="s">
        <v>79</v>
      </c>
      <c r="M4362" t="s">
        <v>80</v>
      </c>
      <c r="N4362" t="s">
        <v>1816</v>
      </c>
      <c r="O4362" t="s">
        <v>95</v>
      </c>
      <c r="P4362" t="str">
        <f>"4170051680                    "</f>
        <v xml:space="preserve">4170051680                    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126.69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  <c r="BE4362">
        <v>0</v>
      </c>
      <c r="BF4362">
        <v>0</v>
      </c>
      <c r="BG4362">
        <v>0</v>
      </c>
      <c r="BH4362">
        <v>2</v>
      </c>
      <c r="BI4362">
        <v>61</v>
      </c>
      <c r="BJ4362">
        <v>39.299999999999997</v>
      </c>
      <c r="BK4362">
        <v>61</v>
      </c>
      <c r="BL4362">
        <v>405.02</v>
      </c>
      <c r="BM4362">
        <v>60.75</v>
      </c>
      <c r="BN4362">
        <v>465.77</v>
      </c>
      <c r="BO4362">
        <v>465.77</v>
      </c>
      <c r="BQ4362" t="s">
        <v>1817</v>
      </c>
      <c r="BR4362" t="s">
        <v>84</v>
      </c>
      <c r="BS4362" s="3">
        <v>45868</v>
      </c>
      <c r="BT4362" s="4">
        <v>0.42499999999999999</v>
      </c>
      <c r="BU4362" t="s">
        <v>3792</v>
      </c>
      <c r="BV4362" t="s">
        <v>98</v>
      </c>
      <c r="BY4362">
        <v>196545</v>
      </c>
      <c r="CA4362" t="s">
        <v>2121</v>
      </c>
      <c r="CC4362" t="s">
        <v>80</v>
      </c>
      <c r="CD4362">
        <v>7550</v>
      </c>
      <c r="CE4362" t="s">
        <v>145</v>
      </c>
      <c r="CF4362" s="3">
        <v>45869</v>
      </c>
      <c r="CI4362">
        <v>3</v>
      </c>
      <c r="CJ4362">
        <v>2</v>
      </c>
      <c r="CK4362">
        <v>41</v>
      </c>
      <c r="CL4362" t="s">
        <v>86</v>
      </c>
    </row>
    <row r="4363" spans="1:90" x14ac:dyDescent="0.3">
      <c r="A4363" t="s">
        <v>72</v>
      </c>
      <c r="B4363" t="s">
        <v>73</v>
      </c>
      <c r="C4363" t="s">
        <v>74</v>
      </c>
      <c r="E4363" t="str">
        <f>"080066842006"</f>
        <v>080066842006</v>
      </c>
      <c r="F4363" s="3">
        <v>45866</v>
      </c>
      <c r="G4363">
        <v>202604</v>
      </c>
      <c r="H4363" t="s">
        <v>75</v>
      </c>
      <c r="I4363" t="s">
        <v>76</v>
      </c>
      <c r="J4363" t="s">
        <v>77</v>
      </c>
      <c r="K4363" t="s">
        <v>78</v>
      </c>
      <c r="L4363" t="s">
        <v>1462</v>
      </c>
      <c r="M4363" t="s">
        <v>1463</v>
      </c>
      <c r="N4363" t="s">
        <v>1464</v>
      </c>
      <c r="O4363" t="s">
        <v>82</v>
      </c>
      <c r="P4363" t="str">
        <f>"4170051410                    "</f>
        <v xml:space="preserve">4170051410                    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43.78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  <c r="BE4363">
        <v>0</v>
      </c>
      <c r="BF4363">
        <v>0</v>
      </c>
      <c r="BG4363">
        <v>0</v>
      </c>
      <c r="BH4363">
        <v>1</v>
      </c>
      <c r="BI4363">
        <v>1</v>
      </c>
      <c r="BJ4363">
        <v>0.2</v>
      </c>
      <c r="BK4363">
        <v>1</v>
      </c>
      <c r="BL4363">
        <v>137.94</v>
      </c>
      <c r="BM4363">
        <v>20.69</v>
      </c>
      <c r="BN4363">
        <v>158.63</v>
      </c>
      <c r="BO4363">
        <v>158.63</v>
      </c>
      <c r="BQ4363" t="s">
        <v>1465</v>
      </c>
      <c r="BR4363" t="s">
        <v>84</v>
      </c>
      <c r="BS4363" s="3">
        <v>45867</v>
      </c>
      <c r="BT4363" s="4">
        <v>0.41666666666666669</v>
      </c>
      <c r="BU4363" t="s">
        <v>3793</v>
      </c>
      <c r="BV4363" t="s">
        <v>98</v>
      </c>
      <c r="BY4363">
        <v>1200</v>
      </c>
      <c r="CA4363" t="s">
        <v>2015</v>
      </c>
      <c r="CC4363" t="s">
        <v>1463</v>
      </c>
      <c r="CD4363">
        <v>3224</v>
      </c>
      <c r="CE4363" t="s">
        <v>121</v>
      </c>
      <c r="CF4363" s="3">
        <v>45868</v>
      </c>
      <c r="CI4363">
        <v>1</v>
      </c>
      <c r="CJ4363">
        <v>1</v>
      </c>
      <c r="CK4363">
        <v>23</v>
      </c>
      <c r="CL4363" t="s">
        <v>86</v>
      </c>
    </row>
    <row r="4364" spans="1:90" x14ac:dyDescent="0.3">
      <c r="A4364" t="s">
        <v>72</v>
      </c>
      <c r="B4364" t="s">
        <v>73</v>
      </c>
      <c r="C4364" t="s">
        <v>74</v>
      </c>
      <c r="E4364" t="str">
        <f>"080066842051"</f>
        <v>080066842051</v>
      </c>
      <c r="F4364" s="3">
        <v>45866</v>
      </c>
      <c r="G4364">
        <v>202604</v>
      </c>
      <c r="H4364" t="s">
        <v>75</v>
      </c>
      <c r="I4364" t="s">
        <v>76</v>
      </c>
      <c r="J4364" t="s">
        <v>77</v>
      </c>
      <c r="K4364" t="s">
        <v>78</v>
      </c>
      <c r="L4364" t="s">
        <v>146</v>
      </c>
      <c r="M4364" t="s">
        <v>146</v>
      </c>
      <c r="N4364" t="s">
        <v>1134</v>
      </c>
      <c r="O4364" t="s">
        <v>82</v>
      </c>
      <c r="P4364" t="str">
        <f>"4170051655                    "</f>
        <v xml:space="preserve">4170051655                    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43.78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  <c r="BE4364">
        <v>0</v>
      </c>
      <c r="BF4364">
        <v>0</v>
      </c>
      <c r="BG4364">
        <v>0</v>
      </c>
      <c r="BH4364">
        <v>1</v>
      </c>
      <c r="BI4364">
        <v>1</v>
      </c>
      <c r="BJ4364">
        <v>1.4</v>
      </c>
      <c r="BK4364">
        <v>1.5</v>
      </c>
      <c r="BL4364">
        <v>137.94</v>
      </c>
      <c r="BM4364">
        <v>20.69</v>
      </c>
      <c r="BN4364">
        <v>158.63</v>
      </c>
      <c r="BO4364">
        <v>158.63</v>
      </c>
      <c r="BQ4364" t="s">
        <v>1135</v>
      </c>
      <c r="BR4364" t="s">
        <v>84</v>
      </c>
      <c r="BS4364" s="3">
        <v>45867</v>
      </c>
      <c r="BT4364" s="4">
        <v>0.52152777777777781</v>
      </c>
      <c r="BU4364" t="s">
        <v>3794</v>
      </c>
      <c r="BV4364" t="s">
        <v>98</v>
      </c>
      <c r="BY4364">
        <v>7000</v>
      </c>
      <c r="CA4364" t="s">
        <v>989</v>
      </c>
      <c r="CC4364" t="s">
        <v>146</v>
      </c>
      <c r="CD4364">
        <v>7646</v>
      </c>
      <c r="CE4364" t="s">
        <v>145</v>
      </c>
      <c r="CF4364" s="3">
        <v>45868</v>
      </c>
      <c r="CI4364">
        <v>1</v>
      </c>
      <c r="CJ4364">
        <v>1</v>
      </c>
      <c r="CK4364">
        <v>23</v>
      </c>
      <c r="CL4364" t="s">
        <v>86</v>
      </c>
    </row>
    <row r="4365" spans="1:90" x14ac:dyDescent="0.3">
      <c r="A4365" t="s">
        <v>72</v>
      </c>
      <c r="B4365" t="s">
        <v>73</v>
      </c>
      <c r="C4365" t="s">
        <v>74</v>
      </c>
      <c r="E4365" t="str">
        <f>"080066842088"</f>
        <v>080066842088</v>
      </c>
      <c r="F4365" s="3">
        <v>45866</v>
      </c>
      <c r="G4365">
        <v>202604</v>
      </c>
      <c r="H4365" t="s">
        <v>75</v>
      </c>
      <c r="I4365" t="s">
        <v>76</v>
      </c>
      <c r="J4365" t="s">
        <v>77</v>
      </c>
      <c r="K4365" t="s">
        <v>78</v>
      </c>
      <c r="L4365" t="s">
        <v>135</v>
      </c>
      <c r="M4365" t="s">
        <v>136</v>
      </c>
      <c r="N4365" t="s">
        <v>3795</v>
      </c>
      <c r="O4365" t="s">
        <v>95</v>
      </c>
      <c r="P4365" t="str">
        <f>"4170051001                    "</f>
        <v xml:space="preserve">4170051001                    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54.53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0</v>
      </c>
      <c r="BG4365">
        <v>0</v>
      </c>
      <c r="BH4365">
        <v>1</v>
      </c>
      <c r="BI4365">
        <v>21</v>
      </c>
      <c r="BJ4365">
        <v>8</v>
      </c>
      <c r="BK4365">
        <v>21</v>
      </c>
      <c r="BL4365">
        <v>177.66</v>
      </c>
      <c r="BM4365">
        <v>26.65</v>
      </c>
      <c r="BN4365">
        <v>204.31</v>
      </c>
      <c r="BO4365">
        <v>204.31</v>
      </c>
      <c r="BQ4365" t="s">
        <v>3796</v>
      </c>
      <c r="BR4365" t="s">
        <v>84</v>
      </c>
      <c r="BS4365" s="3">
        <v>45868</v>
      </c>
      <c r="BT4365" s="4">
        <v>0.41666666666666669</v>
      </c>
      <c r="BU4365" t="s">
        <v>3797</v>
      </c>
      <c r="BV4365" t="s">
        <v>98</v>
      </c>
      <c r="BY4365">
        <v>40120</v>
      </c>
      <c r="CC4365" t="s">
        <v>136</v>
      </c>
      <c r="CD4365">
        <v>3680</v>
      </c>
      <c r="CE4365" t="s">
        <v>145</v>
      </c>
      <c r="CF4365" s="3">
        <v>45869</v>
      </c>
      <c r="CI4365">
        <v>2</v>
      </c>
      <c r="CJ4365">
        <v>2</v>
      </c>
      <c r="CK4365">
        <v>41</v>
      </c>
      <c r="CL4365" t="s">
        <v>86</v>
      </c>
    </row>
    <row r="4366" spans="1:90" x14ac:dyDescent="0.3">
      <c r="A4366" t="s">
        <v>72</v>
      </c>
      <c r="B4366" t="s">
        <v>73</v>
      </c>
      <c r="C4366" t="s">
        <v>74</v>
      </c>
      <c r="E4366" t="str">
        <f>"080066842205"</f>
        <v>080066842205</v>
      </c>
      <c r="F4366" s="3">
        <v>45866</v>
      </c>
      <c r="G4366">
        <v>202604</v>
      </c>
      <c r="H4366" t="s">
        <v>75</v>
      </c>
      <c r="I4366" t="s">
        <v>76</v>
      </c>
      <c r="J4366" t="s">
        <v>77</v>
      </c>
      <c r="K4366" t="s">
        <v>78</v>
      </c>
      <c r="L4366" t="s">
        <v>350</v>
      </c>
      <c r="M4366" t="s">
        <v>351</v>
      </c>
      <c r="N4366" t="s">
        <v>352</v>
      </c>
      <c r="O4366" t="s">
        <v>82</v>
      </c>
      <c r="P4366" t="str">
        <f>"4170051485                    "</f>
        <v xml:space="preserve">4170051485                    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22.6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0</v>
      </c>
      <c r="BH4366">
        <v>1</v>
      </c>
      <c r="BI4366">
        <v>1</v>
      </c>
      <c r="BJ4366">
        <v>0.2</v>
      </c>
      <c r="BK4366">
        <v>1</v>
      </c>
      <c r="BL4366">
        <v>71.2</v>
      </c>
      <c r="BM4366">
        <v>10.68</v>
      </c>
      <c r="BN4366">
        <v>81.88</v>
      </c>
      <c r="BO4366">
        <v>81.88</v>
      </c>
      <c r="BQ4366" t="s">
        <v>353</v>
      </c>
      <c r="BR4366" t="s">
        <v>84</v>
      </c>
      <c r="BS4366" s="3">
        <v>45867</v>
      </c>
      <c r="BT4366" s="4">
        <v>0.54236111111111107</v>
      </c>
      <c r="BU4366" t="s">
        <v>354</v>
      </c>
      <c r="BV4366" t="s">
        <v>86</v>
      </c>
      <c r="BY4366">
        <v>1200</v>
      </c>
      <c r="CA4366" t="s">
        <v>337</v>
      </c>
      <c r="CC4366" t="s">
        <v>351</v>
      </c>
      <c r="CD4366">
        <v>4133</v>
      </c>
      <c r="CE4366" t="s">
        <v>121</v>
      </c>
      <c r="CF4366" s="3">
        <v>45867</v>
      </c>
      <c r="CI4366">
        <v>1</v>
      </c>
      <c r="CJ4366">
        <v>1</v>
      </c>
      <c r="CK4366">
        <v>21</v>
      </c>
      <c r="CL4366" t="s">
        <v>86</v>
      </c>
    </row>
    <row r="4367" spans="1:90" x14ac:dyDescent="0.3">
      <c r="A4367" t="s">
        <v>72</v>
      </c>
      <c r="B4367" t="s">
        <v>73</v>
      </c>
      <c r="C4367" t="s">
        <v>74</v>
      </c>
      <c r="E4367" t="str">
        <f>"080066842272"</f>
        <v>080066842272</v>
      </c>
      <c r="F4367" s="3">
        <v>45866</v>
      </c>
      <c r="G4367">
        <v>202604</v>
      </c>
      <c r="H4367" t="s">
        <v>75</v>
      </c>
      <c r="I4367" t="s">
        <v>76</v>
      </c>
      <c r="J4367" t="s">
        <v>77</v>
      </c>
      <c r="K4367" t="s">
        <v>78</v>
      </c>
      <c r="L4367" t="s">
        <v>151</v>
      </c>
      <c r="M4367" t="s">
        <v>152</v>
      </c>
      <c r="N4367" t="s">
        <v>713</v>
      </c>
      <c r="O4367" t="s">
        <v>82</v>
      </c>
      <c r="P4367" t="str">
        <f>"4170051519                    "</f>
        <v xml:space="preserve">4170051519                    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22.6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  <c r="BH4367">
        <v>1</v>
      </c>
      <c r="BI4367">
        <v>1</v>
      </c>
      <c r="BJ4367">
        <v>0.2</v>
      </c>
      <c r="BK4367">
        <v>1</v>
      </c>
      <c r="BL4367">
        <v>71.2</v>
      </c>
      <c r="BM4367">
        <v>10.68</v>
      </c>
      <c r="BN4367">
        <v>81.88</v>
      </c>
      <c r="BO4367">
        <v>81.88</v>
      </c>
      <c r="BQ4367" t="s">
        <v>714</v>
      </c>
      <c r="BR4367" t="s">
        <v>84</v>
      </c>
      <c r="BS4367" s="3">
        <v>45867</v>
      </c>
      <c r="BT4367" s="4">
        <v>0.38680555555555557</v>
      </c>
      <c r="BU4367" t="s">
        <v>3798</v>
      </c>
      <c r="BV4367" t="s">
        <v>98</v>
      </c>
      <c r="BY4367">
        <v>1200</v>
      </c>
      <c r="CA4367" t="s">
        <v>2137</v>
      </c>
      <c r="CC4367" t="s">
        <v>152</v>
      </c>
      <c r="CD4367" s="5" t="s">
        <v>717</v>
      </c>
      <c r="CE4367" t="s">
        <v>121</v>
      </c>
      <c r="CF4367" s="3">
        <v>45867</v>
      </c>
      <c r="CI4367">
        <v>1</v>
      </c>
      <c r="CJ4367">
        <v>1</v>
      </c>
      <c r="CK4367">
        <v>21</v>
      </c>
      <c r="CL4367" t="s">
        <v>86</v>
      </c>
    </row>
    <row r="4368" spans="1:90" x14ac:dyDescent="0.3">
      <c r="A4368" t="s">
        <v>72</v>
      </c>
      <c r="B4368" t="s">
        <v>73</v>
      </c>
      <c r="C4368" t="s">
        <v>74</v>
      </c>
      <c r="E4368" t="str">
        <f>"080066842340"</f>
        <v>080066842340</v>
      </c>
      <c r="F4368" s="3">
        <v>45866</v>
      </c>
      <c r="G4368">
        <v>202604</v>
      </c>
      <c r="H4368" t="s">
        <v>75</v>
      </c>
      <c r="I4368" t="s">
        <v>76</v>
      </c>
      <c r="J4368" t="s">
        <v>77</v>
      </c>
      <c r="K4368" t="s">
        <v>78</v>
      </c>
      <c r="L4368" t="s">
        <v>295</v>
      </c>
      <c r="M4368" t="s">
        <v>296</v>
      </c>
      <c r="N4368" t="s">
        <v>2094</v>
      </c>
      <c r="O4368" t="s">
        <v>82</v>
      </c>
      <c r="P4368" t="str">
        <f>"4170051554                    "</f>
        <v xml:space="preserve">4170051554                    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17.649999999999999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0</v>
      </c>
      <c r="BH4368">
        <v>1</v>
      </c>
      <c r="BI4368">
        <v>4</v>
      </c>
      <c r="BJ4368">
        <v>2.1</v>
      </c>
      <c r="BK4368">
        <v>4</v>
      </c>
      <c r="BL4368">
        <v>55.61</v>
      </c>
      <c r="BM4368">
        <v>8.34</v>
      </c>
      <c r="BN4368">
        <v>63.95</v>
      </c>
      <c r="BO4368">
        <v>63.95</v>
      </c>
      <c r="BQ4368" t="s">
        <v>2095</v>
      </c>
      <c r="BR4368" t="s">
        <v>84</v>
      </c>
      <c r="BS4368" s="3">
        <v>45867</v>
      </c>
      <c r="BT4368" s="4">
        <v>0.38819444444444445</v>
      </c>
      <c r="BU4368" t="s">
        <v>817</v>
      </c>
      <c r="BV4368" t="s">
        <v>98</v>
      </c>
      <c r="BY4368">
        <v>10404</v>
      </c>
      <c r="CA4368" t="s">
        <v>300</v>
      </c>
      <c r="CC4368" t="s">
        <v>296</v>
      </c>
      <c r="CD4368">
        <v>1459</v>
      </c>
      <c r="CE4368" t="s">
        <v>91</v>
      </c>
      <c r="CF4368" s="3">
        <v>45868</v>
      </c>
      <c r="CI4368">
        <v>1</v>
      </c>
      <c r="CJ4368">
        <v>1</v>
      </c>
      <c r="CK4368">
        <v>22</v>
      </c>
      <c r="CL4368" t="s">
        <v>86</v>
      </c>
    </row>
    <row r="4369" spans="1:90" x14ac:dyDescent="0.3">
      <c r="A4369" t="s">
        <v>72</v>
      </c>
      <c r="B4369" t="s">
        <v>73</v>
      </c>
      <c r="C4369" t="s">
        <v>74</v>
      </c>
      <c r="E4369" t="str">
        <f>"080066842381"</f>
        <v>080066842381</v>
      </c>
      <c r="F4369" s="3">
        <v>45866</v>
      </c>
      <c r="G4369">
        <v>202604</v>
      </c>
      <c r="H4369" t="s">
        <v>75</v>
      </c>
      <c r="I4369" t="s">
        <v>76</v>
      </c>
      <c r="J4369" t="s">
        <v>77</v>
      </c>
      <c r="K4369" t="s">
        <v>78</v>
      </c>
      <c r="L4369" t="s">
        <v>350</v>
      </c>
      <c r="M4369" t="s">
        <v>351</v>
      </c>
      <c r="N4369" t="s">
        <v>352</v>
      </c>
      <c r="O4369" t="s">
        <v>82</v>
      </c>
      <c r="P4369" t="str">
        <f>"4170051612                    "</f>
        <v xml:space="preserve">4170051612                    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39.53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  <c r="BH4369">
        <v>1</v>
      </c>
      <c r="BI4369">
        <v>2</v>
      </c>
      <c r="BJ4369">
        <v>3.1</v>
      </c>
      <c r="BK4369">
        <v>3.5</v>
      </c>
      <c r="BL4369">
        <v>124.55</v>
      </c>
      <c r="BM4369">
        <v>18.68</v>
      </c>
      <c r="BN4369">
        <v>143.22999999999999</v>
      </c>
      <c r="BO4369">
        <v>143.22999999999999</v>
      </c>
      <c r="BQ4369" t="s">
        <v>353</v>
      </c>
      <c r="BR4369" t="s">
        <v>84</v>
      </c>
      <c r="BS4369" s="3">
        <v>45867</v>
      </c>
      <c r="BT4369" s="4">
        <v>0.54236111111111107</v>
      </c>
      <c r="BU4369" t="s">
        <v>354</v>
      </c>
      <c r="BV4369" t="s">
        <v>86</v>
      </c>
      <c r="BY4369">
        <v>15708</v>
      </c>
      <c r="CA4369" t="s">
        <v>337</v>
      </c>
      <c r="CC4369" t="s">
        <v>351</v>
      </c>
      <c r="CD4369">
        <v>4133</v>
      </c>
      <c r="CE4369" t="s">
        <v>91</v>
      </c>
      <c r="CF4369" s="3">
        <v>45867</v>
      </c>
      <c r="CI4369">
        <v>1</v>
      </c>
      <c r="CJ4369">
        <v>1</v>
      </c>
      <c r="CK4369">
        <v>21</v>
      </c>
      <c r="CL4369" t="s">
        <v>86</v>
      </c>
    </row>
    <row r="4370" spans="1:90" x14ac:dyDescent="0.3">
      <c r="A4370" t="s">
        <v>72</v>
      </c>
      <c r="B4370" t="s">
        <v>73</v>
      </c>
      <c r="C4370" t="s">
        <v>74</v>
      </c>
      <c r="E4370" t="str">
        <f>"080066842413"</f>
        <v>080066842413</v>
      </c>
      <c r="F4370" s="3">
        <v>45866</v>
      </c>
      <c r="G4370">
        <v>202604</v>
      </c>
      <c r="H4370" t="s">
        <v>75</v>
      </c>
      <c r="I4370" t="s">
        <v>76</v>
      </c>
      <c r="J4370" t="s">
        <v>77</v>
      </c>
      <c r="K4370" t="s">
        <v>78</v>
      </c>
      <c r="L4370" t="s">
        <v>704</v>
      </c>
      <c r="M4370" t="s">
        <v>705</v>
      </c>
      <c r="N4370" t="s">
        <v>706</v>
      </c>
      <c r="O4370" t="s">
        <v>82</v>
      </c>
      <c r="P4370" t="str">
        <f>"4170051620                    "</f>
        <v xml:space="preserve">4170051620                    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122.87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  <c r="BE4370">
        <v>0</v>
      </c>
      <c r="BF4370">
        <v>0</v>
      </c>
      <c r="BG4370">
        <v>0</v>
      </c>
      <c r="BH4370">
        <v>1</v>
      </c>
      <c r="BI4370">
        <v>6</v>
      </c>
      <c r="BJ4370">
        <v>2.2999999999999998</v>
      </c>
      <c r="BK4370">
        <v>6</v>
      </c>
      <c r="BL4370">
        <v>387.11</v>
      </c>
      <c r="BM4370">
        <v>58.07</v>
      </c>
      <c r="BN4370">
        <v>445.18</v>
      </c>
      <c r="BO4370">
        <v>445.18</v>
      </c>
      <c r="BQ4370" t="s">
        <v>707</v>
      </c>
      <c r="BR4370" t="s">
        <v>84</v>
      </c>
      <c r="BS4370" s="3">
        <v>45867</v>
      </c>
      <c r="BT4370" s="4">
        <v>0.58888888888888891</v>
      </c>
      <c r="BU4370" t="s">
        <v>3770</v>
      </c>
      <c r="BV4370" t="s">
        <v>98</v>
      </c>
      <c r="BY4370">
        <v>11424</v>
      </c>
      <c r="CA4370" t="s">
        <v>1152</v>
      </c>
      <c r="CC4370" t="s">
        <v>705</v>
      </c>
      <c r="CD4370">
        <v>6849</v>
      </c>
      <c r="CE4370" t="s">
        <v>91</v>
      </c>
      <c r="CF4370" s="3">
        <v>45868</v>
      </c>
      <c r="CI4370">
        <v>2</v>
      </c>
      <c r="CJ4370">
        <v>1</v>
      </c>
      <c r="CK4370">
        <v>23</v>
      </c>
      <c r="CL4370" t="s">
        <v>86</v>
      </c>
    </row>
    <row r="4371" spans="1:90" x14ac:dyDescent="0.3">
      <c r="A4371" t="s">
        <v>72</v>
      </c>
      <c r="B4371" t="s">
        <v>73</v>
      </c>
      <c r="C4371" t="s">
        <v>74</v>
      </c>
      <c r="E4371" t="str">
        <f>"080066842468"</f>
        <v>080066842468</v>
      </c>
      <c r="F4371" s="3">
        <v>45866</v>
      </c>
      <c r="G4371">
        <v>202604</v>
      </c>
      <c r="H4371" t="s">
        <v>75</v>
      </c>
      <c r="I4371" t="s">
        <v>76</v>
      </c>
      <c r="J4371" t="s">
        <v>77</v>
      </c>
      <c r="K4371" t="s">
        <v>78</v>
      </c>
      <c r="L4371" t="s">
        <v>75</v>
      </c>
      <c r="M4371" t="s">
        <v>76</v>
      </c>
      <c r="N4371" t="s">
        <v>2892</v>
      </c>
      <c r="O4371" t="s">
        <v>82</v>
      </c>
      <c r="P4371" t="str">
        <f>"4170051609                    "</f>
        <v xml:space="preserve">4170051609                    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17.649999999999999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  <c r="BE4371">
        <v>0</v>
      </c>
      <c r="BF4371">
        <v>0</v>
      </c>
      <c r="BG4371">
        <v>0</v>
      </c>
      <c r="BH4371">
        <v>1</v>
      </c>
      <c r="BI4371">
        <v>1</v>
      </c>
      <c r="BJ4371">
        <v>1.1000000000000001</v>
      </c>
      <c r="BK4371">
        <v>2</v>
      </c>
      <c r="BL4371">
        <v>55.61</v>
      </c>
      <c r="BM4371">
        <v>8.34</v>
      </c>
      <c r="BN4371">
        <v>63.95</v>
      </c>
      <c r="BO4371">
        <v>63.95</v>
      </c>
      <c r="BQ4371" t="s">
        <v>2893</v>
      </c>
      <c r="BR4371" t="s">
        <v>84</v>
      </c>
      <c r="BS4371" s="3">
        <v>45867</v>
      </c>
      <c r="BT4371" s="4">
        <v>0.42499999999999999</v>
      </c>
      <c r="BU4371" t="s">
        <v>3799</v>
      </c>
      <c r="BV4371" t="s">
        <v>98</v>
      </c>
      <c r="BY4371">
        <v>5320</v>
      </c>
      <c r="CC4371" t="s">
        <v>76</v>
      </c>
      <c r="CD4371">
        <v>1600</v>
      </c>
      <c r="CE4371" t="s">
        <v>110</v>
      </c>
      <c r="CF4371" s="3">
        <v>45867</v>
      </c>
      <c r="CI4371">
        <v>1</v>
      </c>
      <c r="CJ4371">
        <v>1</v>
      </c>
      <c r="CK4371">
        <v>22</v>
      </c>
      <c r="CL4371" t="s">
        <v>86</v>
      </c>
    </row>
    <row r="4372" spans="1:90" x14ac:dyDescent="0.3">
      <c r="A4372" t="s">
        <v>72</v>
      </c>
      <c r="B4372" t="s">
        <v>73</v>
      </c>
      <c r="C4372" t="s">
        <v>74</v>
      </c>
      <c r="E4372" t="str">
        <f>"080066842492"</f>
        <v>080066842492</v>
      </c>
      <c r="F4372" s="3">
        <v>45866</v>
      </c>
      <c r="G4372">
        <v>202604</v>
      </c>
      <c r="H4372" t="s">
        <v>75</v>
      </c>
      <c r="I4372" t="s">
        <v>76</v>
      </c>
      <c r="J4372" t="s">
        <v>77</v>
      </c>
      <c r="K4372" t="s">
        <v>78</v>
      </c>
      <c r="L4372" t="s">
        <v>151</v>
      </c>
      <c r="M4372" t="s">
        <v>152</v>
      </c>
      <c r="N4372" t="s">
        <v>3800</v>
      </c>
      <c r="O4372" t="s">
        <v>82</v>
      </c>
      <c r="P4372" t="str">
        <f>"4170051482                    "</f>
        <v xml:space="preserve">4170051482                    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33.89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0</v>
      </c>
      <c r="BH4372">
        <v>1</v>
      </c>
      <c r="BI4372">
        <v>3</v>
      </c>
      <c r="BJ4372">
        <v>1.4</v>
      </c>
      <c r="BK4372">
        <v>3</v>
      </c>
      <c r="BL4372">
        <v>106.77</v>
      </c>
      <c r="BM4372">
        <v>16.02</v>
      </c>
      <c r="BN4372">
        <v>122.79</v>
      </c>
      <c r="BO4372">
        <v>122.79</v>
      </c>
      <c r="BQ4372" t="s">
        <v>3801</v>
      </c>
      <c r="BR4372" t="s">
        <v>84</v>
      </c>
      <c r="BS4372" s="3">
        <v>45867</v>
      </c>
      <c r="BT4372" s="4">
        <v>0.35069444444444442</v>
      </c>
      <c r="BU4372" t="s">
        <v>3802</v>
      </c>
      <c r="BV4372" t="s">
        <v>98</v>
      </c>
      <c r="BY4372">
        <v>7040</v>
      </c>
      <c r="CC4372" t="s">
        <v>152</v>
      </c>
      <c r="CD4372" s="5" t="s">
        <v>3803</v>
      </c>
      <c r="CE4372" t="s">
        <v>110</v>
      </c>
      <c r="CF4372" s="3">
        <v>45867</v>
      </c>
      <c r="CI4372">
        <v>1</v>
      </c>
      <c r="CJ4372">
        <v>1</v>
      </c>
      <c r="CK4372">
        <v>21</v>
      </c>
      <c r="CL4372" t="s">
        <v>86</v>
      </c>
    </row>
    <row r="4373" spans="1:90" x14ac:dyDescent="0.3">
      <c r="A4373" t="s">
        <v>72</v>
      </c>
      <c r="B4373" t="s">
        <v>73</v>
      </c>
      <c r="C4373" t="s">
        <v>74</v>
      </c>
      <c r="E4373" t="str">
        <f>"080066842534"</f>
        <v>080066842534</v>
      </c>
      <c r="F4373" s="3">
        <v>45866</v>
      </c>
      <c r="G4373">
        <v>202604</v>
      </c>
      <c r="H4373" t="s">
        <v>75</v>
      </c>
      <c r="I4373" t="s">
        <v>76</v>
      </c>
      <c r="J4373" t="s">
        <v>77</v>
      </c>
      <c r="K4373" t="s">
        <v>78</v>
      </c>
      <c r="L4373" t="s">
        <v>168</v>
      </c>
      <c r="M4373" t="s">
        <v>169</v>
      </c>
      <c r="N4373" t="s">
        <v>202</v>
      </c>
      <c r="O4373" t="s">
        <v>82</v>
      </c>
      <c r="P4373" t="str">
        <f>"4170051586                    "</f>
        <v xml:space="preserve">4170051586                    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22.6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  <c r="BH4373">
        <v>1</v>
      </c>
      <c r="BI4373">
        <v>1</v>
      </c>
      <c r="BJ4373">
        <v>0.2</v>
      </c>
      <c r="BK4373">
        <v>1</v>
      </c>
      <c r="BL4373">
        <v>71.2</v>
      </c>
      <c r="BM4373">
        <v>10.68</v>
      </c>
      <c r="BN4373">
        <v>81.88</v>
      </c>
      <c r="BO4373">
        <v>81.88</v>
      </c>
      <c r="BQ4373" t="s">
        <v>203</v>
      </c>
      <c r="BR4373" t="s">
        <v>84</v>
      </c>
      <c r="BS4373" s="3">
        <v>45867</v>
      </c>
      <c r="BT4373" s="4">
        <v>0.37152777777777779</v>
      </c>
      <c r="BU4373" t="s">
        <v>1638</v>
      </c>
      <c r="BV4373" t="s">
        <v>98</v>
      </c>
      <c r="BY4373">
        <v>1200</v>
      </c>
      <c r="CC4373" t="s">
        <v>169</v>
      </c>
      <c r="CD4373">
        <v>6001</v>
      </c>
      <c r="CE4373" t="s">
        <v>110</v>
      </c>
      <c r="CF4373" s="3">
        <v>45867</v>
      </c>
      <c r="CI4373">
        <v>1</v>
      </c>
      <c r="CJ4373">
        <v>1</v>
      </c>
      <c r="CK4373">
        <v>21</v>
      </c>
      <c r="CL4373" t="s">
        <v>86</v>
      </c>
    </row>
    <row r="4374" spans="1:90" x14ac:dyDescent="0.3">
      <c r="A4374" t="s">
        <v>72</v>
      </c>
      <c r="B4374" t="s">
        <v>73</v>
      </c>
      <c r="C4374" t="s">
        <v>74</v>
      </c>
      <c r="E4374" t="str">
        <f>"080066842575"</f>
        <v>080066842575</v>
      </c>
      <c r="F4374" s="3">
        <v>45866</v>
      </c>
      <c r="G4374">
        <v>202604</v>
      </c>
      <c r="H4374" t="s">
        <v>75</v>
      </c>
      <c r="I4374" t="s">
        <v>76</v>
      </c>
      <c r="J4374" t="s">
        <v>77</v>
      </c>
      <c r="K4374" t="s">
        <v>78</v>
      </c>
      <c r="L4374" t="s">
        <v>168</v>
      </c>
      <c r="M4374" t="s">
        <v>169</v>
      </c>
      <c r="N4374" t="s">
        <v>1252</v>
      </c>
      <c r="O4374" t="s">
        <v>82</v>
      </c>
      <c r="P4374" t="str">
        <f>"4170051698                    "</f>
        <v xml:space="preserve">4170051698                    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22.6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0</v>
      </c>
      <c r="BH4374">
        <v>1</v>
      </c>
      <c r="BI4374">
        <v>1</v>
      </c>
      <c r="BJ4374">
        <v>0.2</v>
      </c>
      <c r="BK4374">
        <v>1</v>
      </c>
      <c r="BL4374">
        <v>71.2</v>
      </c>
      <c r="BM4374">
        <v>10.68</v>
      </c>
      <c r="BN4374">
        <v>81.88</v>
      </c>
      <c r="BO4374">
        <v>81.88</v>
      </c>
      <c r="BQ4374" t="s">
        <v>1545</v>
      </c>
      <c r="BR4374" t="s">
        <v>84</v>
      </c>
      <c r="BS4374" s="3">
        <v>45867</v>
      </c>
      <c r="BT4374" s="4">
        <v>0.35416666666666669</v>
      </c>
      <c r="BU4374" t="s">
        <v>459</v>
      </c>
      <c r="BV4374" t="s">
        <v>98</v>
      </c>
      <c r="BY4374">
        <v>1200</v>
      </c>
      <c r="BZ4374" t="s">
        <v>89</v>
      </c>
      <c r="CA4374" t="s">
        <v>423</v>
      </c>
      <c r="CC4374" t="s">
        <v>169</v>
      </c>
      <c r="CD4374">
        <v>6045</v>
      </c>
      <c r="CE4374" t="s">
        <v>121</v>
      </c>
      <c r="CF4374" s="3">
        <v>45867</v>
      </c>
      <c r="CI4374">
        <v>1</v>
      </c>
      <c r="CJ4374">
        <v>1</v>
      </c>
      <c r="CK4374">
        <v>21</v>
      </c>
      <c r="CL4374" t="s">
        <v>86</v>
      </c>
    </row>
    <row r="4375" spans="1:90" x14ac:dyDescent="0.3">
      <c r="A4375" t="s">
        <v>72</v>
      </c>
      <c r="B4375" t="s">
        <v>73</v>
      </c>
      <c r="C4375" t="s">
        <v>74</v>
      </c>
      <c r="E4375" t="str">
        <f>"080066842623"</f>
        <v>080066842623</v>
      </c>
      <c r="F4375" s="3">
        <v>45866</v>
      </c>
      <c r="G4375">
        <v>202604</v>
      </c>
      <c r="H4375" t="s">
        <v>75</v>
      </c>
      <c r="I4375" t="s">
        <v>76</v>
      </c>
      <c r="J4375" t="s">
        <v>77</v>
      </c>
      <c r="K4375" t="s">
        <v>78</v>
      </c>
      <c r="L4375" t="s">
        <v>92</v>
      </c>
      <c r="M4375" t="s">
        <v>93</v>
      </c>
      <c r="N4375" t="s">
        <v>2721</v>
      </c>
      <c r="O4375" t="s">
        <v>82</v>
      </c>
      <c r="P4375" t="str">
        <f>"4170051645                    "</f>
        <v xml:space="preserve">4170051645                    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22.6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  <c r="BH4375">
        <v>1</v>
      </c>
      <c r="BI4375">
        <v>1</v>
      </c>
      <c r="BJ4375">
        <v>0.2</v>
      </c>
      <c r="BK4375">
        <v>1</v>
      </c>
      <c r="BL4375">
        <v>71.2</v>
      </c>
      <c r="BM4375">
        <v>10.68</v>
      </c>
      <c r="BN4375">
        <v>81.88</v>
      </c>
      <c r="BO4375">
        <v>81.88</v>
      </c>
      <c r="BQ4375" t="s">
        <v>2722</v>
      </c>
      <c r="BR4375" t="s">
        <v>84</v>
      </c>
      <c r="BS4375" s="3">
        <v>45867</v>
      </c>
      <c r="BT4375" s="4">
        <v>0.4236111111111111</v>
      </c>
      <c r="BU4375" t="s">
        <v>3804</v>
      </c>
      <c r="BV4375" t="s">
        <v>98</v>
      </c>
      <c r="BY4375">
        <v>1200</v>
      </c>
      <c r="BZ4375" t="s">
        <v>89</v>
      </c>
      <c r="CA4375" t="s">
        <v>2616</v>
      </c>
      <c r="CC4375" t="s">
        <v>93</v>
      </c>
      <c r="CD4375">
        <v>4000</v>
      </c>
      <c r="CE4375" t="s">
        <v>121</v>
      </c>
      <c r="CF4375" s="3">
        <v>45867</v>
      </c>
      <c r="CI4375">
        <v>1</v>
      </c>
      <c r="CJ4375">
        <v>1</v>
      </c>
      <c r="CK4375">
        <v>21</v>
      </c>
      <c r="CL4375" t="s">
        <v>86</v>
      </c>
    </row>
    <row r="4376" spans="1:90" x14ac:dyDescent="0.3">
      <c r="A4376" t="s">
        <v>72</v>
      </c>
      <c r="B4376" t="s">
        <v>73</v>
      </c>
      <c r="C4376" t="s">
        <v>74</v>
      </c>
      <c r="E4376" t="str">
        <f>"080066842624"</f>
        <v>080066842624</v>
      </c>
      <c r="F4376" s="3">
        <v>45866</v>
      </c>
      <c r="G4376">
        <v>202604</v>
      </c>
      <c r="H4376" t="s">
        <v>75</v>
      </c>
      <c r="I4376" t="s">
        <v>76</v>
      </c>
      <c r="J4376" t="s">
        <v>77</v>
      </c>
      <c r="K4376" t="s">
        <v>78</v>
      </c>
      <c r="L4376" t="s">
        <v>221</v>
      </c>
      <c r="M4376" t="s">
        <v>222</v>
      </c>
      <c r="N4376" t="s">
        <v>223</v>
      </c>
      <c r="O4376" t="s">
        <v>82</v>
      </c>
      <c r="P4376" t="str">
        <f>"4170051591                    "</f>
        <v xml:space="preserve">4170051591                    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43.78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0</v>
      </c>
      <c r="BH4376">
        <v>1</v>
      </c>
      <c r="BI4376">
        <v>1</v>
      </c>
      <c r="BJ4376">
        <v>0.9</v>
      </c>
      <c r="BK4376">
        <v>1</v>
      </c>
      <c r="BL4376">
        <v>137.94</v>
      </c>
      <c r="BM4376">
        <v>20.69</v>
      </c>
      <c r="BN4376">
        <v>158.63</v>
      </c>
      <c r="BO4376">
        <v>158.63</v>
      </c>
      <c r="BQ4376" t="s">
        <v>224</v>
      </c>
      <c r="BR4376" t="s">
        <v>84</v>
      </c>
      <c r="BS4376" s="3">
        <v>45867</v>
      </c>
      <c r="BT4376" s="4">
        <v>0.375</v>
      </c>
      <c r="BU4376" t="s">
        <v>1707</v>
      </c>
      <c r="BV4376" t="s">
        <v>98</v>
      </c>
      <c r="BY4376">
        <v>4680</v>
      </c>
      <c r="BZ4376" t="s">
        <v>89</v>
      </c>
      <c r="CC4376" t="s">
        <v>222</v>
      </c>
      <c r="CD4376">
        <v>2740</v>
      </c>
      <c r="CE4376" t="s">
        <v>145</v>
      </c>
      <c r="CF4376" s="3">
        <v>45868</v>
      </c>
      <c r="CI4376">
        <v>1</v>
      </c>
      <c r="CJ4376">
        <v>1</v>
      </c>
      <c r="CK4376">
        <v>23</v>
      </c>
      <c r="CL4376" t="s">
        <v>86</v>
      </c>
    </row>
    <row r="4377" spans="1:90" x14ac:dyDescent="0.3">
      <c r="A4377" t="s">
        <v>72</v>
      </c>
      <c r="B4377" t="s">
        <v>73</v>
      </c>
      <c r="C4377" t="s">
        <v>74</v>
      </c>
      <c r="E4377" t="str">
        <f>"080066842669"</f>
        <v>080066842669</v>
      </c>
      <c r="F4377" s="3">
        <v>45866</v>
      </c>
      <c r="G4377">
        <v>202604</v>
      </c>
      <c r="H4377" t="s">
        <v>75</v>
      </c>
      <c r="I4377" t="s">
        <v>76</v>
      </c>
      <c r="J4377" t="s">
        <v>77</v>
      </c>
      <c r="K4377" t="s">
        <v>78</v>
      </c>
      <c r="L4377" t="s">
        <v>122</v>
      </c>
      <c r="M4377" t="s">
        <v>123</v>
      </c>
      <c r="N4377" t="s">
        <v>283</v>
      </c>
      <c r="O4377" t="s">
        <v>82</v>
      </c>
      <c r="P4377" t="str">
        <f>"4170051472                    "</f>
        <v xml:space="preserve">4170051472                    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22.6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0</v>
      </c>
      <c r="BH4377">
        <v>1</v>
      </c>
      <c r="BI4377">
        <v>1</v>
      </c>
      <c r="BJ4377">
        <v>0.2</v>
      </c>
      <c r="BK4377">
        <v>1</v>
      </c>
      <c r="BL4377">
        <v>71.2</v>
      </c>
      <c r="BM4377">
        <v>10.68</v>
      </c>
      <c r="BN4377">
        <v>81.88</v>
      </c>
      <c r="BO4377">
        <v>81.88</v>
      </c>
      <c r="BQ4377" t="s">
        <v>284</v>
      </c>
      <c r="BR4377" t="s">
        <v>84</v>
      </c>
      <c r="BS4377" s="3">
        <v>45867</v>
      </c>
      <c r="BT4377" s="4">
        <v>0.41805555555555557</v>
      </c>
      <c r="BU4377" t="s">
        <v>285</v>
      </c>
      <c r="BV4377" t="s">
        <v>98</v>
      </c>
      <c r="BY4377">
        <v>1200</v>
      </c>
      <c r="CA4377" t="s">
        <v>187</v>
      </c>
      <c r="CC4377" t="s">
        <v>123</v>
      </c>
      <c r="CD4377">
        <v>3608</v>
      </c>
      <c r="CE4377" t="s">
        <v>121</v>
      </c>
      <c r="CF4377" s="3">
        <v>45868</v>
      </c>
      <c r="CI4377">
        <v>1</v>
      </c>
      <c r="CJ4377">
        <v>1</v>
      </c>
      <c r="CK4377">
        <v>21</v>
      </c>
      <c r="CL4377" t="s">
        <v>86</v>
      </c>
    </row>
    <row r="4378" spans="1:90" x14ac:dyDescent="0.3">
      <c r="A4378" t="s">
        <v>72</v>
      </c>
      <c r="B4378" t="s">
        <v>73</v>
      </c>
      <c r="C4378" t="s">
        <v>74</v>
      </c>
      <c r="E4378" t="str">
        <f>"080066842714"</f>
        <v>080066842714</v>
      </c>
      <c r="F4378" s="3">
        <v>45866</v>
      </c>
      <c r="G4378">
        <v>202604</v>
      </c>
      <c r="H4378" t="s">
        <v>75</v>
      </c>
      <c r="I4378" t="s">
        <v>76</v>
      </c>
      <c r="J4378" t="s">
        <v>77</v>
      </c>
      <c r="K4378" t="s">
        <v>78</v>
      </c>
      <c r="L4378" t="s">
        <v>111</v>
      </c>
      <c r="M4378" t="s">
        <v>112</v>
      </c>
      <c r="N4378" t="s">
        <v>113</v>
      </c>
      <c r="O4378" t="s">
        <v>82</v>
      </c>
      <c r="P4378" t="str">
        <f>"4170051461                    "</f>
        <v xml:space="preserve">4170051461                    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43.78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  <c r="BE4378">
        <v>0</v>
      </c>
      <c r="BF4378">
        <v>0</v>
      </c>
      <c r="BG4378">
        <v>0</v>
      </c>
      <c r="BH4378">
        <v>1</v>
      </c>
      <c r="BI4378">
        <v>1</v>
      </c>
      <c r="BJ4378">
        <v>0.2</v>
      </c>
      <c r="BK4378">
        <v>1</v>
      </c>
      <c r="BL4378">
        <v>137.94</v>
      </c>
      <c r="BM4378">
        <v>20.69</v>
      </c>
      <c r="BN4378">
        <v>158.63</v>
      </c>
      <c r="BO4378">
        <v>158.63</v>
      </c>
      <c r="BQ4378" t="s">
        <v>537</v>
      </c>
      <c r="BR4378" t="s">
        <v>84</v>
      </c>
      <c r="BS4378" s="3">
        <v>45867</v>
      </c>
      <c r="BT4378" s="4">
        <v>0.4375</v>
      </c>
      <c r="BU4378" t="s">
        <v>115</v>
      </c>
      <c r="BV4378" t="s">
        <v>98</v>
      </c>
      <c r="BY4378">
        <v>1200</v>
      </c>
      <c r="CA4378" t="s">
        <v>116</v>
      </c>
      <c r="CC4378" t="s">
        <v>112</v>
      </c>
      <c r="CD4378">
        <v>1871</v>
      </c>
      <c r="CE4378" t="s">
        <v>121</v>
      </c>
      <c r="CF4378" s="3">
        <v>45867</v>
      </c>
      <c r="CI4378">
        <v>1</v>
      </c>
      <c r="CJ4378">
        <v>1</v>
      </c>
      <c r="CK4378">
        <v>23</v>
      </c>
      <c r="CL4378" t="s">
        <v>86</v>
      </c>
    </row>
    <row r="4379" spans="1:90" x14ac:dyDescent="0.3">
      <c r="A4379" t="s">
        <v>72</v>
      </c>
      <c r="B4379" t="s">
        <v>73</v>
      </c>
      <c r="C4379" t="s">
        <v>74</v>
      </c>
      <c r="E4379" t="str">
        <f>"080066842743"</f>
        <v>080066842743</v>
      </c>
      <c r="F4379" s="3">
        <v>45866</v>
      </c>
      <c r="G4379">
        <v>202604</v>
      </c>
      <c r="H4379" t="s">
        <v>75</v>
      </c>
      <c r="I4379" t="s">
        <v>76</v>
      </c>
      <c r="J4379" t="s">
        <v>77</v>
      </c>
      <c r="K4379" t="s">
        <v>78</v>
      </c>
      <c r="L4379" t="s">
        <v>146</v>
      </c>
      <c r="M4379" t="s">
        <v>146</v>
      </c>
      <c r="N4379" t="s">
        <v>633</v>
      </c>
      <c r="O4379" t="s">
        <v>82</v>
      </c>
      <c r="P4379" t="str">
        <f>"4170051469                    "</f>
        <v xml:space="preserve">4170051469                    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43.78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0</v>
      </c>
      <c r="BF4379">
        <v>0</v>
      </c>
      <c r="BG4379">
        <v>0</v>
      </c>
      <c r="BH4379">
        <v>1</v>
      </c>
      <c r="BI4379">
        <v>1</v>
      </c>
      <c r="BJ4379">
        <v>0.2</v>
      </c>
      <c r="BK4379">
        <v>1</v>
      </c>
      <c r="BL4379">
        <v>137.94</v>
      </c>
      <c r="BM4379">
        <v>20.69</v>
      </c>
      <c r="BN4379">
        <v>158.63</v>
      </c>
      <c r="BO4379">
        <v>158.63</v>
      </c>
      <c r="BQ4379" t="s">
        <v>634</v>
      </c>
      <c r="BR4379" t="s">
        <v>84</v>
      </c>
      <c r="BS4379" s="3">
        <v>45867</v>
      </c>
      <c r="BT4379" s="4">
        <v>0.5180555555555556</v>
      </c>
      <c r="BU4379" t="s">
        <v>1748</v>
      </c>
      <c r="BV4379" t="s">
        <v>98</v>
      </c>
      <c r="BY4379">
        <v>1200</v>
      </c>
      <c r="CA4379" t="s">
        <v>989</v>
      </c>
      <c r="CC4379" t="s">
        <v>146</v>
      </c>
      <c r="CD4379">
        <v>7646</v>
      </c>
      <c r="CE4379" t="s">
        <v>121</v>
      </c>
      <c r="CF4379" s="3">
        <v>45868</v>
      </c>
      <c r="CI4379">
        <v>1</v>
      </c>
      <c r="CJ4379">
        <v>1</v>
      </c>
      <c r="CK4379">
        <v>23</v>
      </c>
      <c r="CL4379" t="s">
        <v>86</v>
      </c>
    </row>
    <row r="4380" spans="1:90" x14ac:dyDescent="0.3">
      <c r="A4380" t="s">
        <v>72</v>
      </c>
      <c r="B4380" t="s">
        <v>73</v>
      </c>
      <c r="C4380" t="s">
        <v>74</v>
      </c>
      <c r="E4380" t="str">
        <f>"080066842777"</f>
        <v>080066842777</v>
      </c>
      <c r="F4380" s="3">
        <v>45866</v>
      </c>
      <c r="G4380">
        <v>202604</v>
      </c>
      <c r="H4380" t="s">
        <v>75</v>
      </c>
      <c r="I4380" t="s">
        <v>76</v>
      </c>
      <c r="J4380" t="s">
        <v>77</v>
      </c>
      <c r="K4380" t="s">
        <v>78</v>
      </c>
      <c r="L4380" t="s">
        <v>221</v>
      </c>
      <c r="M4380" t="s">
        <v>222</v>
      </c>
      <c r="N4380" t="s">
        <v>223</v>
      </c>
      <c r="O4380" t="s">
        <v>82</v>
      </c>
      <c r="P4380" t="str">
        <f>"4170051590                    "</f>
        <v xml:space="preserve">4170051590                    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43.78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0</v>
      </c>
      <c r="BG4380">
        <v>0</v>
      </c>
      <c r="BH4380">
        <v>1</v>
      </c>
      <c r="BI4380">
        <v>1</v>
      </c>
      <c r="BJ4380">
        <v>0.2</v>
      </c>
      <c r="BK4380">
        <v>1</v>
      </c>
      <c r="BL4380">
        <v>137.94</v>
      </c>
      <c r="BM4380">
        <v>20.69</v>
      </c>
      <c r="BN4380">
        <v>158.63</v>
      </c>
      <c r="BO4380">
        <v>158.63</v>
      </c>
      <c r="BQ4380" t="s">
        <v>224</v>
      </c>
      <c r="BR4380" t="s">
        <v>84</v>
      </c>
      <c r="BS4380" s="3">
        <v>45867</v>
      </c>
      <c r="BT4380" s="4">
        <v>0.375</v>
      </c>
      <c r="BU4380" t="s">
        <v>1707</v>
      </c>
      <c r="BV4380" t="s">
        <v>98</v>
      </c>
      <c r="BY4380">
        <v>1200</v>
      </c>
      <c r="CC4380" t="s">
        <v>222</v>
      </c>
      <c r="CD4380">
        <v>2740</v>
      </c>
      <c r="CE4380" t="s">
        <v>121</v>
      </c>
      <c r="CF4380" s="3">
        <v>45868</v>
      </c>
      <c r="CI4380">
        <v>1</v>
      </c>
      <c r="CJ4380">
        <v>1</v>
      </c>
      <c r="CK4380">
        <v>23</v>
      </c>
      <c r="CL4380" t="s">
        <v>86</v>
      </c>
    </row>
    <row r="4381" spans="1:90" x14ac:dyDescent="0.3">
      <c r="A4381" t="s">
        <v>72</v>
      </c>
      <c r="B4381" t="s">
        <v>73</v>
      </c>
      <c r="C4381" t="s">
        <v>74</v>
      </c>
      <c r="E4381" t="str">
        <f>"080066842815"</f>
        <v>080066842815</v>
      </c>
      <c r="F4381" s="3">
        <v>45866</v>
      </c>
      <c r="G4381">
        <v>202604</v>
      </c>
      <c r="H4381" t="s">
        <v>75</v>
      </c>
      <c r="I4381" t="s">
        <v>76</v>
      </c>
      <c r="J4381" t="s">
        <v>77</v>
      </c>
      <c r="K4381" t="s">
        <v>78</v>
      </c>
      <c r="L4381" t="s">
        <v>240</v>
      </c>
      <c r="M4381" t="s">
        <v>241</v>
      </c>
      <c r="N4381" t="s">
        <v>798</v>
      </c>
      <c r="O4381" t="s">
        <v>82</v>
      </c>
      <c r="P4381" t="str">
        <f>"4170051638                    "</f>
        <v xml:space="preserve">4170051638                    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17.649999999999999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0</v>
      </c>
      <c r="BF4381">
        <v>0</v>
      </c>
      <c r="BG4381">
        <v>0</v>
      </c>
      <c r="BH4381">
        <v>1</v>
      </c>
      <c r="BI4381">
        <v>1</v>
      </c>
      <c r="BJ4381">
        <v>0.2</v>
      </c>
      <c r="BK4381">
        <v>1</v>
      </c>
      <c r="BL4381">
        <v>55.61</v>
      </c>
      <c r="BM4381">
        <v>8.34</v>
      </c>
      <c r="BN4381">
        <v>63.95</v>
      </c>
      <c r="BO4381">
        <v>63.95</v>
      </c>
      <c r="BQ4381" t="s">
        <v>799</v>
      </c>
      <c r="BR4381" t="s">
        <v>84</v>
      </c>
      <c r="BS4381" s="3">
        <v>45867</v>
      </c>
      <c r="BT4381" s="4">
        <v>0.43125000000000002</v>
      </c>
      <c r="BU4381" t="s">
        <v>3724</v>
      </c>
      <c r="BV4381" t="s">
        <v>98</v>
      </c>
      <c r="BY4381">
        <v>1200</v>
      </c>
      <c r="CA4381" t="s">
        <v>245</v>
      </c>
      <c r="CC4381" t="s">
        <v>241</v>
      </c>
      <c r="CD4381">
        <v>2013</v>
      </c>
      <c r="CE4381" t="s">
        <v>121</v>
      </c>
      <c r="CF4381" s="3">
        <v>45867</v>
      </c>
      <c r="CI4381">
        <v>1</v>
      </c>
      <c r="CJ4381">
        <v>1</v>
      </c>
      <c r="CK4381">
        <v>22</v>
      </c>
      <c r="CL4381" t="s">
        <v>86</v>
      </c>
    </row>
    <row r="4382" spans="1:90" x14ac:dyDescent="0.3">
      <c r="A4382" t="s">
        <v>72</v>
      </c>
      <c r="B4382" t="s">
        <v>73</v>
      </c>
      <c r="C4382" t="s">
        <v>74</v>
      </c>
      <c r="E4382" t="str">
        <f>"080066842871"</f>
        <v>080066842871</v>
      </c>
      <c r="F4382" s="3">
        <v>45866</v>
      </c>
      <c r="G4382">
        <v>202604</v>
      </c>
      <c r="H4382" t="s">
        <v>75</v>
      </c>
      <c r="I4382" t="s">
        <v>76</v>
      </c>
      <c r="J4382" t="s">
        <v>77</v>
      </c>
      <c r="K4382" t="s">
        <v>78</v>
      </c>
      <c r="L4382" t="s">
        <v>151</v>
      </c>
      <c r="M4382" t="s">
        <v>152</v>
      </c>
      <c r="N4382" t="s">
        <v>2100</v>
      </c>
      <c r="O4382" t="s">
        <v>82</v>
      </c>
      <c r="P4382" t="str">
        <f>"4170051481                    "</f>
        <v xml:space="preserve">4170051481                    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22.6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  <c r="BE4382">
        <v>0</v>
      </c>
      <c r="BF4382">
        <v>0</v>
      </c>
      <c r="BG4382">
        <v>0</v>
      </c>
      <c r="BH4382">
        <v>1</v>
      </c>
      <c r="BI4382">
        <v>1</v>
      </c>
      <c r="BJ4382">
        <v>0.2</v>
      </c>
      <c r="BK4382">
        <v>1</v>
      </c>
      <c r="BL4382">
        <v>71.2</v>
      </c>
      <c r="BM4382">
        <v>10.68</v>
      </c>
      <c r="BN4382">
        <v>81.88</v>
      </c>
      <c r="BO4382">
        <v>81.88</v>
      </c>
      <c r="BQ4382" t="s">
        <v>2101</v>
      </c>
      <c r="BR4382" t="s">
        <v>84</v>
      </c>
      <c r="BS4382" s="3">
        <v>45867</v>
      </c>
      <c r="BT4382" s="4">
        <v>0.43125000000000002</v>
      </c>
      <c r="BU4382" t="s">
        <v>3805</v>
      </c>
      <c r="BV4382" t="s">
        <v>98</v>
      </c>
      <c r="BY4382">
        <v>1200</v>
      </c>
      <c r="CA4382" t="s">
        <v>2137</v>
      </c>
      <c r="CC4382" t="s">
        <v>152</v>
      </c>
      <c r="CD4382" s="5" t="s">
        <v>717</v>
      </c>
      <c r="CE4382" t="s">
        <v>121</v>
      </c>
      <c r="CF4382" s="3">
        <v>45867</v>
      </c>
      <c r="CI4382">
        <v>1</v>
      </c>
      <c r="CJ4382">
        <v>1</v>
      </c>
      <c r="CK4382">
        <v>21</v>
      </c>
      <c r="CL4382" t="s">
        <v>86</v>
      </c>
    </row>
    <row r="4383" spans="1:90" x14ac:dyDescent="0.3">
      <c r="A4383" t="s">
        <v>72</v>
      </c>
      <c r="B4383" t="s">
        <v>73</v>
      </c>
      <c r="C4383" t="s">
        <v>74</v>
      </c>
      <c r="E4383" t="str">
        <f>"080066842926"</f>
        <v>080066842926</v>
      </c>
      <c r="F4383" s="3">
        <v>45866</v>
      </c>
      <c r="G4383">
        <v>202604</v>
      </c>
      <c r="H4383" t="s">
        <v>75</v>
      </c>
      <c r="I4383" t="s">
        <v>76</v>
      </c>
      <c r="J4383" t="s">
        <v>77</v>
      </c>
      <c r="K4383" t="s">
        <v>78</v>
      </c>
      <c r="L4383" t="s">
        <v>240</v>
      </c>
      <c r="M4383" t="s">
        <v>241</v>
      </c>
      <c r="N4383" t="s">
        <v>3016</v>
      </c>
      <c r="O4383" t="s">
        <v>82</v>
      </c>
      <c r="P4383" t="str">
        <f>"4170051514                    "</f>
        <v xml:space="preserve">4170051514                    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17.649999999999999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  <c r="BE4383">
        <v>0</v>
      </c>
      <c r="BF4383">
        <v>0</v>
      </c>
      <c r="BG4383">
        <v>0</v>
      </c>
      <c r="BH4383">
        <v>1</v>
      </c>
      <c r="BI4383">
        <v>1</v>
      </c>
      <c r="BJ4383">
        <v>0.2</v>
      </c>
      <c r="BK4383">
        <v>1</v>
      </c>
      <c r="BL4383">
        <v>55.61</v>
      </c>
      <c r="BM4383">
        <v>8.34</v>
      </c>
      <c r="BN4383">
        <v>63.95</v>
      </c>
      <c r="BO4383">
        <v>63.95</v>
      </c>
      <c r="BQ4383" t="s">
        <v>3017</v>
      </c>
      <c r="BR4383" t="s">
        <v>84</v>
      </c>
      <c r="BS4383" s="3">
        <v>45867</v>
      </c>
      <c r="BT4383" s="4">
        <v>0.35416666666666669</v>
      </c>
      <c r="BU4383" t="s">
        <v>3018</v>
      </c>
      <c r="BV4383" t="s">
        <v>98</v>
      </c>
      <c r="BY4383">
        <v>1200</v>
      </c>
      <c r="CA4383" t="s">
        <v>245</v>
      </c>
      <c r="CC4383" t="s">
        <v>241</v>
      </c>
      <c r="CD4383">
        <v>2000</v>
      </c>
      <c r="CE4383" t="s">
        <v>121</v>
      </c>
      <c r="CF4383" s="3">
        <v>45867</v>
      </c>
      <c r="CI4383">
        <v>1</v>
      </c>
      <c r="CJ4383">
        <v>1</v>
      </c>
      <c r="CK4383">
        <v>22</v>
      </c>
      <c r="CL4383" t="s">
        <v>86</v>
      </c>
    </row>
    <row r="4384" spans="1:90" x14ac:dyDescent="0.3">
      <c r="A4384" t="s">
        <v>72</v>
      </c>
      <c r="B4384" t="s">
        <v>73</v>
      </c>
      <c r="C4384" t="s">
        <v>74</v>
      </c>
      <c r="E4384" t="str">
        <f>"080066842968"</f>
        <v>080066842968</v>
      </c>
      <c r="F4384" s="3">
        <v>45866</v>
      </c>
      <c r="G4384">
        <v>202604</v>
      </c>
      <c r="H4384" t="s">
        <v>75</v>
      </c>
      <c r="I4384" t="s">
        <v>76</v>
      </c>
      <c r="J4384" t="s">
        <v>77</v>
      </c>
      <c r="K4384" t="s">
        <v>78</v>
      </c>
      <c r="L4384" t="s">
        <v>146</v>
      </c>
      <c r="M4384" t="s">
        <v>146</v>
      </c>
      <c r="N4384" t="s">
        <v>1134</v>
      </c>
      <c r="O4384" t="s">
        <v>82</v>
      </c>
      <c r="P4384" t="str">
        <f>"4170051650                    "</f>
        <v xml:space="preserve">4170051650                    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43.78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  <c r="BE4384">
        <v>0</v>
      </c>
      <c r="BF4384">
        <v>0</v>
      </c>
      <c r="BG4384">
        <v>0</v>
      </c>
      <c r="BH4384">
        <v>1</v>
      </c>
      <c r="BI4384">
        <v>1</v>
      </c>
      <c r="BJ4384">
        <v>0.2</v>
      </c>
      <c r="BK4384">
        <v>1</v>
      </c>
      <c r="BL4384">
        <v>137.94</v>
      </c>
      <c r="BM4384">
        <v>20.69</v>
      </c>
      <c r="BN4384">
        <v>158.63</v>
      </c>
      <c r="BO4384">
        <v>158.63</v>
      </c>
      <c r="BQ4384" t="s">
        <v>1135</v>
      </c>
      <c r="BR4384" t="s">
        <v>84</v>
      </c>
      <c r="BS4384" s="3">
        <v>45867</v>
      </c>
      <c r="BT4384" s="4">
        <v>0.52152777777777781</v>
      </c>
      <c r="BU4384" t="s">
        <v>3794</v>
      </c>
      <c r="BV4384" t="s">
        <v>98</v>
      </c>
      <c r="BY4384">
        <v>1200</v>
      </c>
      <c r="CA4384" t="s">
        <v>989</v>
      </c>
      <c r="CC4384" t="s">
        <v>146</v>
      </c>
      <c r="CD4384">
        <v>7646</v>
      </c>
      <c r="CE4384" t="s">
        <v>121</v>
      </c>
      <c r="CF4384" s="3">
        <v>45868</v>
      </c>
      <c r="CI4384">
        <v>1</v>
      </c>
      <c r="CJ4384">
        <v>1</v>
      </c>
      <c r="CK4384">
        <v>23</v>
      </c>
      <c r="CL4384" t="s">
        <v>86</v>
      </c>
    </row>
    <row r="4385" spans="1:90" x14ac:dyDescent="0.3">
      <c r="A4385" t="s">
        <v>72</v>
      </c>
      <c r="B4385" t="s">
        <v>73</v>
      </c>
      <c r="C4385" t="s">
        <v>74</v>
      </c>
      <c r="E4385" t="str">
        <f>"080066843021"</f>
        <v>080066843021</v>
      </c>
      <c r="F4385" s="3">
        <v>45866</v>
      </c>
      <c r="G4385">
        <v>202604</v>
      </c>
      <c r="H4385" t="s">
        <v>75</v>
      </c>
      <c r="I4385" t="s">
        <v>76</v>
      </c>
      <c r="J4385" t="s">
        <v>77</v>
      </c>
      <c r="K4385" t="s">
        <v>78</v>
      </c>
      <c r="L4385" t="s">
        <v>79</v>
      </c>
      <c r="M4385" t="s">
        <v>80</v>
      </c>
      <c r="N4385" t="s">
        <v>3783</v>
      </c>
      <c r="O4385" t="s">
        <v>82</v>
      </c>
      <c r="P4385" t="str">
        <f>"4170051607                    "</f>
        <v xml:space="preserve">4170051607                    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22.6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0</v>
      </c>
      <c r="BH4385">
        <v>1</v>
      </c>
      <c r="BI4385">
        <v>1</v>
      </c>
      <c r="BJ4385">
        <v>0.2</v>
      </c>
      <c r="BK4385">
        <v>1</v>
      </c>
      <c r="BL4385">
        <v>71.2</v>
      </c>
      <c r="BM4385">
        <v>10.68</v>
      </c>
      <c r="BN4385">
        <v>81.88</v>
      </c>
      <c r="BO4385">
        <v>81.88</v>
      </c>
      <c r="BQ4385" t="s">
        <v>3784</v>
      </c>
      <c r="BR4385" t="s">
        <v>84</v>
      </c>
      <c r="BS4385" s="3">
        <v>45867</v>
      </c>
      <c r="BT4385" s="4">
        <v>0.45347222222222222</v>
      </c>
      <c r="BU4385" t="s">
        <v>3785</v>
      </c>
      <c r="BV4385" t="s">
        <v>86</v>
      </c>
      <c r="BY4385">
        <v>1200</v>
      </c>
      <c r="CA4385" t="s">
        <v>579</v>
      </c>
      <c r="CC4385" t="s">
        <v>80</v>
      </c>
      <c r="CD4385">
        <v>7460</v>
      </c>
      <c r="CE4385" t="s">
        <v>121</v>
      </c>
      <c r="CF4385" s="3">
        <v>45868</v>
      </c>
      <c r="CI4385">
        <v>1</v>
      </c>
      <c r="CJ4385">
        <v>1</v>
      </c>
      <c r="CK4385">
        <v>21</v>
      </c>
      <c r="CL4385" t="s">
        <v>86</v>
      </c>
    </row>
    <row r="4386" spans="1:90" x14ac:dyDescent="0.3">
      <c r="A4386" t="s">
        <v>72</v>
      </c>
      <c r="B4386" t="s">
        <v>73</v>
      </c>
      <c r="C4386" t="s">
        <v>74</v>
      </c>
      <c r="E4386" t="str">
        <f>"080066843071"</f>
        <v>080066843071</v>
      </c>
      <c r="F4386" s="3">
        <v>45866</v>
      </c>
      <c r="G4386">
        <v>202604</v>
      </c>
      <c r="H4386" t="s">
        <v>75</v>
      </c>
      <c r="I4386" t="s">
        <v>76</v>
      </c>
      <c r="J4386" t="s">
        <v>77</v>
      </c>
      <c r="K4386" t="s">
        <v>78</v>
      </c>
      <c r="L4386" t="s">
        <v>503</v>
      </c>
      <c r="M4386" t="s">
        <v>504</v>
      </c>
      <c r="N4386" t="s">
        <v>505</v>
      </c>
      <c r="O4386" t="s">
        <v>82</v>
      </c>
      <c r="P4386" t="str">
        <f>"4170051491                    "</f>
        <v xml:space="preserve">4170051491                    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43.78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0</v>
      </c>
      <c r="BH4386">
        <v>1</v>
      </c>
      <c r="BI4386">
        <v>1</v>
      </c>
      <c r="BJ4386">
        <v>0.2</v>
      </c>
      <c r="BK4386">
        <v>1</v>
      </c>
      <c r="BL4386">
        <v>137.94</v>
      </c>
      <c r="BM4386">
        <v>20.69</v>
      </c>
      <c r="BN4386">
        <v>158.63</v>
      </c>
      <c r="BO4386">
        <v>158.63</v>
      </c>
      <c r="BQ4386" t="s">
        <v>506</v>
      </c>
      <c r="BR4386" t="s">
        <v>84</v>
      </c>
      <c r="BS4386" s="3">
        <v>45867</v>
      </c>
      <c r="BT4386" s="4">
        <v>0.4236111111111111</v>
      </c>
      <c r="BU4386" t="s">
        <v>161</v>
      </c>
      <c r="BV4386" t="s">
        <v>98</v>
      </c>
      <c r="BY4386">
        <v>1200</v>
      </c>
      <c r="CA4386" t="s">
        <v>508</v>
      </c>
      <c r="CC4386" t="s">
        <v>504</v>
      </c>
      <c r="CD4386">
        <v>7130</v>
      </c>
      <c r="CE4386" t="s">
        <v>121</v>
      </c>
      <c r="CF4386" s="3">
        <v>45868</v>
      </c>
      <c r="CI4386">
        <v>1</v>
      </c>
      <c r="CJ4386">
        <v>1</v>
      </c>
      <c r="CK4386">
        <v>23</v>
      </c>
      <c r="CL4386" t="s">
        <v>86</v>
      </c>
    </row>
    <row r="4387" spans="1:90" x14ac:dyDescent="0.3">
      <c r="A4387" t="s">
        <v>72</v>
      </c>
      <c r="B4387" t="s">
        <v>73</v>
      </c>
      <c r="C4387" t="s">
        <v>74</v>
      </c>
      <c r="E4387" t="str">
        <f>"080066843111"</f>
        <v>080066843111</v>
      </c>
      <c r="F4387" s="3">
        <v>45866</v>
      </c>
      <c r="G4387">
        <v>202604</v>
      </c>
      <c r="H4387" t="s">
        <v>75</v>
      </c>
      <c r="I4387" t="s">
        <v>76</v>
      </c>
      <c r="J4387" t="s">
        <v>77</v>
      </c>
      <c r="K4387" t="s">
        <v>78</v>
      </c>
      <c r="L4387" t="s">
        <v>503</v>
      </c>
      <c r="M4387" t="s">
        <v>504</v>
      </c>
      <c r="N4387" t="s">
        <v>505</v>
      </c>
      <c r="O4387" t="s">
        <v>82</v>
      </c>
      <c r="P4387" t="str">
        <f>"4170051516                    "</f>
        <v xml:space="preserve">4170051516                    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43.78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0</v>
      </c>
      <c r="BH4387">
        <v>1</v>
      </c>
      <c r="BI4387">
        <v>1</v>
      </c>
      <c r="BJ4387">
        <v>0.2</v>
      </c>
      <c r="BK4387">
        <v>1</v>
      </c>
      <c r="BL4387">
        <v>137.94</v>
      </c>
      <c r="BM4387">
        <v>20.69</v>
      </c>
      <c r="BN4387">
        <v>158.63</v>
      </c>
      <c r="BO4387">
        <v>158.63</v>
      </c>
      <c r="BQ4387" t="s">
        <v>506</v>
      </c>
      <c r="BR4387" t="s">
        <v>84</v>
      </c>
      <c r="BS4387" s="3">
        <v>45867</v>
      </c>
      <c r="BT4387" s="4">
        <v>0.4236111111111111</v>
      </c>
      <c r="BU4387" t="s">
        <v>161</v>
      </c>
      <c r="BV4387" t="s">
        <v>98</v>
      </c>
      <c r="BY4387">
        <v>1200</v>
      </c>
      <c r="CA4387" t="s">
        <v>508</v>
      </c>
      <c r="CC4387" t="s">
        <v>504</v>
      </c>
      <c r="CD4387">
        <v>7130</v>
      </c>
      <c r="CE4387" t="s">
        <v>121</v>
      </c>
      <c r="CF4387" s="3">
        <v>45868</v>
      </c>
      <c r="CI4387">
        <v>1</v>
      </c>
      <c r="CJ4387">
        <v>1</v>
      </c>
      <c r="CK4387">
        <v>23</v>
      </c>
      <c r="CL4387" t="s">
        <v>86</v>
      </c>
    </row>
    <row r="4388" spans="1:90" x14ac:dyDescent="0.3">
      <c r="A4388" t="s">
        <v>72</v>
      </c>
      <c r="B4388" t="s">
        <v>73</v>
      </c>
      <c r="C4388" t="s">
        <v>74</v>
      </c>
      <c r="E4388" t="str">
        <f>"080066843164"</f>
        <v>080066843164</v>
      </c>
      <c r="F4388" s="3">
        <v>45866</v>
      </c>
      <c r="G4388">
        <v>202604</v>
      </c>
      <c r="H4388" t="s">
        <v>75</v>
      </c>
      <c r="I4388" t="s">
        <v>76</v>
      </c>
      <c r="J4388" t="s">
        <v>77</v>
      </c>
      <c r="K4388" t="s">
        <v>78</v>
      </c>
      <c r="L4388" t="s">
        <v>542</v>
      </c>
      <c r="M4388" t="s">
        <v>543</v>
      </c>
      <c r="N4388" t="s">
        <v>352</v>
      </c>
      <c r="O4388" t="s">
        <v>82</v>
      </c>
      <c r="P4388" t="str">
        <f>"4170051523                    "</f>
        <v xml:space="preserve">4170051523                    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17.649999999999999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  <c r="BE4388">
        <v>0</v>
      </c>
      <c r="BF4388">
        <v>0</v>
      </c>
      <c r="BG4388">
        <v>0</v>
      </c>
      <c r="BH4388">
        <v>1</v>
      </c>
      <c r="BI4388">
        <v>1</v>
      </c>
      <c r="BJ4388">
        <v>0.2</v>
      </c>
      <c r="BK4388">
        <v>1</v>
      </c>
      <c r="BL4388">
        <v>55.61</v>
      </c>
      <c r="BM4388">
        <v>8.34</v>
      </c>
      <c r="BN4388">
        <v>63.95</v>
      </c>
      <c r="BO4388">
        <v>63.95</v>
      </c>
      <c r="BQ4388" t="s">
        <v>353</v>
      </c>
      <c r="BR4388" t="s">
        <v>84</v>
      </c>
      <c r="BS4388" s="3">
        <v>45867</v>
      </c>
      <c r="BT4388" s="4">
        <v>0.40972222222222221</v>
      </c>
      <c r="BU4388" t="s">
        <v>3340</v>
      </c>
      <c r="BV4388" t="s">
        <v>98</v>
      </c>
      <c r="BY4388">
        <v>1200</v>
      </c>
      <c r="CA4388" t="s">
        <v>748</v>
      </c>
      <c r="CC4388" t="s">
        <v>543</v>
      </c>
      <c r="CD4388">
        <v>1451</v>
      </c>
      <c r="CE4388" t="s">
        <v>121</v>
      </c>
      <c r="CF4388" s="3">
        <v>45868</v>
      </c>
      <c r="CI4388">
        <v>1</v>
      </c>
      <c r="CJ4388">
        <v>1</v>
      </c>
      <c r="CK4388">
        <v>22</v>
      </c>
      <c r="CL4388" t="s">
        <v>86</v>
      </c>
    </row>
    <row r="4389" spans="1:90" x14ac:dyDescent="0.3">
      <c r="A4389" t="s">
        <v>72</v>
      </c>
      <c r="B4389" t="s">
        <v>73</v>
      </c>
      <c r="C4389" t="s">
        <v>74</v>
      </c>
      <c r="E4389" t="str">
        <f>"080066843223"</f>
        <v>080066843223</v>
      </c>
      <c r="F4389" s="3">
        <v>45866</v>
      </c>
      <c r="G4389">
        <v>202604</v>
      </c>
      <c r="H4389" t="s">
        <v>75</v>
      </c>
      <c r="I4389" t="s">
        <v>76</v>
      </c>
      <c r="J4389" t="s">
        <v>77</v>
      </c>
      <c r="K4389" t="s">
        <v>78</v>
      </c>
      <c r="L4389" t="s">
        <v>350</v>
      </c>
      <c r="M4389" t="s">
        <v>351</v>
      </c>
      <c r="N4389" t="s">
        <v>352</v>
      </c>
      <c r="O4389" t="s">
        <v>82</v>
      </c>
      <c r="P4389" t="str">
        <f>"4170051611                    "</f>
        <v xml:space="preserve">4170051611                    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39.53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  <c r="BE4389">
        <v>0</v>
      </c>
      <c r="BF4389">
        <v>0</v>
      </c>
      <c r="BG4389">
        <v>0</v>
      </c>
      <c r="BH4389">
        <v>1</v>
      </c>
      <c r="BI4389">
        <v>2</v>
      </c>
      <c r="BJ4389">
        <v>3.4</v>
      </c>
      <c r="BK4389">
        <v>3.5</v>
      </c>
      <c r="BL4389">
        <v>124.55</v>
      </c>
      <c r="BM4389">
        <v>18.68</v>
      </c>
      <c r="BN4389">
        <v>143.22999999999999</v>
      </c>
      <c r="BO4389">
        <v>143.22999999999999</v>
      </c>
      <c r="BQ4389" t="s">
        <v>353</v>
      </c>
      <c r="BR4389" t="s">
        <v>84</v>
      </c>
      <c r="BS4389" s="3">
        <v>45867</v>
      </c>
      <c r="BT4389" s="4">
        <v>0.54236111111111107</v>
      </c>
      <c r="BU4389" t="s">
        <v>354</v>
      </c>
      <c r="BV4389" t="s">
        <v>86</v>
      </c>
      <c r="BY4389">
        <v>16965</v>
      </c>
      <c r="CA4389" t="s">
        <v>337</v>
      </c>
      <c r="CC4389" t="s">
        <v>351</v>
      </c>
      <c r="CD4389">
        <v>4133</v>
      </c>
      <c r="CE4389" t="s">
        <v>145</v>
      </c>
      <c r="CF4389" s="3">
        <v>45867</v>
      </c>
      <c r="CI4389">
        <v>1</v>
      </c>
      <c r="CJ4389">
        <v>1</v>
      </c>
      <c r="CK4389">
        <v>21</v>
      </c>
      <c r="CL4389" t="s">
        <v>86</v>
      </c>
    </row>
    <row r="4390" spans="1:90" x14ac:dyDescent="0.3">
      <c r="A4390" t="s">
        <v>72</v>
      </c>
      <c r="B4390" t="s">
        <v>73</v>
      </c>
      <c r="C4390" t="s">
        <v>74</v>
      </c>
      <c r="E4390" t="str">
        <f>"080066843294"</f>
        <v>080066843294</v>
      </c>
      <c r="F4390" s="3">
        <v>45866</v>
      </c>
      <c r="G4390">
        <v>202604</v>
      </c>
      <c r="H4390" t="s">
        <v>75</v>
      </c>
      <c r="I4390" t="s">
        <v>76</v>
      </c>
      <c r="J4390" t="s">
        <v>77</v>
      </c>
      <c r="K4390" t="s">
        <v>78</v>
      </c>
      <c r="L4390" t="s">
        <v>503</v>
      </c>
      <c r="M4390" t="s">
        <v>504</v>
      </c>
      <c r="N4390" t="s">
        <v>505</v>
      </c>
      <c r="O4390" t="s">
        <v>82</v>
      </c>
      <c r="P4390" t="str">
        <f>"4170051494                    "</f>
        <v xml:space="preserve">4170051494                    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>
        <v>241.5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  <c r="BE4390">
        <v>0</v>
      </c>
      <c r="BF4390">
        <v>0</v>
      </c>
      <c r="BG4390">
        <v>0</v>
      </c>
      <c r="BH4390">
        <v>1</v>
      </c>
      <c r="BI4390">
        <v>12</v>
      </c>
      <c r="BJ4390">
        <v>5.0999999999999996</v>
      </c>
      <c r="BK4390">
        <v>12</v>
      </c>
      <c r="BL4390">
        <v>760.86</v>
      </c>
      <c r="BM4390">
        <v>114.13</v>
      </c>
      <c r="BN4390">
        <v>874.99</v>
      </c>
      <c r="BO4390">
        <v>874.99</v>
      </c>
      <c r="BQ4390" t="s">
        <v>506</v>
      </c>
      <c r="BR4390" t="s">
        <v>84</v>
      </c>
      <c r="BS4390" s="3">
        <v>45867</v>
      </c>
      <c r="BT4390" s="4">
        <v>0.42430555555555555</v>
      </c>
      <c r="BU4390" t="s">
        <v>161</v>
      </c>
      <c r="BV4390" t="s">
        <v>98</v>
      </c>
      <c r="BY4390">
        <v>25704</v>
      </c>
      <c r="CA4390" t="s">
        <v>508</v>
      </c>
      <c r="CC4390" t="s">
        <v>504</v>
      </c>
      <c r="CD4390">
        <v>7130</v>
      </c>
      <c r="CE4390" t="s">
        <v>91</v>
      </c>
      <c r="CF4390" s="3">
        <v>45868</v>
      </c>
      <c r="CI4390">
        <v>1</v>
      </c>
      <c r="CJ4390">
        <v>1</v>
      </c>
      <c r="CK4390">
        <v>23</v>
      </c>
      <c r="CL4390" t="s">
        <v>86</v>
      </c>
    </row>
    <row r="4391" spans="1:90" x14ac:dyDescent="0.3">
      <c r="A4391" t="s">
        <v>72</v>
      </c>
      <c r="B4391" t="s">
        <v>73</v>
      </c>
      <c r="C4391" t="s">
        <v>74</v>
      </c>
      <c r="E4391" t="str">
        <f>"080066843369"</f>
        <v>080066843369</v>
      </c>
      <c r="F4391" s="3">
        <v>45866</v>
      </c>
      <c r="G4391">
        <v>202604</v>
      </c>
      <c r="H4391" t="s">
        <v>75</v>
      </c>
      <c r="I4391" t="s">
        <v>76</v>
      </c>
      <c r="J4391" t="s">
        <v>77</v>
      </c>
      <c r="K4391" t="s">
        <v>78</v>
      </c>
      <c r="L4391" t="s">
        <v>151</v>
      </c>
      <c r="M4391" t="s">
        <v>152</v>
      </c>
      <c r="N4391" t="s">
        <v>352</v>
      </c>
      <c r="O4391" t="s">
        <v>82</v>
      </c>
      <c r="P4391" t="str">
        <f>"4170051435                    "</f>
        <v xml:space="preserve">4170051435                    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22.6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  <c r="BE4391">
        <v>0</v>
      </c>
      <c r="BF4391">
        <v>0</v>
      </c>
      <c r="BG4391">
        <v>0</v>
      </c>
      <c r="BH4391">
        <v>1</v>
      </c>
      <c r="BI4391">
        <v>1</v>
      </c>
      <c r="BJ4391">
        <v>1.1000000000000001</v>
      </c>
      <c r="BK4391">
        <v>1.5</v>
      </c>
      <c r="BL4391">
        <v>71.2</v>
      </c>
      <c r="BM4391">
        <v>10.68</v>
      </c>
      <c r="BN4391">
        <v>81.88</v>
      </c>
      <c r="BO4391">
        <v>81.88</v>
      </c>
      <c r="BQ4391" t="s">
        <v>353</v>
      </c>
      <c r="BR4391" t="s">
        <v>84</v>
      </c>
      <c r="BS4391" s="3">
        <v>45867</v>
      </c>
      <c r="BT4391" s="4">
        <v>0.6430555555555556</v>
      </c>
      <c r="BU4391" t="s">
        <v>3806</v>
      </c>
      <c r="BV4391" t="s">
        <v>86</v>
      </c>
      <c r="BY4391">
        <v>5320</v>
      </c>
      <c r="CA4391" t="s">
        <v>2137</v>
      </c>
      <c r="CC4391" t="s">
        <v>152</v>
      </c>
      <c r="CD4391" s="5" t="s">
        <v>717</v>
      </c>
      <c r="CE4391" t="s">
        <v>145</v>
      </c>
      <c r="CF4391" s="3">
        <v>45867</v>
      </c>
      <c r="CI4391">
        <v>1</v>
      </c>
      <c r="CJ4391">
        <v>1</v>
      </c>
      <c r="CK4391">
        <v>21</v>
      </c>
      <c r="CL4391" t="s">
        <v>86</v>
      </c>
    </row>
    <row r="4392" spans="1:90" x14ac:dyDescent="0.3">
      <c r="A4392" t="s">
        <v>72</v>
      </c>
      <c r="B4392" t="s">
        <v>73</v>
      </c>
      <c r="C4392" t="s">
        <v>74</v>
      </c>
      <c r="E4392" t="str">
        <f>"080066843389"</f>
        <v>080066843389</v>
      </c>
      <c r="F4392" s="3">
        <v>45866</v>
      </c>
      <c r="G4392">
        <v>202604</v>
      </c>
      <c r="H4392" t="s">
        <v>75</v>
      </c>
      <c r="I4392" t="s">
        <v>76</v>
      </c>
      <c r="J4392" t="s">
        <v>77</v>
      </c>
      <c r="K4392" t="s">
        <v>78</v>
      </c>
      <c r="L4392" t="s">
        <v>2145</v>
      </c>
      <c r="M4392" t="s">
        <v>2146</v>
      </c>
      <c r="N4392" t="s">
        <v>2147</v>
      </c>
      <c r="O4392" t="s">
        <v>82</v>
      </c>
      <c r="P4392" t="str">
        <f>"4170051625                    "</f>
        <v xml:space="preserve">4170051625                    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43.78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0</v>
      </c>
      <c r="BG4392">
        <v>0</v>
      </c>
      <c r="BH4392">
        <v>1</v>
      </c>
      <c r="BI4392">
        <v>1</v>
      </c>
      <c r="BJ4392">
        <v>1.2</v>
      </c>
      <c r="BK4392">
        <v>1.5</v>
      </c>
      <c r="BL4392">
        <v>137.94</v>
      </c>
      <c r="BM4392">
        <v>20.69</v>
      </c>
      <c r="BN4392">
        <v>158.63</v>
      </c>
      <c r="BO4392">
        <v>158.63</v>
      </c>
      <c r="BQ4392" t="s">
        <v>2148</v>
      </c>
      <c r="BR4392" t="s">
        <v>84</v>
      </c>
      <c r="BS4392" s="3">
        <v>45867</v>
      </c>
      <c r="BT4392" s="4">
        <v>0.33263888888888887</v>
      </c>
      <c r="BU4392" t="s">
        <v>3807</v>
      </c>
      <c r="BV4392" t="s">
        <v>98</v>
      </c>
      <c r="BY4392">
        <v>6000</v>
      </c>
      <c r="CA4392" t="s">
        <v>2150</v>
      </c>
      <c r="CC4392" t="s">
        <v>2146</v>
      </c>
      <c r="CD4392">
        <v>7110</v>
      </c>
      <c r="CE4392" t="s">
        <v>91</v>
      </c>
      <c r="CF4392" s="3">
        <v>45868</v>
      </c>
      <c r="CI4392">
        <v>1</v>
      </c>
      <c r="CJ4392">
        <v>1</v>
      </c>
      <c r="CK4392">
        <v>23</v>
      </c>
      <c r="CL4392" t="s">
        <v>86</v>
      </c>
    </row>
    <row r="4393" spans="1:90" x14ac:dyDescent="0.3">
      <c r="A4393" t="s">
        <v>72</v>
      </c>
      <c r="B4393" t="s">
        <v>73</v>
      </c>
      <c r="C4393" t="s">
        <v>74</v>
      </c>
      <c r="E4393" t="str">
        <f>"080066843442"</f>
        <v>080066843442</v>
      </c>
      <c r="F4393" s="3">
        <v>45866</v>
      </c>
      <c r="G4393">
        <v>202604</v>
      </c>
      <c r="H4393" t="s">
        <v>75</v>
      </c>
      <c r="I4393" t="s">
        <v>76</v>
      </c>
      <c r="J4393" t="s">
        <v>77</v>
      </c>
      <c r="K4393" t="s">
        <v>78</v>
      </c>
      <c r="L4393" t="s">
        <v>240</v>
      </c>
      <c r="M4393" t="s">
        <v>241</v>
      </c>
      <c r="N4393" t="s">
        <v>3808</v>
      </c>
      <c r="O4393" t="s">
        <v>82</v>
      </c>
      <c r="P4393" t="str">
        <f>"4170050612                    "</f>
        <v xml:space="preserve">4170050612                    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17.649999999999999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  <c r="BE4393">
        <v>0</v>
      </c>
      <c r="BF4393">
        <v>0</v>
      </c>
      <c r="BG4393">
        <v>0</v>
      </c>
      <c r="BH4393">
        <v>1</v>
      </c>
      <c r="BI4393">
        <v>1</v>
      </c>
      <c r="BJ4393">
        <v>0.2</v>
      </c>
      <c r="BK4393">
        <v>1</v>
      </c>
      <c r="BL4393">
        <v>55.61</v>
      </c>
      <c r="BM4393">
        <v>8.34</v>
      </c>
      <c r="BN4393">
        <v>63.95</v>
      </c>
      <c r="BO4393">
        <v>63.95</v>
      </c>
      <c r="BQ4393" t="s">
        <v>3809</v>
      </c>
      <c r="BR4393" t="s">
        <v>84</v>
      </c>
      <c r="BS4393" s="3">
        <v>45867</v>
      </c>
      <c r="BT4393" s="4">
        <v>0.39374999999999999</v>
      </c>
      <c r="BU4393" t="s">
        <v>3810</v>
      </c>
      <c r="BV4393" t="s">
        <v>98</v>
      </c>
      <c r="BY4393">
        <v>1200</v>
      </c>
      <c r="CA4393" t="s">
        <v>3811</v>
      </c>
      <c r="CC4393" t="s">
        <v>241</v>
      </c>
      <c r="CD4393">
        <v>2157</v>
      </c>
      <c r="CE4393" t="s">
        <v>121</v>
      </c>
      <c r="CF4393" s="3">
        <v>45868</v>
      </c>
      <c r="CI4393">
        <v>1</v>
      </c>
      <c r="CJ4393">
        <v>1</v>
      </c>
      <c r="CK4393">
        <v>22</v>
      </c>
      <c r="CL4393" t="s">
        <v>86</v>
      </c>
    </row>
    <row r="4394" spans="1:90" x14ac:dyDescent="0.3">
      <c r="A4394" t="s">
        <v>72</v>
      </c>
      <c r="B4394" t="s">
        <v>73</v>
      </c>
      <c r="C4394" t="s">
        <v>74</v>
      </c>
      <c r="E4394" t="str">
        <f>"080066843455"</f>
        <v>080066843455</v>
      </c>
      <c r="F4394" s="3">
        <v>45866</v>
      </c>
      <c r="G4394">
        <v>202604</v>
      </c>
      <c r="H4394" t="s">
        <v>75</v>
      </c>
      <c r="I4394" t="s">
        <v>76</v>
      </c>
      <c r="J4394" t="s">
        <v>77</v>
      </c>
      <c r="K4394" t="s">
        <v>78</v>
      </c>
      <c r="L4394" t="s">
        <v>758</v>
      </c>
      <c r="M4394" t="s">
        <v>759</v>
      </c>
      <c r="N4394" t="s">
        <v>760</v>
      </c>
      <c r="O4394" t="s">
        <v>82</v>
      </c>
      <c r="P4394" t="str">
        <f>"4170051662                    "</f>
        <v xml:space="preserve">4170051662                    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43.78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0</v>
      </c>
      <c r="BG4394">
        <v>0</v>
      </c>
      <c r="BH4394">
        <v>1</v>
      </c>
      <c r="BI4394">
        <v>1</v>
      </c>
      <c r="BJ4394">
        <v>0.2</v>
      </c>
      <c r="BK4394">
        <v>1</v>
      </c>
      <c r="BL4394">
        <v>137.94</v>
      </c>
      <c r="BM4394">
        <v>20.69</v>
      </c>
      <c r="BN4394">
        <v>158.63</v>
      </c>
      <c r="BO4394">
        <v>158.63</v>
      </c>
      <c r="BQ4394" t="s">
        <v>761</v>
      </c>
      <c r="BR4394" t="s">
        <v>84</v>
      </c>
      <c r="BS4394" s="3">
        <v>45867</v>
      </c>
      <c r="BT4394" s="4">
        <v>0.48541666666666666</v>
      </c>
      <c r="BU4394" t="s">
        <v>1819</v>
      </c>
      <c r="BV4394" t="s">
        <v>98</v>
      </c>
      <c r="BY4394">
        <v>1200</v>
      </c>
      <c r="CA4394" t="s">
        <v>3015</v>
      </c>
      <c r="CC4394" t="s">
        <v>759</v>
      </c>
      <c r="CD4394">
        <v>2531</v>
      </c>
      <c r="CE4394" t="s">
        <v>121</v>
      </c>
      <c r="CF4394" s="3">
        <v>45868</v>
      </c>
      <c r="CI4394">
        <v>1</v>
      </c>
      <c r="CJ4394">
        <v>1</v>
      </c>
      <c r="CK4394">
        <v>23</v>
      </c>
      <c r="CL4394" t="s">
        <v>86</v>
      </c>
    </row>
    <row r="4395" spans="1:90" x14ac:dyDescent="0.3">
      <c r="A4395" t="s">
        <v>72</v>
      </c>
      <c r="B4395" t="s">
        <v>73</v>
      </c>
      <c r="C4395" t="s">
        <v>74</v>
      </c>
      <c r="E4395" t="str">
        <f>"080066843459"</f>
        <v>080066843459</v>
      </c>
      <c r="F4395" s="3">
        <v>45866</v>
      </c>
      <c r="G4395">
        <v>202604</v>
      </c>
      <c r="H4395" t="s">
        <v>75</v>
      </c>
      <c r="I4395" t="s">
        <v>76</v>
      </c>
      <c r="J4395" t="s">
        <v>77</v>
      </c>
      <c r="K4395" t="s">
        <v>78</v>
      </c>
      <c r="L4395" t="s">
        <v>92</v>
      </c>
      <c r="M4395" t="s">
        <v>93</v>
      </c>
      <c r="N4395" t="s">
        <v>291</v>
      </c>
      <c r="O4395" t="s">
        <v>82</v>
      </c>
      <c r="P4395" t="str">
        <f>"4170051598                    "</f>
        <v xml:space="preserve">4170051598                    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22.6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  <c r="BE4395">
        <v>0</v>
      </c>
      <c r="BF4395">
        <v>0</v>
      </c>
      <c r="BG4395">
        <v>0</v>
      </c>
      <c r="BH4395">
        <v>1</v>
      </c>
      <c r="BI4395">
        <v>1</v>
      </c>
      <c r="BJ4395">
        <v>0.2</v>
      </c>
      <c r="BK4395">
        <v>1</v>
      </c>
      <c r="BL4395">
        <v>71.2</v>
      </c>
      <c r="BM4395">
        <v>10.68</v>
      </c>
      <c r="BN4395">
        <v>81.88</v>
      </c>
      <c r="BO4395">
        <v>81.88</v>
      </c>
      <c r="BQ4395" t="s">
        <v>292</v>
      </c>
      <c r="BR4395" t="s">
        <v>84</v>
      </c>
      <c r="BS4395" s="3">
        <v>45867</v>
      </c>
      <c r="BT4395" s="4">
        <v>0.33263888888888887</v>
      </c>
      <c r="BU4395" t="s">
        <v>2177</v>
      </c>
      <c r="BV4395" t="s">
        <v>98</v>
      </c>
      <c r="BY4395">
        <v>1200</v>
      </c>
      <c r="CA4395" t="s">
        <v>2178</v>
      </c>
      <c r="CC4395" t="s">
        <v>93</v>
      </c>
      <c r="CD4395">
        <v>4000</v>
      </c>
      <c r="CE4395" t="s">
        <v>121</v>
      </c>
      <c r="CF4395" s="3">
        <v>45867</v>
      </c>
      <c r="CI4395">
        <v>1</v>
      </c>
      <c r="CJ4395">
        <v>1</v>
      </c>
      <c r="CK4395">
        <v>21</v>
      </c>
      <c r="CL4395" t="s">
        <v>86</v>
      </c>
    </row>
    <row r="4396" spans="1:90" x14ac:dyDescent="0.3">
      <c r="A4396" t="s">
        <v>72</v>
      </c>
      <c r="B4396" t="s">
        <v>73</v>
      </c>
      <c r="C4396" t="s">
        <v>74</v>
      </c>
      <c r="E4396" t="str">
        <f>"080066843491"</f>
        <v>080066843491</v>
      </c>
      <c r="F4396" s="3">
        <v>45866</v>
      </c>
      <c r="G4396">
        <v>202604</v>
      </c>
      <c r="H4396" t="s">
        <v>75</v>
      </c>
      <c r="I4396" t="s">
        <v>76</v>
      </c>
      <c r="J4396" t="s">
        <v>77</v>
      </c>
      <c r="K4396" t="s">
        <v>78</v>
      </c>
      <c r="L4396" t="s">
        <v>1400</v>
      </c>
      <c r="M4396" t="s">
        <v>1401</v>
      </c>
      <c r="N4396" t="s">
        <v>606</v>
      </c>
      <c r="O4396" t="s">
        <v>82</v>
      </c>
      <c r="P4396" t="str">
        <f>"4170051666                    "</f>
        <v xml:space="preserve">4170051666                    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43.78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  <c r="BE4396">
        <v>0</v>
      </c>
      <c r="BF4396">
        <v>0</v>
      </c>
      <c r="BG4396">
        <v>0</v>
      </c>
      <c r="BH4396">
        <v>1</v>
      </c>
      <c r="BI4396">
        <v>1</v>
      </c>
      <c r="BJ4396">
        <v>0.2</v>
      </c>
      <c r="BK4396">
        <v>1</v>
      </c>
      <c r="BL4396">
        <v>137.94</v>
      </c>
      <c r="BM4396">
        <v>20.69</v>
      </c>
      <c r="BN4396">
        <v>158.63</v>
      </c>
      <c r="BO4396">
        <v>158.63</v>
      </c>
      <c r="BQ4396" t="s">
        <v>1403</v>
      </c>
      <c r="BR4396" t="s">
        <v>84</v>
      </c>
      <c r="BS4396" s="3">
        <v>45867</v>
      </c>
      <c r="BT4396" s="4">
        <v>0.54722222222222228</v>
      </c>
      <c r="BU4396" t="s">
        <v>3693</v>
      </c>
      <c r="BV4396" t="s">
        <v>98</v>
      </c>
      <c r="BY4396">
        <v>1200</v>
      </c>
      <c r="CA4396" t="s">
        <v>1405</v>
      </c>
      <c r="CC4396" t="s">
        <v>1401</v>
      </c>
      <c r="CD4396">
        <v>4449</v>
      </c>
      <c r="CE4396" t="s">
        <v>121</v>
      </c>
      <c r="CF4396" s="3">
        <v>45868</v>
      </c>
      <c r="CI4396">
        <v>1</v>
      </c>
      <c r="CJ4396">
        <v>1</v>
      </c>
      <c r="CK4396">
        <v>23</v>
      </c>
      <c r="CL4396" t="s">
        <v>86</v>
      </c>
    </row>
    <row r="4397" spans="1:90" x14ac:dyDescent="0.3">
      <c r="A4397" t="s">
        <v>72</v>
      </c>
      <c r="B4397" t="s">
        <v>73</v>
      </c>
      <c r="C4397" t="s">
        <v>74</v>
      </c>
      <c r="E4397" t="str">
        <f>"080066843518"</f>
        <v>080066843518</v>
      </c>
      <c r="F4397" s="3">
        <v>45866</v>
      </c>
      <c r="G4397">
        <v>202604</v>
      </c>
      <c r="H4397" t="s">
        <v>75</v>
      </c>
      <c r="I4397" t="s">
        <v>76</v>
      </c>
      <c r="J4397" t="s">
        <v>77</v>
      </c>
      <c r="K4397" t="s">
        <v>78</v>
      </c>
      <c r="L4397" t="s">
        <v>1677</v>
      </c>
      <c r="M4397" t="s">
        <v>1678</v>
      </c>
      <c r="N4397" t="s">
        <v>3812</v>
      </c>
      <c r="O4397" t="s">
        <v>82</v>
      </c>
      <c r="P4397" t="str">
        <f>"4170049917                    "</f>
        <v xml:space="preserve">4170049917                    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43.78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0</v>
      </c>
      <c r="BH4397">
        <v>1</v>
      </c>
      <c r="BI4397">
        <v>1</v>
      </c>
      <c r="BJ4397">
        <v>0.2</v>
      </c>
      <c r="BK4397">
        <v>1</v>
      </c>
      <c r="BL4397">
        <v>137.94</v>
      </c>
      <c r="BM4397">
        <v>20.69</v>
      </c>
      <c r="BN4397">
        <v>158.63</v>
      </c>
      <c r="BO4397">
        <v>158.63</v>
      </c>
      <c r="BQ4397" t="s">
        <v>3813</v>
      </c>
      <c r="BR4397" t="s">
        <v>84</v>
      </c>
      <c r="BS4397" s="3">
        <v>45867</v>
      </c>
      <c r="BT4397" s="4">
        <v>0.43680555555555556</v>
      </c>
      <c r="BU4397" t="s">
        <v>3814</v>
      </c>
      <c r="BV4397" t="s">
        <v>98</v>
      </c>
      <c r="BY4397">
        <v>1200</v>
      </c>
      <c r="CA4397" t="s">
        <v>1682</v>
      </c>
      <c r="CC4397" t="s">
        <v>1678</v>
      </c>
      <c r="CD4397">
        <v>1035</v>
      </c>
      <c r="CE4397" t="s">
        <v>121</v>
      </c>
      <c r="CF4397" s="3">
        <v>45867</v>
      </c>
      <c r="CI4397">
        <v>1</v>
      </c>
      <c r="CJ4397">
        <v>1</v>
      </c>
      <c r="CK4397">
        <v>23</v>
      </c>
      <c r="CL4397" t="s">
        <v>86</v>
      </c>
    </row>
    <row r="4398" spans="1:90" x14ac:dyDescent="0.3">
      <c r="A4398" t="s">
        <v>72</v>
      </c>
      <c r="B4398" t="s">
        <v>73</v>
      </c>
      <c r="C4398" t="s">
        <v>74</v>
      </c>
      <c r="E4398" t="str">
        <f>"080066843542"</f>
        <v>080066843542</v>
      </c>
      <c r="F4398" s="3">
        <v>45866</v>
      </c>
      <c r="G4398">
        <v>202604</v>
      </c>
      <c r="H4398" t="s">
        <v>75</v>
      </c>
      <c r="I4398" t="s">
        <v>76</v>
      </c>
      <c r="J4398" t="s">
        <v>77</v>
      </c>
      <c r="K4398" t="s">
        <v>78</v>
      </c>
      <c r="L4398" t="s">
        <v>174</v>
      </c>
      <c r="M4398" t="s">
        <v>175</v>
      </c>
      <c r="N4398" t="s">
        <v>2534</v>
      </c>
      <c r="O4398" t="s">
        <v>82</v>
      </c>
      <c r="P4398" t="str">
        <f>"4170051521                    "</f>
        <v xml:space="preserve">4170051521                    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22.6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  <c r="BE4398">
        <v>0</v>
      </c>
      <c r="BF4398">
        <v>0</v>
      </c>
      <c r="BG4398">
        <v>0</v>
      </c>
      <c r="BH4398">
        <v>1</v>
      </c>
      <c r="BI4398">
        <v>1</v>
      </c>
      <c r="BJ4398">
        <v>0.2</v>
      </c>
      <c r="BK4398">
        <v>1</v>
      </c>
      <c r="BL4398">
        <v>71.2</v>
      </c>
      <c r="BM4398">
        <v>10.68</v>
      </c>
      <c r="BN4398">
        <v>81.88</v>
      </c>
      <c r="BO4398">
        <v>81.88</v>
      </c>
      <c r="BQ4398" t="s">
        <v>2535</v>
      </c>
      <c r="BR4398" t="s">
        <v>84</v>
      </c>
      <c r="BS4398" s="3">
        <v>45867</v>
      </c>
      <c r="BT4398" s="4">
        <v>0.38263888888888886</v>
      </c>
      <c r="BU4398" t="s">
        <v>3815</v>
      </c>
      <c r="BV4398" t="s">
        <v>98</v>
      </c>
      <c r="BY4398">
        <v>1200</v>
      </c>
      <c r="CA4398" t="s">
        <v>173</v>
      </c>
      <c r="CC4398" t="s">
        <v>175</v>
      </c>
      <c r="CD4398">
        <v>6220</v>
      </c>
      <c r="CE4398" t="s">
        <v>121</v>
      </c>
      <c r="CF4398" s="3">
        <v>45867</v>
      </c>
      <c r="CI4398">
        <v>1</v>
      </c>
      <c r="CJ4398">
        <v>1</v>
      </c>
      <c r="CK4398">
        <v>21</v>
      </c>
      <c r="CL4398" t="s">
        <v>86</v>
      </c>
    </row>
    <row r="4399" spans="1:90" x14ac:dyDescent="0.3">
      <c r="A4399" t="s">
        <v>72</v>
      </c>
      <c r="B4399" t="s">
        <v>73</v>
      </c>
      <c r="C4399" t="s">
        <v>74</v>
      </c>
      <c r="E4399" t="str">
        <f>"080066843552"</f>
        <v>080066843552</v>
      </c>
      <c r="F4399" s="3">
        <v>45866</v>
      </c>
      <c r="G4399">
        <v>202604</v>
      </c>
      <c r="H4399" t="s">
        <v>75</v>
      </c>
      <c r="I4399" t="s">
        <v>76</v>
      </c>
      <c r="J4399" t="s">
        <v>77</v>
      </c>
      <c r="K4399" t="s">
        <v>78</v>
      </c>
      <c r="L4399" t="s">
        <v>221</v>
      </c>
      <c r="M4399" t="s">
        <v>222</v>
      </c>
      <c r="N4399" t="s">
        <v>223</v>
      </c>
      <c r="O4399" t="s">
        <v>82</v>
      </c>
      <c r="P4399" t="str">
        <f>"4170051640                    "</f>
        <v xml:space="preserve">4170051640                    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93.21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  <c r="BH4399">
        <v>1</v>
      </c>
      <c r="BI4399">
        <v>3</v>
      </c>
      <c r="BJ4399">
        <v>4.4000000000000004</v>
      </c>
      <c r="BK4399">
        <v>4.5</v>
      </c>
      <c r="BL4399">
        <v>293.67</v>
      </c>
      <c r="BM4399">
        <v>44.05</v>
      </c>
      <c r="BN4399">
        <v>337.72</v>
      </c>
      <c r="BO4399">
        <v>337.72</v>
      </c>
      <c r="BQ4399" t="s">
        <v>224</v>
      </c>
      <c r="BR4399" t="s">
        <v>84</v>
      </c>
      <c r="BS4399" s="3">
        <v>45867</v>
      </c>
      <c r="BT4399" s="4">
        <v>0.3125</v>
      </c>
      <c r="BU4399" t="s">
        <v>2049</v>
      </c>
      <c r="BV4399" t="s">
        <v>98</v>
      </c>
      <c r="BY4399">
        <v>21760</v>
      </c>
      <c r="CC4399" t="s">
        <v>222</v>
      </c>
      <c r="CD4399">
        <v>2740</v>
      </c>
      <c r="CE4399" t="s">
        <v>91</v>
      </c>
      <c r="CF4399" s="3">
        <v>45868</v>
      </c>
      <c r="CI4399">
        <v>1</v>
      </c>
      <c r="CJ4399">
        <v>1</v>
      </c>
      <c r="CK4399">
        <v>23</v>
      </c>
      <c r="CL4399" t="s">
        <v>86</v>
      </c>
    </row>
    <row r="4400" spans="1:90" x14ac:dyDescent="0.3">
      <c r="A4400" t="s">
        <v>72</v>
      </c>
      <c r="B4400" t="s">
        <v>73</v>
      </c>
      <c r="C4400" t="s">
        <v>74</v>
      </c>
      <c r="E4400" t="str">
        <f>"080066843564"</f>
        <v>080066843564</v>
      </c>
      <c r="F4400" s="3">
        <v>45866</v>
      </c>
      <c r="G4400">
        <v>202604</v>
      </c>
      <c r="H4400" t="s">
        <v>75</v>
      </c>
      <c r="I4400" t="s">
        <v>76</v>
      </c>
      <c r="J4400" t="s">
        <v>77</v>
      </c>
      <c r="K4400" t="s">
        <v>78</v>
      </c>
      <c r="L4400" t="s">
        <v>240</v>
      </c>
      <c r="M4400" t="s">
        <v>241</v>
      </c>
      <c r="N4400" t="s">
        <v>3816</v>
      </c>
      <c r="O4400" t="s">
        <v>82</v>
      </c>
      <c r="P4400" t="str">
        <f>"4170051671                    "</f>
        <v xml:space="preserve">4170051671                    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17.649999999999999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  <c r="BE4400">
        <v>0</v>
      </c>
      <c r="BF4400">
        <v>0</v>
      </c>
      <c r="BG4400">
        <v>0</v>
      </c>
      <c r="BH4400">
        <v>1</v>
      </c>
      <c r="BI4400">
        <v>1</v>
      </c>
      <c r="BJ4400">
        <v>0.2</v>
      </c>
      <c r="BK4400">
        <v>1</v>
      </c>
      <c r="BL4400">
        <v>55.61</v>
      </c>
      <c r="BM4400">
        <v>8.34</v>
      </c>
      <c r="BN4400">
        <v>63.95</v>
      </c>
      <c r="BO4400">
        <v>63.95</v>
      </c>
      <c r="BQ4400" t="s">
        <v>3817</v>
      </c>
      <c r="BR4400" t="s">
        <v>84</v>
      </c>
      <c r="BS4400" s="3">
        <v>45867</v>
      </c>
      <c r="BT4400" s="4">
        <v>0.44166666666666665</v>
      </c>
      <c r="BU4400" t="s">
        <v>3300</v>
      </c>
      <c r="BV4400" t="s">
        <v>86</v>
      </c>
      <c r="BY4400">
        <v>1200</v>
      </c>
      <c r="CA4400" t="s">
        <v>451</v>
      </c>
      <c r="CC4400" t="s">
        <v>241</v>
      </c>
      <c r="CD4400">
        <v>2094</v>
      </c>
      <c r="CE4400" t="s">
        <v>121</v>
      </c>
      <c r="CF4400" s="3">
        <v>45867</v>
      </c>
      <c r="CI4400">
        <v>1</v>
      </c>
      <c r="CJ4400">
        <v>1</v>
      </c>
      <c r="CK4400">
        <v>22</v>
      </c>
      <c r="CL4400" t="s">
        <v>86</v>
      </c>
    </row>
    <row r="4401" spans="1:90" x14ac:dyDescent="0.3">
      <c r="A4401" t="s">
        <v>72</v>
      </c>
      <c r="B4401" t="s">
        <v>73</v>
      </c>
      <c r="C4401" t="s">
        <v>74</v>
      </c>
      <c r="E4401" t="str">
        <f>"080066843593"</f>
        <v>080066843593</v>
      </c>
      <c r="F4401" s="3">
        <v>45866</v>
      </c>
      <c r="G4401">
        <v>202604</v>
      </c>
      <c r="H4401" t="s">
        <v>75</v>
      </c>
      <c r="I4401" t="s">
        <v>76</v>
      </c>
      <c r="J4401" t="s">
        <v>77</v>
      </c>
      <c r="K4401" t="s">
        <v>78</v>
      </c>
      <c r="L4401" t="s">
        <v>240</v>
      </c>
      <c r="M4401" t="s">
        <v>241</v>
      </c>
      <c r="N4401" t="s">
        <v>2575</v>
      </c>
      <c r="O4401" t="s">
        <v>82</v>
      </c>
      <c r="P4401" t="str">
        <f>"4170051583                    "</f>
        <v xml:space="preserve">4170051583                    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17.649999999999999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  <c r="BE4401">
        <v>0</v>
      </c>
      <c r="BF4401">
        <v>0</v>
      </c>
      <c r="BG4401">
        <v>0</v>
      </c>
      <c r="BH4401">
        <v>1</v>
      </c>
      <c r="BI4401">
        <v>3</v>
      </c>
      <c r="BJ4401">
        <v>1.1000000000000001</v>
      </c>
      <c r="BK4401">
        <v>3</v>
      </c>
      <c r="BL4401">
        <v>55.61</v>
      </c>
      <c r="BM4401">
        <v>8.34</v>
      </c>
      <c r="BN4401">
        <v>63.95</v>
      </c>
      <c r="BO4401">
        <v>63.95</v>
      </c>
      <c r="BQ4401" t="s">
        <v>2576</v>
      </c>
      <c r="BR4401" t="s">
        <v>84</v>
      </c>
      <c r="BS4401" s="3">
        <v>45867</v>
      </c>
      <c r="BT4401" s="4">
        <v>0.37569444444444444</v>
      </c>
      <c r="BU4401" t="s">
        <v>3698</v>
      </c>
      <c r="BV4401" t="s">
        <v>98</v>
      </c>
      <c r="BY4401">
        <v>5500</v>
      </c>
      <c r="CA4401" t="s">
        <v>245</v>
      </c>
      <c r="CC4401" t="s">
        <v>241</v>
      </c>
      <c r="CD4401">
        <v>2190</v>
      </c>
      <c r="CE4401" t="s">
        <v>91</v>
      </c>
      <c r="CF4401" s="3">
        <v>45867</v>
      </c>
      <c r="CI4401">
        <v>1</v>
      </c>
      <c r="CJ4401">
        <v>1</v>
      </c>
      <c r="CK4401">
        <v>22</v>
      </c>
      <c r="CL4401" t="s">
        <v>86</v>
      </c>
    </row>
    <row r="4402" spans="1:90" x14ac:dyDescent="0.3">
      <c r="A4402" t="s">
        <v>72</v>
      </c>
      <c r="B4402" t="s">
        <v>73</v>
      </c>
      <c r="C4402" t="s">
        <v>74</v>
      </c>
      <c r="E4402" t="str">
        <f>"080066843645"</f>
        <v>080066843645</v>
      </c>
      <c r="F4402" s="3">
        <v>45866</v>
      </c>
      <c r="G4402">
        <v>202604</v>
      </c>
      <c r="H4402" t="s">
        <v>75</v>
      </c>
      <c r="I4402" t="s">
        <v>76</v>
      </c>
      <c r="J4402" t="s">
        <v>77</v>
      </c>
      <c r="K4402" t="s">
        <v>78</v>
      </c>
      <c r="L4402" t="s">
        <v>305</v>
      </c>
      <c r="M4402" t="s">
        <v>306</v>
      </c>
      <c r="N4402" t="s">
        <v>1320</v>
      </c>
      <c r="O4402" t="s">
        <v>95</v>
      </c>
      <c r="P4402" t="str">
        <f>"4170051644                    "</f>
        <v xml:space="preserve">4170051644                    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43.7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  <c r="BE4402">
        <v>0</v>
      </c>
      <c r="BF4402">
        <v>0</v>
      </c>
      <c r="BG4402">
        <v>0</v>
      </c>
      <c r="BH4402">
        <v>1</v>
      </c>
      <c r="BI4402">
        <v>5</v>
      </c>
      <c r="BJ4402">
        <v>2.6</v>
      </c>
      <c r="BK4402">
        <v>5</v>
      </c>
      <c r="BL4402">
        <v>143.55000000000001</v>
      </c>
      <c r="BM4402">
        <v>21.53</v>
      </c>
      <c r="BN4402">
        <v>165.08</v>
      </c>
      <c r="BO4402">
        <v>165.08</v>
      </c>
      <c r="BQ4402" t="s">
        <v>308</v>
      </c>
      <c r="BR4402" t="s">
        <v>84</v>
      </c>
      <c r="BS4402" s="3">
        <v>45868</v>
      </c>
      <c r="BT4402" s="4">
        <v>0.49305555555555558</v>
      </c>
      <c r="BU4402" t="s">
        <v>3818</v>
      </c>
      <c r="BV4402" t="s">
        <v>98</v>
      </c>
      <c r="BY4402">
        <v>12768</v>
      </c>
      <c r="CA4402" t="s">
        <v>2174</v>
      </c>
      <c r="CC4402" t="s">
        <v>306</v>
      </c>
      <c r="CD4402">
        <v>5201</v>
      </c>
      <c r="CE4402" t="s">
        <v>1203</v>
      </c>
      <c r="CF4402" s="3">
        <v>45869</v>
      </c>
      <c r="CI4402">
        <v>3</v>
      </c>
      <c r="CJ4402">
        <v>2</v>
      </c>
      <c r="CK4402">
        <v>41</v>
      </c>
      <c r="CL4402" t="s">
        <v>86</v>
      </c>
    </row>
    <row r="4403" spans="1:90" x14ac:dyDescent="0.3">
      <c r="A4403" t="s">
        <v>72</v>
      </c>
      <c r="B4403" t="s">
        <v>73</v>
      </c>
      <c r="C4403" t="s">
        <v>74</v>
      </c>
      <c r="E4403" t="str">
        <f>"080066843658"</f>
        <v>080066843658</v>
      </c>
      <c r="F4403" s="3">
        <v>45866</v>
      </c>
      <c r="G4403">
        <v>202604</v>
      </c>
      <c r="H4403" t="s">
        <v>75</v>
      </c>
      <c r="I4403" t="s">
        <v>76</v>
      </c>
      <c r="J4403" t="s">
        <v>77</v>
      </c>
      <c r="K4403" t="s">
        <v>78</v>
      </c>
      <c r="L4403" t="s">
        <v>234</v>
      </c>
      <c r="M4403" t="s">
        <v>235</v>
      </c>
      <c r="N4403" t="s">
        <v>236</v>
      </c>
      <c r="O4403" t="s">
        <v>82</v>
      </c>
      <c r="P4403" t="str">
        <f>"4170051626                    "</f>
        <v xml:space="preserve">4170051626                    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17.649999999999999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  <c r="BE4403">
        <v>0</v>
      </c>
      <c r="BF4403">
        <v>0</v>
      </c>
      <c r="BG4403">
        <v>0</v>
      </c>
      <c r="BH4403">
        <v>1</v>
      </c>
      <c r="BI4403">
        <v>4</v>
      </c>
      <c r="BJ4403">
        <v>4</v>
      </c>
      <c r="BK4403">
        <v>4</v>
      </c>
      <c r="BL4403">
        <v>55.61</v>
      </c>
      <c r="BM4403">
        <v>8.34</v>
      </c>
      <c r="BN4403">
        <v>63.95</v>
      </c>
      <c r="BO4403">
        <v>63.95</v>
      </c>
      <c r="BQ4403" t="s">
        <v>237</v>
      </c>
      <c r="BR4403" t="s">
        <v>84</v>
      </c>
      <c r="BS4403" s="3">
        <v>45867</v>
      </c>
      <c r="BT4403" s="4">
        <v>0.42499999999999999</v>
      </c>
      <c r="BU4403" t="s">
        <v>3819</v>
      </c>
      <c r="BV4403" t="s">
        <v>98</v>
      </c>
      <c r="BY4403">
        <v>20000</v>
      </c>
      <c r="CA4403" t="s">
        <v>3696</v>
      </c>
      <c r="CC4403" t="s">
        <v>235</v>
      </c>
      <c r="CD4403">
        <v>1682</v>
      </c>
      <c r="CE4403" t="s">
        <v>91</v>
      </c>
      <c r="CF4403" s="3">
        <v>45868</v>
      </c>
      <c r="CI4403">
        <v>1</v>
      </c>
      <c r="CJ4403">
        <v>1</v>
      </c>
      <c r="CK4403">
        <v>22</v>
      </c>
      <c r="CL4403" t="s">
        <v>86</v>
      </c>
    </row>
    <row r="4404" spans="1:90" x14ac:dyDescent="0.3">
      <c r="A4404" t="s">
        <v>72</v>
      </c>
      <c r="B4404" t="s">
        <v>73</v>
      </c>
      <c r="C4404" t="s">
        <v>74</v>
      </c>
      <c r="E4404" t="str">
        <f>"080066843683"</f>
        <v>080066843683</v>
      </c>
      <c r="F4404" s="3">
        <v>45866</v>
      </c>
      <c r="G4404">
        <v>202604</v>
      </c>
      <c r="H4404" t="s">
        <v>75</v>
      </c>
      <c r="I4404" t="s">
        <v>76</v>
      </c>
      <c r="J4404" t="s">
        <v>77</v>
      </c>
      <c r="K4404" t="s">
        <v>78</v>
      </c>
      <c r="L4404" t="s">
        <v>151</v>
      </c>
      <c r="M4404" t="s">
        <v>152</v>
      </c>
      <c r="N4404" t="s">
        <v>3820</v>
      </c>
      <c r="O4404" t="s">
        <v>95</v>
      </c>
      <c r="P4404" t="str">
        <f>"4170051012                    "</f>
        <v xml:space="preserve">4170051012                    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43.7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  <c r="BE4404">
        <v>0</v>
      </c>
      <c r="BF4404">
        <v>0</v>
      </c>
      <c r="BG4404">
        <v>0</v>
      </c>
      <c r="BH4404">
        <v>1</v>
      </c>
      <c r="BI4404">
        <v>6</v>
      </c>
      <c r="BJ4404">
        <v>13</v>
      </c>
      <c r="BK4404">
        <v>13</v>
      </c>
      <c r="BL4404">
        <v>143.55000000000001</v>
      </c>
      <c r="BM4404">
        <v>21.53</v>
      </c>
      <c r="BN4404">
        <v>165.08</v>
      </c>
      <c r="BO4404">
        <v>165.08</v>
      </c>
      <c r="BQ4404" t="s">
        <v>3821</v>
      </c>
      <c r="BR4404" t="s">
        <v>84</v>
      </c>
      <c r="BS4404" s="3">
        <v>45867</v>
      </c>
      <c r="BT4404" s="4">
        <v>0.42777777777777776</v>
      </c>
      <c r="BU4404" t="s">
        <v>3436</v>
      </c>
      <c r="BV4404" t="s">
        <v>98</v>
      </c>
      <c r="BY4404">
        <v>64800</v>
      </c>
      <c r="CA4404" t="s">
        <v>518</v>
      </c>
      <c r="CC4404" t="s">
        <v>152</v>
      </c>
      <c r="CD4404" s="5" t="s">
        <v>389</v>
      </c>
      <c r="CE4404" t="s">
        <v>145</v>
      </c>
      <c r="CF4404" s="3">
        <v>45867</v>
      </c>
      <c r="CI4404">
        <v>1</v>
      </c>
      <c r="CJ4404">
        <v>1</v>
      </c>
      <c r="CK4404">
        <v>41</v>
      </c>
      <c r="CL4404" t="s">
        <v>86</v>
      </c>
    </row>
    <row r="4405" spans="1:90" x14ac:dyDescent="0.3">
      <c r="A4405" t="s">
        <v>72</v>
      </c>
      <c r="B4405" t="s">
        <v>73</v>
      </c>
      <c r="C4405" t="s">
        <v>74</v>
      </c>
      <c r="E4405" t="str">
        <f>"080066843691"</f>
        <v>080066843691</v>
      </c>
      <c r="F4405" s="3">
        <v>45866</v>
      </c>
      <c r="G4405">
        <v>202604</v>
      </c>
      <c r="H4405" t="s">
        <v>75</v>
      </c>
      <c r="I4405" t="s">
        <v>76</v>
      </c>
      <c r="J4405" t="s">
        <v>77</v>
      </c>
      <c r="K4405" t="s">
        <v>78</v>
      </c>
      <c r="L4405" t="s">
        <v>390</v>
      </c>
      <c r="M4405" t="s">
        <v>391</v>
      </c>
      <c r="N4405" t="s">
        <v>3639</v>
      </c>
      <c r="O4405" t="s">
        <v>82</v>
      </c>
      <c r="P4405" t="str">
        <f>"4170051632                    "</f>
        <v xml:space="preserve">4170051632                    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17.649999999999999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  <c r="BE4405">
        <v>0</v>
      </c>
      <c r="BF4405">
        <v>0</v>
      </c>
      <c r="BG4405">
        <v>0</v>
      </c>
      <c r="BH4405">
        <v>1</v>
      </c>
      <c r="BI4405">
        <v>2</v>
      </c>
      <c r="BJ4405">
        <v>3.1</v>
      </c>
      <c r="BK4405">
        <v>4</v>
      </c>
      <c r="BL4405">
        <v>55.61</v>
      </c>
      <c r="BM4405">
        <v>8.34</v>
      </c>
      <c r="BN4405">
        <v>63.95</v>
      </c>
      <c r="BO4405">
        <v>63.95</v>
      </c>
      <c r="BQ4405" t="s">
        <v>3640</v>
      </c>
      <c r="BR4405" t="s">
        <v>84</v>
      </c>
      <c r="BS4405" s="3">
        <v>45868</v>
      </c>
      <c r="BT4405" s="4">
        <v>0.61875000000000002</v>
      </c>
      <c r="BU4405" t="s">
        <v>534</v>
      </c>
      <c r="BV4405" t="s">
        <v>86</v>
      </c>
      <c r="BW4405" t="s">
        <v>1620</v>
      </c>
      <c r="BX4405" t="s">
        <v>1420</v>
      </c>
      <c r="BY4405">
        <v>15708</v>
      </c>
      <c r="CA4405" t="s">
        <v>535</v>
      </c>
      <c r="CC4405" t="s">
        <v>391</v>
      </c>
      <c r="CD4405">
        <v>1724</v>
      </c>
      <c r="CE4405" t="s">
        <v>91</v>
      </c>
      <c r="CI4405">
        <v>1</v>
      </c>
      <c r="CJ4405">
        <v>2</v>
      </c>
      <c r="CK4405">
        <v>22</v>
      </c>
      <c r="CL4405" t="s">
        <v>86</v>
      </c>
    </row>
    <row r="4406" spans="1:90" x14ac:dyDescent="0.3">
      <c r="A4406" t="s">
        <v>72</v>
      </c>
      <c r="B4406" t="s">
        <v>73</v>
      </c>
      <c r="C4406" t="s">
        <v>74</v>
      </c>
      <c r="E4406" t="str">
        <f>"080066843711"</f>
        <v>080066843711</v>
      </c>
      <c r="F4406" s="3">
        <v>45866</v>
      </c>
      <c r="G4406">
        <v>202604</v>
      </c>
      <c r="H4406" t="s">
        <v>75</v>
      </c>
      <c r="I4406" t="s">
        <v>76</v>
      </c>
      <c r="J4406" t="s">
        <v>77</v>
      </c>
      <c r="K4406" t="s">
        <v>78</v>
      </c>
      <c r="L4406" t="s">
        <v>252</v>
      </c>
      <c r="M4406" t="s">
        <v>253</v>
      </c>
      <c r="N4406" t="s">
        <v>254</v>
      </c>
      <c r="O4406" t="s">
        <v>82</v>
      </c>
      <c r="P4406" t="str">
        <f>"4170051593                    "</f>
        <v xml:space="preserve">4170051593                    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43.78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  <c r="BE4406">
        <v>0</v>
      </c>
      <c r="BF4406">
        <v>0</v>
      </c>
      <c r="BG4406">
        <v>0</v>
      </c>
      <c r="BH4406">
        <v>1</v>
      </c>
      <c r="BI4406">
        <v>1</v>
      </c>
      <c r="BJ4406">
        <v>0.2</v>
      </c>
      <c r="BK4406">
        <v>1</v>
      </c>
      <c r="BL4406">
        <v>137.94</v>
      </c>
      <c r="BM4406">
        <v>20.69</v>
      </c>
      <c r="BN4406">
        <v>158.63</v>
      </c>
      <c r="BO4406">
        <v>158.63</v>
      </c>
      <c r="BQ4406" t="s">
        <v>255</v>
      </c>
      <c r="BR4406" t="s">
        <v>84</v>
      </c>
      <c r="BS4406" s="3">
        <v>45867</v>
      </c>
      <c r="BT4406" s="4">
        <v>0.33194444444444443</v>
      </c>
      <c r="BU4406" t="s">
        <v>2512</v>
      </c>
      <c r="BV4406" t="s">
        <v>98</v>
      </c>
      <c r="BY4406">
        <v>1200</v>
      </c>
      <c r="CA4406" t="s">
        <v>328</v>
      </c>
      <c r="CC4406" t="s">
        <v>253</v>
      </c>
      <c r="CD4406">
        <v>1947</v>
      </c>
      <c r="CE4406" t="s">
        <v>121</v>
      </c>
      <c r="CF4406" s="3">
        <v>45867</v>
      </c>
      <c r="CI4406">
        <v>1</v>
      </c>
      <c r="CJ4406">
        <v>1</v>
      </c>
      <c r="CK4406">
        <v>23</v>
      </c>
      <c r="CL4406" t="s">
        <v>86</v>
      </c>
    </row>
    <row r="4407" spans="1:90" x14ac:dyDescent="0.3">
      <c r="A4407" t="s">
        <v>72</v>
      </c>
      <c r="B4407" t="s">
        <v>73</v>
      </c>
      <c r="C4407" t="s">
        <v>74</v>
      </c>
      <c r="E4407" t="str">
        <f>"080066843720"</f>
        <v>080066843720</v>
      </c>
      <c r="F4407" s="3">
        <v>45866</v>
      </c>
      <c r="G4407">
        <v>202604</v>
      </c>
      <c r="H4407" t="s">
        <v>75</v>
      </c>
      <c r="I4407" t="s">
        <v>76</v>
      </c>
      <c r="J4407" t="s">
        <v>77</v>
      </c>
      <c r="K4407" t="s">
        <v>78</v>
      </c>
      <c r="L4407" t="s">
        <v>75</v>
      </c>
      <c r="M4407" t="s">
        <v>76</v>
      </c>
      <c r="N4407" t="s">
        <v>368</v>
      </c>
      <c r="O4407" t="s">
        <v>82</v>
      </c>
      <c r="P4407" t="str">
        <f>"4170051610                    "</f>
        <v xml:space="preserve">4170051610                    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17.649999999999999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  <c r="BE4407">
        <v>0</v>
      </c>
      <c r="BF4407">
        <v>0</v>
      </c>
      <c r="BG4407">
        <v>0</v>
      </c>
      <c r="BH4407">
        <v>1</v>
      </c>
      <c r="BI4407">
        <v>2</v>
      </c>
      <c r="BJ4407">
        <v>1.5</v>
      </c>
      <c r="BK4407">
        <v>2</v>
      </c>
      <c r="BL4407">
        <v>55.61</v>
      </c>
      <c r="BM4407">
        <v>8.34</v>
      </c>
      <c r="BN4407">
        <v>63.95</v>
      </c>
      <c r="BO4407">
        <v>63.95</v>
      </c>
      <c r="BQ4407" t="s">
        <v>369</v>
      </c>
      <c r="BR4407" t="s">
        <v>84</v>
      </c>
      <c r="BS4407" s="3">
        <v>45867</v>
      </c>
      <c r="BT4407" s="4">
        <v>0.79236111111111107</v>
      </c>
      <c r="BU4407" t="s">
        <v>3822</v>
      </c>
      <c r="BV4407" t="s">
        <v>86</v>
      </c>
      <c r="BY4407">
        <v>7540</v>
      </c>
      <c r="CA4407" t="s">
        <v>3823</v>
      </c>
      <c r="CC4407" t="s">
        <v>76</v>
      </c>
      <c r="CD4407">
        <v>1665</v>
      </c>
      <c r="CE4407" t="s">
        <v>145</v>
      </c>
      <c r="CF4407" s="3">
        <v>45867</v>
      </c>
      <c r="CI4407">
        <v>1</v>
      </c>
      <c r="CJ4407">
        <v>1</v>
      </c>
      <c r="CK4407">
        <v>22</v>
      </c>
      <c r="CL4407" t="s">
        <v>86</v>
      </c>
    </row>
    <row r="4408" spans="1:90" x14ac:dyDescent="0.3">
      <c r="A4408" t="s">
        <v>72</v>
      </c>
      <c r="B4408" t="s">
        <v>73</v>
      </c>
      <c r="C4408" t="s">
        <v>74</v>
      </c>
      <c r="E4408" t="str">
        <f>"080066843738"</f>
        <v>080066843738</v>
      </c>
      <c r="F4408" s="3">
        <v>45866</v>
      </c>
      <c r="G4408">
        <v>202604</v>
      </c>
      <c r="H4408" t="s">
        <v>75</v>
      </c>
      <c r="I4408" t="s">
        <v>76</v>
      </c>
      <c r="J4408" t="s">
        <v>77</v>
      </c>
      <c r="K4408" t="s">
        <v>78</v>
      </c>
      <c r="L4408" t="s">
        <v>135</v>
      </c>
      <c r="M4408" t="s">
        <v>136</v>
      </c>
      <c r="N4408" t="s">
        <v>1228</v>
      </c>
      <c r="O4408" t="s">
        <v>95</v>
      </c>
      <c r="P4408" t="str">
        <f>"4170051499                    "</f>
        <v xml:space="preserve">4170051499                    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56.33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0</v>
      </c>
      <c r="BF4408">
        <v>0</v>
      </c>
      <c r="BG4408">
        <v>0</v>
      </c>
      <c r="BH4408">
        <v>1</v>
      </c>
      <c r="BI4408">
        <v>22</v>
      </c>
      <c r="BJ4408">
        <v>9.1</v>
      </c>
      <c r="BK4408">
        <v>22</v>
      </c>
      <c r="BL4408">
        <v>183.34</v>
      </c>
      <c r="BM4408">
        <v>27.5</v>
      </c>
      <c r="BN4408">
        <v>210.84</v>
      </c>
      <c r="BO4408">
        <v>210.84</v>
      </c>
      <c r="BQ4408" t="s">
        <v>1229</v>
      </c>
      <c r="BR4408" t="s">
        <v>84</v>
      </c>
      <c r="BS4408" s="3">
        <v>45867</v>
      </c>
      <c r="BT4408" s="4">
        <v>0.55138888888888893</v>
      </c>
      <c r="BU4408" t="s">
        <v>3824</v>
      </c>
      <c r="BV4408" t="s">
        <v>98</v>
      </c>
      <c r="BY4408">
        <v>45632</v>
      </c>
      <c r="CA4408" t="s">
        <v>1319</v>
      </c>
      <c r="CC4408" t="s">
        <v>136</v>
      </c>
      <c r="CD4408">
        <v>3212</v>
      </c>
      <c r="CE4408" t="s">
        <v>145</v>
      </c>
      <c r="CF4408" s="3">
        <v>45868</v>
      </c>
      <c r="CI4408">
        <v>3</v>
      </c>
      <c r="CJ4408">
        <v>1</v>
      </c>
      <c r="CK4408">
        <v>41</v>
      </c>
      <c r="CL4408" t="s">
        <v>86</v>
      </c>
    </row>
    <row r="4409" spans="1:90" x14ac:dyDescent="0.3">
      <c r="A4409" t="s">
        <v>72</v>
      </c>
      <c r="B4409" t="s">
        <v>73</v>
      </c>
      <c r="C4409" t="s">
        <v>74</v>
      </c>
      <c r="E4409" t="str">
        <f>"080066716613"</f>
        <v>080066716613</v>
      </c>
      <c r="F4409" s="3">
        <v>45860</v>
      </c>
      <c r="G4409">
        <v>202604</v>
      </c>
      <c r="H4409" t="s">
        <v>75</v>
      </c>
      <c r="I4409" t="s">
        <v>76</v>
      </c>
      <c r="J4409" t="s">
        <v>77</v>
      </c>
      <c r="K4409" t="s">
        <v>78</v>
      </c>
      <c r="L4409" t="s">
        <v>503</v>
      </c>
      <c r="M4409" t="s">
        <v>504</v>
      </c>
      <c r="N4409" t="s">
        <v>505</v>
      </c>
      <c r="O4409" t="s">
        <v>95</v>
      </c>
      <c r="P4409" t="str">
        <f>"41700150122                   "</f>
        <v xml:space="preserve">41700150122                   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83.67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0</v>
      </c>
      <c r="BH4409">
        <v>2</v>
      </c>
      <c r="BI4409">
        <v>22</v>
      </c>
      <c r="BJ4409">
        <v>11.5</v>
      </c>
      <c r="BK4409">
        <v>22</v>
      </c>
      <c r="BL4409">
        <v>269.48</v>
      </c>
      <c r="BM4409">
        <v>40.42</v>
      </c>
      <c r="BN4409">
        <v>309.89999999999998</v>
      </c>
      <c r="BO4409">
        <v>309.89999999999998</v>
      </c>
      <c r="BQ4409" t="s">
        <v>506</v>
      </c>
      <c r="BR4409" t="s">
        <v>84</v>
      </c>
      <c r="BS4409" s="3">
        <v>45861</v>
      </c>
      <c r="BT4409" s="4">
        <v>0.45763888888888887</v>
      </c>
      <c r="BU4409" t="s">
        <v>507</v>
      </c>
      <c r="BV4409" t="s">
        <v>98</v>
      </c>
      <c r="BY4409">
        <v>28800</v>
      </c>
      <c r="BZ4409" t="s">
        <v>108</v>
      </c>
      <c r="CA4409" t="s">
        <v>508</v>
      </c>
      <c r="CC4409" t="s">
        <v>504</v>
      </c>
      <c r="CD4409">
        <v>7130</v>
      </c>
      <c r="CE4409" t="s">
        <v>1495</v>
      </c>
      <c r="CF4409" s="3">
        <v>45862</v>
      </c>
      <c r="CI4409">
        <v>3</v>
      </c>
      <c r="CJ4409">
        <v>1</v>
      </c>
      <c r="CK4409">
        <v>43</v>
      </c>
      <c r="CL4409" t="s">
        <v>86</v>
      </c>
    </row>
    <row r="4410" spans="1:90" x14ac:dyDescent="0.3">
      <c r="A4410" t="s">
        <v>72</v>
      </c>
      <c r="B4410" t="s">
        <v>73</v>
      </c>
      <c r="C4410" t="s">
        <v>74</v>
      </c>
      <c r="E4410" t="str">
        <f>"080066823515"</f>
        <v>080066823515</v>
      </c>
      <c r="F4410" s="3">
        <v>45866</v>
      </c>
      <c r="G4410">
        <v>202604</v>
      </c>
      <c r="H4410" t="s">
        <v>75</v>
      </c>
      <c r="I4410" t="s">
        <v>76</v>
      </c>
      <c r="J4410" t="s">
        <v>77</v>
      </c>
      <c r="K4410" t="s">
        <v>78</v>
      </c>
      <c r="L4410" t="s">
        <v>168</v>
      </c>
      <c r="M4410" t="s">
        <v>169</v>
      </c>
      <c r="N4410" t="s">
        <v>2157</v>
      </c>
      <c r="O4410" t="s">
        <v>82</v>
      </c>
      <c r="P4410" t="str">
        <f>"4170051136                    "</f>
        <v xml:space="preserve">4170051136                    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79.05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  <c r="BE4410">
        <v>0</v>
      </c>
      <c r="BF4410">
        <v>0</v>
      </c>
      <c r="BG4410">
        <v>0</v>
      </c>
      <c r="BH4410">
        <v>1</v>
      </c>
      <c r="BI4410">
        <v>7</v>
      </c>
      <c r="BJ4410">
        <v>2</v>
      </c>
      <c r="BK4410">
        <v>7</v>
      </c>
      <c r="BL4410">
        <v>249.05</v>
      </c>
      <c r="BM4410">
        <v>37.36</v>
      </c>
      <c r="BN4410">
        <v>286.41000000000003</v>
      </c>
      <c r="BO4410">
        <v>286.41000000000003</v>
      </c>
      <c r="BQ4410" t="s">
        <v>2158</v>
      </c>
      <c r="BR4410" t="s">
        <v>84</v>
      </c>
      <c r="BS4410" s="3">
        <v>45867</v>
      </c>
      <c r="BT4410" s="4">
        <v>0.34027777777777779</v>
      </c>
      <c r="BU4410" t="s">
        <v>1298</v>
      </c>
      <c r="BV4410" t="s">
        <v>98</v>
      </c>
      <c r="BY4410">
        <v>9918</v>
      </c>
      <c r="BZ4410" t="s">
        <v>89</v>
      </c>
      <c r="CA4410" t="s">
        <v>415</v>
      </c>
      <c r="CC4410" t="s">
        <v>169</v>
      </c>
      <c r="CD4410">
        <v>6001</v>
      </c>
      <c r="CE4410" t="s">
        <v>145</v>
      </c>
      <c r="CF4410" s="3">
        <v>45867</v>
      </c>
      <c r="CI4410">
        <v>1</v>
      </c>
      <c r="CJ4410">
        <v>1</v>
      </c>
      <c r="CK4410">
        <v>21</v>
      </c>
      <c r="CL4410" t="s">
        <v>86</v>
      </c>
    </row>
    <row r="4411" spans="1:90" x14ac:dyDescent="0.3">
      <c r="A4411" t="s">
        <v>72</v>
      </c>
      <c r="B4411" t="s">
        <v>73</v>
      </c>
      <c r="C4411" t="s">
        <v>74</v>
      </c>
      <c r="E4411" t="str">
        <f>"080066858797"</f>
        <v>080066858797</v>
      </c>
      <c r="F4411" s="3">
        <v>45867</v>
      </c>
      <c r="G4411">
        <v>202604</v>
      </c>
      <c r="H4411" t="s">
        <v>75</v>
      </c>
      <c r="I4411" t="s">
        <v>76</v>
      </c>
      <c r="J4411" t="s">
        <v>77</v>
      </c>
      <c r="K4411" t="s">
        <v>78</v>
      </c>
      <c r="L4411" t="s">
        <v>75</v>
      </c>
      <c r="M4411" t="s">
        <v>76</v>
      </c>
      <c r="N4411" t="s">
        <v>3187</v>
      </c>
      <c r="O4411" t="s">
        <v>311</v>
      </c>
      <c r="P4411" t="str">
        <f>"4170051629                    "</f>
        <v xml:space="preserve">4170051629                    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23.6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0</v>
      </c>
      <c r="BF4411">
        <v>0</v>
      </c>
      <c r="BG4411">
        <v>0</v>
      </c>
      <c r="BH4411">
        <v>1</v>
      </c>
      <c r="BI4411">
        <v>7</v>
      </c>
      <c r="BJ4411">
        <v>10.199999999999999</v>
      </c>
      <c r="BK4411">
        <v>11</v>
      </c>
      <c r="BL4411">
        <v>74.349999999999994</v>
      </c>
      <c r="BM4411">
        <v>11.15</v>
      </c>
      <c r="BN4411">
        <v>85.5</v>
      </c>
      <c r="BO4411">
        <v>85.5</v>
      </c>
      <c r="BQ4411" t="s">
        <v>3188</v>
      </c>
      <c r="BR4411" t="s">
        <v>84</v>
      </c>
      <c r="BS4411" s="3">
        <v>45868</v>
      </c>
      <c r="BT4411" s="4">
        <v>0.4375</v>
      </c>
      <c r="BU4411" t="s">
        <v>2004</v>
      </c>
      <c r="BV4411" t="s">
        <v>98</v>
      </c>
      <c r="BY4411">
        <v>51136</v>
      </c>
      <c r="CC4411" t="s">
        <v>76</v>
      </c>
      <c r="CD4411">
        <v>1614</v>
      </c>
      <c r="CE4411" t="s">
        <v>91</v>
      </c>
      <c r="CF4411" s="3">
        <v>45869</v>
      </c>
      <c r="CI4411">
        <v>1</v>
      </c>
      <c r="CJ4411">
        <v>1</v>
      </c>
      <c r="CK4411">
        <v>32</v>
      </c>
      <c r="CL4411" t="s">
        <v>86</v>
      </c>
    </row>
    <row r="4412" spans="1:90" x14ac:dyDescent="0.3">
      <c r="A4412" t="s">
        <v>72</v>
      </c>
      <c r="B4412" t="s">
        <v>73</v>
      </c>
      <c r="C4412" t="s">
        <v>74</v>
      </c>
      <c r="E4412" t="str">
        <f>"080066858826"</f>
        <v>080066858826</v>
      </c>
      <c r="F4412" s="3">
        <v>45867</v>
      </c>
      <c r="G4412">
        <v>202604</v>
      </c>
      <c r="H4412" t="s">
        <v>75</v>
      </c>
      <c r="I4412" t="s">
        <v>76</v>
      </c>
      <c r="J4412" t="s">
        <v>77</v>
      </c>
      <c r="K4412" t="s">
        <v>78</v>
      </c>
      <c r="L4412" t="s">
        <v>390</v>
      </c>
      <c r="M4412" t="s">
        <v>391</v>
      </c>
      <c r="N4412" t="s">
        <v>3639</v>
      </c>
      <c r="O4412" t="s">
        <v>82</v>
      </c>
      <c r="P4412" t="str">
        <f>"4170051631                    "</f>
        <v xml:space="preserve">4170051631                    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17.649999999999999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0</v>
      </c>
      <c r="BH4412">
        <v>1</v>
      </c>
      <c r="BI4412">
        <v>3</v>
      </c>
      <c r="BJ4412">
        <v>5</v>
      </c>
      <c r="BK4412">
        <v>5</v>
      </c>
      <c r="BL4412">
        <v>55.61</v>
      </c>
      <c r="BM4412">
        <v>8.34</v>
      </c>
      <c r="BN4412">
        <v>63.95</v>
      </c>
      <c r="BO4412">
        <v>63.95</v>
      </c>
      <c r="BQ4412" t="s">
        <v>3640</v>
      </c>
      <c r="BR4412" t="s">
        <v>84</v>
      </c>
      <c r="BS4412" s="3">
        <v>45868</v>
      </c>
      <c r="BT4412" s="4">
        <v>0.375</v>
      </c>
      <c r="BU4412" t="s">
        <v>3641</v>
      </c>
      <c r="BV4412" t="s">
        <v>98</v>
      </c>
      <c r="BY4412">
        <v>25024</v>
      </c>
      <c r="CA4412" t="s">
        <v>3825</v>
      </c>
      <c r="CC4412" t="s">
        <v>391</v>
      </c>
      <c r="CD4412">
        <v>1724</v>
      </c>
      <c r="CE4412" t="s">
        <v>91</v>
      </c>
      <c r="CF4412" s="3">
        <v>45868</v>
      </c>
      <c r="CI4412">
        <v>1</v>
      </c>
      <c r="CJ4412">
        <v>1</v>
      </c>
      <c r="CK4412">
        <v>22</v>
      </c>
      <c r="CL4412" t="s">
        <v>86</v>
      </c>
    </row>
    <row r="4413" spans="1:90" x14ac:dyDescent="0.3">
      <c r="A4413" t="s">
        <v>72</v>
      </c>
      <c r="B4413" t="s">
        <v>73</v>
      </c>
      <c r="C4413" t="s">
        <v>74</v>
      </c>
      <c r="E4413" t="str">
        <f>"080066859202"</f>
        <v>080066859202</v>
      </c>
      <c r="F4413" s="3">
        <v>45867</v>
      </c>
      <c r="G4413">
        <v>202604</v>
      </c>
      <c r="H4413" t="s">
        <v>75</v>
      </c>
      <c r="I4413" t="s">
        <v>76</v>
      </c>
      <c r="J4413" t="s">
        <v>77</v>
      </c>
      <c r="K4413" t="s">
        <v>78</v>
      </c>
      <c r="L4413" t="s">
        <v>240</v>
      </c>
      <c r="M4413" t="s">
        <v>241</v>
      </c>
      <c r="N4413" t="s">
        <v>457</v>
      </c>
      <c r="O4413" t="s">
        <v>95</v>
      </c>
      <c r="P4413" t="str">
        <f>"4170050708                    "</f>
        <v xml:space="preserve">4170050708                    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38.65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16.739999999999998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  <c r="BH4413">
        <v>1</v>
      </c>
      <c r="BI4413">
        <v>20</v>
      </c>
      <c r="BJ4413">
        <v>17.7</v>
      </c>
      <c r="BK4413">
        <v>20</v>
      </c>
      <c r="BL4413">
        <v>144.38</v>
      </c>
      <c r="BM4413">
        <v>21.66</v>
      </c>
      <c r="BN4413">
        <v>166.04</v>
      </c>
      <c r="BO4413">
        <v>166.04</v>
      </c>
      <c r="BQ4413" t="s">
        <v>458</v>
      </c>
      <c r="BR4413" t="s">
        <v>84</v>
      </c>
      <c r="BS4413" s="3">
        <v>45868</v>
      </c>
      <c r="BT4413" s="4">
        <v>0.40625</v>
      </c>
      <c r="BU4413" t="s">
        <v>3826</v>
      </c>
      <c r="BV4413" t="s">
        <v>98</v>
      </c>
      <c r="BY4413">
        <v>88320</v>
      </c>
      <c r="BZ4413" t="s">
        <v>30</v>
      </c>
      <c r="CA4413" t="s">
        <v>461</v>
      </c>
      <c r="CC4413" t="s">
        <v>241</v>
      </c>
      <c r="CD4413">
        <v>2188</v>
      </c>
      <c r="CE4413" t="s">
        <v>145</v>
      </c>
      <c r="CF4413" s="3">
        <v>45868</v>
      </c>
      <c r="CI4413">
        <v>1</v>
      </c>
      <c r="CJ4413">
        <v>1</v>
      </c>
      <c r="CK4413">
        <v>42</v>
      </c>
      <c r="CL4413" t="s">
        <v>86</v>
      </c>
    </row>
    <row r="4414" spans="1:90" x14ac:dyDescent="0.3">
      <c r="A4414" t="s">
        <v>72</v>
      </c>
      <c r="B4414" t="s">
        <v>73</v>
      </c>
      <c r="C4414" t="s">
        <v>74</v>
      </c>
      <c r="E4414" t="str">
        <f>"080066859239"</f>
        <v>080066859239</v>
      </c>
      <c r="F4414" s="3">
        <v>45867</v>
      </c>
      <c r="G4414">
        <v>202604</v>
      </c>
      <c r="H4414" t="s">
        <v>75</v>
      </c>
      <c r="I4414" t="s">
        <v>76</v>
      </c>
      <c r="J4414" t="s">
        <v>77</v>
      </c>
      <c r="K4414" t="s">
        <v>78</v>
      </c>
      <c r="L4414" t="s">
        <v>151</v>
      </c>
      <c r="M4414" t="s">
        <v>152</v>
      </c>
      <c r="N4414" t="s">
        <v>1759</v>
      </c>
      <c r="O4414" t="s">
        <v>95</v>
      </c>
      <c r="P4414" t="str">
        <f>"4170050686                    "</f>
        <v xml:space="preserve">4170050686                    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47.31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0</v>
      </c>
      <c r="BH4414">
        <v>1</v>
      </c>
      <c r="BI4414">
        <v>17</v>
      </c>
      <c r="BJ4414">
        <v>8.8000000000000007</v>
      </c>
      <c r="BK4414">
        <v>17</v>
      </c>
      <c r="BL4414">
        <v>154.91999999999999</v>
      </c>
      <c r="BM4414">
        <v>23.24</v>
      </c>
      <c r="BN4414">
        <v>178.16</v>
      </c>
      <c r="BO4414">
        <v>178.16</v>
      </c>
      <c r="BQ4414" t="s">
        <v>1760</v>
      </c>
      <c r="BR4414" t="s">
        <v>84</v>
      </c>
      <c r="BS4414" s="3">
        <v>45868</v>
      </c>
      <c r="BT4414" s="4">
        <v>0.34375</v>
      </c>
      <c r="BU4414" t="s">
        <v>3827</v>
      </c>
      <c r="BV4414" t="s">
        <v>98</v>
      </c>
      <c r="BY4414">
        <v>44200</v>
      </c>
      <c r="CA4414" t="s">
        <v>3701</v>
      </c>
      <c r="CC4414" t="s">
        <v>152</v>
      </c>
      <c r="CD4414" s="5" t="s">
        <v>684</v>
      </c>
      <c r="CE4414" t="s">
        <v>145</v>
      </c>
      <c r="CF4414" s="3">
        <v>45868</v>
      </c>
      <c r="CI4414">
        <v>1</v>
      </c>
      <c r="CJ4414">
        <v>1</v>
      </c>
      <c r="CK4414">
        <v>41</v>
      </c>
      <c r="CL4414" t="s">
        <v>86</v>
      </c>
    </row>
    <row r="4415" spans="1:90" x14ac:dyDescent="0.3">
      <c r="A4415" t="s">
        <v>72</v>
      </c>
      <c r="B4415" t="s">
        <v>73</v>
      </c>
      <c r="C4415" t="s">
        <v>74</v>
      </c>
      <c r="E4415" t="str">
        <f>"080066860882"</f>
        <v>080066860882</v>
      </c>
      <c r="F4415" s="3">
        <v>45867</v>
      </c>
      <c r="G4415">
        <v>202604</v>
      </c>
      <c r="H4415" t="s">
        <v>75</v>
      </c>
      <c r="I4415" t="s">
        <v>76</v>
      </c>
      <c r="J4415" t="s">
        <v>77</v>
      </c>
      <c r="K4415" t="s">
        <v>78</v>
      </c>
      <c r="L4415" t="s">
        <v>363</v>
      </c>
      <c r="M4415" t="s">
        <v>364</v>
      </c>
      <c r="N4415" t="s">
        <v>365</v>
      </c>
      <c r="O4415" t="s">
        <v>82</v>
      </c>
      <c r="P4415" t="str">
        <f>"4170050862                    "</f>
        <v xml:space="preserve">4170050862                    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43.78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  <c r="BE4415">
        <v>0</v>
      </c>
      <c r="BF4415">
        <v>0</v>
      </c>
      <c r="BG4415">
        <v>0</v>
      </c>
      <c r="BH4415">
        <v>1</v>
      </c>
      <c r="BI4415">
        <v>1</v>
      </c>
      <c r="BJ4415">
        <v>0.2</v>
      </c>
      <c r="BK4415">
        <v>1</v>
      </c>
      <c r="BL4415">
        <v>137.94</v>
      </c>
      <c r="BM4415">
        <v>20.69</v>
      </c>
      <c r="BN4415">
        <v>158.63</v>
      </c>
      <c r="BO4415">
        <v>158.63</v>
      </c>
      <c r="BQ4415" t="s">
        <v>1118</v>
      </c>
      <c r="BR4415" t="s">
        <v>84</v>
      </c>
      <c r="BS4415" s="3">
        <v>45868</v>
      </c>
      <c r="BT4415" s="4">
        <v>0.44444444444444442</v>
      </c>
      <c r="BU4415" t="s">
        <v>916</v>
      </c>
      <c r="BV4415" t="s">
        <v>98</v>
      </c>
      <c r="BY4415">
        <v>1200</v>
      </c>
      <c r="CA4415" t="s">
        <v>2129</v>
      </c>
      <c r="CC4415" t="s">
        <v>364</v>
      </c>
      <c r="CD4415">
        <v>7300</v>
      </c>
      <c r="CE4415" t="s">
        <v>121</v>
      </c>
      <c r="CF4415" s="3">
        <v>45869</v>
      </c>
      <c r="CI4415">
        <v>1</v>
      </c>
      <c r="CJ4415">
        <v>1</v>
      </c>
      <c r="CK4415">
        <v>23</v>
      </c>
      <c r="CL4415" t="s">
        <v>86</v>
      </c>
    </row>
    <row r="4416" spans="1:90" x14ac:dyDescent="0.3">
      <c r="A4416" t="s">
        <v>72</v>
      </c>
      <c r="B4416" t="s">
        <v>73</v>
      </c>
      <c r="C4416" t="s">
        <v>74</v>
      </c>
      <c r="E4416" t="str">
        <f>"080066860936"</f>
        <v>080066860936</v>
      </c>
      <c r="F4416" s="3">
        <v>45867</v>
      </c>
      <c r="G4416">
        <v>202604</v>
      </c>
      <c r="H4416" t="s">
        <v>75</v>
      </c>
      <c r="I4416" t="s">
        <v>76</v>
      </c>
      <c r="J4416" t="s">
        <v>77</v>
      </c>
      <c r="K4416" t="s">
        <v>78</v>
      </c>
      <c r="L4416" t="s">
        <v>79</v>
      </c>
      <c r="M4416" t="s">
        <v>80</v>
      </c>
      <c r="N4416" t="s">
        <v>141</v>
      </c>
      <c r="O4416" t="s">
        <v>82</v>
      </c>
      <c r="P4416" t="str">
        <f>"4170051089                    "</f>
        <v xml:space="preserve">4170051089                    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22.6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  <c r="BH4416">
        <v>1</v>
      </c>
      <c r="BI4416">
        <v>1</v>
      </c>
      <c r="BJ4416">
        <v>0.2</v>
      </c>
      <c r="BK4416">
        <v>1</v>
      </c>
      <c r="BL4416">
        <v>71.2</v>
      </c>
      <c r="BM4416">
        <v>10.68</v>
      </c>
      <c r="BN4416">
        <v>81.88</v>
      </c>
      <c r="BO4416">
        <v>81.88</v>
      </c>
      <c r="BQ4416" t="s">
        <v>142</v>
      </c>
      <c r="BR4416" t="s">
        <v>84</v>
      </c>
      <c r="BS4416" s="3">
        <v>45868</v>
      </c>
      <c r="BT4416" s="4">
        <v>0.40763888888888888</v>
      </c>
      <c r="BU4416" t="s">
        <v>976</v>
      </c>
      <c r="BV4416" t="s">
        <v>98</v>
      </c>
      <c r="BY4416">
        <v>1200</v>
      </c>
      <c r="CA4416" t="s">
        <v>144</v>
      </c>
      <c r="CC4416" t="s">
        <v>80</v>
      </c>
      <c r="CD4416">
        <v>7441</v>
      </c>
      <c r="CE4416" t="s">
        <v>121</v>
      </c>
      <c r="CF4416" s="3">
        <v>45869</v>
      </c>
      <c r="CI4416">
        <v>1</v>
      </c>
      <c r="CJ4416">
        <v>1</v>
      </c>
      <c r="CK4416">
        <v>21</v>
      </c>
      <c r="CL4416" t="s">
        <v>86</v>
      </c>
    </row>
    <row r="4417" spans="1:90" x14ac:dyDescent="0.3">
      <c r="A4417" t="s">
        <v>72</v>
      </c>
      <c r="B4417" t="s">
        <v>73</v>
      </c>
      <c r="C4417" t="s">
        <v>74</v>
      </c>
      <c r="E4417" t="str">
        <f>"080066861018"</f>
        <v>080066861018</v>
      </c>
      <c r="F4417" s="3">
        <v>45867</v>
      </c>
      <c r="G4417">
        <v>202604</v>
      </c>
      <c r="H4417" t="s">
        <v>75</v>
      </c>
      <c r="I4417" t="s">
        <v>76</v>
      </c>
      <c r="J4417" t="s">
        <v>77</v>
      </c>
      <c r="K4417" t="s">
        <v>78</v>
      </c>
      <c r="L4417" t="s">
        <v>92</v>
      </c>
      <c r="M4417" t="s">
        <v>93</v>
      </c>
      <c r="N4417" t="s">
        <v>723</v>
      </c>
      <c r="O4417" t="s">
        <v>82</v>
      </c>
      <c r="P4417" t="str">
        <f>"4170051050                    "</f>
        <v xml:space="preserve">4170051050                    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22.6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0</v>
      </c>
      <c r="BH4417">
        <v>1</v>
      </c>
      <c r="BI4417">
        <v>1</v>
      </c>
      <c r="BJ4417">
        <v>0.2</v>
      </c>
      <c r="BK4417">
        <v>1</v>
      </c>
      <c r="BL4417">
        <v>71.2</v>
      </c>
      <c r="BM4417">
        <v>10.68</v>
      </c>
      <c r="BN4417">
        <v>81.88</v>
      </c>
      <c r="BO4417">
        <v>81.88</v>
      </c>
      <c r="BQ4417" t="s">
        <v>724</v>
      </c>
      <c r="BR4417" t="s">
        <v>84</v>
      </c>
      <c r="BS4417" s="3">
        <v>45868</v>
      </c>
      <c r="BT4417" s="4">
        <v>0.73333333333333328</v>
      </c>
      <c r="BU4417" t="s">
        <v>354</v>
      </c>
      <c r="BV4417" t="s">
        <v>86</v>
      </c>
      <c r="BW4417" t="s">
        <v>194</v>
      </c>
      <c r="BX4417" t="s">
        <v>1174</v>
      </c>
      <c r="BY4417">
        <v>1200</v>
      </c>
      <c r="CA4417" t="s">
        <v>166</v>
      </c>
      <c r="CC4417" t="s">
        <v>93</v>
      </c>
      <c r="CD4417">
        <v>4000</v>
      </c>
      <c r="CE4417" t="s">
        <v>121</v>
      </c>
      <c r="CF4417" s="3">
        <v>45868</v>
      </c>
      <c r="CI4417">
        <v>1</v>
      </c>
      <c r="CJ4417">
        <v>1</v>
      </c>
      <c r="CK4417">
        <v>21</v>
      </c>
      <c r="CL4417" t="s">
        <v>86</v>
      </c>
    </row>
    <row r="4418" spans="1:90" x14ac:dyDescent="0.3">
      <c r="A4418" t="s">
        <v>72</v>
      </c>
      <c r="B4418" t="s">
        <v>73</v>
      </c>
      <c r="C4418" t="s">
        <v>74</v>
      </c>
      <c r="E4418" t="str">
        <f>"080066861633"</f>
        <v>080066861633</v>
      </c>
      <c r="F4418" s="3">
        <v>45867</v>
      </c>
      <c r="G4418">
        <v>202604</v>
      </c>
      <c r="H4418" t="s">
        <v>75</v>
      </c>
      <c r="I4418" t="s">
        <v>76</v>
      </c>
      <c r="J4418" t="s">
        <v>77</v>
      </c>
      <c r="K4418" t="s">
        <v>78</v>
      </c>
      <c r="L4418" t="s">
        <v>79</v>
      </c>
      <c r="M4418" t="s">
        <v>80</v>
      </c>
      <c r="N4418" t="s">
        <v>689</v>
      </c>
      <c r="O4418" t="s">
        <v>82</v>
      </c>
      <c r="P4418" t="str">
        <f>"4170050758                    "</f>
        <v xml:space="preserve">4170050758                    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62.11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  <c r="BE4418">
        <v>0</v>
      </c>
      <c r="BF4418">
        <v>0</v>
      </c>
      <c r="BG4418">
        <v>0</v>
      </c>
      <c r="BH4418">
        <v>1</v>
      </c>
      <c r="BI4418">
        <v>4</v>
      </c>
      <c r="BJ4418">
        <v>5.5</v>
      </c>
      <c r="BK4418">
        <v>5.5</v>
      </c>
      <c r="BL4418">
        <v>195.69</v>
      </c>
      <c r="BM4418">
        <v>29.35</v>
      </c>
      <c r="BN4418">
        <v>225.04</v>
      </c>
      <c r="BO4418">
        <v>225.04</v>
      </c>
      <c r="BQ4418" t="s">
        <v>690</v>
      </c>
      <c r="BR4418" t="s">
        <v>84</v>
      </c>
      <c r="BS4418" s="3">
        <v>45868</v>
      </c>
      <c r="BT4418" s="4">
        <v>0.42777777777777776</v>
      </c>
      <c r="BU4418" t="s">
        <v>2843</v>
      </c>
      <c r="BV4418" t="s">
        <v>98</v>
      </c>
      <c r="BY4418">
        <v>27648</v>
      </c>
      <c r="CA4418" t="s">
        <v>692</v>
      </c>
      <c r="CC4418" t="s">
        <v>80</v>
      </c>
      <c r="CD4418">
        <v>7800</v>
      </c>
      <c r="CE4418" t="s">
        <v>91</v>
      </c>
      <c r="CF4418" s="3">
        <v>45869</v>
      </c>
      <c r="CI4418">
        <v>1</v>
      </c>
      <c r="CJ4418">
        <v>1</v>
      </c>
      <c r="CK4418">
        <v>21</v>
      </c>
      <c r="CL4418" t="s">
        <v>86</v>
      </c>
    </row>
    <row r="4419" spans="1:90" x14ac:dyDescent="0.3">
      <c r="A4419" t="s">
        <v>72</v>
      </c>
      <c r="B4419" t="s">
        <v>73</v>
      </c>
      <c r="C4419" t="s">
        <v>74</v>
      </c>
      <c r="E4419" t="str">
        <f>"080066861681"</f>
        <v>080066861681</v>
      </c>
      <c r="F4419" s="3">
        <v>45867</v>
      </c>
      <c r="G4419">
        <v>202604</v>
      </c>
      <c r="H4419" t="s">
        <v>75</v>
      </c>
      <c r="I4419" t="s">
        <v>76</v>
      </c>
      <c r="J4419" t="s">
        <v>77</v>
      </c>
      <c r="K4419" t="s">
        <v>78</v>
      </c>
      <c r="L4419" t="s">
        <v>135</v>
      </c>
      <c r="M4419" t="s">
        <v>136</v>
      </c>
      <c r="N4419" t="s">
        <v>416</v>
      </c>
      <c r="O4419" t="s">
        <v>82</v>
      </c>
      <c r="P4419" t="str">
        <f>"4170051664                    "</f>
        <v xml:space="preserve">4170051664                    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22.6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  <c r="BH4419">
        <v>1</v>
      </c>
      <c r="BI4419">
        <v>1</v>
      </c>
      <c r="BJ4419">
        <v>1.4</v>
      </c>
      <c r="BK4419">
        <v>1.5</v>
      </c>
      <c r="BL4419">
        <v>71.2</v>
      </c>
      <c r="BM4419">
        <v>10.68</v>
      </c>
      <c r="BN4419">
        <v>81.88</v>
      </c>
      <c r="BO4419">
        <v>81.88</v>
      </c>
      <c r="BQ4419" t="s">
        <v>417</v>
      </c>
      <c r="BR4419" t="s">
        <v>84</v>
      </c>
      <c r="BS4419" s="3">
        <v>45868</v>
      </c>
      <c r="BT4419" s="4">
        <v>0.625</v>
      </c>
      <c r="BU4419" t="s">
        <v>1741</v>
      </c>
      <c r="BV4419" t="s">
        <v>86</v>
      </c>
      <c r="BY4419">
        <v>7000</v>
      </c>
      <c r="CC4419" t="s">
        <v>136</v>
      </c>
      <c r="CD4419">
        <v>3201</v>
      </c>
      <c r="CE4419" t="s">
        <v>145</v>
      </c>
      <c r="CF4419" s="3">
        <v>45869</v>
      </c>
      <c r="CI4419">
        <v>1</v>
      </c>
      <c r="CJ4419">
        <v>1</v>
      </c>
      <c r="CK4419">
        <v>21</v>
      </c>
      <c r="CL4419" t="s">
        <v>86</v>
      </c>
    </row>
    <row r="4420" spans="1:90" x14ac:dyDescent="0.3">
      <c r="A4420" t="s">
        <v>72</v>
      </c>
      <c r="B4420" t="s">
        <v>73</v>
      </c>
      <c r="C4420" t="s">
        <v>74</v>
      </c>
      <c r="E4420" t="str">
        <f>"080066861848"</f>
        <v>080066861848</v>
      </c>
      <c r="F4420" s="3">
        <v>45867</v>
      </c>
      <c r="G4420">
        <v>202604</v>
      </c>
      <c r="H4420" t="s">
        <v>75</v>
      </c>
      <c r="I4420" t="s">
        <v>76</v>
      </c>
      <c r="J4420" t="s">
        <v>77</v>
      </c>
      <c r="K4420" t="s">
        <v>78</v>
      </c>
      <c r="L4420" t="s">
        <v>197</v>
      </c>
      <c r="M4420" t="s">
        <v>198</v>
      </c>
      <c r="N4420" t="s">
        <v>1192</v>
      </c>
      <c r="O4420" t="s">
        <v>82</v>
      </c>
      <c r="P4420" t="str">
        <f>"4170047325                    "</f>
        <v xml:space="preserve">4170047325                    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17.649999999999999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  <c r="BH4420">
        <v>1</v>
      </c>
      <c r="BI4420">
        <v>1</v>
      </c>
      <c r="BJ4420">
        <v>0.2</v>
      </c>
      <c r="BK4420">
        <v>1</v>
      </c>
      <c r="BL4420">
        <v>55.61</v>
      </c>
      <c r="BM4420">
        <v>8.34</v>
      </c>
      <c r="BN4420">
        <v>63.95</v>
      </c>
      <c r="BO4420">
        <v>63.95</v>
      </c>
      <c r="BQ4420" t="s">
        <v>1193</v>
      </c>
      <c r="BR4420" t="s">
        <v>84</v>
      </c>
      <c r="BS4420" s="3">
        <v>45868</v>
      </c>
      <c r="BT4420" s="4">
        <v>0.36875000000000002</v>
      </c>
      <c r="BU4420" t="s">
        <v>3828</v>
      </c>
      <c r="BV4420" t="s">
        <v>98</v>
      </c>
      <c r="BY4420">
        <v>1200</v>
      </c>
      <c r="CA4420" t="s">
        <v>1058</v>
      </c>
      <c r="CC4420" t="s">
        <v>198</v>
      </c>
      <c r="CD4420">
        <v>1428</v>
      </c>
      <c r="CE4420" t="s">
        <v>121</v>
      </c>
      <c r="CF4420" s="3">
        <v>45868</v>
      </c>
      <c r="CI4420">
        <v>1</v>
      </c>
      <c r="CJ4420">
        <v>1</v>
      </c>
      <c r="CK4420">
        <v>22</v>
      </c>
      <c r="CL4420" t="s">
        <v>86</v>
      </c>
    </row>
    <row r="4421" spans="1:90" x14ac:dyDescent="0.3">
      <c r="A4421" t="s">
        <v>72</v>
      </c>
      <c r="B4421" t="s">
        <v>73</v>
      </c>
      <c r="C4421" t="s">
        <v>74</v>
      </c>
      <c r="E4421" t="str">
        <f>"080066862013"</f>
        <v>080066862013</v>
      </c>
      <c r="F4421" s="3">
        <v>45867</v>
      </c>
      <c r="G4421">
        <v>202604</v>
      </c>
      <c r="H4421" t="s">
        <v>75</v>
      </c>
      <c r="I4421" t="s">
        <v>76</v>
      </c>
      <c r="J4421" t="s">
        <v>77</v>
      </c>
      <c r="K4421" t="s">
        <v>78</v>
      </c>
      <c r="L4421" t="s">
        <v>92</v>
      </c>
      <c r="M4421" t="s">
        <v>93</v>
      </c>
      <c r="N4421" t="s">
        <v>1811</v>
      </c>
      <c r="O4421" t="s">
        <v>82</v>
      </c>
      <c r="P4421" t="str">
        <f>"4170051669                    "</f>
        <v xml:space="preserve">4170051669                    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73.400000000000006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0</v>
      </c>
      <c r="BF4421">
        <v>0</v>
      </c>
      <c r="BG4421">
        <v>0</v>
      </c>
      <c r="BH4421">
        <v>1</v>
      </c>
      <c r="BI4421">
        <v>3</v>
      </c>
      <c r="BJ4421">
        <v>6.3</v>
      </c>
      <c r="BK4421">
        <v>6.5</v>
      </c>
      <c r="BL4421">
        <v>231.26</v>
      </c>
      <c r="BM4421">
        <v>34.69</v>
      </c>
      <c r="BN4421">
        <v>265.95</v>
      </c>
      <c r="BO4421">
        <v>265.95</v>
      </c>
      <c r="BQ4421" t="s">
        <v>1812</v>
      </c>
      <c r="BR4421" t="s">
        <v>84</v>
      </c>
      <c r="BS4421" s="3">
        <v>45868</v>
      </c>
      <c r="BT4421" s="4">
        <v>0.40069444444444446</v>
      </c>
      <c r="BU4421" t="s">
        <v>1182</v>
      </c>
      <c r="BV4421" t="s">
        <v>98</v>
      </c>
      <c r="BY4421">
        <v>31500</v>
      </c>
      <c r="CA4421" t="s">
        <v>3829</v>
      </c>
      <c r="CC4421" t="s">
        <v>93</v>
      </c>
      <c r="CD4421">
        <v>4052</v>
      </c>
      <c r="CE4421" t="s">
        <v>91</v>
      </c>
      <c r="CF4421" s="3">
        <v>45869</v>
      </c>
      <c r="CI4421">
        <v>1</v>
      </c>
      <c r="CJ4421">
        <v>1</v>
      </c>
      <c r="CK4421">
        <v>21</v>
      </c>
      <c r="CL4421" t="s">
        <v>86</v>
      </c>
    </row>
    <row r="4422" spans="1:90" x14ac:dyDescent="0.3">
      <c r="A4422" t="s">
        <v>72</v>
      </c>
      <c r="B4422" t="s">
        <v>73</v>
      </c>
      <c r="C4422" t="s">
        <v>74</v>
      </c>
      <c r="E4422" t="str">
        <f>"080066862057"</f>
        <v>080066862057</v>
      </c>
      <c r="F4422" s="3">
        <v>45867</v>
      </c>
      <c r="G4422">
        <v>202604</v>
      </c>
      <c r="H4422" t="s">
        <v>75</v>
      </c>
      <c r="I4422" t="s">
        <v>76</v>
      </c>
      <c r="J4422" t="s">
        <v>77</v>
      </c>
      <c r="K4422" t="s">
        <v>78</v>
      </c>
      <c r="L4422" t="s">
        <v>79</v>
      </c>
      <c r="M4422" t="s">
        <v>80</v>
      </c>
      <c r="N4422" t="s">
        <v>3708</v>
      </c>
      <c r="O4422" t="s">
        <v>82</v>
      </c>
      <c r="P4422" t="str">
        <f>"4170051651                    "</f>
        <v xml:space="preserve">4170051651                    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22.6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</v>
      </c>
      <c r="BH4422">
        <v>1</v>
      </c>
      <c r="BI4422">
        <v>1</v>
      </c>
      <c r="BJ4422">
        <v>0.2</v>
      </c>
      <c r="BK4422">
        <v>1</v>
      </c>
      <c r="BL4422">
        <v>71.2</v>
      </c>
      <c r="BM4422">
        <v>10.68</v>
      </c>
      <c r="BN4422">
        <v>81.88</v>
      </c>
      <c r="BO4422">
        <v>81.88</v>
      </c>
      <c r="BQ4422" t="s">
        <v>3709</v>
      </c>
      <c r="BR4422" t="s">
        <v>84</v>
      </c>
      <c r="BS4422" s="3">
        <v>45868</v>
      </c>
      <c r="BT4422" s="4">
        <v>0.39652777777777776</v>
      </c>
      <c r="BU4422" t="s">
        <v>356</v>
      </c>
      <c r="BV4422" t="s">
        <v>98</v>
      </c>
      <c r="BY4422">
        <v>1200</v>
      </c>
      <c r="CA4422" t="s">
        <v>144</v>
      </c>
      <c r="CC4422" t="s">
        <v>80</v>
      </c>
      <c r="CD4422">
        <v>7405</v>
      </c>
      <c r="CE4422" t="s">
        <v>258</v>
      </c>
      <c r="CF4422" s="3">
        <v>45869</v>
      </c>
      <c r="CI4422">
        <v>1</v>
      </c>
      <c r="CJ4422">
        <v>1</v>
      </c>
      <c r="CK4422">
        <v>21</v>
      </c>
      <c r="CL4422" t="s">
        <v>86</v>
      </c>
    </row>
    <row r="4423" spans="1:90" x14ac:dyDescent="0.3">
      <c r="A4423" t="s">
        <v>72</v>
      </c>
      <c r="B4423" t="s">
        <v>73</v>
      </c>
      <c r="C4423" t="s">
        <v>74</v>
      </c>
      <c r="E4423" t="str">
        <f>"080066862157"</f>
        <v>080066862157</v>
      </c>
      <c r="F4423" s="3">
        <v>45867</v>
      </c>
      <c r="G4423">
        <v>202604</v>
      </c>
      <c r="H4423" t="s">
        <v>75</v>
      </c>
      <c r="I4423" t="s">
        <v>76</v>
      </c>
      <c r="J4423" t="s">
        <v>77</v>
      </c>
      <c r="K4423" t="s">
        <v>78</v>
      </c>
      <c r="L4423" t="s">
        <v>151</v>
      </c>
      <c r="M4423" t="s">
        <v>152</v>
      </c>
      <c r="N4423" t="s">
        <v>902</v>
      </c>
      <c r="O4423" t="s">
        <v>82</v>
      </c>
      <c r="P4423" t="str">
        <f>"4170051489                    "</f>
        <v xml:space="preserve">4170051489                    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22.6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0</v>
      </c>
      <c r="BH4423">
        <v>1</v>
      </c>
      <c r="BI4423">
        <v>1</v>
      </c>
      <c r="BJ4423">
        <v>0.2</v>
      </c>
      <c r="BK4423">
        <v>1</v>
      </c>
      <c r="BL4423">
        <v>71.2</v>
      </c>
      <c r="BM4423">
        <v>10.68</v>
      </c>
      <c r="BN4423">
        <v>81.88</v>
      </c>
      <c r="BO4423">
        <v>81.88</v>
      </c>
      <c r="BQ4423" t="s">
        <v>903</v>
      </c>
      <c r="BR4423" t="s">
        <v>84</v>
      </c>
      <c r="BS4423" s="3">
        <v>45868</v>
      </c>
      <c r="BT4423" s="4">
        <v>0.42638888888888887</v>
      </c>
      <c r="BU4423" t="s">
        <v>1119</v>
      </c>
      <c r="BV4423" t="s">
        <v>98</v>
      </c>
      <c r="BY4423">
        <v>1200</v>
      </c>
      <c r="CA4423" t="s">
        <v>906</v>
      </c>
      <c r="CC4423" t="s">
        <v>152</v>
      </c>
      <c r="CD4423" s="5" t="s">
        <v>907</v>
      </c>
      <c r="CE4423" t="s">
        <v>121</v>
      </c>
      <c r="CF4423" s="3">
        <v>45868</v>
      </c>
      <c r="CI4423">
        <v>1</v>
      </c>
      <c r="CJ4423">
        <v>1</v>
      </c>
      <c r="CK4423">
        <v>21</v>
      </c>
      <c r="CL4423" t="s">
        <v>86</v>
      </c>
    </row>
    <row r="4424" spans="1:90" x14ac:dyDescent="0.3">
      <c r="A4424" t="s">
        <v>72</v>
      </c>
      <c r="B4424" t="s">
        <v>73</v>
      </c>
      <c r="C4424" t="s">
        <v>74</v>
      </c>
      <c r="E4424" t="str">
        <f>"080066862327"</f>
        <v>080066862327</v>
      </c>
      <c r="F4424" s="3">
        <v>45867</v>
      </c>
      <c r="G4424">
        <v>202604</v>
      </c>
      <c r="H4424" t="s">
        <v>75</v>
      </c>
      <c r="I4424" t="s">
        <v>76</v>
      </c>
      <c r="J4424" t="s">
        <v>77</v>
      </c>
      <c r="K4424" t="s">
        <v>78</v>
      </c>
      <c r="L4424" t="s">
        <v>197</v>
      </c>
      <c r="M4424" t="s">
        <v>198</v>
      </c>
      <c r="N4424" t="s">
        <v>1548</v>
      </c>
      <c r="O4424" t="s">
        <v>95</v>
      </c>
      <c r="P4424" t="str">
        <f>"4170051624                    "</f>
        <v xml:space="preserve">4170051624                    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63.3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  <c r="BE4424">
        <v>0</v>
      </c>
      <c r="BF4424">
        <v>0</v>
      </c>
      <c r="BG4424">
        <v>0</v>
      </c>
      <c r="BH4424">
        <v>2</v>
      </c>
      <c r="BI4424">
        <v>21</v>
      </c>
      <c r="BJ4424">
        <v>44.5</v>
      </c>
      <c r="BK4424">
        <v>45</v>
      </c>
      <c r="BL4424">
        <v>205.29</v>
      </c>
      <c r="BM4424">
        <v>30.79</v>
      </c>
      <c r="BN4424">
        <v>236.08</v>
      </c>
      <c r="BO4424">
        <v>236.08</v>
      </c>
      <c r="BQ4424" t="s">
        <v>1549</v>
      </c>
      <c r="BR4424" t="s">
        <v>84</v>
      </c>
      <c r="BS4424" s="3">
        <v>45868</v>
      </c>
      <c r="BT4424" s="4">
        <v>0.38263888888888886</v>
      </c>
      <c r="BU4424" t="s">
        <v>3830</v>
      </c>
      <c r="BV4424" t="s">
        <v>98</v>
      </c>
      <c r="BY4424">
        <v>222552</v>
      </c>
      <c r="CC4424" t="s">
        <v>198</v>
      </c>
      <c r="CD4424">
        <v>1401</v>
      </c>
      <c r="CE4424" t="s">
        <v>91</v>
      </c>
      <c r="CF4424" s="3">
        <v>45868</v>
      </c>
      <c r="CI4424">
        <v>1</v>
      </c>
      <c r="CJ4424">
        <v>1</v>
      </c>
      <c r="CK4424">
        <v>42</v>
      </c>
      <c r="CL4424" t="s">
        <v>86</v>
      </c>
    </row>
    <row r="4425" spans="1:90" x14ac:dyDescent="0.3">
      <c r="A4425" t="s">
        <v>72</v>
      </c>
      <c r="B4425" t="s">
        <v>73</v>
      </c>
      <c r="C4425" t="s">
        <v>74</v>
      </c>
      <c r="E4425" t="str">
        <f>"080066862370"</f>
        <v>080066862370</v>
      </c>
      <c r="F4425" s="3">
        <v>45867</v>
      </c>
      <c r="G4425">
        <v>202604</v>
      </c>
      <c r="H4425" t="s">
        <v>75</v>
      </c>
      <c r="I4425" t="s">
        <v>76</v>
      </c>
      <c r="J4425" t="s">
        <v>77</v>
      </c>
      <c r="K4425" t="s">
        <v>78</v>
      </c>
      <c r="L4425" t="s">
        <v>295</v>
      </c>
      <c r="M4425" t="s">
        <v>296</v>
      </c>
      <c r="N4425" t="s">
        <v>539</v>
      </c>
      <c r="O4425" t="s">
        <v>311</v>
      </c>
      <c r="P4425" t="str">
        <f>"4170051628                    "</f>
        <v xml:space="preserve">4170051628                    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29.54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  <c r="BE4425">
        <v>0</v>
      </c>
      <c r="BF4425">
        <v>0</v>
      </c>
      <c r="BG4425">
        <v>0</v>
      </c>
      <c r="BH4425">
        <v>1</v>
      </c>
      <c r="BI4425">
        <v>10</v>
      </c>
      <c r="BJ4425">
        <v>13.8</v>
      </c>
      <c r="BK4425">
        <v>14</v>
      </c>
      <c r="BL4425">
        <v>93.07</v>
      </c>
      <c r="BM4425">
        <v>13.96</v>
      </c>
      <c r="BN4425">
        <v>107.03</v>
      </c>
      <c r="BO4425">
        <v>107.03</v>
      </c>
      <c r="BQ4425" t="s">
        <v>540</v>
      </c>
      <c r="BR4425" t="s">
        <v>84</v>
      </c>
      <c r="BS4425" s="3">
        <v>45868</v>
      </c>
      <c r="BT4425" s="4">
        <v>0.44166666666666665</v>
      </c>
      <c r="BU4425" t="s">
        <v>541</v>
      </c>
      <c r="BV4425" t="s">
        <v>98</v>
      </c>
      <c r="BY4425">
        <v>69120</v>
      </c>
      <c r="CA4425" t="s">
        <v>300</v>
      </c>
      <c r="CC4425" t="s">
        <v>296</v>
      </c>
      <c r="CD4425">
        <v>1459</v>
      </c>
      <c r="CE4425" t="s">
        <v>91</v>
      </c>
      <c r="CF4425" s="3">
        <v>45869</v>
      </c>
      <c r="CI4425">
        <v>1</v>
      </c>
      <c r="CJ4425">
        <v>1</v>
      </c>
      <c r="CK4425">
        <v>32</v>
      </c>
      <c r="CL4425" t="s">
        <v>86</v>
      </c>
    </row>
    <row r="4426" spans="1:90" x14ac:dyDescent="0.3">
      <c r="A4426" t="s">
        <v>72</v>
      </c>
      <c r="B4426" t="s">
        <v>73</v>
      </c>
      <c r="C4426" t="s">
        <v>74</v>
      </c>
      <c r="E4426" t="str">
        <f>"080066862406"</f>
        <v>080066862406</v>
      </c>
      <c r="F4426" s="3">
        <v>45867</v>
      </c>
      <c r="G4426">
        <v>202604</v>
      </c>
      <c r="H4426" t="s">
        <v>75</v>
      </c>
      <c r="I4426" t="s">
        <v>76</v>
      </c>
      <c r="J4426" t="s">
        <v>77</v>
      </c>
      <c r="K4426" t="s">
        <v>78</v>
      </c>
      <c r="L4426" t="s">
        <v>168</v>
      </c>
      <c r="M4426" t="s">
        <v>169</v>
      </c>
      <c r="N4426" t="s">
        <v>420</v>
      </c>
      <c r="O4426" t="s">
        <v>82</v>
      </c>
      <c r="P4426" t="str">
        <f>"4170051667                    "</f>
        <v xml:space="preserve">4170051667                    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22.6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  <c r="BE4426">
        <v>0</v>
      </c>
      <c r="BF4426">
        <v>0</v>
      </c>
      <c r="BG4426">
        <v>0</v>
      </c>
      <c r="BH4426">
        <v>1</v>
      </c>
      <c r="BI4426">
        <v>1</v>
      </c>
      <c r="BJ4426">
        <v>0.2</v>
      </c>
      <c r="BK4426">
        <v>1</v>
      </c>
      <c r="BL4426">
        <v>71.2</v>
      </c>
      <c r="BM4426">
        <v>10.68</v>
      </c>
      <c r="BN4426">
        <v>81.88</v>
      </c>
      <c r="BO4426">
        <v>81.88</v>
      </c>
      <c r="BQ4426" t="s">
        <v>421</v>
      </c>
      <c r="BR4426" t="s">
        <v>84</v>
      </c>
      <c r="BS4426" s="3">
        <v>45868</v>
      </c>
      <c r="BT4426" s="4">
        <v>0.41666666666666669</v>
      </c>
      <c r="BU4426" t="s">
        <v>1121</v>
      </c>
      <c r="BV4426" t="s">
        <v>98</v>
      </c>
      <c r="BY4426">
        <v>1230</v>
      </c>
      <c r="CA4426" t="s">
        <v>423</v>
      </c>
      <c r="CC4426" t="s">
        <v>169</v>
      </c>
      <c r="CD4426">
        <v>6001</v>
      </c>
      <c r="CE4426" t="s">
        <v>121</v>
      </c>
      <c r="CF4426" s="3">
        <v>45868</v>
      </c>
      <c r="CI4426">
        <v>1</v>
      </c>
      <c r="CJ4426">
        <v>1</v>
      </c>
      <c r="CK4426">
        <v>21</v>
      </c>
      <c r="CL4426" t="s">
        <v>86</v>
      </c>
    </row>
    <row r="4427" spans="1:90" x14ac:dyDescent="0.3">
      <c r="A4427" t="s">
        <v>72</v>
      </c>
      <c r="B4427" t="s">
        <v>73</v>
      </c>
      <c r="C4427" t="s">
        <v>74</v>
      </c>
      <c r="E4427" t="str">
        <f>"080066862434"</f>
        <v>080066862434</v>
      </c>
      <c r="F4427" s="3">
        <v>45867</v>
      </c>
      <c r="G4427">
        <v>202604</v>
      </c>
      <c r="H4427" t="s">
        <v>75</v>
      </c>
      <c r="I4427" t="s">
        <v>76</v>
      </c>
      <c r="J4427" t="s">
        <v>77</v>
      </c>
      <c r="K4427" t="s">
        <v>78</v>
      </c>
      <c r="L4427" t="s">
        <v>111</v>
      </c>
      <c r="M4427" t="s">
        <v>112</v>
      </c>
      <c r="N4427" t="s">
        <v>3635</v>
      </c>
      <c r="O4427" t="s">
        <v>82</v>
      </c>
      <c r="P4427" t="str">
        <f>"4170051673                    "</f>
        <v xml:space="preserve">4170051673                    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43.78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  <c r="BE4427">
        <v>0</v>
      </c>
      <c r="BF4427">
        <v>0</v>
      </c>
      <c r="BG4427">
        <v>0</v>
      </c>
      <c r="BH4427">
        <v>1</v>
      </c>
      <c r="BI4427">
        <v>2</v>
      </c>
      <c r="BJ4427">
        <v>1.1000000000000001</v>
      </c>
      <c r="BK4427">
        <v>2</v>
      </c>
      <c r="BL4427">
        <v>137.94</v>
      </c>
      <c r="BM4427">
        <v>20.69</v>
      </c>
      <c r="BN4427">
        <v>158.63</v>
      </c>
      <c r="BO4427">
        <v>158.63</v>
      </c>
      <c r="BQ4427" t="s">
        <v>3636</v>
      </c>
      <c r="BR4427" t="s">
        <v>84</v>
      </c>
      <c r="BS4427" s="3">
        <v>45868</v>
      </c>
      <c r="BT4427" s="4">
        <v>0.4375</v>
      </c>
      <c r="BU4427" t="s">
        <v>2143</v>
      </c>
      <c r="BV4427" t="s">
        <v>98</v>
      </c>
      <c r="BY4427">
        <v>5320</v>
      </c>
      <c r="CA4427" t="s">
        <v>116</v>
      </c>
      <c r="CC4427" t="s">
        <v>112</v>
      </c>
      <c r="CD4427">
        <v>1871</v>
      </c>
      <c r="CE4427" t="s">
        <v>145</v>
      </c>
      <c r="CF4427" s="3">
        <v>45869</v>
      </c>
      <c r="CI4427">
        <v>1</v>
      </c>
      <c r="CJ4427">
        <v>1</v>
      </c>
      <c r="CK4427">
        <v>23</v>
      </c>
      <c r="CL4427" t="s">
        <v>86</v>
      </c>
    </row>
    <row r="4428" spans="1:90" x14ac:dyDescent="0.3">
      <c r="A4428" t="s">
        <v>72</v>
      </c>
      <c r="B4428" t="s">
        <v>73</v>
      </c>
      <c r="C4428" t="s">
        <v>74</v>
      </c>
      <c r="E4428" t="str">
        <f>"080066862467"</f>
        <v>080066862467</v>
      </c>
      <c r="F4428" s="3">
        <v>45867</v>
      </c>
      <c r="G4428">
        <v>202604</v>
      </c>
      <c r="H4428" t="s">
        <v>75</v>
      </c>
      <c r="I4428" t="s">
        <v>76</v>
      </c>
      <c r="J4428" t="s">
        <v>77</v>
      </c>
      <c r="K4428" t="s">
        <v>78</v>
      </c>
      <c r="L4428" t="s">
        <v>151</v>
      </c>
      <c r="M4428" t="s">
        <v>152</v>
      </c>
      <c r="N4428" t="s">
        <v>1484</v>
      </c>
      <c r="O4428" t="s">
        <v>95</v>
      </c>
      <c r="P4428" t="str">
        <f>"4170051623                    "</f>
        <v xml:space="preserve">4170051623                    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43.7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  <c r="BE4428">
        <v>0</v>
      </c>
      <c r="BF4428">
        <v>0</v>
      </c>
      <c r="BG4428">
        <v>0</v>
      </c>
      <c r="BH4428">
        <v>1</v>
      </c>
      <c r="BI4428">
        <v>5</v>
      </c>
      <c r="BJ4428">
        <v>3.9</v>
      </c>
      <c r="BK4428">
        <v>5</v>
      </c>
      <c r="BL4428">
        <v>143.55000000000001</v>
      </c>
      <c r="BM4428">
        <v>21.53</v>
      </c>
      <c r="BN4428">
        <v>165.08</v>
      </c>
      <c r="BO4428">
        <v>165.08</v>
      </c>
      <c r="BQ4428" t="s">
        <v>1485</v>
      </c>
      <c r="BR4428" t="s">
        <v>84</v>
      </c>
      <c r="BS4428" s="3">
        <v>45868</v>
      </c>
      <c r="BT4428" s="4">
        <v>0.51388888888888884</v>
      </c>
      <c r="BU4428" t="s">
        <v>3831</v>
      </c>
      <c r="BV4428" t="s">
        <v>98</v>
      </c>
      <c r="BY4428">
        <v>19456</v>
      </c>
      <c r="CA4428" t="s">
        <v>2404</v>
      </c>
      <c r="CC4428" t="s">
        <v>152</v>
      </c>
      <c r="CD4428" s="5" t="s">
        <v>1487</v>
      </c>
      <c r="CE4428" t="s">
        <v>91</v>
      </c>
      <c r="CF4428" s="3">
        <v>45868</v>
      </c>
      <c r="CI4428">
        <v>1</v>
      </c>
      <c r="CJ4428">
        <v>1</v>
      </c>
      <c r="CK4428">
        <v>41</v>
      </c>
      <c r="CL4428" t="s">
        <v>86</v>
      </c>
    </row>
    <row r="4429" spans="1:90" x14ac:dyDescent="0.3">
      <c r="A4429" t="s">
        <v>72</v>
      </c>
      <c r="B4429" t="s">
        <v>73</v>
      </c>
      <c r="C4429" t="s">
        <v>74</v>
      </c>
      <c r="E4429" t="str">
        <f>"080066862710"</f>
        <v>080066862710</v>
      </c>
      <c r="F4429" s="3">
        <v>45867</v>
      </c>
      <c r="G4429">
        <v>202604</v>
      </c>
      <c r="H4429" t="s">
        <v>75</v>
      </c>
      <c r="I4429" t="s">
        <v>76</v>
      </c>
      <c r="J4429" t="s">
        <v>77</v>
      </c>
      <c r="K4429" t="s">
        <v>78</v>
      </c>
      <c r="L4429" t="s">
        <v>79</v>
      </c>
      <c r="M4429" t="s">
        <v>80</v>
      </c>
      <c r="N4429" t="s">
        <v>662</v>
      </c>
      <c r="O4429" t="s">
        <v>82</v>
      </c>
      <c r="P4429" t="str">
        <f>"4170051687                    "</f>
        <v xml:space="preserve">4170051687                    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33.89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  <c r="BE4429">
        <v>0</v>
      </c>
      <c r="BF4429">
        <v>0</v>
      </c>
      <c r="BG4429">
        <v>0</v>
      </c>
      <c r="BH4429">
        <v>1</v>
      </c>
      <c r="BI4429">
        <v>3</v>
      </c>
      <c r="BJ4429">
        <v>1.9</v>
      </c>
      <c r="BK4429">
        <v>3</v>
      </c>
      <c r="BL4429">
        <v>106.77</v>
      </c>
      <c r="BM4429">
        <v>16.02</v>
      </c>
      <c r="BN4429">
        <v>122.79</v>
      </c>
      <c r="BO4429">
        <v>122.79</v>
      </c>
      <c r="BQ4429" t="s">
        <v>663</v>
      </c>
      <c r="BR4429" t="s">
        <v>84</v>
      </c>
      <c r="BS4429" s="3">
        <v>45868</v>
      </c>
      <c r="BT4429" s="4">
        <v>0.42222222222222222</v>
      </c>
      <c r="BU4429" t="s">
        <v>3832</v>
      </c>
      <c r="BV4429" t="s">
        <v>98</v>
      </c>
      <c r="BY4429">
        <v>9600</v>
      </c>
      <c r="CA4429" t="s">
        <v>665</v>
      </c>
      <c r="CC4429" t="s">
        <v>80</v>
      </c>
      <c r="CD4429">
        <v>7945</v>
      </c>
      <c r="CE4429" t="s">
        <v>145</v>
      </c>
      <c r="CF4429" s="3">
        <v>45869</v>
      </c>
      <c r="CI4429">
        <v>1</v>
      </c>
      <c r="CJ4429">
        <v>1</v>
      </c>
      <c r="CK4429">
        <v>21</v>
      </c>
      <c r="CL4429" t="s">
        <v>86</v>
      </c>
    </row>
    <row r="4430" spans="1:90" x14ac:dyDescent="0.3">
      <c r="A4430" t="s">
        <v>72</v>
      </c>
      <c r="B4430" t="s">
        <v>73</v>
      </c>
      <c r="C4430" t="s">
        <v>74</v>
      </c>
      <c r="E4430" t="str">
        <f>"080066862751"</f>
        <v>080066862751</v>
      </c>
      <c r="F4430" s="3">
        <v>45867</v>
      </c>
      <c r="G4430">
        <v>202604</v>
      </c>
      <c r="H4430" t="s">
        <v>75</v>
      </c>
      <c r="I4430" t="s">
        <v>76</v>
      </c>
      <c r="J4430" t="s">
        <v>77</v>
      </c>
      <c r="K4430" t="s">
        <v>78</v>
      </c>
      <c r="L4430" t="s">
        <v>295</v>
      </c>
      <c r="M4430" t="s">
        <v>296</v>
      </c>
      <c r="N4430" t="s">
        <v>1063</v>
      </c>
      <c r="O4430" t="s">
        <v>311</v>
      </c>
      <c r="P4430" t="str">
        <f>"4170051657                    "</f>
        <v xml:space="preserve">4170051657                    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17.66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0</v>
      </c>
      <c r="BH4430">
        <v>1</v>
      </c>
      <c r="BI4430">
        <v>4</v>
      </c>
      <c r="BJ4430">
        <v>1.7</v>
      </c>
      <c r="BK4430">
        <v>4</v>
      </c>
      <c r="BL4430">
        <v>55.63</v>
      </c>
      <c r="BM4430">
        <v>8.34</v>
      </c>
      <c r="BN4430">
        <v>63.97</v>
      </c>
      <c r="BO4430">
        <v>63.97</v>
      </c>
      <c r="BQ4430" t="s">
        <v>1064</v>
      </c>
      <c r="BR4430" t="s">
        <v>84</v>
      </c>
      <c r="BS4430" s="3">
        <v>45868</v>
      </c>
      <c r="BT4430" s="4">
        <v>0.5395833333333333</v>
      </c>
      <c r="BU4430" t="s">
        <v>3833</v>
      </c>
      <c r="BV4430" t="s">
        <v>98</v>
      </c>
      <c r="BY4430">
        <v>8512</v>
      </c>
      <c r="CC4430" t="s">
        <v>296</v>
      </c>
      <c r="CD4430">
        <v>1459</v>
      </c>
      <c r="CE4430" t="s">
        <v>145</v>
      </c>
      <c r="CF4430" s="3">
        <v>45869</v>
      </c>
      <c r="CI4430">
        <v>1</v>
      </c>
      <c r="CJ4430">
        <v>1</v>
      </c>
      <c r="CK4430">
        <v>32</v>
      </c>
      <c r="CL4430" t="s">
        <v>86</v>
      </c>
    </row>
    <row r="4431" spans="1:90" x14ac:dyDescent="0.3">
      <c r="A4431" t="s">
        <v>72</v>
      </c>
      <c r="B4431" t="s">
        <v>73</v>
      </c>
      <c r="C4431" t="s">
        <v>74</v>
      </c>
      <c r="E4431" t="str">
        <f>"080066862781"</f>
        <v>080066862781</v>
      </c>
      <c r="F4431" s="3">
        <v>45867</v>
      </c>
      <c r="G4431">
        <v>202604</v>
      </c>
      <c r="H4431" t="s">
        <v>75</v>
      </c>
      <c r="I4431" t="s">
        <v>76</v>
      </c>
      <c r="J4431" t="s">
        <v>77</v>
      </c>
      <c r="K4431" t="s">
        <v>78</v>
      </c>
      <c r="L4431" t="s">
        <v>79</v>
      </c>
      <c r="M4431" t="s">
        <v>80</v>
      </c>
      <c r="N4431" t="s">
        <v>3233</v>
      </c>
      <c r="O4431" t="s">
        <v>82</v>
      </c>
      <c r="P4431" t="str">
        <f>"4170051603                    "</f>
        <v xml:space="preserve">4170051603                    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39.53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  <c r="BE4431">
        <v>0</v>
      </c>
      <c r="BF4431">
        <v>0</v>
      </c>
      <c r="BG4431">
        <v>0</v>
      </c>
      <c r="BH4431">
        <v>1</v>
      </c>
      <c r="BI4431">
        <v>1</v>
      </c>
      <c r="BJ4431">
        <v>3.4</v>
      </c>
      <c r="BK4431">
        <v>3.5</v>
      </c>
      <c r="BL4431">
        <v>124.55</v>
      </c>
      <c r="BM4431">
        <v>18.68</v>
      </c>
      <c r="BN4431">
        <v>143.22999999999999</v>
      </c>
      <c r="BO4431">
        <v>143.22999999999999</v>
      </c>
      <c r="BQ4431" t="s">
        <v>3234</v>
      </c>
      <c r="BR4431" t="s">
        <v>84</v>
      </c>
      <c r="BS4431" s="3">
        <v>45868</v>
      </c>
      <c r="BT4431" s="4">
        <v>0.42499999999999999</v>
      </c>
      <c r="BU4431" t="s">
        <v>3834</v>
      </c>
      <c r="BV4431" t="s">
        <v>98</v>
      </c>
      <c r="BY4431">
        <v>16965</v>
      </c>
      <c r="CA4431" t="s">
        <v>1596</v>
      </c>
      <c r="CC4431" t="s">
        <v>80</v>
      </c>
      <c r="CD4431">
        <v>7490</v>
      </c>
      <c r="CE4431" t="s">
        <v>145</v>
      </c>
      <c r="CF4431" s="3">
        <v>45869</v>
      </c>
      <c r="CI4431">
        <v>1</v>
      </c>
      <c r="CJ4431">
        <v>1</v>
      </c>
      <c r="CK4431">
        <v>21</v>
      </c>
      <c r="CL4431" t="s">
        <v>86</v>
      </c>
    </row>
    <row r="4432" spans="1:90" x14ac:dyDescent="0.3">
      <c r="A4432" t="s">
        <v>72</v>
      </c>
      <c r="B4432" t="s">
        <v>73</v>
      </c>
      <c r="C4432" t="s">
        <v>74</v>
      </c>
      <c r="E4432" t="str">
        <f>"080066862803"</f>
        <v>080066862803</v>
      </c>
      <c r="F4432" s="3">
        <v>45867</v>
      </c>
      <c r="G4432">
        <v>202604</v>
      </c>
      <c r="H4432" t="s">
        <v>75</v>
      </c>
      <c r="I4432" t="s">
        <v>76</v>
      </c>
      <c r="J4432" t="s">
        <v>77</v>
      </c>
      <c r="K4432" t="s">
        <v>78</v>
      </c>
      <c r="L4432" t="s">
        <v>79</v>
      </c>
      <c r="M4432" t="s">
        <v>80</v>
      </c>
      <c r="N4432" t="s">
        <v>1775</v>
      </c>
      <c r="O4432" t="s">
        <v>82</v>
      </c>
      <c r="P4432" t="str">
        <f>"4170051683                    "</f>
        <v xml:space="preserve">4170051683                    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146.79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  <c r="BE4432">
        <v>0</v>
      </c>
      <c r="BF4432">
        <v>0</v>
      </c>
      <c r="BG4432">
        <v>0</v>
      </c>
      <c r="BH4432">
        <v>1</v>
      </c>
      <c r="BI4432">
        <v>13</v>
      </c>
      <c r="BJ4432">
        <v>12.6</v>
      </c>
      <c r="BK4432">
        <v>13</v>
      </c>
      <c r="BL4432">
        <v>462.47</v>
      </c>
      <c r="BM4432">
        <v>69.37</v>
      </c>
      <c r="BN4432">
        <v>531.84</v>
      </c>
      <c r="BO4432">
        <v>531.84</v>
      </c>
      <c r="BQ4432" t="s">
        <v>1776</v>
      </c>
      <c r="BR4432" t="s">
        <v>84</v>
      </c>
      <c r="BS4432" s="3">
        <v>45868</v>
      </c>
      <c r="BT4432" s="4">
        <v>0.41944444444444445</v>
      </c>
      <c r="BU4432" t="s">
        <v>933</v>
      </c>
      <c r="BV4432" t="s">
        <v>98</v>
      </c>
      <c r="BY4432">
        <v>63180</v>
      </c>
      <c r="CA4432" t="s">
        <v>934</v>
      </c>
      <c r="CC4432" t="s">
        <v>80</v>
      </c>
      <c r="CD4432">
        <v>7530</v>
      </c>
      <c r="CE4432" t="s">
        <v>145</v>
      </c>
      <c r="CF4432" s="3">
        <v>45869</v>
      </c>
      <c r="CI4432">
        <v>1</v>
      </c>
      <c r="CJ4432">
        <v>1</v>
      </c>
      <c r="CK4432">
        <v>21</v>
      </c>
      <c r="CL4432" t="s">
        <v>86</v>
      </c>
    </row>
    <row r="4433" spans="1:90" x14ac:dyDescent="0.3">
      <c r="A4433" t="s">
        <v>72</v>
      </c>
      <c r="B4433" t="s">
        <v>73</v>
      </c>
      <c r="C4433" t="s">
        <v>74</v>
      </c>
      <c r="E4433" t="str">
        <f>"080066862830"</f>
        <v>080066862830</v>
      </c>
      <c r="F4433" s="3">
        <v>45867</v>
      </c>
      <c r="G4433">
        <v>202604</v>
      </c>
      <c r="H4433" t="s">
        <v>75</v>
      </c>
      <c r="I4433" t="s">
        <v>76</v>
      </c>
      <c r="J4433" t="s">
        <v>77</v>
      </c>
      <c r="K4433" t="s">
        <v>78</v>
      </c>
      <c r="L4433" t="s">
        <v>92</v>
      </c>
      <c r="M4433" t="s">
        <v>93</v>
      </c>
      <c r="N4433" t="s">
        <v>291</v>
      </c>
      <c r="O4433" t="s">
        <v>82</v>
      </c>
      <c r="P4433" t="str">
        <f>"4170051668                    "</f>
        <v xml:space="preserve">4170051668                    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22.6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0</v>
      </c>
      <c r="BF4433">
        <v>0</v>
      </c>
      <c r="BG4433">
        <v>0</v>
      </c>
      <c r="BH4433">
        <v>1</v>
      </c>
      <c r="BI4433">
        <v>2</v>
      </c>
      <c r="BJ4433">
        <v>0.9</v>
      </c>
      <c r="BK4433">
        <v>2</v>
      </c>
      <c r="BL4433">
        <v>71.2</v>
      </c>
      <c r="BM4433">
        <v>10.68</v>
      </c>
      <c r="BN4433">
        <v>81.88</v>
      </c>
      <c r="BO4433">
        <v>81.88</v>
      </c>
      <c r="BQ4433" t="s">
        <v>292</v>
      </c>
      <c r="BR4433" t="s">
        <v>84</v>
      </c>
      <c r="BS4433" s="3">
        <v>45868</v>
      </c>
      <c r="BT4433" s="4">
        <v>0.33819444444444446</v>
      </c>
      <c r="BU4433" t="s">
        <v>971</v>
      </c>
      <c r="BV4433" t="s">
        <v>98</v>
      </c>
      <c r="BY4433">
        <v>4560</v>
      </c>
      <c r="CA4433" t="s">
        <v>294</v>
      </c>
      <c r="CC4433" t="s">
        <v>93</v>
      </c>
      <c r="CD4433">
        <v>4051</v>
      </c>
      <c r="CE4433" t="s">
        <v>145</v>
      </c>
      <c r="CF4433" s="3">
        <v>45868</v>
      </c>
      <c r="CI4433">
        <v>1</v>
      </c>
      <c r="CJ4433">
        <v>1</v>
      </c>
      <c r="CK4433">
        <v>21</v>
      </c>
      <c r="CL4433" t="s">
        <v>86</v>
      </c>
    </row>
    <row r="4434" spans="1:90" x14ac:dyDescent="0.3">
      <c r="A4434" t="s">
        <v>72</v>
      </c>
      <c r="B4434" t="s">
        <v>73</v>
      </c>
      <c r="C4434" t="s">
        <v>74</v>
      </c>
      <c r="E4434" t="str">
        <f>"080066862862"</f>
        <v>080066862862</v>
      </c>
      <c r="F4434" s="3">
        <v>45867</v>
      </c>
      <c r="G4434">
        <v>202604</v>
      </c>
      <c r="H4434" t="s">
        <v>75</v>
      </c>
      <c r="I4434" t="s">
        <v>76</v>
      </c>
      <c r="J4434" t="s">
        <v>77</v>
      </c>
      <c r="K4434" t="s">
        <v>78</v>
      </c>
      <c r="L4434" t="s">
        <v>197</v>
      </c>
      <c r="M4434" t="s">
        <v>198</v>
      </c>
      <c r="N4434" t="s">
        <v>3835</v>
      </c>
      <c r="O4434" t="s">
        <v>82</v>
      </c>
      <c r="P4434" t="str">
        <f>"4170051619                    "</f>
        <v xml:space="preserve">4170051619                    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>
        <v>17.649999999999999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  <c r="BE4434">
        <v>0</v>
      </c>
      <c r="BF4434">
        <v>0</v>
      </c>
      <c r="BG4434">
        <v>0</v>
      </c>
      <c r="BH4434">
        <v>1</v>
      </c>
      <c r="BI4434">
        <v>1</v>
      </c>
      <c r="BJ4434">
        <v>0.6</v>
      </c>
      <c r="BK4434">
        <v>1</v>
      </c>
      <c r="BL4434">
        <v>55.61</v>
      </c>
      <c r="BM4434">
        <v>8.34</v>
      </c>
      <c r="BN4434">
        <v>63.95</v>
      </c>
      <c r="BO4434">
        <v>63.95</v>
      </c>
      <c r="BQ4434" t="s">
        <v>3836</v>
      </c>
      <c r="BR4434" t="s">
        <v>84</v>
      </c>
      <c r="BS4434" s="3">
        <v>45868</v>
      </c>
      <c r="BT4434" s="4">
        <v>0.3611111111111111</v>
      </c>
      <c r="BU4434" t="s">
        <v>3837</v>
      </c>
      <c r="BV4434" t="s">
        <v>98</v>
      </c>
      <c r="BY4434">
        <v>3192</v>
      </c>
      <c r="CA4434" t="s">
        <v>318</v>
      </c>
      <c r="CC4434" t="s">
        <v>198</v>
      </c>
      <c r="CD4434">
        <v>1428</v>
      </c>
      <c r="CE4434" t="s">
        <v>259</v>
      </c>
      <c r="CF4434" s="3">
        <v>45868</v>
      </c>
      <c r="CI4434">
        <v>1</v>
      </c>
      <c r="CJ4434">
        <v>1</v>
      </c>
      <c r="CK4434">
        <v>22</v>
      </c>
      <c r="CL4434" t="s">
        <v>86</v>
      </c>
    </row>
    <row r="4435" spans="1:90" x14ac:dyDescent="0.3">
      <c r="A4435" t="s">
        <v>72</v>
      </c>
      <c r="B4435" t="s">
        <v>73</v>
      </c>
      <c r="C4435" t="s">
        <v>74</v>
      </c>
      <c r="E4435" t="str">
        <f>"080066862893"</f>
        <v>080066862893</v>
      </c>
      <c r="F4435" s="3">
        <v>45867</v>
      </c>
      <c r="G4435">
        <v>202604</v>
      </c>
      <c r="H4435" t="s">
        <v>75</v>
      </c>
      <c r="I4435" t="s">
        <v>76</v>
      </c>
      <c r="J4435" t="s">
        <v>77</v>
      </c>
      <c r="K4435" t="s">
        <v>78</v>
      </c>
      <c r="L4435" t="s">
        <v>554</v>
      </c>
      <c r="M4435" t="s">
        <v>555</v>
      </c>
      <c r="N4435" t="s">
        <v>2395</v>
      </c>
      <c r="O4435" t="s">
        <v>95</v>
      </c>
      <c r="P4435" t="str">
        <f>"4170051842                    "</f>
        <v xml:space="preserve">4170051842                    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43.7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  <c r="BE4435">
        <v>0</v>
      </c>
      <c r="BF4435">
        <v>0</v>
      </c>
      <c r="BG4435">
        <v>0</v>
      </c>
      <c r="BH4435">
        <v>1</v>
      </c>
      <c r="BI4435">
        <v>11</v>
      </c>
      <c r="BJ4435">
        <v>9.6999999999999993</v>
      </c>
      <c r="BK4435">
        <v>11</v>
      </c>
      <c r="BL4435">
        <v>143.55000000000001</v>
      </c>
      <c r="BM4435">
        <v>21.53</v>
      </c>
      <c r="BN4435">
        <v>165.08</v>
      </c>
      <c r="BO4435">
        <v>165.08</v>
      </c>
      <c r="BQ4435" t="s">
        <v>2396</v>
      </c>
      <c r="BR4435" t="s">
        <v>84</v>
      </c>
      <c r="BS4435" s="3">
        <v>45868</v>
      </c>
      <c r="BT4435" s="4">
        <v>0.38958333333333334</v>
      </c>
      <c r="BU4435" t="s">
        <v>3838</v>
      </c>
      <c r="BV4435" t="s">
        <v>98</v>
      </c>
      <c r="BY4435">
        <v>48400</v>
      </c>
      <c r="CA4435" t="s">
        <v>156</v>
      </c>
      <c r="CC4435" t="s">
        <v>555</v>
      </c>
      <c r="CD4435" s="5" t="s">
        <v>560</v>
      </c>
      <c r="CE4435" t="s">
        <v>2742</v>
      </c>
      <c r="CF4435" s="3">
        <v>45868</v>
      </c>
      <c r="CI4435">
        <v>1</v>
      </c>
      <c r="CJ4435">
        <v>1</v>
      </c>
      <c r="CK4435">
        <v>41</v>
      </c>
      <c r="CL4435" t="s">
        <v>86</v>
      </c>
    </row>
    <row r="4436" spans="1:90" x14ac:dyDescent="0.3">
      <c r="A4436" t="s">
        <v>72</v>
      </c>
      <c r="B4436" t="s">
        <v>73</v>
      </c>
      <c r="C4436" t="s">
        <v>74</v>
      </c>
      <c r="E4436" t="str">
        <f>"080066862916"</f>
        <v>080066862916</v>
      </c>
      <c r="F4436" s="3">
        <v>45867</v>
      </c>
      <c r="G4436">
        <v>202604</v>
      </c>
      <c r="H4436" t="s">
        <v>75</v>
      </c>
      <c r="I4436" t="s">
        <v>76</v>
      </c>
      <c r="J4436" t="s">
        <v>77</v>
      </c>
      <c r="K4436" t="s">
        <v>78</v>
      </c>
      <c r="L4436" t="s">
        <v>168</v>
      </c>
      <c r="M4436" t="s">
        <v>169</v>
      </c>
      <c r="N4436" t="s">
        <v>206</v>
      </c>
      <c r="O4436" t="s">
        <v>82</v>
      </c>
      <c r="P4436" t="str">
        <f>"4170051690                    "</f>
        <v xml:space="preserve">4170051690                    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39.53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0</v>
      </c>
      <c r="BF4436">
        <v>0</v>
      </c>
      <c r="BG4436">
        <v>0</v>
      </c>
      <c r="BH4436">
        <v>1</v>
      </c>
      <c r="BI4436">
        <v>1</v>
      </c>
      <c r="BJ4436">
        <v>3.1</v>
      </c>
      <c r="BK4436">
        <v>3.5</v>
      </c>
      <c r="BL4436">
        <v>124.55</v>
      </c>
      <c r="BM4436">
        <v>18.68</v>
      </c>
      <c r="BN4436">
        <v>143.22999999999999</v>
      </c>
      <c r="BO4436">
        <v>143.22999999999999</v>
      </c>
      <c r="BQ4436" t="s">
        <v>207</v>
      </c>
      <c r="BR4436" t="s">
        <v>84</v>
      </c>
      <c r="BS4436" s="3">
        <v>45868</v>
      </c>
      <c r="BT4436" s="4">
        <v>0.43194444444444446</v>
      </c>
      <c r="BU4436" t="s">
        <v>290</v>
      </c>
      <c r="BV4436" t="s">
        <v>98</v>
      </c>
      <c r="BY4436">
        <v>15360</v>
      </c>
      <c r="CA4436" t="s">
        <v>196</v>
      </c>
      <c r="CC4436" t="s">
        <v>169</v>
      </c>
      <c r="CD4436">
        <v>6001</v>
      </c>
      <c r="CE4436" t="s">
        <v>145</v>
      </c>
      <c r="CF4436" s="3">
        <v>45868</v>
      </c>
      <c r="CI4436">
        <v>1</v>
      </c>
      <c r="CJ4436">
        <v>1</v>
      </c>
      <c r="CK4436">
        <v>21</v>
      </c>
      <c r="CL4436" t="s">
        <v>86</v>
      </c>
    </row>
    <row r="4437" spans="1:90" x14ac:dyDescent="0.3">
      <c r="A4437" t="s">
        <v>72</v>
      </c>
      <c r="B4437" t="s">
        <v>73</v>
      </c>
      <c r="C4437" t="s">
        <v>74</v>
      </c>
      <c r="E4437" t="str">
        <f>"080066862948"</f>
        <v>080066862948</v>
      </c>
      <c r="F4437" s="3">
        <v>45867</v>
      </c>
      <c r="G4437">
        <v>202604</v>
      </c>
      <c r="H4437" t="s">
        <v>75</v>
      </c>
      <c r="I4437" t="s">
        <v>76</v>
      </c>
      <c r="J4437" t="s">
        <v>77</v>
      </c>
      <c r="K4437" t="s">
        <v>78</v>
      </c>
      <c r="L4437" t="s">
        <v>92</v>
      </c>
      <c r="M4437" t="s">
        <v>93</v>
      </c>
      <c r="N4437" t="s">
        <v>291</v>
      </c>
      <c r="O4437" t="s">
        <v>82</v>
      </c>
      <c r="P4437" t="str">
        <f>"4170051685                    "</f>
        <v xml:space="preserve">4170051685                    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33.89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  <c r="BE4437">
        <v>0</v>
      </c>
      <c r="BF4437">
        <v>0</v>
      </c>
      <c r="BG4437">
        <v>0</v>
      </c>
      <c r="BH4437">
        <v>1</v>
      </c>
      <c r="BI4437">
        <v>3</v>
      </c>
      <c r="BJ4437">
        <v>1.9</v>
      </c>
      <c r="BK4437">
        <v>3</v>
      </c>
      <c r="BL4437">
        <v>106.77</v>
      </c>
      <c r="BM4437">
        <v>16.02</v>
      </c>
      <c r="BN4437">
        <v>122.79</v>
      </c>
      <c r="BO4437">
        <v>122.79</v>
      </c>
      <c r="BQ4437" t="s">
        <v>292</v>
      </c>
      <c r="BR4437" t="s">
        <v>84</v>
      </c>
      <c r="BS4437" s="3">
        <v>45868</v>
      </c>
      <c r="BT4437" s="4">
        <v>0.33819444444444446</v>
      </c>
      <c r="BU4437" t="s">
        <v>971</v>
      </c>
      <c r="BV4437" t="s">
        <v>98</v>
      </c>
      <c r="BY4437">
        <v>9600</v>
      </c>
      <c r="CA4437" t="s">
        <v>294</v>
      </c>
      <c r="CC4437" t="s">
        <v>93</v>
      </c>
      <c r="CD4437">
        <v>4051</v>
      </c>
      <c r="CE4437" t="s">
        <v>145</v>
      </c>
      <c r="CF4437" s="3">
        <v>45868</v>
      </c>
      <c r="CI4437">
        <v>1</v>
      </c>
      <c r="CJ4437">
        <v>1</v>
      </c>
      <c r="CK4437">
        <v>21</v>
      </c>
      <c r="CL4437" t="s">
        <v>86</v>
      </c>
    </row>
    <row r="4438" spans="1:90" x14ac:dyDescent="0.3">
      <c r="A4438" t="s">
        <v>72</v>
      </c>
      <c r="B4438" t="s">
        <v>73</v>
      </c>
      <c r="C4438" t="s">
        <v>74</v>
      </c>
      <c r="E4438" t="str">
        <f>"080066863219"</f>
        <v>080066863219</v>
      </c>
      <c r="F4438" s="3">
        <v>45867</v>
      </c>
      <c r="G4438">
        <v>202604</v>
      </c>
      <c r="H4438" t="s">
        <v>75</v>
      </c>
      <c r="I4438" t="s">
        <v>76</v>
      </c>
      <c r="J4438" t="s">
        <v>77</v>
      </c>
      <c r="K4438" t="s">
        <v>78</v>
      </c>
      <c r="L4438" t="s">
        <v>168</v>
      </c>
      <c r="M4438" t="s">
        <v>169</v>
      </c>
      <c r="N4438" t="s">
        <v>206</v>
      </c>
      <c r="O4438" t="s">
        <v>95</v>
      </c>
      <c r="P4438" t="str">
        <f>"4170051696                    "</f>
        <v xml:space="preserve">4170051696                    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56.33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0</v>
      </c>
      <c r="BG4438">
        <v>0</v>
      </c>
      <c r="BH4438">
        <v>1</v>
      </c>
      <c r="BI4438">
        <v>12</v>
      </c>
      <c r="BJ4438">
        <v>21.6</v>
      </c>
      <c r="BK4438">
        <v>22</v>
      </c>
      <c r="BL4438">
        <v>183.34</v>
      </c>
      <c r="BM4438">
        <v>27.5</v>
      </c>
      <c r="BN4438">
        <v>210.84</v>
      </c>
      <c r="BO4438">
        <v>210.84</v>
      </c>
      <c r="BQ4438" t="s">
        <v>207</v>
      </c>
      <c r="BR4438" t="s">
        <v>84</v>
      </c>
      <c r="BS4438" s="3">
        <v>45869</v>
      </c>
      <c r="BT4438" s="4">
        <v>0.40416666666666667</v>
      </c>
      <c r="BU4438" t="s">
        <v>208</v>
      </c>
      <c r="BV4438" t="s">
        <v>98</v>
      </c>
      <c r="BY4438">
        <v>108000</v>
      </c>
      <c r="CA4438" t="s">
        <v>196</v>
      </c>
      <c r="CC4438" t="s">
        <v>169</v>
      </c>
      <c r="CD4438">
        <v>6001</v>
      </c>
      <c r="CE4438" t="s">
        <v>145</v>
      </c>
      <c r="CI4438">
        <v>3</v>
      </c>
      <c r="CJ4438">
        <v>2</v>
      </c>
      <c r="CK4438">
        <v>41</v>
      </c>
      <c r="CL4438" t="s">
        <v>86</v>
      </c>
    </row>
    <row r="4439" spans="1:90" x14ac:dyDescent="0.3">
      <c r="A4439" t="s">
        <v>72</v>
      </c>
      <c r="B4439" t="s">
        <v>73</v>
      </c>
      <c r="C4439" t="s">
        <v>74</v>
      </c>
      <c r="E4439" t="str">
        <f>"080066863238"</f>
        <v>080066863238</v>
      </c>
      <c r="F4439" s="3">
        <v>45867</v>
      </c>
      <c r="G4439">
        <v>202604</v>
      </c>
      <c r="H4439" t="s">
        <v>75</v>
      </c>
      <c r="I4439" t="s">
        <v>76</v>
      </c>
      <c r="J4439" t="s">
        <v>77</v>
      </c>
      <c r="K4439" t="s">
        <v>78</v>
      </c>
      <c r="L4439" t="s">
        <v>79</v>
      </c>
      <c r="M4439" t="s">
        <v>80</v>
      </c>
      <c r="N4439" t="s">
        <v>3783</v>
      </c>
      <c r="O4439" t="s">
        <v>82</v>
      </c>
      <c r="P4439" t="str">
        <f>"4170051606                    "</f>
        <v xml:space="preserve">4170051606                    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22.6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  <c r="BE4439">
        <v>0</v>
      </c>
      <c r="BF4439">
        <v>0</v>
      </c>
      <c r="BG4439">
        <v>0</v>
      </c>
      <c r="BH4439">
        <v>1</v>
      </c>
      <c r="BI4439">
        <v>1</v>
      </c>
      <c r="BJ4439">
        <v>0.2</v>
      </c>
      <c r="BK4439">
        <v>1</v>
      </c>
      <c r="BL4439">
        <v>71.2</v>
      </c>
      <c r="BM4439">
        <v>10.68</v>
      </c>
      <c r="BN4439">
        <v>81.88</v>
      </c>
      <c r="BO4439">
        <v>81.88</v>
      </c>
      <c r="BQ4439" t="s">
        <v>3784</v>
      </c>
      <c r="BR4439" t="s">
        <v>84</v>
      </c>
      <c r="BS4439" s="3">
        <v>45868</v>
      </c>
      <c r="BT4439" s="4">
        <v>0.41875000000000001</v>
      </c>
      <c r="BU4439" t="s">
        <v>3839</v>
      </c>
      <c r="BV4439" t="s">
        <v>98</v>
      </c>
      <c r="BY4439">
        <v>1200</v>
      </c>
      <c r="CA4439" t="s">
        <v>579</v>
      </c>
      <c r="CC4439" t="s">
        <v>80</v>
      </c>
      <c r="CD4439">
        <v>7460</v>
      </c>
      <c r="CE4439" t="s">
        <v>121</v>
      </c>
      <c r="CF4439" s="3">
        <v>45869</v>
      </c>
      <c r="CI4439">
        <v>1</v>
      </c>
      <c r="CJ4439">
        <v>1</v>
      </c>
      <c r="CK4439">
        <v>21</v>
      </c>
      <c r="CL4439" t="s">
        <v>86</v>
      </c>
    </row>
    <row r="4440" spans="1:90" x14ac:dyDescent="0.3">
      <c r="A4440" t="s">
        <v>72</v>
      </c>
      <c r="B4440" t="s">
        <v>73</v>
      </c>
      <c r="C4440" t="s">
        <v>74</v>
      </c>
      <c r="E4440" t="str">
        <f>"080066863234"</f>
        <v>080066863234</v>
      </c>
      <c r="F4440" s="3">
        <v>45867</v>
      </c>
      <c r="G4440">
        <v>202604</v>
      </c>
      <c r="H4440" t="s">
        <v>75</v>
      </c>
      <c r="I4440" t="s">
        <v>76</v>
      </c>
      <c r="J4440" t="s">
        <v>77</v>
      </c>
      <c r="K4440" t="s">
        <v>78</v>
      </c>
      <c r="L4440" t="s">
        <v>79</v>
      </c>
      <c r="M4440" t="s">
        <v>80</v>
      </c>
      <c r="N4440" t="s">
        <v>141</v>
      </c>
      <c r="O4440" t="s">
        <v>82</v>
      </c>
      <c r="P4440" t="str">
        <f>"4170051692                    "</f>
        <v xml:space="preserve">4170051692                    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22.6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  <c r="BE4440">
        <v>0</v>
      </c>
      <c r="BF4440">
        <v>0</v>
      </c>
      <c r="BG4440">
        <v>0</v>
      </c>
      <c r="BH4440">
        <v>1</v>
      </c>
      <c r="BI4440">
        <v>1</v>
      </c>
      <c r="BJ4440">
        <v>1.1000000000000001</v>
      </c>
      <c r="BK4440">
        <v>1.5</v>
      </c>
      <c r="BL4440">
        <v>71.2</v>
      </c>
      <c r="BM4440">
        <v>10.68</v>
      </c>
      <c r="BN4440">
        <v>81.88</v>
      </c>
      <c r="BO4440">
        <v>81.88</v>
      </c>
      <c r="BQ4440" t="s">
        <v>142</v>
      </c>
      <c r="BR4440" t="s">
        <v>84</v>
      </c>
      <c r="BS4440" s="3">
        <v>45868</v>
      </c>
      <c r="BT4440" s="4">
        <v>0.40763888888888888</v>
      </c>
      <c r="BU4440" t="s">
        <v>976</v>
      </c>
      <c r="BV4440" t="s">
        <v>98</v>
      </c>
      <c r="BY4440">
        <v>5320</v>
      </c>
      <c r="CA4440" t="s">
        <v>144</v>
      </c>
      <c r="CC4440" t="s">
        <v>80</v>
      </c>
      <c r="CD4440">
        <v>7441</v>
      </c>
      <c r="CE4440" t="s">
        <v>145</v>
      </c>
      <c r="CF4440" s="3">
        <v>45869</v>
      </c>
      <c r="CI4440">
        <v>1</v>
      </c>
      <c r="CJ4440">
        <v>1</v>
      </c>
      <c r="CK4440">
        <v>21</v>
      </c>
      <c r="CL4440" t="s">
        <v>86</v>
      </c>
    </row>
    <row r="4441" spans="1:90" x14ac:dyDescent="0.3">
      <c r="A4441" t="s">
        <v>72</v>
      </c>
      <c r="B4441" t="s">
        <v>73</v>
      </c>
      <c r="C4441" t="s">
        <v>74</v>
      </c>
      <c r="E4441" t="str">
        <f>"080066863258"</f>
        <v>080066863258</v>
      </c>
      <c r="F4441" s="3">
        <v>45867</v>
      </c>
      <c r="G4441">
        <v>202604</v>
      </c>
      <c r="H4441" t="s">
        <v>75</v>
      </c>
      <c r="I4441" t="s">
        <v>76</v>
      </c>
      <c r="J4441" t="s">
        <v>77</v>
      </c>
      <c r="K4441" t="s">
        <v>78</v>
      </c>
      <c r="L4441" t="s">
        <v>390</v>
      </c>
      <c r="M4441" t="s">
        <v>391</v>
      </c>
      <c r="N4441" t="s">
        <v>3639</v>
      </c>
      <c r="O4441" t="s">
        <v>82</v>
      </c>
      <c r="P4441" t="str">
        <f>"4170051730                    "</f>
        <v xml:space="preserve">4170051730                    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17.649999999999999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  <c r="BH4441">
        <v>1</v>
      </c>
      <c r="BI4441">
        <v>1</v>
      </c>
      <c r="BJ4441">
        <v>0.2</v>
      </c>
      <c r="BK4441">
        <v>1</v>
      </c>
      <c r="BL4441">
        <v>55.61</v>
      </c>
      <c r="BM4441">
        <v>8.34</v>
      </c>
      <c r="BN4441">
        <v>63.95</v>
      </c>
      <c r="BO4441">
        <v>63.95</v>
      </c>
      <c r="BQ4441" t="s">
        <v>3640</v>
      </c>
      <c r="BR4441" t="s">
        <v>84</v>
      </c>
      <c r="BS4441" s="3">
        <v>45868</v>
      </c>
      <c r="BT4441" s="4">
        <v>0.375</v>
      </c>
      <c r="BU4441" t="s">
        <v>3641</v>
      </c>
      <c r="BV4441" t="s">
        <v>98</v>
      </c>
      <c r="BY4441">
        <v>1200</v>
      </c>
      <c r="CA4441" t="s">
        <v>3825</v>
      </c>
      <c r="CC4441" t="s">
        <v>391</v>
      </c>
      <c r="CD4441">
        <v>1724</v>
      </c>
      <c r="CE4441" t="s">
        <v>121</v>
      </c>
      <c r="CF4441" s="3">
        <v>45868</v>
      </c>
      <c r="CI4441">
        <v>1</v>
      </c>
      <c r="CJ4441">
        <v>1</v>
      </c>
      <c r="CK4441">
        <v>22</v>
      </c>
      <c r="CL4441" t="s">
        <v>86</v>
      </c>
    </row>
    <row r="4442" spans="1:90" x14ac:dyDescent="0.3">
      <c r="A4442" t="s">
        <v>72</v>
      </c>
      <c r="B4442" t="s">
        <v>73</v>
      </c>
      <c r="C4442" t="s">
        <v>74</v>
      </c>
      <c r="E4442" t="str">
        <f>"080066863269"</f>
        <v>080066863269</v>
      </c>
      <c r="F4442" s="3">
        <v>45867</v>
      </c>
      <c r="G4442">
        <v>202604</v>
      </c>
      <c r="H4442" t="s">
        <v>75</v>
      </c>
      <c r="I4442" t="s">
        <v>76</v>
      </c>
      <c r="J4442" t="s">
        <v>77</v>
      </c>
      <c r="K4442" t="s">
        <v>78</v>
      </c>
      <c r="L4442" t="s">
        <v>452</v>
      </c>
      <c r="M4442" t="s">
        <v>453</v>
      </c>
      <c r="N4442" t="s">
        <v>968</v>
      </c>
      <c r="O4442" t="s">
        <v>82</v>
      </c>
      <c r="P4442" t="str">
        <f>"4170051051                    "</f>
        <v xml:space="preserve">4170051051                    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17.649999999999999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  <c r="BE4442">
        <v>0</v>
      </c>
      <c r="BF4442">
        <v>0</v>
      </c>
      <c r="BG4442">
        <v>0</v>
      </c>
      <c r="BH4442">
        <v>1</v>
      </c>
      <c r="BI4442">
        <v>1</v>
      </c>
      <c r="BJ4442">
        <v>1.1000000000000001</v>
      </c>
      <c r="BK4442">
        <v>2</v>
      </c>
      <c r="BL4442">
        <v>55.61</v>
      </c>
      <c r="BM4442">
        <v>8.34</v>
      </c>
      <c r="BN4442">
        <v>63.95</v>
      </c>
      <c r="BO4442">
        <v>63.95</v>
      </c>
      <c r="BQ4442" t="s">
        <v>1098</v>
      </c>
      <c r="BR4442" t="s">
        <v>84</v>
      </c>
      <c r="BS4442" s="3">
        <v>45868</v>
      </c>
      <c r="BT4442" s="4">
        <v>0.45833333333333331</v>
      </c>
      <c r="BU4442" t="s">
        <v>3840</v>
      </c>
      <c r="BV4442" t="s">
        <v>98</v>
      </c>
      <c r="BY4442">
        <v>5320</v>
      </c>
      <c r="CC4442" t="s">
        <v>453</v>
      </c>
      <c r="CD4442">
        <v>1559</v>
      </c>
      <c r="CE4442" t="s">
        <v>145</v>
      </c>
      <c r="CF4442" s="3">
        <v>45868</v>
      </c>
      <c r="CI4442">
        <v>1</v>
      </c>
      <c r="CJ4442">
        <v>1</v>
      </c>
      <c r="CK4442">
        <v>22</v>
      </c>
      <c r="CL4442" t="s">
        <v>86</v>
      </c>
    </row>
    <row r="4443" spans="1:90" x14ac:dyDescent="0.3">
      <c r="A4443" t="s">
        <v>72</v>
      </c>
      <c r="B4443" t="s">
        <v>73</v>
      </c>
      <c r="C4443" t="s">
        <v>74</v>
      </c>
      <c r="E4443" t="str">
        <f>"080066863283"</f>
        <v>080066863283</v>
      </c>
      <c r="F4443" s="3">
        <v>45867</v>
      </c>
      <c r="G4443">
        <v>202604</v>
      </c>
      <c r="H4443" t="s">
        <v>75</v>
      </c>
      <c r="I4443" t="s">
        <v>76</v>
      </c>
      <c r="J4443" t="s">
        <v>77</v>
      </c>
      <c r="K4443" t="s">
        <v>78</v>
      </c>
      <c r="L4443" t="s">
        <v>151</v>
      </c>
      <c r="M4443" t="s">
        <v>152</v>
      </c>
      <c r="N4443" t="s">
        <v>1759</v>
      </c>
      <c r="O4443" t="s">
        <v>82</v>
      </c>
      <c r="P4443" t="str">
        <f>"4170051737                    "</f>
        <v xml:space="preserve">4170051737                    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22.6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0</v>
      </c>
      <c r="BH4443">
        <v>1</v>
      </c>
      <c r="BI4443">
        <v>1</v>
      </c>
      <c r="BJ4443">
        <v>0.2</v>
      </c>
      <c r="BK4443">
        <v>1</v>
      </c>
      <c r="BL4443">
        <v>71.2</v>
      </c>
      <c r="BM4443">
        <v>10.68</v>
      </c>
      <c r="BN4443">
        <v>81.88</v>
      </c>
      <c r="BO4443">
        <v>81.88</v>
      </c>
      <c r="BQ4443" t="s">
        <v>1760</v>
      </c>
      <c r="BR4443" t="s">
        <v>84</v>
      </c>
      <c r="BS4443" s="3">
        <v>45868</v>
      </c>
      <c r="BT4443" s="4">
        <v>0.34375</v>
      </c>
      <c r="BU4443" t="s">
        <v>3827</v>
      </c>
      <c r="BV4443" t="s">
        <v>98</v>
      </c>
      <c r="BY4443">
        <v>1200</v>
      </c>
      <c r="CA4443" t="s">
        <v>3701</v>
      </c>
      <c r="CC4443" t="s">
        <v>152</v>
      </c>
      <c r="CD4443" s="5" t="s">
        <v>684</v>
      </c>
      <c r="CE4443" t="s">
        <v>121</v>
      </c>
      <c r="CF4443" s="3">
        <v>45868</v>
      </c>
      <c r="CI4443">
        <v>1</v>
      </c>
      <c r="CJ4443">
        <v>1</v>
      </c>
      <c r="CK4443">
        <v>21</v>
      </c>
      <c r="CL4443" t="s">
        <v>86</v>
      </c>
    </row>
    <row r="4444" spans="1:90" x14ac:dyDescent="0.3">
      <c r="A4444" t="s">
        <v>72</v>
      </c>
      <c r="B4444" t="s">
        <v>73</v>
      </c>
      <c r="C4444" t="s">
        <v>74</v>
      </c>
      <c r="E4444" t="str">
        <f>"080066863302"</f>
        <v>080066863302</v>
      </c>
      <c r="F4444" s="3">
        <v>45867</v>
      </c>
      <c r="G4444">
        <v>202604</v>
      </c>
      <c r="H4444" t="s">
        <v>75</v>
      </c>
      <c r="I4444" t="s">
        <v>76</v>
      </c>
      <c r="J4444" t="s">
        <v>77</v>
      </c>
      <c r="K4444" t="s">
        <v>78</v>
      </c>
      <c r="L4444" t="s">
        <v>122</v>
      </c>
      <c r="M4444" t="s">
        <v>123</v>
      </c>
      <c r="N4444" t="s">
        <v>267</v>
      </c>
      <c r="O4444" t="s">
        <v>82</v>
      </c>
      <c r="P4444" t="str">
        <f>"4170051601                    "</f>
        <v xml:space="preserve">4170051601                    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22.6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0</v>
      </c>
      <c r="BG4444">
        <v>0</v>
      </c>
      <c r="BH4444">
        <v>1</v>
      </c>
      <c r="BI4444">
        <v>1</v>
      </c>
      <c r="BJ4444">
        <v>1.8</v>
      </c>
      <c r="BK4444">
        <v>2</v>
      </c>
      <c r="BL4444">
        <v>71.2</v>
      </c>
      <c r="BM4444">
        <v>10.68</v>
      </c>
      <c r="BN4444">
        <v>81.88</v>
      </c>
      <c r="BO4444">
        <v>81.88</v>
      </c>
      <c r="BQ4444" t="s">
        <v>268</v>
      </c>
      <c r="BR4444" t="s">
        <v>84</v>
      </c>
      <c r="BS4444" s="3">
        <v>45868</v>
      </c>
      <c r="BT4444" s="4">
        <v>0.6479166666666667</v>
      </c>
      <c r="BU4444" t="s">
        <v>939</v>
      </c>
      <c r="BV4444" t="s">
        <v>86</v>
      </c>
      <c r="BW4444" t="s">
        <v>194</v>
      </c>
      <c r="BX4444" t="s">
        <v>1174</v>
      </c>
      <c r="BY4444">
        <v>9216</v>
      </c>
      <c r="CA4444" t="s">
        <v>166</v>
      </c>
      <c r="CC4444" t="s">
        <v>123</v>
      </c>
      <c r="CD4444">
        <v>3610</v>
      </c>
      <c r="CE4444" t="s">
        <v>91</v>
      </c>
      <c r="CF4444" s="3">
        <v>45868</v>
      </c>
      <c r="CI4444">
        <v>1</v>
      </c>
      <c r="CJ4444">
        <v>1</v>
      </c>
      <c r="CK4444">
        <v>21</v>
      </c>
      <c r="CL4444" t="s">
        <v>86</v>
      </c>
    </row>
    <row r="4445" spans="1:90" x14ac:dyDescent="0.3">
      <c r="A4445" t="s">
        <v>72</v>
      </c>
      <c r="B4445" t="s">
        <v>73</v>
      </c>
      <c r="C4445" t="s">
        <v>74</v>
      </c>
      <c r="E4445" t="str">
        <f>"080066863317"</f>
        <v>080066863317</v>
      </c>
      <c r="F4445" s="3">
        <v>45867</v>
      </c>
      <c r="G4445">
        <v>202604</v>
      </c>
      <c r="H4445" t="s">
        <v>75</v>
      </c>
      <c r="I4445" t="s">
        <v>76</v>
      </c>
      <c r="J4445" t="s">
        <v>77</v>
      </c>
      <c r="K4445" t="s">
        <v>78</v>
      </c>
      <c r="L4445" t="s">
        <v>75</v>
      </c>
      <c r="M4445" t="s">
        <v>76</v>
      </c>
      <c r="N4445" t="s">
        <v>3492</v>
      </c>
      <c r="O4445" t="s">
        <v>82</v>
      </c>
      <c r="P4445" t="str">
        <f>"4170051066                    "</f>
        <v xml:space="preserve">4170051066                    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17.649999999999999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0</v>
      </c>
      <c r="BH4445">
        <v>1</v>
      </c>
      <c r="BI4445">
        <v>1</v>
      </c>
      <c r="BJ4445">
        <v>0.2</v>
      </c>
      <c r="BK4445">
        <v>1</v>
      </c>
      <c r="BL4445">
        <v>55.61</v>
      </c>
      <c r="BM4445">
        <v>8.34</v>
      </c>
      <c r="BN4445">
        <v>63.95</v>
      </c>
      <c r="BO4445">
        <v>63.95</v>
      </c>
      <c r="BQ4445" t="s">
        <v>3493</v>
      </c>
      <c r="BR4445" t="s">
        <v>84</v>
      </c>
      <c r="BS4445" s="3">
        <v>45868</v>
      </c>
      <c r="BT4445" s="4">
        <v>0.4375</v>
      </c>
      <c r="BU4445" t="s">
        <v>3841</v>
      </c>
      <c r="BV4445" t="s">
        <v>98</v>
      </c>
      <c r="BY4445">
        <v>1200</v>
      </c>
      <c r="CC4445" t="s">
        <v>76</v>
      </c>
      <c r="CD4445">
        <v>1609</v>
      </c>
      <c r="CE4445" t="s">
        <v>121</v>
      </c>
      <c r="CF4445" s="3">
        <v>45869</v>
      </c>
      <c r="CI4445">
        <v>1</v>
      </c>
      <c r="CJ4445">
        <v>1</v>
      </c>
      <c r="CK4445">
        <v>22</v>
      </c>
      <c r="CL4445" t="s">
        <v>86</v>
      </c>
    </row>
    <row r="4446" spans="1:90" x14ac:dyDescent="0.3">
      <c r="A4446" t="s">
        <v>72</v>
      </c>
      <c r="B4446" t="s">
        <v>73</v>
      </c>
      <c r="C4446" t="s">
        <v>74</v>
      </c>
      <c r="E4446" t="str">
        <f>"080066863331"</f>
        <v>080066863331</v>
      </c>
      <c r="F4446" s="3">
        <v>45867</v>
      </c>
      <c r="G4446">
        <v>202604</v>
      </c>
      <c r="H4446" t="s">
        <v>75</v>
      </c>
      <c r="I4446" t="s">
        <v>76</v>
      </c>
      <c r="J4446" t="s">
        <v>77</v>
      </c>
      <c r="K4446" t="s">
        <v>78</v>
      </c>
      <c r="L4446" t="s">
        <v>92</v>
      </c>
      <c r="M4446" t="s">
        <v>93</v>
      </c>
      <c r="N4446" t="s">
        <v>291</v>
      </c>
      <c r="O4446" t="s">
        <v>82</v>
      </c>
      <c r="P4446" t="str">
        <f>"4170051665                    "</f>
        <v xml:space="preserve">4170051665                    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22.6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  <c r="BE4446">
        <v>0</v>
      </c>
      <c r="BF4446">
        <v>0</v>
      </c>
      <c r="BG4446">
        <v>0</v>
      </c>
      <c r="BH4446">
        <v>1</v>
      </c>
      <c r="BI4446">
        <v>2</v>
      </c>
      <c r="BJ4446">
        <v>1.9</v>
      </c>
      <c r="BK4446">
        <v>2</v>
      </c>
      <c r="BL4446">
        <v>71.2</v>
      </c>
      <c r="BM4446">
        <v>10.68</v>
      </c>
      <c r="BN4446">
        <v>81.88</v>
      </c>
      <c r="BO4446">
        <v>81.88</v>
      </c>
      <c r="BQ4446" t="s">
        <v>292</v>
      </c>
      <c r="BR4446" t="s">
        <v>84</v>
      </c>
      <c r="BS4446" s="3">
        <v>45868</v>
      </c>
      <c r="BT4446" s="4">
        <v>0.33819444444444446</v>
      </c>
      <c r="BU4446" t="s">
        <v>971</v>
      </c>
      <c r="BV4446" t="s">
        <v>98</v>
      </c>
      <c r="BY4446">
        <v>9600</v>
      </c>
      <c r="CA4446" t="s">
        <v>294</v>
      </c>
      <c r="CC4446" t="s">
        <v>93</v>
      </c>
      <c r="CD4446">
        <v>4051</v>
      </c>
      <c r="CE4446" t="s">
        <v>145</v>
      </c>
      <c r="CF4446" s="3">
        <v>45868</v>
      </c>
      <c r="CI4446">
        <v>1</v>
      </c>
      <c r="CJ4446">
        <v>1</v>
      </c>
      <c r="CK4446">
        <v>21</v>
      </c>
      <c r="CL4446" t="s">
        <v>86</v>
      </c>
    </row>
    <row r="4447" spans="1:90" x14ac:dyDescent="0.3">
      <c r="A4447" t="s">
        <v>72</v>
      </c>
      <c r="B4447" t="s">
        <v>73</v>
      </c>
      <c r="C4447" t="s">
        <v>74</v>
      </c>
      <c r="E4447" t="str">
        <f>"080066863346"</f>
        <v>080066863346</v>
      </c>
      <c r="F4447" s="3">
        <v>45867</v>
      </c>
      <c r="G4447">
        <v>202604</v>
      </c>
      <c r="H4447" t="s">
        <v>75</v>
      </c>
      <c r="I4447" t="s">
        <v>76</v>
      </c>
      <c r="J4447" t="s">
        <v>77</v>
      </c>
      <c r="K4447" t="s">
        <v>78</v>
      </c>
      <c r="L4447" t="s">
        <v>277</v>
      </c>
      <c r="M4447" t="s">
        <v>278</v>
      </c>
      <c r="N4447" t="s">
        <v>3842</v>
      </c>
      <c r="O4447" t="s">
        <v>82</v>
      </c>
      <c r="P4447" t="str">
        <f>"4170051880                    "</f>
        <v xml:space="preserve">4170051880                    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22.6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0</v>
      </c>
      <c r="BH4447">
        <v>1</v>
      </c>
      <c r="BI4447">
        <v>1</v>
      </c>
      <c r="BJ4447">
        <v>0.2</v>
      </c>
      <c r="BK4447">
        <v>1</v>
      </c>
      <c r="BL4447">
        <v>71.2</v>
      </c>
      <c r="BM4447">
        <v>10.68</v>
      </c>
      <c r="BN4447">
        <v>81.88</v>
      </c>
      <c r="BO4447">
        <v>81.88</v>
      </c>
      <c r="BQ4447" t="s">
        <v>3843</v>
      </c>
      <c r="BR4447" t="s">
        <v>84</v>
      </c>
      <c r="BS4447" s="3">
        <v>45868</v>
      </c>
      <c r="BT4447" s="4">
        <v>0.41805555555555557</v>
      </c>
      <c r="BU4447" t="s">
        <v>1124</v>
      </c>
      <c r="BV4447" t="s">
        <v>98</v>
      </c>
      <c r="BY4447">
        <v>1200</v>
      </c>
      <c r="CA4447" t="s">
        <v>282</v>
      </c>
      <c r="CC4447" t="s">
        <v>278</v>
      </c>
      <c r="CD4447">
        <v>6230</v>
      </c>
      <c r="CE4447" t="s">
        <v>121</v>
      </c>
      <c r="CF4447" s="3">
        <v>45868</v>
      </c>
      <c r="CI4447">
        <v>1</v>
      </c>
      <c r="CJ4447">
        <v>1</v>
      </c>
      <c r="CK4447">
        <v>21</v>
      </c>
      <c r="CL4447" t="s">
        <v>86</v>
      </c>
    </row>
    <row r="4448" spans="1:90" x14ac:dyDescent="0.3">
      <c r="A4448" t="s">
        <v>72</v>
      </c>
      <c r="B4448" t="s">
        <v>73</v>
      </c>
      <c r="C4448" t="s">
        <v>74</v>
      </c>
      <c r="E4448" t="str">
        <f>"080066863371"</f>
        <v>080066863371</v>
      </c>
      <c r="F4448" s="3">
        <v>45867</v>
      </c>
      <c r="G4448">
        <v>202604</v>
      </c>
      <c r="H4448" t="s">
        <v>75</v>
      </c>
      <c r="I4448" t="s">
        <v>76</v>
      </c>
      <c r="J4448" t="s">
        <v>77</v>
      </c>
      <c r="K4448" t="s">
        <v>78</v>
      </c>
      <c r="L4448" t="s">
        <v>1861</v>
      </c>
      <c r="M4448" t="s">
        <v>1862</v>
      </c>
      <c r="N4448" t="s">
        <v>1863</v>
      </c>
      <c r="O4448" t="s">
        <v>82</v>
      </c>
      <c r="P4448" t="str">
        <f>"4170051919                    "</f>
        <v xml:space="preserve">4170051919                    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43.78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  <c r="BE4448">
        <v>0</v>
      </c>
      <c r="BF4448">
        <v>0</v>
      </c>
      <c r="BG4448">
        <v>0</v>
      </c>
      <c r="BH4448">
        <v>1</v>
      </c>
      <c r="BI4448">
        <v>1</v>
      </c>
      <c r="BJ4448">
        <v>0.2</v>
      </c>
      <c r="BK4448">
        <v>1</v>
      </c>
      <c r="BL4448">
        <v>137.94</v>
      </c>
      <c r="BM4448">
        <v>20.69</v>
      </c>
      <c r="BN4448">
        <v>158.63</v>
      </c>
      <c r="BO4448">
        <v>158.63</v>
      </c>
      <c r="BQ4448" t="s">
        <v>1864</v>
      </c>
      <c r="BR4448" t="s">
        <v>84</v>
      </c>
      <c r="BS4448" s="3">
        <v>45868</v>
      </c>
      <c r="BT4448" s="4">
        <v>0.54166666666666663</v>
      </c>
      <c r="BU4448" t="s">
        <v>3844</v>
      </c>
      <c r="BV4448" t="s">
        <v>98</v>
      </c>
      <c r="BY4448">
        <v>1200</v>
      </c>
      <c r="CA4448" t="s">
        <v>3845</v>
      </c>
      <c r="CC4448" t="s">
        <v>1862</v>
      </c>
      <c r="CD4448">
        <v>6500</v>
      </c>
      <c r="CE4448" t="s">
        <v>121</v>
      </c>
      <c r="CF4448" s="3">
        <v>45868</v>
      </c>
      <c r="CI4448">
        <v>1</v>
      </c>
      <c r="CJ4448">
        <v>1</v>
      </c>
      <c r="CK4448">
        <v>23</v>
      </c>
      <c r="CL4448" t="s">
        <v>86</v>
      </c>
    </row>
    <row r="4449" spans="1:90" x14ac:dyDescent="0.3">
      <c r="A4449" t="s">
        <v>72</v>
      </c>
      <c r="B4449" t="s">
        <v>73</v>
      </c>
      <c r="C4449" t="s">
        <v>74</v>
      </c>
      <c r="E4449" t="str">
        <f>"080066863378"</f>
        <v>080066863378</v>
      </c>
      <c r="F4449" s="3">
        <v>45867</v>
      </c>
      <c r="G4449">
        <v>202604</v>
      </c>
      <c r="H4449" t="s">
        <v>75</v>
      </c>
      <c r="I4449" t="s">
        <v>76</v>
      </c>
      <c r="J4449" t="s">
        <v>77</v>
      </c>
      <c r="K4449" t="s">
        <v>78</v>
      </c>
      <c r="L4449" t="s">
        <v>79</v>
      </c>
      <c r="M4449" t="s">
        <v>80</v>
      </c>
      <c r="N4449" t="s">
        <v>1775</v>
      </c>
      <c r="O4449" t="s">
        <v>82</v>
      </c>
      <c r="P4449" t="str">
        <f>"4170051684                    "</f>
        <v xml:space="preserve">4170051684                    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169.37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  <c r="BE4449">
        <v>0</v>
      </c>
      <c r="BF4449">
        <v>0</v>
      </c>
      <c r="BG4449">
        <v>0</v>
      </c>
      <c r="BH4449">
        <v>1</v>
      </c>
      <c r="BI4449">
        <v>15</v>
      </c>
      <c r="BJ4449">
        <v>10.5</v>
      </c>
      <c r="BK4449">
        <v>15</v>
      </c>
      <c r="BL4449">
        <v>533.61</v>
      </c>
      <c r="BM4449">
        <v>80.040000000000006</v>
      </c>
      <c r="BN4449">
        <v>613.65</v>
      </c>
      <c r="BO4449">
        <v>613.65</v>
      </c>
      <c r="BQ4449" t="s">
        <v>1776</v>
      </c>
      <c r="BR4449" t="s">
        <v>84</v>
      </c>
      <c r="BS4449" s="3">
        <v>45868</v>
      </c>
      <c r="BT4449" s="4">
        <v>0.41944444444444445</v>
      </c>
      <c r="BU4449" t="s">
        <v>933</v>
      </c>
      <c r="BV4449" t="s">
        <v>98</v>
      </c>
      <c r="BY4449">
        <v>52440</v>
      </c>
      <c r="CA4449" t="s">
        <v>934</v>
      </c>
      <c r="CC4449" t="s">
        <v>80</v>
      </c>
      <c r="CD4449">
        <v>7530</v>
      </c>
      <c r="CE4449" t="s">
        <v>145</v>
      </c>
      <c r="CF4449" s="3">
        <v>45869</v>
      </c>
      <c r="CI4449">
        <v>1</v>
      </c>
      <c r="CJ4449">
        <v>1</v>
      </c>
      <c r="CK4449">
        <v>21</v>
      </c>
      <c r="CL4449" t="s">
        <v>86</v>
      </c>
    </row>
    <row r="4450" spans="1:90" x14ac:dyDescent="0.3">
      <c r="A4450" t="s">
        <v>72</v>
      </c>
      <c r="B4450" t="s">
        <v>73</v>
      </c>
      <c r="C4450" t="s">
        <v>74</v>
      </c>
      <c r="E4450" t="str">
        <f>"080066863405"</f>
        <v>080066863405</v>
      </c>
      <c r="F4450" s="3">
        <v>45867</v>
      </c>
      <c r="G4450">
        <v>202604</v>
      </c>
      <c r="H4450" t="s">
        <v>75</v>
      </c>
      <c r="I4450" t="s">
        <v>76</v>
      </c>
      <c r="J4450" t="s">
        <v>77</v>
      </c>
      <c r="K4450" t="s">
        <v>78</v>
      </c>
      <c r="L4450" t="s">
        <v>92</v>
      </c>
      <c r="M4450" t="s">
        <v>93</v>
      </c>
      <c r="N4450" t="s">
        <v>291</v>
      </c>
      <c r="O4450" t="s">
        <v>82</v>
      </c>
      <c r="P4450" t="str">
        <f>"4170051940                    "</f>
        <v xml:space="preserve">4170051940                    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22.6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  <c r="BE4450">
        <v>0</v>
      </c>
      <c r="BF4450">
        <v>0</v>
      </c>
      <c r="BG4450">
        <v>0</v>
      </c>
      <c r="BH4450">
        <v>1</v>
      </c>
      <c r="BI4450">
        <v>1</v>
      </c>
      <c r="BJ4450">
        <v>0.2</v>
      </c>
      <c r="BK4450">
        <v>1</v>
      </c>
      <c r="BL4450">
        <v>71.2</v>
      </c>
      <c r="BM4450">
        <v>10.68</v>
      </c>
      <c r="BN4450">
        <v>81.88</v>
      </c>
      <c r="BO4450">
        <v>81.88</v>
      </c>
      <c r="BQ4450" t="s">
        <v>292</v>
      </c>
      <c r="BR4450" t="s">
        <v>84</v>
      </c>
      <c r="BS4450" s="3">
        <v>45868</v>
      </c>
      <c r="BT4450" s="4">
        <v>0.33819444444444446</v>
      </c>
      <c r="BU4450" t="s">
        <v>971</v>
      </c>
      <c r="BV4450" t="s">
        <v>98</v>
      </c>
      <c r="BY4450">
        <v>1200</v>
      </c>
      <c r="CA4450" t="s">
        <v>294</v>
      </c>
      <c r="CC4450" t="s">
        <v>93</v>
      </c>
      <c r="CD4450">
        <v>4000</v>
      </c>
      <c r="CE4450" t="s">
        <v>3846</v>
      </c>
      <c r="CF4450" s="3">
        <v>45868</v>
      </c>
      <c r="CI4450">
        <v>1</v>
      </c>
      <c r="CJ4450">
        <v>1</v>
      </c>
      <c r="CK4450">
        <v>21</v>
      </c>
      <c r="CL4450" t="s">
        <v>86</v>
      </c>
    </row>
    <row r="4451" spans="1:90" x14ac:dyDescent="0.3">
      <c r="A4451" t="s">
        <v>72</v>
      </c>
      <c r="B4451" t="s">
        <v>73</v>
      </c>
      <c r="C4451" t="s">
        <v>74</v>
      </c>
      <c r="E4451" t="str">
        <f>"080066863418"</f>
        <v>080066863418</v>
      </c>
      <c r="F4451" s="3">
        <v>45867</v>
      </c>
      <c r="G4451">
        <v>202604</v>
      </c>
      <c r="H4451" t="s">
        <v>75</v>
      </c>
      <c r="I4451" t="s">
        <v>76</v>
      </c>
      <c r="J4451" t="s">
        <v>77</v>
      </c>
      <c r="K4451" t="s">
        <v>78</v>
      </c>
      <c r="L4451" t="s">
        <v>168</v>
      </c>
      <c r="M4451" t="s">
        <v>169</v>
      </c>
      <c r="N4451" t="s">
        <v>206</v>
      </c>
      <c r="O4451" t="s">
        <v>82</v>
      </c>
      <c r="P4451" t="str">
        <f>"4170051688                    "</f>
        <v xml:space="preserve">4170051688                    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50.82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  <c r="BE4451">
        <v>0</v>
      </c>
      <c r="BF4451">
        <v>0</v>
      </c>
      <c r="BG4451">
        <v>0</v>
      </c>
      <c r="BH4451">
        <v>1</v>
      </c>
      <c r="BI4451">
        <v>2</v>
      </c>
      <c r="BJ4451">
        <v>4.0999999999999996</v>
      </c>
      <c r="BK4451">
        <v>4.5</v>
      </c>
      <c r="BL4451">
        <v>160.12</v>
      </c>
      <c r="BM4451">
        <v>24.02</v>
      </c>
      <c r="BN4451">
        <v>184.14</v>
      </c>
      <c r="BO4451">
        <v>184.14</v>
      </c>
      <c r="BQ4451" t="s">
        <v>207</v>
      </c>
      <c r="BR4451" t="s">
        <v>84</v>
      </c>
      <c r="BS4451" s="3">
        <v>45868</v>
      </c>
      <c r="BT4451" s="4">
        <v>0.45624999999999999</v>
      </c>
      <c r="BU4451" t="s">
        <v>290</v>
      </c>
      <c r="BV4451" t="s">
        <v>86</v>
      </c>
      <c r="BW4451" t="s">
        <v>194</v>
      </c>
      <c r="BX4451" t="s">
        <v>816</v>
      </c>
      <c r="BY4451">
        <v>20358</v>
      </c>
      <c r="CA4451" t="s">
        <v>196</v>
      </c>
      <c r="CC4451" t="s">
        <v>169</v>
      </c>
      <c r="CD4451">
        <v>6001</v>
      </c>
      <c r="CE4451" t="s">
        <v>145</v>
      </c>
      <c r="CF4451" s="3">
        <v>45868</v>
      </c>
      <c r="CI4451">
        <v>1</v>
      </c>
      <c r="CJ4451">
        <v>1</v>
      </c>
      <c r="CK4451">
        <v>21</v>
      </c>
      <c r="CL4451" t="s">
        <v>86</v>
      </c>
    </row>
    <row r="4452" spans="1:90" x14ac:dyDescent="0.3">
      <c r="A4452" t="s">
        <v>72</v>
      </c>
      <c r="B4452" t="s">
        <v>73</v>
      </c>
      <c r="C4452" t="s">
        <v>74</v>
      </c>
      <c r="E4452" t="str">
        <f>"080066863431"</f>
        <v>080066863431</v>
      </c>
      <c r="F4452" s="3">
        <v>45867</v>
      </c>
      <c r="G4452">
        <v>202604</v>
      </c>
      <c r="H4452" t="s">
        <v>75</v>
      </c>
      <c r="I4452" t="s">
        <v>76</v>
      </c>
      <c r="J4452" t="s">
        <v>77</v>
      </c>
      <c r="K4452" t="s">
        <v>78</v>
      </c>
      <c r="L4452" t="s">
        <v>151</v>
      </c>
      <c r="M4452" t="s">
        <v>152</v>
      </c>
      <c r="N4452" t="s">
        <v>510</v>
      </c>
      <c r="O4452" t="s">
        <v>82</v>
      </c>
      <c r="P4452" t="str">
        <f>"4170051674                    "</f>
        <v xml:space="preserve">4170051674                    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22.6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  <c r="BH4452">
        <v>1</v>
      </c>
      <c r="BI4452">
        <v>1</v>
      </c>
      <c r="BJ4452">
        <v>0.2</v>
      </c>
      <c r="BK4452">
        <v>1</v>
      </c>
      <c r="BL4452">
        <v>71.2</v>
      </c>
      <c r="BM4452">
        <v>10.68</v>
      </c>
      <c r="BN4452">
        <v>81.88</v>
      </c>
      <c r="BO4452">
        <v>81.88</v>
      </c>
      <c r="BQ4452" t="s">
        <v>511</v>
      </c>
      <c r="BR4452" t="s">
        <v>84</v>
      </c>
      <c r="BS4452" s="3">
        <v>45868</v>
      </c>
      <c r="BT4452" s="4">
        <v>0.37847222222222221</v>
      </c>
      <c r="BU4452" t="s">
        <v>2433</v>
      </c>
      <c r="BV4452" t="s">
        <v>98</v>
      </c>
      <c r="BY4452">
        <v>1200</v>
      </c>
      <c r="CA4452" t="s">
        <v>2404</v>
      </c>
      <c r="CC4452" t="s">
        <v>152</v>
      </c>
      <c r="CD4452" s="5" t="s">
        <v>514</v>
      </c>
      <c r="CE4452" t="s">
        <v>121</v>
      </c>
      <c r="CF4452" s="3">
        <v>45868</v>
      </c>
      <c r="CI4452">
        <v>1</v>
      </c>
      <c r="CJ4452">
        <v>1</v>
      </c>
      <c r="CK4452">
        <v>21</v>
      </c>
      <c r="CL4452" t="s">
        <v>86</v>
      </c>
    </row>
    <row r="4453" spans="1:90" x14ac:dyDescent="0.3">
      <c r="A4453" t="s">
        <v>72</v>
      </c>
      <c r="B4453" t="s">
        <v>73</v>
      </c>
      <c r="C4453" t="s">
        <v>74</v>
      </c>
      <c r="E4453" t="str">
        <f>"080066863453"</f>
        <v>080066863453</v>
      </c>
      <c r="F4453" s="3">
        <v>45867</v>
      </c>
      <c r="G4453">
        <v>202604</v>
      </c>
      <c r="H4453" t="s">
        <v>75</v>
      </c>
      <c r="I4453" t="s">
        <v>76</v>
      </c>
      <c r="J4453" t="s">
        <v>77</v>
      </c>
      <c r="K4453" t="s">
        <v>78</v>
      </c>
      <c r="L4453" t="s">
        <v>79</v>
      </c>
      <c r="M4453" t="s">
        <v>80</v>
      </c>
      <c r="N4453" t="s">
        <v>492</v>
      </c>
      <c r="O4453" t="s">
        <v>82</v>
      </c>
      <c r="P4453" t="str">
        <f>"4170051682                    "</f>
        <v xml:space="preserve">4170051682                    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>
        <v>39.53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0</v>
      </c>
      <c r="BG4453">
        <v>0</v>
      </c>
      <c r="BH4453">
        <v>1</v>
      </c>
      <c r="BI4453">
        <v>1</v>
      </c>
      <c r="BJ4453">
        <v>3.1</v>
      </c>
      <c r="BK4453">
        <v>3.5</v>
      </c>
      <c r="BL4453">
        <v>124.55</v>
      </c>
      <c r="BM4453">
        <v>18.68</v>
      </c>
      <c r="BN4453">
        <v>143.22999999999999</v>
      </c>
      <c r="BO4453">
        <v>143.22999999999999</v>
      </c>
      <c r="BQ4453" t="s">
        <v>493</v>
      </c>
      <c r="BR4453" t="s">
        <v>84</v>
      </c>
      <c r="BS4453" s="3">
        <v>45868</v>
      </c>
      <c r="BT4453" s="4">
        <v>0.41666666666666669</v>
      </c>
      <c r="BU4453" t="s">
        <v>494</v>
      </c>
      <c r="BV4453" t="s">
        <v>98</v>
      </c>
      <c r="BY4453">
        <v>15360</v>
      </c>
      <c r="CA4453" t="s">
        <v>495</v>
      </c>
      <c r="CC4453" t="s">
        <v>80</v>
      </c>
      <c r="CD4453">
        <v>7800</v>
      </c>
      <c r="CE4453" t="s">
        <v>145</v>
      </c>
      <c r="CF4453" s="3">
        <v>45869</v>
      </c>
      <c r="CI4453">
        <v>1</v>
      </c>
      <c r="CJ4453">
        <v>1</v>
      </c>
      <c r="CK4453">
        <v>21</v>
      </c>
      <c r="CL4453" t="s">
        <v>86</v>
      </c>
    </row>
    <row r="4454" spans="1:90" x14ac:dyDescent="0.3">
      <c r="A4454" t="s">
        <v>72</v>
      </c>
      <c r="B4454" t="s">
        <v>73</v>
      </c>
      <c r="C4454" t="s">
        <v>74</v>
      </c>
      <c r="E4454" t="str">
        <f>"080066863456"</f>
        <v>080066863456</v>
      </c>
      <c r="F4454" s="3">
        <v>45867</v>
      </c>
      <c r="G4454">
        <v>202604</v>
      </c>
      <c r="H4454" t="s">
        <v>75</v>
      </c>
      <c r="I4454" t="s">
        <v>76</v>
      </c>
      <c r="J4454" t="s">
        <v>77</v>
      </c>
      <c r="K4454" t="s">
        <v>78</v>
      </c>
      <c r="L4454" t="s">
        <v>390</v>
      </c>
      <c r="M4454" t="s">
        <v>391</v>
      </c>
      <c r="N4454" t="s">
        <v>3639</v>
      </c>
      <c r="O4454" t="s">
        <v>82</v>
      </c>
      <c r="P4454" t="str">
        <f>"4170051731                    "</f>
        <v xml:space="preserve">4170051731                    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17.649999999999999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0</v>
      </c>
      <c r="BH4454">
        <v>1</v>
      </c>
      <c r="BI4454">
        <v>1</v>
      </c>
      <c r="BJ4454">
        <v>0.2</v>
      </c>
      <c r="BK4454">
        <v>1</v>
      </c>
      <c r="BL4454">
        <v>55.61</v>
      </c>
      <c r="BM4454">
        <v>8.34</v>
      </c>
      <c r="BN4454">
        <v>63.95</v>
      </c>
      <c r="BO4454">
        <v>63.95</v>
      </c>
      <c r="BQ4454" t="s">
        <v>3640</v>
      </c>
      <c r="BR4454" t="s">
        <v>84</v>
      </c>
      <c r="BS4454" s="3">
        <v>45868</v>
      </c>
      <c r="BT4454" s="4">
        <v>0.375</v>
      </c>
      <c r="BU4454" t="s">
        <v>3641</v>
      </c>
      <c r="BV4454" t="s">
        <v>98</v>
      </c>
      <c r="BY4454">
        <v>1200</v>
      </c>
      <c r="CA4454" t="s">
        <v>3825</v>
      </c>
      <c r="CC4454" t="s">
        <v>391</v>
      </c>
      <c r="CD4454">
        <v>1724</v>
      </c>
      <c r="CE4454" t="s">
        <v>121</v>
      </c>
      <c r="CF4454" s="3">
        <v>45868</v>
      </c>
      <c r="CI4454">
        <v>1</v>
      </c>
      <c r="CJ4454">
        <v>1</v>
      </c>
      <c r="CK4454">
        <v>22</v>
      </c>
      <c r="CL4454" t="s">
        <v>86</v>
      </c>
    </row>
    <row r="4455" spans="1:90" x14ac:dyDescent="0.3">
      <c r="A4455" t="s">
        <v>72</v>
      </c>
      <c r="B4455" t="s">
        <v>73</v>
      </c>
      <c r="C4455" t="s">
        <v>74</v>
      </c>
      <c r="E4455" t="str">
        <f>"080066863478"</f>
        <v>080066863478</v>
      </c>
      <c r="F4455" s="3">
        <v>45867</v>
      </c>
      <c r="G4455">
        <v>202604</v>
      </c>
      <c r="H4455" t="s">
        <v>75</v>
      </c>
      <c r="I4455" t="s">
        <v>76</v>
      </c>
      <c r="J4455" t="s">
        <v>77</v>
      </c>
      <c r="K4455" t="s">
        <v>78</v>
      </c>
      <c r="L4455" t="s">
        <v>390</v>
      </c>
      <c r="M4455" t="s">
        <v>391</v>
      </c>
      <c r="N4455" t="s">
        <v>3639</v>
      </c>
      <c r="O4455" t="s">
        <v>82</v>
      </c>
      <c r="P4455" t="str">
        <f>"4170051877                    "</f>
        <v xml:space="preserve">4170051877                    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17.649999999999999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  <c r="BE4455">
        <v>0</v>
      </c>
      <c r="BF4455">
        <v>0</v>
      </c>
      <c r="BG4455">
        <v>0</v>
      </c>
      <c r="BH4455">
        <v>1</v>
      </c>
      <c r="BI4455">
        <v>1</v>
      </c>
      <c r="BJ4455">
        <v>0.2</v>
      </c>
      <c r="BK4455">
        <v>1</v>
      </c>
      <c r="BL4455">
        <v>55.61</v>
      </c>
      <c r="BM4455">
        <v>8.34</v>
      </c>
      <c r="BN4455">
        <v>63.95</v>
      </c>
      <c r="BO4455">
        <v>63.95</v>
      </c>
      <c r="BQ4455" t="s">
        <v>3640</v>
      </c>
      <c r="BR4455" t="s">
        <v>84</v>
      </c>
      <c r="BS4455" s="3">
        <v>45868</v>
      </c>
      <c r="BT4455" s="4">
        <v>0.375</v>
      </c>
      <c r="BU4455" t="s">
        <v>3641</v>
      </c>
      <c r="BV4455" t="s">
        <v>98</v>
      </c>
      <c r="BY4455">
        <v>1200</v>
      </c>
      <c r="CA4455" t="s">
        <v>3825</v>
      </c>
      <c r="CC4455" t="s">
        <v>391</v>
      </c>
      <c r="CD4455">
        <v>1724</v>
      </c>
      <c r="CE4455" t="s">
        <v>121</v>
      </c>
      <c r="CF4455" s="3">
        <v>45868</v>
      </c>
      <c r="CI4455">
        <v>1</v>
      </c>
      <c r="CJ4455">
        <v>1</v>
      </c>
      <c r="CK4455">
        <v>22</v>
      </c>
      <c r="CL4455" t="s">
        <v>86</v>
      </c>
    </row>
    <row r="4456" spans="1:90" x14ac:dyDescent="0.3">
      <c r="A4456" t="s">
        <v>72</v>
      </c>
      <c r="B4456" t="s">
        <v>73</v>
      </c>
      <c r="C4456" t="s">
        <v>74</v>
      </c>
      <c r="E4456" t="str">
        <f>"080066863502"</f>
        <v>080066863502</v>
      </c>
      <c r="F4456" s="3">
        <v>45867</v>
      </c>
      <c r="G4456">
        <v>202604</v>
      </c>
      <c r="H4456" t="s">
        <v>75</v>
      </c>
      <c r="I4456" t="s">
        <v>76</v>
      </c>
      <c r="J4456" t="s">
        <v>77</v>
      </c>
      <c r="K4456" t="s">
        <v>78</v>
      </c>
      <c r="L4456" t="s">
        <v>75</v>
      </c>
      <c r="M4456" t="s">
        <v>76</v>
      </c>
      <c r="N4456" t="s">
        <v>1039</v>
      </c>
      <c r="O4456" t="s">
        <v>82</v>
      </c>
      <c r="P4456" t="str">
        <f>"4170051855                    "</f>
        <v xml:space="preserve">4170051855                    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17.649999999999999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  <c r="BE4456">
        <v>0</v>
      </c>
      <c r="BF4456">
        <v>0</v>
      </c>
      <c r="BG4456">
        <v>0</v>
      </c>
      <c r="BH4456">
        <v>1</v>
      </c>
      <c r="BI4456">
        <v>1</v>
      </c>
      <c r="BJ4456">
        <v>0.2</v>
      </c>
      <c r="BK4456">
        <v>1</v>
      </c>
      <c r="BL4456">
        <v>55.61</v>
      </c>
      <c r="BM4456">
        <v>8.34</v>
      </c>
      <c r="BN4456">
        <v>63.95</v>
      </c>
      <c r="BO4456">
        <v>63.95</v>
      </c>
      <c r="BQ4456" t="s">
        <v>1040</v>
      </c>
      <c r="BR4456" t="s">
        <v>84</v>
      </c>
      <c r="BS4456" s="3">
        <v>45868</v>
      </c>
      <c r="BT4456" s="4">
        <v>0.41666666666666669</v>
      </c>
      <c r="BU4456" t="s">
        <v>3847</v>
      </c>
      <c r="BV4456" t="s">
        <v>98</v>
      </c>
      <c r="BY4456">
        <v>1200</v>
      </c>
      <c r="CA4456" t="s">
        <v>471</v>
      </c>
      <c r="CC4456" t="s">
        <v>76</v>
      </c>
      <c r="CD4456">
        <v>1609</v>
      </c>
      <c r="CE4456" t="s">
        <v>121</v>
      </c>
      <c r="CF4456" s="3">
        <v>45868</v>
      </c>
      <c r="CI4456">
        <v>1</v>
      </c>
      <c r="CJ4456">
        <v>1</v>
      </c>
      <c r="CK4456">
        <v>22</v>
      </c>
      <c r="CL4456" t="s">
        <v>86</v>
      </c>
    </row>
    <row r="4457" spans="1:90" x14ac:dyDescent="0.3">
      <c r="A4457" t="s">
        <v>72</v>
      </c>
      <c r="B4457" t="s">
        <v>73</v>
      </c>
      <c r="C4457" t="s">
        <v>74</v>
      </c>
      <c r="E4457" t="str">
        <f>"080066863544"</f>
        <v>080066863544</v>
      </c>
      <c r="F4457" s="3">
        <v>45867</v>
      </c>
      <c r="G4457">
        <v>202604</v>
      </c>
      <c r="H4457" t="s">
        <v>75</v>
      </c>
      <c r="I4457" t="s">
        <v>76</v>
      </c>
      <c r="J4457" t="s">
        <v>77</v>
      </c>
      <c r="K4457" t="s">
        <v>78</v>
      </c>
      <c r="L4457" t="s">
        <v>79</v>
      </c>
      <c r="M4457" t="s">
        <v>80</v>
      </c>
      <c r="N4457" t="s">
        <v>1816</v>
      </c>
      <c r="O4457" t="s">
        <v>95</v>
      </c>
      <c r="P4457" t="str">
        <f>"4170051641                    "</f>
        <v xml:space="preserve">4170051641                    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63.55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  <c r="BH4457">
        <v>2</v>
      </c>
      <c r="BI4457">
        <v>26</v>
      </c>
      <c r="BJ4457">
        <v>16</v>
      </c>
      <c r="BK4457">
        <v>26</v>
      </c>
      <c r="BL4457">
        <v>206.08</v>
      </c>
      <c r="BM4457">
        <v>30.91</v>
      </c>
      <c r="BN4457">
        <v>236.99</v>
      </c>
      <c r="BO4457">
        <v>236.99</v>
      </c>
      <c r="BQ4457" t="s">
        <v>1817</v>
      </c>
      <c r="BR4457" t="s">
        <v>84</v>
      </c>
      <c r="BS4457" t="s">
        <v>587</v>
      </c>
      <c r="BY4457">
        <v>39936</v>
      </c>
      <c r="CC4457" t="s">
        <v>80</v>
      </c>
      <c r="CD4457">
        <v>7550</v>
      </c>
      <c r="CE4457" t="s">
        <v>2966</v>
      </c>
      <c r="CI4457">
        <v>3</v>
      </c>
      <c r="CJ4457" t="s">
        <v>587</v>
      </c>
      <c r="CK4457">
        <v>41</v>
      </c>
      <c r="CL4457" t="s">
        <v>86</v>
      </c>
    </row>
    <row r="4458" spans="1:90" x14ac:dyDescent="0.3">
      <c r="A4458" t="s">
        <v>72</v>
      </c>
      <c r="B4458" t="s">
        <v>73</v>
      </c>
      <c r="C4458" t="s">
        <v>74</v>
      </c>
      <c r="E4458" t="str">
        <f>"080066863575"</f>
        <v>080066863575</v>
      </c>
      <c r="F4458" s="3">
        <v>45867</v>
      </c>
      <c r="G4458">
        <v>202604</v>
      </c>
      <c r="H4458" t="s">
        <v>75</v>
      </c>
      <c r="I4458" t="s">
        <v>76</v>
      </c>
      <c r="J4458" t="s">
        <v>77</v>
      </c>
      <c r="K4458" t="s">
        <v>78</v>
      </c>
      <c r="L4458" t="s">
        <v>79</v>
      </c>
      <c r="M4458" t="s">
        <v>80</v>
      </c>
      <c r="N4458" t="s">
        <v>3663</v>
      </c>
      <c r="O4458" t="s">
        <v>82</v>
      </c>
      <c r="P4458" t="str">
        <f>"4170051552                    "</f>
        <v xml:space="preserve">4170051552                    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45.18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  <c r="BE4458">
        <v>0</v>
      </c>
      <c r="BF4458">
        <v>0</v>
      </c>
      <c r="BG4458">
        <v>0</v>
      </c>
      <c r="BH4458">
        <v>1</v>
      </c>
      <c r="BI4458">
        <v>1</v>
      </c>
      <c r="BJ4458">
        <v>3.8</v>
      </c>
      <c r="BK4458">
        <v>4</v>
      </c>
      <c r="BL4458">
        <v>142.34</v>
      </c>
      <c r="BM4458">
        <v>21.35</v>
      </c>
      <c r="BN4458">
        <v>163.69</v>
      </c>
      <c r="BO4458">
        <v>163.69</v>
      </c>
      <c r="BQ4458" t="s">
        <v>3664</v>
      </c>
      <c r="BR4458" t="s">
        <v>84</v>
      </c>
      <c r="BS4458" s="3">
        <v>45868</v>
      </c>
      <c r="BT4458" s="4">
        <v>0.42708333333333331</v>
      </c>
      <c r="BU4458" t="s">
        <v>3848</v>
      </c>
      <c r="BV4458" t="s">
        <v>98</v>
      </c>
      <c r="BY4458">
        <v>19152</v>
      </c>
      <c r="CC4458" t="s">
        <v>80</v>
      </c>
      <c r="CD4458">
        <v>7405</v>
      </c>
      <c r="CE4458" t="s">
        <v>91</v>
      </c>
      <c r="CF4458" s="3">
        <v>45869</v>
      </c>
      <c r="CI4458">
        <v>1</v>
      </c>
      <c r="CJ4458">
        <v>1</v>
      </c>
      <c r="CK4458">
        <v>21</v>
      </c>
      <c r="CL4458" t="s">
        <v>86</v>
      </c>
    </row>
    <row r="4459" spans="1:90" x14ac:dyDescent="0.3">
      <c r="A4459" t="s">
        <v>72</v>
      </c>
      <c r="B4459" t="s">
        <v>73</v>
      </c>
      <c r="C4459" t="s">
        <v>74</v>
      </c>
      <c r="E4459" t="str">
        <f>"080066863602"</f>
        <v>080066863602</v>
      </c>
      <c r="F4459" s="3">
        <v>45867</v>
      </c>
      <c r="G4459">
        <v>202604</v>
      </c>
      <c r="H4459" t="s">
        <v>75</v>
      </c>
      <c r="I4459" t="s">
        <v>76</v>
      </c>
      <c r="J4459" t="s">
        <v>77</v>
      </c>
      <c r="K4459" t="s">
        <v>78</v>
      </c>
      <c r="L4459" t="s">
        <v>168</v>
      </c>
      <c r="M4459" t="s">
        <v>169</v>
      </c>
      <c r="N4459" t="s">
        <v>420</v>
      </c>
      <c r="O4459" t="s">
        <v>82</v>
      </c>
      <c r="P4459" t="str">
        <f>"4170051675                    "</f>
        <v xml:space="preserve">4170051675                    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>
        <v>22.6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0</v>
      </c>
      <c r="AX4459">
        <v>0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0</v>
      </c>
      <c r="BE4459">
        <v>0</v>
      </c>
      <c r="BF4459">
        <v>0</v>
      </c>
      <c r="BG4459">
        <v>0</v>
      </c>
      <c r="BH4459">
        <v>1</v>
      </c>
      <c r="BI4459">
        <v>1</v>
      </c>
      <c r="BJ4459">
        <v>1.1000000000000001</v>
      </c>
      <c r="BK4459">
        <v>1.5</v>
      </c>
      <c r="BL4459">
        <v>71.2</v>
      </c>
      <c r="BM4459">
        <v>10.68</v>
      </c>
      <c r="BN4459">
        <v>81.88</v>
      </c>
      <c r="BO4459">
        <v>81.88</v>
      </c>
      <c r="BQ4459" t="s">
        <v>421</v>
      </c>
      <c r="BR4459" t="s">
        <v>84</v>
      </c>
      <c r="BS4459" s="3">
        <v>45868</v>
      </c>
      <c r="BT4459" s="4">
        <v>0.41736111111111113</v>
      </c>
      <c r="BU4459" t="s">
        <v>1121</v>
      </c>
      <c r="BV4459" t="s">
        <v>98</v>
      </c>
      <c r="BY4459">
        <v>5320</v>
      </c>
      <c r="CA4459" t="s">
        <v>423</v>
      </c>
      <c r="CC4459" t="s">
        <v>169</v>
      </c>
      <c r="CD4459">
        <v>6001</v>
      </c>
      <c r="CE4459" t="s">
        <v>145</v>
      </c>
      <c r="CF4459" s="3">
        <v>45868</v>
      </c>
      <c r="CI4459">
        <v>1</v>
      </c>
      <c r="CJ4459">
        <v>1</v>
      </c>
      <c r="CK4459">
        <v>21</v>
      </c>
      <c r="CL4459" t="s">
        <v>86</v>
      </c>
    </row>
    <row r="4460" spans="1:90" x14ac:dyDescent="0.3">
      <c r="A4460" t="s">
        <v>72</v>
      </c>
      <c r="B4460" t="s">
        <v>73</v>
      </c>
      <c r="C4460" t="s">
        <v>74</v>
      </c>
      <c r="E4460" t="str">
        <f>"080066863626"</f>
        <v>080066863626</v>
      </c>
      <c r="F4460" s="3">
        <v>45867</v>
      </c>
      <c r="G4460">
        <v>202604</v>
      </c>
      <c r="H4460" t="s">
        <v>75</v>
      </c>
      <c r="I4460" t="s">
        <v>76</v>
      </c>
      <c r="J4460" t="s">
        <v>77</v>
      </c>
      <c r="K4460" t="s">
        <v>78</v>
      </c>
      <c r="L4460" t="s">
        <v>79</v>
      </c>
      <c r="M4460" t="s">
        <v>80</v>
      </c>
      <c r="N4460" t="s">
        <v>1101</v>
      </c>
      <c r="O4460" t="s">
        <v>82</v>
      </c>
      <c r="P4460" t="str">
        <f>"4170051502                    "</f>
        <v xml:space="preserve">4170051502                    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22.6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  <c r="BE4460">
        <v>0</v>
      </c>
      <c r="BF4460">
        <v>0</v>
      </c>
      <c r="BG4460">
        <v>0</v>
      </c>
      <c r="BH4460">
        <v>1</v>
      </c>
      <c r="BI4460">
        <v>1</v>
      </c>
      <c r="BJ4460">
        <v>1.7</v>
      </c>
      <c r="BK4460">
        <v>2</v>
      </c>
      <c r="BL4460">
        <v>71.2</v>
      </c>
      <c r="BM4460">
        <v>10.68</v>
      </c>
      <c r="BN4460">
        <v>81.88</v>
      </c>
      <c r="BO4460">
        <v>81.88</v>
      </c>
      <c r="BQ4460" t="s">
        <v>1102</v>
      </c>
      <c r="BR4460" t="s">
        <v>84</v>
      </c>
      <c r="BS4460" s="3">
        <v>45868</v>
      </c>
      <c r="BT4460" s="4">
        <v>0.35208333333333336</v>
      </c>
      <c r="BU4460" t="s">
        <v>2071</v>
      </c>
      <c r="BV4460" t="s">
        <v>98</v>
      </c>
      <c r="BY4460">
        <v>8550</v>
      </c>
      <c r="CA4460" t="s">
        <v>289</v>
      </c>
      <c r="CC4460" t="s">
        <v>80</v>
      </c>
      <c r="CD4460">
        <v>7530</v>
      </c>
      <c r="CE4460" t="s">
        <v>110</v>
      </c>
      <c r="CF4460" s="3">
        <v>45869</v>
      </c>
      <c r="CI4460">
        <v>1</v>
      </c>
      <c r="CJ4460">
        <v>1</v>
      </c>
      <c r="CK4460">
        <v>21</v>
      </c>
      <c r="CL4460" t="s">
        <v>86</v>
      </c>
    </row>
    <row r="4461" spans="1:90" x14ac:dyDescent="0.3">
      <c r="A4461" t="s">
        <v>72</v>
      </c>
      <c r="B4461" t="s">
        <v>73</v>
      </c>
      <c r="C4461" t="s">
        <v>74</v>
      </c>
      <c r="E4461" t="str">
        <f>"080066863646"</f>
        <v>080066863646</v>
      </c>
      <c r="F4461" s="3">
        <v>45867</v>
      </c>
      <c r="G4461">
        <v>202604</v>
      </c>
      <c r="H4461" t="s">
        <v>75</v>
      </c>
      <c r="I4461" t="s">
        <v>76</v>
      </c>
      <c r="J4461" t="s">
        <v>77</v>
      </c>
      <c r="K4461" t="s">
        <v>78</v>
      </c>
      <c r="L4461" t="s">
        <v>168</v>
      </c>
      <c r="M4461" t="s">
        <v>169</v>
      </c>
      <c r="N4461" t="s">
        <v>202</v>
      </c>
      <c r="O4461" t="s">
        <v>82</v>
      </c>
      <c r="P4461" t="str">
        <f>"4170051630                    "</f>
        <v xml:space="preserve">4170051630                    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22.6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0</v>
      </c>
      <c r="BH4461">
        <v>1</v>
      </c>
      <c r="BI4461">
        <v>1</v>
      </c>
      <c r="BJ4461">
        <v>1.9</v>
      </c>
      <c r="BK4461">
        <v>2</v>
      </c>
      <c r="BL4461">
        <v>71.2</v>
      </c>
      <c r="BM4461">
        <v>10.68</v>
      </c>
      <c r="BN4461">
        <v>81.88</v>
      </c>
      <c r="BO4461">
        <v>81.88</v>
      </c>
      <c r="BQ4461" t="s">
        <v>203</v>
      </c>
      <c r="BR4461" t="s">
        <v>84</v>
      </c>
      <c r="BS4461" s="3">
        <v>45868</v>
      </c>
      <c r="BT4461" s="4">
        <v>0.4236111111111111</v>
      </c>
      <c r="BU4461" t="s">
        <v>3849</v>
      </c>
      <c r="BV4461" t="s">
        <v>98</v>
      </c>
      <c r="BY4461">
        <v>9600</v>
      </c>
      <c r="CA4461" t="s">
        <v>3850</v>
      </c>
      <c r="CC4461" t="s">
        <v>169</v>
      </c>
      <c r="CD4461">
        <v>6001</v>
      </c>
      <c r="CE4461" t="s">
        <v>110</v>
      </c>
      <c r="CF4461" s="3">
        <v>45868</v>
      </c>
      <c r="CI4461">
        <v>1</v>
      </c>
      <c r="CJ4461">
        <v>1</v>
      </c>
      <c r="CK4461">
        <v>21</v>
      </c>
      <c r="CL4461" t="s">
        <v>86</v>
      </c>
    </row>
    <row r="4462" spans="1:90" x14ac:dyDescent="0.3">
      <c r="A4462" t="s">
        <v>72</v>
      </c>
      <c r="B4462" t="s">
        <v>73</v>
      </c>
      <c r="C4462" t="s">
        <v>74</v>
      </c>
      <c r="E4462" t="str">
        <f>"080066863696"</f>
        <v>080066863696</v>
      </c>
      <c r="F4462" s="3">
        <v>45867</v>
      </c>
      <c r="G4462">
        <v>202604</v>
      </c>
      <c r="H4462" t="s">
        <v>75</v>
      </c>
      <c r="I4462" t="s">
        <v>76</v>
      </c>
      <c r="J4462" t="s">
        <v>77</v>
      </c>
      <c r="K4462" t="s">
        <v>78</v>
      </c>
      <c r="L4462" t="s">
        <v>168</v>
      </c>
      <c r="M4462" t="s">
        <v>169</v>
      </c>
      <c r="N4462" t="s">
        <v>662</v>
      </c>
      <c r="O4462" t="s">
        <v>82</v>
      </c>
      <c r="P4462" t="str">
        <f>"4170051686                    "</f>
        <v xml:space="preserve">4170051686                    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33.89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  <c r="BE4462">
        <v>0</v>
      </c>
      <c r="BF4462">
        <v>0</v>
      </c>
      <c r="BG4462">
        <v>0</v>
      </c>
      <c r="BH4462">
        <v>1</v>
      </c>
      <c r="BI4462">
        <v>3</v>
      </c>
      <c r="BJ4462">
        <v>0.7</v>
      </c>
      <c r="BK4462">
        <v>3</v>
      </c>
      <c r="BL4462">
        <v>106.77</v>
      </c>
      <c r="BM4462">
        <v>16.02</v>
      </c>
      <c r="BN4462">
        <v>122.79</v>
      </c>
      <c r="BO4462">
        <v>122.79</v>
      </c>
      <c r="BQ4462" t="s">
        <v>663</v>
      </c>
      <c r="BR4462" t="s">
        <v>84</v>
      </c>
      <c r="BS4462" s="3">
        <v>45868</v>
      </c>
      <c r="BT4462" s="4">
        <v>0.4236111111111111</v>
      </c>
      <c r="BU4462" t="s">
        <v>3851</v>
      </c>
      <c r="BV4462" t="s">
        <v>98</v>
      </c>
      <c r="BY4462">
        <v>3600</v>
      </c>
      <c r="CA4462" t="s">
        <v>2469</v>
      </c>
      <c r="CC4462" t="s">
        <v>169</v>
      </c>
      <c r="CD4462">
        <v>6001</v>
      </c>
      <c r="CE4462" t="s">
        <v>145</v>
      </c>
      <c r="CF4462" s="3">
        <v>45868</v>
      </c>
      <c r="CI4462">
        <v>1</v>
      </c>
      <c r="CJ4462">
        <v>1</v>
      </c>
      <c r="CK4462">
        <v>21</v>
      </c>
      <c r="CL4462" t="s">
        <v>86</v>
      </c>
    </row>
    <row r="4463" spans="1:90" x14ac:dyDescent="0.3">
      <c r="A4463" t="s">
        <v>72</v>
      </c>
      <c r="B4463" t="s">
        <v>73</v>
      </c>
      <c r="C4463" t="s">
        <v>74</v>
      </c>
      <c r="E4463" t="str">
        <f>"080066864209"</f>
        <v>080066864209</v>
      </c>
      <c r="F4463" s="3">
        <v>45867</v>
      </c>
      <c r="G4463">
        <v>202604</v>
      </c>
      <c r="H4463" t="s">
        <v>75</v>
      </c>
      <c r="I4463" t="s">
        <v>76</v>
      </c>
      <c r="J4463" t="s">
        <v>77</v>
      </c>
      <c r="K4463" t="s">
        <v>78</v>
      </c>
      <c r="L4463" t="s">
        <v>122</v>
      </c>
      <c r="M4463" t="s">
        <v>123</v>
      </c>
      <c r="N4463" t="s">
        <v>357</v>
      </c>
      <c r="O4463" t="s">
        <v>82</v>
      </c>
      <c r="P4463" t="str">
        <f>"4170051518                    "</f>
        <v xml:space="preserve">4170051518                    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22.6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  <c r="BH4463">
        <v>1</v>
      </c>
      <c r="BI4463">
        <v>1</v>
      </c>
      <c r="BJ4463">
        <v>1.2</v>
      </c>
      <c r="BK4463">
        <v>1.5</v>
      </c>
      <c r="BL4463">
        <v>71.2</v>
      </c>
      <c r="BM4463">
        <v>10.68</v>
      </c>
      <c r="BN4463">
        <v>81.88</v>
      </c>
      <c r="BO4463">
        <v>81.88</v>
      </c>
      <c r="BQ4463" t="s">
        <v>358</v>
      </c>
      <c r="BR4463" t="s">
        <v>84</v>
      </c>
      <c r="BS4463" s="3">
        <v>45868</v>
      </c>
      <c r="BT4463" s="4">
        <v>0.52708333333333335</v>
      </c>
      <c r="BU4463" t="s">
        <v>3424</v>
      </c>
      <c r="BV4463" t="s">
        <v>98</v>
      </c>
      <c r="BY4463">
        <v>5900</v>
      </c>
      <c r="BZ4463" t="s">
        <v>89</v>
      </c>
      <c r="CA4463" t="s">
        <v>166</v>
      </c>
      <c r="CC4463" t="s">
        <v>123</v>
      </c>
      <c r="CD4463">
        <v>3610</v>
      </c>
      <c r="CE4463" t="s">
        <v>91</v>
      </c>
      <c r="CF4463" s="3">
        <v>45868</v>
      </c>
      <c r="CI4463">
        <v>1</v>
      </c>
      <c r="CJ4463">
        <v>1</v>
      </c>
      <c r="CK4463">
        <v>21</v>
      </c>
      <c r="CL4463" t="s">
        <v>86</v>
      </c>
    </row>
    <row r="4464" spans="1:90" x14ac:dyDescent="0.3">
      <c r="A4464" t="s">
        <v>72</v>
      </c>
      <c r="B4464" t="s">
        <v>73</v>
      </c>
      <c r="C4464" t="s">
        <v>74</v>
      </c>
      <c r="E4464" t="str">
        <f>"080066865167"</f>
        <v>080066865167</v>
      </c>
      <c r="F4464" s="3">
        <v>45867</v>
      </c>
      <c r="G4464">
        <v>202604</v>
      </c>
      <c r="H4464" t="s">
        <v>75</v>
      </c>
      <c r="I4464" t="s">
        <v>76</v>
      </c>
      <c r="J4464" t="s">
        <v>77</v>
      </c>
      <c r="K4464" t="s">
        <v>78</v>
      </c>
      <c r="L4464" t="s">
        <v>168</v>
      </c>
      <c r="M4464" t="s">
        <v>169</v>
      </c>
      <c r="N4464" t="s">
        <v>206</v>
      </c>
      <c r="O4464" t="s">
        <v>95</v>
      </c>
      <c r="P4464" t="str">
        <f>"4170051753                    "</f>
        <v xml:space="preserve">4170051753                    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106.85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  <c r="BE4464">
        <v>0</v>
      </c>
      <c r="BF4464">
        <v>0</v>
      </c>
      <c r="BG4464">
        <v>0</v>
      </c>
      <c r="BH4464">
        <v>2</v>
      </c>
      <c r="BI4464">
        <v>28</v>
      </c>
      <c r="BJ4464">
        <v>49.7</v>
      </c>
      <c r="BK4464">
        <v>50</v>
      </c>
      <c r="BL4464">
        <v>342.5</v>
      </c>
      <c r="BM4464">
        <v>51.38</v>
      </c>
      <c r="BN4464">
        <v>393.88</v>
      </c>
      <c r="BO4464">
        <v>393.88</v>
      </c>
      <c r="BQ4464" t="s">
        <v>207</v>
      </c>
      <c r="BR4464" t="s">
        <v>84</v>
      </c>
      <c r="BS4464" s="3">
        <v>45869</v>
      </c>
      <c r="BT4464" s="4">
        <v>0.40416666666666667</v>
      </c>
      <c r="BU4464" t="s">
        <v>208</v>
      </c>
      <c r="BV4464" t="s">
        <v>98</v>
      </c>
      <c r="BY4464">
        <v>248400</v>
      </c>
      <c r="CA4464" t="s">
        <v>196</v>
      </c>
      <c r="CC4464" t="s">
        <v>169</v>
      </c>
      <c r="CD4464">
        <v>6001</v>
      </c>
      <c r="CE4464" t="s">
        <v>145</v>
      </c>
      <c r="CI4464">
        <v>3</v>
      </c>
      <c r="CJ4464">
        <v>2</v>
      </c>
      <c r="CK4464">
        <v>41</v>
      </c>
      <c r="CL4464" t="s">
        <v>86</v>
      </c>
    </row>
    <row r="4465" spans="1:90" x14ac:dyDescent="0.3">
      <c r="A4465" t="s">
        <v>72</v>
      </c>
      <c r="B4465" t="s">
        <v>73</v>
      </c>
      <c r="C4465" t="s">
        <v>74</v>
      </c>
      <c r="E4465" t="str">
        <f>"080066864617"</f>
        <v>080066864617</v>
      </c>
      <c r="F4465" s="3">
        <v>45867</v>
      </c>
      <c r="G4465">
        <v>202604</v>
      </c>
      <c r="H4465" t="s">
        <v>75</v>
      </c>
      <c r="I4465" t="s">
        <v>76</v>
      </c>
      <c r="J4465" t="s">
        <v>77</v>
      </c>
      <c r="K4465" t="s">
        <v>78</v>
      </c>
      <c r="L4465" t="s">
        <v>75</v>
      </c>
      <c r="M4465" t="s">
        <v>76</v>
      </c>
      <c r="N4465" t="s">
        <v>3852</v>
      </c>
      <c r="O4465" t="s">
        <v>82</v>
      </c>
      <c r="P4465" t="str">
        <f>"4170051922                    "</f>
        <v xml:space="preserve">4170051922                    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17.649999999999999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  <c r="BH4465">
        <v>1</v>
      </c>
      <c r="BI4465">
        <v>1</v>
      </c>
      <c r="BJ4465">
        <v>1.8</v>
      </c>
      <c r="BK4465">
        <v>2</v>
      </c>
      <c r="BL4465">
        <v>55.61</v>
      </c>
      <c r="BM4465">
        <v>8.34</v>
      </c>
      <c r="BN4465">
        <v>63.95</v>
      </c>
      <c r="BO4465">
        <v>63.95</v>
      </c>
      <c r="BQ4465" t="s">
        <v>3853</v>
      </c>
      <c r="BR4465" t="s">
        <v>84</v>
      </c>
      <c r="BS4465" s="3">
        <v>45868</v>
      </c>
      <c r="BT4465" s="4">
        <v>0.4375</v>
      </c>
      <c r="BU4465" t="s">
        <v>3854</v>
      </c>
      <c r="BV4465" t="s">
        <v>98</v>
      </c>
      <c r="BY4465">
        <v>8775</v>
      </c>
      <c r="CC4465" t="s">
        <v>76</v>
      </c>
      <c r="CD4465">
        <v>1644</v>
      </c>
      <c r="CE4465" t="s">
        <v>145</v>
      </c>
      <c r="CF4465" s="3">
        <v>45869</v>
      </c>
      <c r="CI4465">
        <v>1</v>
      </c>
      <c r="CJ4465">
        <v>1</v>
      </c>
      <c r="CK4465">
        <v>22</v>
      </c>
      <c r="CL4465" t="s">
        <v>86</v>
      </c>
    </row>
    <row r="4466" spans="1:90" x14ac:dyDescent="0.3">
      <c r="A4466" t="s">
        <v>72</v>
      </c>
      <c r="B4466" t="s">
        <v>73</v>
      </c>
      <c r="C4466" t="s">
        <v>74</v>
      </c>
      <c r="E4466" t="str">
        <f>"080066865112"</f>
        <v>080066865112</v>
      </c>
      <c r="F4466" s="3">
        <v>45867</v>
      </c>
      <c r="G4466">
        <v>202604</v>
      </c>
      <c r="H4466" t="s">
        <v>75</v>
      </c>
      <c r="I4466" t="s">
        <v>76</v>
      </c>
      <c r="J4466" t="s">
        <v>77</v>
      </c>
      <c r="K4466" t="s">
        <v>78</v>
      </c>
      <c r="L4466" t="s">
        <v>398</v>
      </c>
      <c r="M4466" t="s">
        <v>399</v>
      </c>
      <c r="N4466" t="s">
        <v>1957</v>
      </c>
      <c r="O4466" t="s">
        <v>82</v>
      </c>
      <c r="P4466" t="str">
        <f>"4170051839                    "</f>
        <v xml:space="preserve">4170051839                    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17.649999999999999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  <c r="BE4466">
        <v>0</v>
      </c>
      <c r="BF4466">
        <v>0</v>
      </c>
      <c r="BG4466">
        <v>0</v>
      </c>
      <c r="BH4466">
        <v>1</v>
      </c>
      <c r="BI4466">
        <v>1</v>
      </c>
      <c r="BJ4466">
        <v>0.2</v>
      </c>
      <c r="BK4466">
        <v>1</v>
      </c>
      <c r="BL4466">
        <v>55.61</v>
      </c>
      <c r="BM4466">
        <v>8.34</v>
      </c>
      <c r="BN4466">
        <v>63.95</v>
      </c>
      <c r="BO4466">
        <v>63.95</v>
      </c>
      <c r="BQ4466" t="s">
        <v>1958</v>
      </c>
      <c r="BR4466" t="s">
        <v>84</v>
      </c>
      <c r="BS4466" s="3">
        <v>45868</v>
      </c>
      <c r="BT4466" s="4">
        <v>0.35</v>
      </c>
      <c r="BU4466" t="s">
        <v>3855</v>
      </c>
      <c r="BV4466" t="s">
        <v>98</v>
      </c>
      <c r="BY4466">
        <v>1200</v>
      </c>
      <c r="CC4466" t="s">
        <v>399</v>
      </c>
      <c r="CD4466">
        <v>1502</v>
      </c>
      <c r="CE4466" t="s">
        <v>121</v>
      </c>
      <c r="CF4466" s="3">
        <v>45869</v>
      </c>
      <c r="CI4466">
        <v>1</v>
      </c>
      <c r="CJ4466">
        <v>1</v>
      </c>
      <c r="CK4466">
        <v>22</v>
      </c>
      <c r="CL4466" t="s">
        <v>86</v>
      </c>
    </row>
    <row r="4467" spans="1:90" x14ac:dyDescent="0.3">
      <c r="A4467" t="s">
        <v>72</v>
      </c>
      <c r="B4467" t="s">
        <v>73</v>
      </c>
      <c r="C4467" t="s">
        <v>74</v>
      </c>
      <c r="E4467" t="str">
        <f>"080066865116"</f>
        <v>080066865116</v>
      </c>
      <c r="F4467" s="3">
        <v>45867</v>
      </c>
      <c r="G4467">
        <v>202604</v>
      </c>
      <c r="H4467" t="s">
        <v>75</v>
      </c>
      <c r="I4467" t="s">
        <v>76</v>
      </c>
      <c r="J4467" t="s">
        <v>77</v>
      </c>
      <c r="K4467" t="s">
        <v>78</v>
      </c>
      <c r="L4467" t="s">
        <v>390</v>
      </c>
      <c r="M4467" t="s">
        <v>391</v>
      </c>
      <c r="N4467" t="s">
        <v>3639</v>
      </c>
      <c r="O4467" t="s">
        <v>82</v>
      </c>
      <c r="P4467" t="str">
        <f>"4170051918                    "</f>
        <v xml:space="preserve">4170051918                    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17.649999999999999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0</v>
      </c>
      <c r="BE4467">
        <v>0</v>
      </c>
      <c r="BF4467">
        <v>0</v>
      </c>
      <c r="BG4467">
        <v>0</v>
      </c>
      <c r="BH4467">
        <v>1</v>
      </c>
      <c r="BI4467">
        <v>2</v>
      </c>
      <c r="BJ4467">
        <v>3.5</v>
      </c>
      <c r="BK4467">
        <v>4</v>
      </c>
      <c r="BL4467">
        <v>55.61</v>
      </c>
      <c r="BM4467">
        <v>8.34</v>
      </c>
      <c r="BN4467">
        <v>63.95</v>
      </c>
      <c r="BO4467">
        <v>63.95</v>
      </c>
      <c r="BQ4467" t="s">
        <v>3640</v>
      </c>
      <c r="BR4467" t="s">
        <v>84</v>
      </c>
      <c r="BS4467" s="3">
        <v>45868</v>
      </c>
      <c r="BT4467" s="4">
        <v>0.375</v>
      </c>
      <c r="BU4467" t="s">
        <v>3641</v>
      </c>
      <c r="BV4467" t="s">
        <v>98</v>
      </c>
      <c r="BY4467">
        <v>17640</v>
      </c>
      <c r="CA4467" t="s">
        <v>3825</v>
      </c>
      <c r="CC4467" t="s">
        <v>391</v>
      </c>
      <c r="CD4467">
        <v>1724</v>
      </c>
      <c r="CE4467" t="s">
        <v>91</v>
      </c>
      <c r="CF4467" s="3">
        <v>45868</v>
      </c>
      <c r="CI4467">
        <v>1</v>
      </c>
      <c r="CJ4467">
        <v>1</v>
      </c>
      <c r="CK4467">
        <v>22</v>
      </c>
      <c r="CL4467" t="s">
        <v>86</v>
      </c>
    </row>
    <row r="4468" spans="1:90" x14ac:dyDescent="0.3">
      <c r="A4468" t="s">
        <v>72</v>
      </c>
      <c r="B4468" t="s">
        <v>73</v>
      </c>
      <c r="C4468" t="s">
        <v>74</v>
      </c>
      <c r="E4468" t="str">
        <f>"080066863717"</f>
        <v>080066863717</v>
      </c>
      <c r="F4468" s="3">
        <v>45867</v>
      </c>
      <c r="G4468">
        <v>202604</v>
      </c>
      <c r="H4468" t="s">
        <v>75</v>
      </c>
      <c r="I4468" t="s">
        <v>76</v>
      </c>
      <c r="J4468" t="s">
        <v>77</v>
      </c>
      <c r="K4468" t="s">
        <v>78</v>
      </c>
      <c r="L4468" t="s">
        <v>295</v>
      </c>
      <c r="M4468" t="s">
        <v>296</v>
      </c>
      <c r="N4468" t="s">
        <v>2507</v>
      </c>
      <c r="O4468" t="s">
        <v>311</v>
      </c>
      <c r="P4468" t="str">
        <f>"4170051547                    "</f>
        <v xml:space="preserve">4170051547                    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19.64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  <c r="BE4468">
        <v>0</v>
      </c>
      <c r="BF4468">
        <v>0</v>
      </c>
      <c r="BG4468">
        <v>0</v>
      </c>
      <c r="BH4468">
        <v>1</v>
      </c>
      <c r="BI4468">
        <v>8</v>
      </c>
      <c r="BJ4468">
        <v>8.9</v>
      </c>
      <c r="BK4468">
        <v>9</v>
      </c>
      <c r="BL4468">
        <v>61.87</v>
      </c>
      <c r="BM4468">
        <v>9.2799999999999994</v>
      </c>
      <c r="BN4468">
        <v>71.150000000000006</v>
      </c>
      <c r="BO4468">
        <v>71.150000000000006</v>
      </c>
      <c r="BQ4468" t="s">
        <v>2508</v>
      </c>
      <c r="BR4468" t="s">
        <v>84</v>
      </c>
      <c r="BS4468" s="3">
        <v>45868</v>
      </c>
      <c r="BT4468" s="4">
        <v>0.38333333333333336</v>
      </c>
      <c r="BU4468" t="s">
        <v>2509</v>
      </c>
      <c r="BV4468" t="s">
        <v>98</v>
      </c>
      <c r="BY4468">
        <v>44640</v>
      </c>
      <c r="BZ4468" t="s">
        <v>99</v>
      </c>
      <c r="CA4468" t="s">
        <v>300</v>
      </c>
      <c r="CC4468" t="s">
        <v>296</v>
      </c>
      <c r="CD4468">
        <v>1459</v>
      </c>
      <c r="CE4468" t="s">
        <v>117</v>
      </c>
      <c r="CF4468" s="3">
        <v>45869</v>
      </c>
      <c r="CI4468">
        <v>1</v>
      </c>
      <c r="CJ4468">
        <v>1</v>
      </c>
      <c r="CK4468">
        <v>32</v>
      </c>
      <c r="CL4468" t="s">
        <v>86</v>
      </c>
    </row>
    <row r="4469" spans="1:90" x14ac:dyDescent="0.3">
      <c r="A4469" t="s">
        <v>72</v>
      </c>
      <c r="B4469" t="s">
        <v>73</v>
      </c>
      <c r="C4469" t="s">
        <v>74</v>
      </c>
      <c r="E4469" t="str">
        <f>"080066863934"</f>
        <v>080066863934</v>
      </c>
      <c r="F4469" s="3">
        <v>45867</v>
      </c>
      <c r="G4469">
        <v>202604</v>
      </c>
      <c r="H4469" t="s">
        <v>75</v>
      </c>
      <c r="I4469" t="s">
        <v>76</v>
      </c>
      <c r="J4469" t="s">
        <v>77</v>
      </c>
      <c r="K4469" t="s">
        <v>78</v>
      </c>
      <c r="L4469" t="s">
        <v>542</v>
      </c>
      <c r="M4469" t="s">
        <v>543</v>
      </c>
      <c r="N4469" t="s">
        <v>3856</v>
      </c>
      <c r="O4469" t="s">
        <v>82</v>
      </c>
      <c r="P4469" t="str">
        <f>"4170051743                    "</f>
        <v xml:space="preserve">4170051743                    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17.649999999999999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  <c r="BE4469">
        <v>0</v>
      </c>
      <c r="BF4469">
        <v>0</v>
      </c>
      <c r="BG4469">
        <v>0</v>
      </c>
      <c r="BH4469">
        <v>1</v>
      </c>
      <c r="BI4469">
        <v>1</v>
      </c>
      <c r="BJ4469">
        <v>0.2</v>
      </c>
      <c r="BK4469">
        <v>1</v>
      </c>
      <c r="BL4469">
        <v>55.61</v>
      </c>
      <c r="BM4469">
        <v>8.34</v>
      </c>
      <c r="BN4469">
        <v>63.95</v>
      </c>
      <c r="BO4469">
        <v>63.95</v>
      </c>
      <c r="BQ4469" t="s">
        <v>3857</v>
      </c>
      <c r="BR4469" t="s">
        <v>84</v>
      </c>
      <c r="BS4469" s="3">
        <v>45868</v>
      </c>
      <c r="BT4469" s="4">
        <v>0.42569444444444443</v>
      </c>
      <c r="BU4469" t="s">
        <v>3858</v>
      </c>
      <c r="BV4469" t="s">
        <v>98</v>
      </c>
      <c r="BY4469">
        <v>1200</v>
      </c>
      <c r="BZ4469" t="s">
        <v>89</v>
      </c>
      <c r="CC4469" t="s">
        <v>543</v>
      </c>
      <c r="CD4469">
        <v>1451</v>
      </c>
      <c r="CE4469" t="s">
        <v>121</v>
      </c>
      <c r="CF4469" s="3">
        <v>45868</v>
      </c>
      <c r="CI4469">
        <v>1</v>
      </c>
      <c r="CJ4469">
        <v>1</v>
      </c>
      <c r="CK4469">
        <v>22</v>
      </c>
      <c r="CL4469" t="s">
        <v>86</v>
      </c>
    </row>
    <row r="4470" spans="1:90" x14ac:dyDescent="0.3">
      <c r="A4470" t="s">
        <v>72</v>
      </c>
      <c r="B4470" t="s">
        <v>73</v>
      </c>
      <c r="C4470" t="s">
        <v>74</v>
      </c>
      <c r="E4470" t="str">
        <f>"080066864639"</f>
        <v>080066864639</v>
      </c>
      <c r="F4470" s="3">
        <v>45867</v>
      </c>
      <c r="G4470">
        <v>202604</v>
      </c>
      <c r="H4470" t="s">
        <v>75</v>
      </c>
      <c r="I4470" t="s">
        <v>76</v>
      </c>
      <c r="J4470" t="s">
        <v>77</v>
      </c>
      <c r="K4470" t="s">
        <v>78</v>
      </c>
      <c r="L4470" t="s">
        <v>277</v>
      </c>
      <c r="M4470" t="s">
        <v>278</v>
      </c>
      <c r="N4470" t="s">
        <v>462</v>
      </c>
      <c r="O4470" t="s">
        <v>82</v>
      </c>
      <c r="P4470" t="str">
        <f>"4170051700                    "</f>
        <v xml:space="preserve">4170051700                    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79.05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  <c r="BE4470">
        <v>0</v>
      </c>
      <c r="BF4470">
        <v>0</v>
      </c>
      <c r="BG4470">
        <v>0</v>
      </c>
      <c r="BH4470">
        <v>1</v>
      </c>
      <c r="BI4470">
        <v>7</v>
      </c>
      <c r="BJ4470">
        <v>3.6</v>
      </c>
      <c r="BK4470">
        <v>7</v>
      </c>
      <c r="BL4470">
        <v>249.05</v>
      </c>
      <c r="BM4470">
        <v>37.36</v>
      </c>
      <c r="BN4470">
        <v>286.41000000000003</v>
      </c>
      <c r="BO4470">
        <v>286.41000000000003</v>
      </c>
      <c r="BQ4470" t="s">
        <v>463</v>
      </c>
      <c r="BR4470" t="s">
        <v>84</v>
      </c>
      <c r="BS4470" s="3">
        <v>45868</v>
      </c>
      <c r="BT4470" s="4">
        <v>0.43541666666666667</v>
      </c>
      <c r="BU4470" t="s">
        <v>464</v>
      </c>
      <c r="BV4470" t="s">
        <v>98</v>
      </c>
      <c r="BY4470">
        <v>17820</v>
      </c>
      <c r="CA4470" t="s">
        <v>282</v>
      </c>
      <c r="CC4470" t="s">
        <v>278</v>
      </c>
      <c r="CD4470">
        <v>6229</v>
      </c>
      <c r="CE4470" t="s">
        <v>145</v>
      </c>
      <c r="CF4470" s="3">
        <v>45868</v>
      </c>
      <c r="CI4470">
        <v>1</v>
      </c>
      <c r="CJ4470">
        <v>1</v>
      </c>
      <c r="CK4470">
        <v>21</v>
      </c>
      <c r="CL4470" t="s">
        <v>86</v>
      </c>
    </row>
    <row r="4471" spans="1:90" x14ac:dyDescent="0.3">
      <c r="A4471" t="s">
        <v>72</v>
      </c>
      <c r="B4471" t="s">
        <v>73</v>
      </c>
      <c r="C4471" t="s">
        <v>74</v>
      </c>
      <c r="E4471" t="str">
        <f>"080066863760"</f>
        <v>080066863760</v>
      </c>
      <c r="F4471" s="3">
        <v>45867</v>
      </c>
      <c r="G4471">
        <v>202604</v>
      </c>
      <c r="H4471" t="s">
        <v>75</v>
      </c>
      <c r="I4471" t="s">
        <v>76</v>
      </c>
      <c r="J4471" t="s">
        <v>77</v>
      </c>
      <c r="K4471" t="s">
        <v>78</v>
      </c>
      <c r="L4471" t="s">
        <v>197</v>
      </c>
      <c r="M4471" t="s">
        <v>198</v>
      </c>
      <c r="N4471" t="s">
        <v>945</v>
      </c>
      <c r="O4471" t="s">
        <v>95</v>
      </c>
      <c r="P4471" t="str">
        <f>"4170051883                    "</f>
        <v xml:space="preserve">4170051883                    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48.51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>
        <v>0</v>
      </c>
      <c r="BC4471">
        <v>0</v>
      </c>
      <c r="BD4471">
        <v>0</v>
      </c>
      <c r="BE4471">
        <v>0</v>
      </c>
      <c r="BF4471">
        <v>0</v>
      </c>
      <c r="BG4471">
        <v>0</v>
      </c>
      <c r="BH4471">
        <v>2</v>
      </c>
      <c r="BI4471">
        <v>28</v>
      </c>
      <c r="BJ4471">
        <v>29.6</v>
      </c>
      <c r="BK4471">
        <v>30</v>
      </c>
      <c r="BL4471">
        <v>158.69999999999999</v>
      </c>
      <c r="BM4471">
        <v>23.81</v>
      </c>
      <c r="BN4471">
        <v>182.51</v>
      </c>
      <c r="BO4471">
        <v>182.51</v>
      </c>
      <c r="BQ4471" t="s">
        <v>946</v>
      </c>
      <c r="BR4471" t="s">
        <v>84</v>
      </c>
      <c r="BS4471" s="3">
        <v>45868</v>
      </c>
      <c r="BT4471" s="4">
        <v>0.46875</v>
      </c>
      <c r="BU4471" t="s">
        <v>3859</v>
      </c>
      <c r="BV4471" t="s">
        <v>98</v>
      </c>
      <c r="BY4471">
        <v>74000</v>
      </c>
      <c r="BZ4471" t="s">
        <v>99</v>
      </c>
      <c r="CC4471" t="s">
        <v>198</v>
      </c>
      <c r="CD4471">
        <v>1422</v>
      </c>
      <c r="CE4471" t="s">
        <v>91</v>
      </c>
      <c r="CF4471" s="3">
        <v>45868</v>
      </c>
      <c r="CI4471">
        <v>1</v>
      </c>
      <c r="CJ4471">
        <v>1</v>
      </c>
      <c r="CK4471">
        <v>42</v>
      </c>
      <c r="CL4471" t="s">
        <v>86</v>
      </c>
    </row>
    <row r="4472" spans="1:90" x14ac:dyDescent="0.3">
      <c r="A4472" t="s">
        <v>72</v>
      </c>
      <c r="B4472" t="s">
        <v>73</v>
      </c>
      <c r="C4472" t="s">
        <v>74</v>
      </c>
      <c r="E4472" t="str">
        <f>"080066865645"</f>
        <v>080066865645</v>
      </c>
      <c r="F4472" s="3">
        <v>45867</v>
      </c>
      <c r="G4472">
        <v>202604</v>
      </c>
      <c r="H4472" t="s">
        <v>75</v>
      </c>
      <c r="I4472" t="s">
        <v>76</v>
      </c>
      <c r="J4472" t="s">
        <v>77</v>
      </c>
      <c r="K4472" t="s">
        <v>78</v>
      </c>
      <c r="L4472" t="s">
        <v>305</v>
      </c>
      <c r="M4472" t="s">
        <v>306</v>
      </c>
      <c r="N4472" t="s">
        <v>1320</v>
      </c>
      <c r="O4472" t="s">
        <v>82</v>
      </c>
      <c r="P4472" t="str">
        <f>"4170051767                    "</f>
        <v xml:space="preserve">4170051767                    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22.6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  <c r="BE4472">
        <v>0</v>
      </c>
      <c r="BF4472">
        <v>0</v>
      </c>
      <c r="BG4472">
        <v>0</v>
      </c>
      <c r="BH4472">
        <v>1</v>
      </c>
      <c r="BI4472">
        <v>1</v>
      </c>
      <c r="BJ4472">
        <v>0.2</v>
      </c>
      <c r="BK4472">
        <v>1</v>
      </c>
      <c r="BL4472">
        <v>71.2</v>
      </c>
      <c r="BM4472">
        <v>10.68</v>
      </c>
      <c r="BN4472">
        <v>81.88</v>
      </c>
      <c r="BO4472">
        <v>81.88</v>
      </c>
      <c r="BQ4472" t="s">
        <v>308</v>
      </c>
      <c r="BR4472" t="s">
        <v>84</v>
      </c>
      <c r="BS4472" s="3">
        <v>45868</v>
      </c>
      <c r="BT4472" s="4">
        <v>0.4375</v>
      </c>
      <c r="BU4472" t="s">
        <v>1378</v>
      </c>
      <c r="BV4472" t="s">
        <v>98</v>
      </c>
      <c r="BY4472">
        <v>1200</v>
      </c>
      <c r="CA4472" t="s">
        <v>310</v>
      </c>
      <c r="CC4472" t="s">
        <v>306</v>
      </c>
      <c r="CD4472">
        <v>5200</v>
      </c>
      <c r="CE4472" t="s">
        <v>121</v>
      </c>
      <c r="CF4472" s="3">
        <v>45869</v>
      </c>
      <c r="CI4472">
        <v>1</v>
      </c>
      <c r="CJ4472">
        <v>1</v>
      </c>
      <c r="CK4472">
        <v>21</v>
      </c>
      <c r="CL4472" t="s">
        <v>86</v>
      </c>
    </row>
    <row r="4473" spans="1:90" x14ac:dyDescent="0.3">
      <c r="A4473" t="s">
        <v>72</v>
      </c>
      <c r="B4473" t="s">
        <v>73</v>
      </c>
      <c r="C4473" t="s">
        <v>74</v>
      </c>
      <c r="E4473" t="str">
        <f>"080066865177"</f>
        <v>080066865177</v>
      </c>
      <c r="F4473" s="3">
        <v>45867</v>
      </c>
      <c r="G4473">
        <v>202604</v>
      </c>
      <c r="H4473" t="s">
        <v>75</v>
      </c>
      <c r="I4473" t="s">
        <v>76</v>
      </c>
      <c r="J4473" t="s">
        <v>77</v>
      </c>
      <c r="K4473" t="s">
        <v>78</v>
      </c>
      <c r="L4473" t="s">
        <v>79</v>
      </c>
      <c r="M4473" t="s">
        <v>80</v>
      </c>
      <c r="N4473" t="s">
        <v>141</v>
      </c>
      <c r="O4473" t="s">
        <v>82</v>
      </c>
      <c r="P4473" t="str">
        <f>"4170051903                    "</f>
        <v xml:space="preserve">4170051903                    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22.6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  <c r="BE4473">
        <v>0</v>
      </c>
      <c r="BF4473">
        <v>0</v>
      </c>
      <c r="BG4473">
        <v>0</v>
      </c>
      <c r="BH4473">
        <v>1</v>
      </c>
      <c r="BI4473">
        <v>1</v>
      </c>
      <c r="BJ4473">
        <v>0.2</v>
      </c>
      <c r="BK4473">
        <v>1</v>
      </c>
      <c r="BL4473">
        <v>71.2</v>
      </c>
      <c r="BM4473">
        <v>10.68</v>
      </c>
      <c r="BN4473">
        <v>81.88</v>
      </c>
      <c r="BO4473">
        <v>81.88</v>
      </c>
      <c r="BQ4473" t="s">
        <v>142</v>
      </c>
      <c r="BR4473" t="s">
        <v>84</v>
      </c>
      <c r="BS4473" s="3">
        <v>45868</v>
      </c>
      <c r="BT4473" s="4">
        <v>0.40763888888888888</v>
      </c>
      <c r="BU4473" t="s">
        <v>976</v>
      </c>
      <c r="BV4473" t="s">
        <v>98</v>
      </c>
      <c r="BY4473">
        <v>1200</v>
      </c>
      <c r="CA4473" t="s">
        <v>144</v>
      </c>
      <c r="CC4473" t="s">
        <v>80</v>
      </c>
      <c r="CD4473">
        <v>7441</v>
      </c>
      <c r="CE4473" t="s">
        <v>121</v>
      </c>
      <c r="CF4473" s="3">
        <v>45869</v>
      </c>
      <c r="CI4473">
        <v>1</v>
      </c>
      <c r="CJ4473">
        <v>1</v>
      </c>
      <c r="CK4473">
        <v>21</v>
      </c>
      <c r="CL4473" t="s">
        <v>86</v>
      </c>
    </row>
    <row r="4474" spans="1:90" x14ac:dyDescent="0.3">
      <c r="A4474" t="s">
        <v>72</v>
      </c>
      <c r="B4474" t="s">
        <v>73</v>
      </c>
      <c r="C4474" t="s">
        <v>74</v>
      </c>
      <c r="E4474" t="str">
        <f>"080066865541"</f>
        <v>080066865541</v>
      </c>
      <c r="F4474" s="3">
        <v>45867</v>
      </c>
      <c r="G4474">
        <v>202604</v>
      </c>
      <c r="H4474" t="s">
        <v>75</v>
      </c>
      <c r="I4474" t="s">
        <v>76</v>
      </c>
      <c r="J4474" t="s">
        <v>77</v>
      </c>
      <c r="K4474" t="s">
        <v>78</v>
      </c>
      <c r="L4474" t="s">
        <v>111</v>
      </c>
      <c r="M4474" t="s">
        <v>112</v>
      </c>
      <c r="N4474" t="s">
        <v>3860</v>
      </c>
      <c r="O4474" t="s">
        <v>82</v>
      </c>
      <c r="P4474" t="str">
        <f>"4170051907                    "</f>
        <v xml:space="preserve">4170051907                    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43.78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AZ4474">
        <v>0</v>
      </c>
      <c r="BA4474">
        <v>0</v>
      </c>
      <c r="BB4474">
        <v>0</v>
      </c>
      <c r="BC4474">
        <v>0</v>
      </c>
      <c r="BD4474">
        <v>0</v>
      </c>
      <c r="BE4474">
        <v>0</v>
      </c>
      <c r="BF4474">
        <v>0</v>
      </c>
      <c r="BG4474">
        <v>0</v>
      </c>
      <c r="BH4474">
        <v>1</v>
      </c>
      <c r="BI4474">
        <v>1</v>
      </c>
      <c r="BJ4474">
        <v>1.1000000000000001</v>
      </c>
      <c r="BK4474">
        <v>1.5</v>
      </c>
      <c r="BL4474">
        <v>137.94</v>
      </c>
      <c r="BM4474">
        <v>20.69</v>
      </c>
      <c r="BN4474">
        <v>158.63</v>
      </c>
      <c r="BO4474">
        <v>158.63</v>
      </c>
      <c r="BQ4474" t="s">
        <v>3861</v>
      </c>
      <c r="BR4474" t="s">
        <v>84</v>
      </c>
      <c r="BS4474" s="3">
        <v>45868</v>
      </c>
      <c r="BT4474" s="4">
        <v>0.4375</v>
      </c>
      <c r="BU4474" t="s">
        <v>3862</v>
      </c>
      <c r="BV4474" t="s">
        <v>98</v>
      </c>
      <c r="BY4474">
        <v>5320</v>
      </c>
      <c r="CA4474" t="s">
        <v>116</v>
      </c>
      <c r="CC4474" t="s">
        <v>112</v>
      </c>
      <c r="CD4474">
        <v>1961</v>
      </c>
      <c r="CE4474" t="s">
        <v>145</v>
      </c>
      <c r="CF4474" s="3">
        <v>45869</v>
      </c>
      <c r="CI4474">
        <v>1</v>
      </c>
      <c r="CJ4474">
        <v>1</v>
      </c>
      <c r="CK4474">
        <v>23</v>
      </c>
      <c r="CL4474" t="s">
        <v>86</v>
      </c>
    </row>
    <row r="4475" spans="1:90" x14ac:dyDescent="0.3">
      <c r="A4475" t="s">
        <v>72</v>
      </c>
      <c r="B4475" t="s">
        <v>73</v>
      </c>
      <c r="C4475" t="s">
        <v>74</v>
      </c>
      <c r="E4475" t="str">
        <f>"080066865367"</f>
        <v>080066865367</v>
      </c>
      <c r="F4475" s="3">
        <v>45867</v>
      </c>
      <c r="G4475">
        <v>202604</v>
      </c>
      <c r="H4475" t="s">
        <v>75</v>
      </c>
      <c r="I4475" t="s">
        <v>76</v>
      </c>
      <c r="J4475" t="s">
        <v>77</v>
      </c>
      <c r="K4475" t="s">
        <v>78</v>
      </c>
      <c r="L4475" t="s">
        <v>92</v>
      </c>
      <c r="M4475" t="s">
        <v>93</v>
      </c>
      <c r="N4475" t="s">
        <v>1805</v>
      </c>
      <c r="O4475" t="s">
        <v>82</v>
      </c>
      <c r="P4475" t="str">
        <f>"4170051817                    "</f>
        <v xml:space="preserve">4170051817                    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22.6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  <c r="BE4475">
        <v>0</v>
      </c>
      <c r="BF4475">
        <v>0</v>
      </c>
      <c r="BG4475">
        <v>0</v>
      </c>
      <c r="BH4475">
        <v>1</v>
      </c>
      <c r="BI4475">
        <v>1</v>
      </c>
      <c r="BJ4475">
        <v>0.2</v>
      </c>
      <c r="BK4475">
        <v>1</v>
      </c>
      <c r="BL4475">
        <v>71.2</v>
      </c>
      <c r="BM4475">
        <v>10.68</v>
      </c>
      <c r="BN4475">
        <v>81.88</v>
      </c>
      <c r="BO4475">
        <v>81.88</v>
      </c>
      <c r="BQ4475" t="s">
        <v>1806</v>
      </c>
      <c r="BR4475" t="s">
        <v>84</v>
      </c>
      <c r="BS4475" s="3">
        <v>45868</v>
      </c>
      <c r="BT4475" s="4">
        <v>0.37222222222222223</v>
      </c>
      <c r="BU4475" t="s">
        <v>3863</v>
      </c>
      <c r="BV4475" t="s">
        <v>98</v>
      </c>
      <c r="BY4475">
        <v>1200</v>
      </c>
      <c r="CA4475" t="s">
        <v>100</v>
      </c>
      <c r="CC4475" t="s">
        <v>93</v>
      </c>
      <c r="CD4475">
        <v>4060</v>
      </c>
      <c r="CE4475" t="s">
        <v>121</v>
      </c>
      <c r="CF4475" s="3">
        <v>45868</v>
      </c>
      <c r="CI4475">
        <v>1</v>
      </c>
      <c r="CJ4475">
        <v>1</v>
      </c>
      <c r="CK4475">
        <v>21</v>
      </c>
      <c r="CL4475" t="s">
        <v>86</v>
      </c>
    </row>
    <row r="4476" spans="1:90" x14ac:dyDescent="0.3">
      <c r="A4476" t="s">
        <v>72</v>
      </c>
      <c r="B4476" t="s">
        <v>73</v>
      </c>
      <c r="C4476" t="s">
        <v>74</v>
      </c>
      <c r="E4476" t="str">
        <f>"080066864436"</f>
        <v>080066864436</v>
      </c>
      <c r="F4476" s="3">
        <v>45867</v>
      </c>
      <c r="G4476">
        <v>202604</v>
      </c>
      <c r="H4476" t="s">
        <v>75</v>
      </c>
      <c r="I4476" t="s">
        <v>76</v>
      </c>
      <c r="J4476" t="s">
        <v>77</v>
      </c>
      <c r="K4476" t="s">
        <v>78</v>
      </c>
      <c r="L4476" t="s">
        <v>305</v>
      </c>
      <c r="M4476" t="s">
        <v>306</v>
      </c>
      <c r="N4476" t="s">
        <v>640</v>
      </c>
      <c r="O4476" t="s">
        <v>95</v>
      </c>
      <c r="P4476" t="str">
        <f>"4170051636                    "</f>
        <v xml:space="preserve">4170051636                    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47.31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  <c r="BE4476">
        <v>0</v>
      </c>
      <c r="BF4476">
        <v>0</v>
      </c>
      <c r="BG4476">
        <v>0</v>
      </c>
      <c r="BH4476">
        <v>2</v>
      </c>
      <c r="BI4476">
        <v>12</v>
      </c>
      <c r="BJ4476">
        <v>16.600000000000001</v>
      </c>
      <c r="BK4476">
        <v>17</v>
      </c>
      <c r="BL4476">
        <v>154.91999999999999</v>
      </c>
      <c r="BM4476">
        <v>23.24</v>
      </c>
      <c r="BN4476">
        <v>178.16</v>
      </c>
      <c r="BO4476">
        <v>178.16</v>
      </c>
      <c r="BQ4476" t="s">
        <v>641</v>
      </c>
      <c r="BR4476" t="s">
        <v>84</v>
      </c>
      <c r="BS4476" s="3">
        <v>45869</v>
      </c>
      <c r="BT4476" s="4">
        <v>0.4375</v>
      </c>
      <c r="BU4476" t="s">
        <v>3643</v>
      </c>
      <c r="BV4476" t="s">
        <v>98</v>
      </c>
      <c r="BY4476">
        <v>41616</v>
      </c>
      <c r="BZ4476" t="s">
        <v>99</v>
      </c>
      <c r="CA4476" t="s">
        <v>310</v>
      </c>
      <c r="CC4476" t="s">
        <v>306</v>
      </c>
      <c r="CD4476">
        <v>5201</v>
      </c>
      <c r="CE4476" t="s">
        <v>1495</v>
      </c>
      <c r="CI4476">
        <v>3</v>
      </c>
      <c r="CJ4476">
        <v>2</v>
      </c>
      <c r="CK4476">
        <v>41</v>
      </c>
      <c r="CL4476" t="s">
        <v>86</v>
      </c>
    </row>
    <row r="4477" spans="1:90" x14ac:dyDescent="0.3">
      <c r="A4477" t="s">
        <v>72</v>
      </c>
      <c r="B4477" t="s">
        <v>73</v>
      </c>
      <c r="C4477" t="s">
        <v>74</v>
      </c>
      <c r="E4477" t="str">
        <f>"080066865341"</f>
        <v>080066865341</v>
      </c>
      <c r="F4477" s="3">
        <v>45867</v>
      </c>
      <c r="G4477">
        <v>202604</v>
      </c>
      <c r="H4477" t="s">
        <v>75</v>
      </c>
      <c r="I4477" t="s">
        <v>76</v>
      </c>
      <c r="J4477" t="s">
        <v>77</v>
      </c>
      <c r="K4477" t="s">
        <v>78</v>
      </c>
      <c r="L4477" t="s">
        <v>390</v>
      </c>
      <c r="M4477" t="s">
        <v>391</v>
      </c>
      <c r="N4477" t="s">
        <v>3639</v>
      </c>
      <c r="O4477" t="s">
        <v>82</v>
      </c>
      <c r="P4477" t="str">
        <f>"4170051876                    "</f>
        <v xml:space="preserve">4170051876                    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17.649999999999999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  <c r="BE4477">
        <v>0</v>
      </c>
      <c r="BF4477">
        <v>0</v>
      </c>
      <c r="BG4477">
        <v>0</v>
      </c>
      <c r="BH4477">
        <v>1</v>
      </c>
      <c r="BI4477">
        <v>3</v>
      </c>
      <c r="BJ4477">
        <v>5.4</v>
      </c>
      <c r="BK4477">
        <v>6</v>
      </c>
      <c r="BL4477">
        <v>55.61</v>
      </c>
      <c r="BM4477">
        <v>8.34</v>
      </c>
      <c r="BN4477">
        <v>63.95</v>
      </c>
      <c r="BO4477">
        <v>63.95</v>
      </c>
      <c r="BQ4477" t="s">
        <v>3640</v>
      </c>
      <c r="BR4477" t="s">
        <v>84</v>
      </c>
      <c r="BS4477" s="3">
        <v>45868</v>
      </c>
      <c r="BT4477" s="4">
        <v>0.375</v>
      </c>
      <c r="BU4477" t="s">
        <v>3641</v>
      </c>
      <c r="BV4477" t="s">
        <v>98</v>
      </c>
      <c r="BY4477">
        <v>26928</v>
      </c>
      <c r="CA4477" t="s">
        <v>3825</v>
      </c>
      <c r="CC4477" t="s">
        <v>391</v>
      </c>
      <c r="CD4477">
        <v>1724</v>
      </c>
      <c r="CE4477" t="s">
        <v>91</v>
      </c>
      <c r="CF4477" s="3">
        <v>45868</v>
      </c>
      <c r="CI4477">
        <v>1</v>
      </c>
      <c r="CJ4477">
        <v>1</v>
      </c>
      <c r="CK4477">
        <v>22</v>
      </c>
      <c r="CL4477" t="s">
        <v>86</v>
      </c>
    </row>
    <row r="4478" spans="1:90" x14ac:dyDescent="0.3">
      <c r="A4478" t="s">
        <v>72</v>
      </c>
      <c r="B4478" t="s">
        <v>73</v>
      </c>
      <c r="C4478" t="s">
        <v>74</v>
      </c>
      <c r="E4478" t="str">
        <f>"080066865200"</f>
        <v>080066865200</v>
      </c>
      <c r="F4478" s="3">
        <v>45867</v>
      </c>
      <c r="G4478">
        <v>202604</v>
      </c>
      <c r="H4478" t="s">
        <v>75</v>
      </c>
      <c r="I4478" t="s">
        <v>76</v>
      </c>
      <c r="J4478" t="s">
        <v>77</v>
      </c>
      <c r="K4478" t="s">
        <v>78</v>
      </c>
      <c r="L4478" t="s">
        <v>390</v>
      </c>
      <c r="M4478" t="s">
        <v>391</v>
      </c>
      <c r="N4478" t="s">
        <v>1940</v>
      </c>
      <c r="O4478" t="s">
        <v>82</v>
      </c>
      <c r="P4478" t="str">
        <f>"4170051711                    "</f>
        <v xml:space="preserve">4170051711                    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17.649999999999999</v>
      </c>
      <c r="AR4478">
        <v>0</v>
      </c>
      <c r="AS4478">
        <v>0</v>
      </c>
      <c r="AT4478">
        <v>0</v>
      </c>
      <c r="AU4478">
        <v>0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  <c r="BE4478">
        <v>0</v>
      </c>
      <c r="BF4478">
        <v>0</v>
      </c>
      <c r="BG4478">
        <v>0</v>
      </c>
      <c r="BH4478">
        <v>1</v>
      </c>
      <c r="BI4478">
        <v>1</v>
      </c>
      <c r="BJ4478">
        <v>0.2</v>
      </c>
      <c r="BK4478">
        <v>1</v>
      </c>
      <c r="BL4478">
        <v>55.61</v>
      </c>
      <c r="BM4478">
        <v>8.34</v>
      </c>
      <c r="BN4478">
        <v>63.95</v>
      </c>
      <c r="BO4478">
        <v>63.95</v>
      </c>
      <c r="BQ4478" t="s">
        <v>2254</v>
      </c>
      <c r="BR4478" t="s">
        <v>84</v>
      </c>
      <c r="BS4478" s="3">
        <v>45869</v>
      </c>
      <c r="BT4478" s="4">
        <v>0.45902777777777776</v>
      </c>
      <c r="BU4478" t="s">
        <v>3864</v>
      </c>
      <c r="BV4478" t="s">
        <v>86</v>
      </c>
      <c r="BY4478">
        <v>1200</v>
      </c>
      <c r="CA4478" t="s">
        <v>3865</v>
      </c>
      <c r="CC4478" t="s">
        <v>391</v>
      </c>
      <c r="CD4478">
        <v>1724</v>
      </c>
      <c r="CE4478" t="s">
        <v>121</v>
      </c>
      <c r="CI4478">
        <v>1</v>
      </c>
      <c r="CJ4478">
        <v>2</v>
      </c>
      <c r="CK4478">
        <v>22</v>
      </c>
      <c r="CL4478" t="s">
        <v>86</v>
      </c>
    </row>
    <row r="4479" spans="1:90" x14ac:dyDescent="0.3">
      <c r="A4479" t="s">
        <v>72</v>
      </c>
      <c r="B4479" t="s">
        <v>73</v>
      </c>
      <c r="C4479" t="s">
        <v>74</v>
      </c>
      <c r="E4479" t="str">
        <f>"080066863917"</f>
        <v>080066863917</v>
      </c>
      <c r="F4479" s="3">
        <v>45867</v>
      </c>
      <c r="G4479">
        <v>202604</v>
      </c>
      <c r="H4479" t="s">
        <v>75</v>
      </c>
      <c r="I4479" t="s">
        <v>76</v>
      </c>
      <c r="J4479" t="s">
        <v>77</v>
      </c>
      <c r="K4479" t="s">
        <v>78</v>
      </c>
      <c r="L4479" t="s">
        <v>92</v>
      </c>
      <c r="M4479" t="s">
        <v>93</v>
      </c>
      <c r="N4479" t="s">
        <v>291</v>
      </c>
      <c r="O4479" t="s">
        <v>82</v>
      </c>
      <c r="P4479" t="str">
        <f>"4170051727                    "</f>
        <v xml:space="preserve">4170051727                    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22.6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  <c r="BE4479">
        <v>0</v>
      </c>
      <c r="BF4479">
        <v>0</v>
      </c>
      <c r="BG4479">
        <v>0</v>
      </c>
      <c r="BH4479">
        <v>1</v>
      </c>
      <c r="BI4479">
        <v>1</v>
      </c>
      <c r="BJ4479">
        <v>0.2</v>
      </c>
      <c r="BK4479">
        <v>1</v>
      </c>
      <c r="BL4479">
        <v>71.2</v>
      </c>
      <c r="BM4479">
        <v>10.68</v>
      </c>
      <c r="BN4479">
        <v>81.88</v>
      </c>
      <c r="BO4479">
        <v>81.88</v>
      </c>
      <c r="BQ4479" t="s">
        <v>292</v>
      </c>
      <c r="BR4479" t="s">
        <v>84</v>
      </c>
      <c r="BS4479" s="3">
        <v>45868</v>
      </c>
      <c r="BT4479" s="4">
        <v>0.33819444444444446</v>
      </c>
      <c r="BU4479" t="s">
        <v>971</v>
      </c>
      <c r="BV4479" t="s">
        <v>98</v>
      </c>
      <c r="BY4479">
        <v>1200</v>
      </c>
      <c r="BZ4479" t="s">
        <v>89</v>
      </c>
      <c r="CA4479" t="s">
        <v>294</v>
      </c>
      <c r="CC4479" t="s">
        <v>93</v>
      </c>
      <c r="CD4479">
        <v>4000</v>
      </c>
      <c r="CE4479" t="s">
        <v>239</v>
      </c>
      <c r="CF4479" s="3">
        <v>45868</v>
      </c>
      <c r="CI4479">
        <v>1</v>
      </c>
      <c r="CJ4479">
        <v>1</v>
      </c>
      <c r="CK4479">
        <v>21</v>
      </c>
      <c r="CL4479" t="s">
        <v>86</v>
      </c>
    </row>
    <row r="4480" spans="1:90" x14ac:dyDescent="0.3">
      <c r="A4480" t="s">
        <v>72</v>
      </c>
      <c r="B4480" t="s">
        <v>73</v>
      </c>
      <c r="C4480" t="s">
        <v>74</v>
      </c>
      <c r="E4480" t="str">
        <f>"080066863772"</f>
        <v>080066863772</v>
      </c>
      <c r="F4480" s="3">
        <v>45867</v>
      </c>
      <c r="G4480">
        <v>202604</v>
      </c>
      <c r="H4480" t="s">
        <v>75</v>
      </c>
      <c r="I4480" t="s">
        <v>76</v>
      </c>
      <c r="J4480" t="s">
        <v>77</v>
      </c>
      <c r="K4480" t="s">
        <v>78</v>
      </c>
      <c r="L4480" t="s">
        <v>79</v>
      </c>
      <c r="M4480" t="s">
        <v>80</v>
      </c>
      <c r="N4480" t="s">
        <v>492</v>
      </c>
      <c r="O4480" t="s">
        <v>82</v>
      </c>
      <c r="P4480" t="str">
        <f>"4170051748                    "</f>
        <v xml:space="preserve">4170051748                    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22.6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  <c r="BE4480">
        <v>0</v>
      </c>
      <c r="BF4480">
        <v>0</v>
      </c>
      <c r="BG4480">
        <v>0</v>
      </c>
      <c r="BH4480">
        <v>1</v>
      </c>
      <c r="BI4480">
        <v>1</v>
      </c>
      <c r="BJ4480">
        <v>0.2</v>
      </c>
      <c r="BK4480">
        <v>1</v>
      </c>
      <c r="BL4480">
        <v>71.2</v>
      </c>
      <c r="BM4480">
        <v>10.68</v>
      </c>
      <c r="BN4480">
        <v>81.88</v>
      </c>
      <c r="BO4480">
        <v>81.88</v>
      </c>
      <c r="BQ4480" t="s">
        <v>493</v>
      </c>
      <c r="BR4480" t="s">
        <v>84</v>
      </c>
      <c r="BS4480" s="3">
        <v>45868</v>
      </c>
      <c r="BT4480" s="4">
        <v>0.41666666666666669</v>
      </c>
      <c r="BU4480" t="s">
        <v>494</v>
      </c>
      <c r="BV4480" t="s">
        <v>98</v>
      </c>
      <c r="BY4480">
        <v>1200</v>
      </c>
      <c r="BZ4480" t="s">
        <v>89</v>
      </c>
      <c r="CA4480" t="s">
        <v>495</v>
      </c>
      <c r="CC4480" t="s">
        <v>80</v>
      </c>
      <c r="CD4480">
        <v>7800</v>
      </c>
      <c r="CE4480" t="s">
        <v>239</v>
      </c>
      <c r="CF4480" s="3">
        <v>45869</v>
      </c>
      <c r="CI4480">
        <v>1</v>
      </c>
      <c r="CJ4480">
        <v>1</v>
      </c>
      <c r="CK4480">
        <v>21</v>
      </c>
      <c r="CL4480" t="s">
        <v>86</v>
      </c>
    </row>
    <row r="4481" spans="1:90" x14ac:dyDescent="0.3">
      <c r="A4481" t="s">
        <v>72</v>
      </c>
      <c r="B4481" t="s">
        <v>73</v>
      </c>
      <c r="C4481" t="s">
        <v>74</v>
      </c>
      <c r="E4481" t="str">
        <f>"080066865183"</f>
        <v>080066865183</v>
      </c>
      <c r="F4481" s="3">
        <v>45867</v>
      </c>
      <c r="G4481">
        <v>202604</v>
      </c>
      <c r="H4481" t="s">
        <v>75</v>
      </c>
      <c r="I4481" t="s">
        <v>76</v>
      </c>
      <c r="J4481" t="s">
        <v>77</v>
      </c>
      <c r="K4481" t="s">
        <v>78</v>
      </c>
      <c r="L4481" t="s">
        <v>240</v>
      </c>
      <c r="M4481" t="s">
        <v>241</v>
      </c>
      <c r="N4481" t="s">
        <v>242</v>
      </c>
      <c r="O4481" t="s">
        <v>82</v>
      </c>
      <c r="P4481" t="str">
        <f>"4170051707                    "</f>
        <v xml:space="preserve">4170051707                    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>
        <v>17.649999999999999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  <c r="BE4481">
        <v>0</v>
      </c>
      <c r="BF4481">
        <v>0</v>
      </c>
      <c r="BG4481">
        <v>0</v>
      </c>
      <c r="BH4481">
        <v>1</v>
      </c>
      <c r="BI4481">
        <v>1</v>
      </c>
      <c r="BJ4481">
        <v>0.6</v>
      </c>
      <c r="BK4481">
        <v>1</v>
      </c>
      <c r="BL4481">
        <v>55.61</v>
      </c>
      <c r="BM4481">
        <v>8.34</v>
      </c>
      <c r="BN4481">
        <v>63.95</v>
      </c>
      <c r="BO4481">
        <v>63.95</v>
      </c>
      <c r="BQ4481" t="s">
        <v>243</v>
      </c>
      <c r="BR4481" t="s">
        <v>84</v>
      </c>
      <c r="BS4481" s="3">
        <v>45868</v>
      </c>
      <c r="BT4481" s="4">
        <v>0.39583333333333331</v>
      </c>
      <c r="BU4481" t="s">
        <v>244</v>
      </c>
      <c r="BV4481" t="s">
        <v>98</v>
      </c>
      <c r="BY4481">
        <v>3192</v>
      </c>
      <c r="CA4481" t="s">
        <v>245</v>
      </c>
      <c r="CC4481" t="s">
        <v>241</v>
      </c>
      <c r="CD4481">
        <v>2091</v>
      </c>
      <c r="CE4481" t="s">
        <v>145</v>
      </c>
      <c r="CF4481" s="3">
        <v>45869</v>
      </c>
      <c r="CI4481">
        <v>1</v>
      </c>
      <c r="CJ4481">
        <v>1</v>
      </c>
      <c r="CK4481">
        <v>22</v>
      </c>
      <c r="CL4481" t="s">
        <v>86</v>
      </c>
    </row>
    <row r="4482" spans="1:90" x14ac:dyDescent="0.3">
      <c r="A4482" t="s">
        <v>72</v>
      </c>
      <c r="B4482" t="s">
        <v>73</v>
      </c>
      <c r="C4482" t="s">
        <v>74</v>
      </c>
      <c r="E4482" t="str">
        <f>"080066865718"</f>
        <v>080066865718</v>
      </c>
      <c r="F4482" s="3">
        <v>45867</v>
      </c>
      <c r="G4482">
        <v>202604</v>
      </c>
      <c r="H4482" t="s">
        <v>75</v>
      </c>
      <c r="I4482" t="s">
        <v>76</v>
      </c>
      <c r="J4482" t="s">
        <v>77</v>
      </c>
      <c r="K4482" t="s">
        <v>78</v>
      </c>
      <c r="L4482" t="s">
        <v>168</v>
      </c>
      <c r="M4482" t="s">
        <v>169</v>
      </c>
      <c r="N4482" t="s">
        <v>3866</v>
      </c>
      <c r="O4482" t="s">
        <v>82</v>
      </c>
      <c r="P4482" t="str">
        <f>"4170051849                    "</f>
        <v xml:space="preserve">4170051849                    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22.6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0</v>
      </c>
      <c r="AZ4482">
        <v>0</v>
      </c>
      <c r="BA4482">
        <v>0</v>
      </c>
      <c r="BB4482">
        <v>0</v>
      </c>
      <c r="BC4482">
        <v>0</v>
      </c>
      <c r="BD4482">
        <v>0</v>
      </c>
      <c r="BE4482">
        <v>0</v>
      </c>
      <c r="BF4482">
        <v>0</v>
      </c>
      <c r="BG4482">
        <v>0</v>
      </c>
      <c r="BH4482">
        <v>1</v>
      </c>
      <c r="BI4482">
        <v>1</v>
      </c>
      <c r="BJ4482">
        <v>0.2</v>
      </c>
      <c r="BK4482">
        <v>1</v>
      </c>
      <c r="BL4482">
        <v>71.2</v>
      </c>
      <c r="BM4482">
        <v>10.68</v>
      </c>
      <c r="BN4482">
        <v>81.88</v>
      </c>
      <c r="BO4482">
        <v>81.88</v>
      </c>
      <c r="BQ4482" t="s">
        <v>3867</v>
      </c>
      <c r="BR4482" t="s">
        <v>84</v>
      </c>
      <c r="BS4482" s="3">
        <v>45868</v>
      </c>
      <c r="BT4482" s="4">
        <v>0.41944444444444445</v>
      </c>
      <c r="BU4482" t="s">
        <v>3868</v>
      </c>
      <c r="BV4482" t="s">
        <v>98</v>
      </c>
      <c r="BY4482">
        <v>1200</v>
      </c>
      <c r="CA4482" t="s">
        <v>1731</v>
      </c>
      <c r="CC4482" t="s">
        <v>169</v>
      </c>
      <c r="CD4482">
        <v>6001</v>
      </c>
      <c r="CE4482" t="s">
        <v>121</v>
      </c>
      <c r="CF4482" s="3">
        <v>45868</v>
      </c>
      <c r="CI4482">
        <v>1</v>
      </c>
      <c r="CJ4482">
        <v>1</v>
      </c>
      <c r="CK4482">
        <v>21</v>
      </c>
      <c r="CL4482" t="s">
        <v>86</v>
      </c>
    </row>
    <row r="4483" spans="1:90" x14ac:dyDescent="0.3">
      <c r="A4483" t="s">
        <v>72</v>
      </c>
      <c r="B4483" t="s">
        <v>73</v>
      </c>
      <c r="C4483" t="s">
        <v>74</v>
      </c>
      <c r="E4483" t="str">
        <f>"080066865170"</f>
        <v>080066865170</v>
      </c>
      <c r="F4483" s="3">
        <v>45867</v>
      </c>
      <c r="G4483">
        <v>202604</v>
      </c>
      <c r="H4483" t="s">
        <v>75</v>
      </c>
      <c r="I4483" t="s">
        <v>76</v>
      </c>
      <c r="J4483" t="s">
        <v>77</v>
      </c>
      <c r="K4483" t="s">
        <v>78</v>
      </c>
      <c r="L4483" t="s">
        <v>75</v>
      </c>
      <c r="M4483" t="s">
        <v>76</v>
      </c>
      <c r="N4483" t="s">
        <v>118</v>
      </c>
      <c r="O4483" t="s">
        <v>82</v>
      </c>
      <c r="P4483" t="str">
        <f>"4170051820                    "</f>
        <v xml:space="preserve">4170051820                    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17.649999999999999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  <c r="BE4483">
        <v>0</v>
      </c>
      <c r="BF4483">
        <v>0</v>
      </c>
      <c r="BG4483">
        <v>0</v>
      </c>
      <c r="BH4483">
        <v>1</v>
      </c>
      <c r="BI4483">
        <v>1</v>
      </c>
      <c r="BJ4483">
        <v>0.2</v>
      </c>
      <c r="BK4483">
        <v>1</v>
      </c>
      <c r="BL4483">
        <v>55.61</v>
      </c>
      <c r="BM4483">
        <v>8.34</v>
      </c>
      <c r="BN4483">
        <v>63.95</v>
      </c>
      <c r="BO4483">
        <v>63.95</v>
      </c>
      <c r="BQ4483" t="s">
        <v>119</v>
      </c>
      <c r="BR4483" t="s">
        <v>84</v>
      </c>
      <c r="BS4483" s="3">
        <v>45868</v>
      </c>
      <c r="BT4483" s="4">
        <v>0.31041666666666667</v>
      </c>
      <c r="BU4483" t="s">
        <v>212</v>
      </c>
      <c r="BV4483" t="s">
        <v>98</v>
      </c>
      <c r="BY4483">
        <v>1200</v>
      </c>
      <c r="CA4483" t="s">
        <v>213</v>
      </c>
      <c r="CC4483" t="s">
        <v>76</v>
      </c>
      <c r="CD4483">
        <v>1600</v>
      </c>
      <c r="CE4483" t="s">
        <v>121</v>
      </c>
      <c r="CF4483" s="3">
        <v>45869</v>
      </c>
      <c r="CI4483">
        <v>1</v>
      </c>
      <c r="CJ4483">
        <v>1</v>
      </c>
      <c r="CK4483">
        <v>22</v>
      </c>
      <c r="CL4483" t="s">
        <v>86</v>
      </c>
    </row>
    <row r="4484" spans="1:90" x14ac:dyDescent="0.3">
      <c r="A4484" t="s">
        <v>72</v>
      </c>
      <c r="B4484" t="s">
        <v>73</v>
      </c>
      <c r="C4484" t="s">
        <v>74</v>
      </c>
      <c r="E4484" t="str">
        <f>"080066865576"</f>
        <v>080066865576</v>
      </c>
      <c r="F4484" s="3">
        <v>45867</v>
      </c>
      <c r="G4484">
        <v>202604</v>
      </c>
      <c r="H4484" t="s">
        <v>75</v>
      </c>
      <c r="I4484" t="s">
        <v>76</v>
      </c>
      <c r="J4484" t="s">
        <v>77</v>
      </c>
      <c r="K4484" t="s">
        <v>78</v>
      </c>
      <c r="L4484" t="s">
        <v>554</v>
      </c>
      <c r="M4484" t="s">
        <v>555</v>
      </c>
      <c r="N4484" t="s">
        <v>556</v>
      </c>
      <c r="O4484" t="s">
        <v>82</v>
      </c>
      <c r="P4484" t="str">
        <f>"4170051722                    "</f>
        <v xml:space="preserve">4170051722                    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>
        <v>22.6</v>
      </c>
      <c r="AR4484">
        <v>0</v>
      </c>
      <c r="AS4484">
        <v>0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>
        <v>0</v>
      </c>
      <c r="BC4484">
        <v>0</v>
      </c>
      <c r="BD4484">
        <v>0</v>
      </c>
      <c r="BE4484">
        <v>0</v>
      </c>
      <c r="BF4484">
        <v>0</v>
      </c>
      <c r="BG4484">
        <v>0</v>
      </c>
      <c r="BH4484">
        <v>1</v>
      </c>
      <c r="BI4484">
        <v>1</v>
      </c>
      <c r="BJ4484">
        <v>0.2</v>
      </c>
      <c r="BK4484">
        <v>1</v>
      </c>
      <c r="BL4484">
        <v>71.2</v>
      </c>
      <c r="BM4484">
        <v>10.68</v>
      </c>
      <c r="BN4484">
        <v>81.88</v>
      </c>
      <c r="BO4484">
        <v>81.88</v>
      </c>
      <c r="BQ4484" t="s">
        <v>557</v>
      </c>
      <c r="BR4484" t="s">
        <v>84</v>
      </c>
      <c r="BS4484" s="3">
        <v>45868</v>
      </c>
      <c r="BT4484" s="4">
        <v>0.38472222222222224</v>
      </c>
      <c r="BU4484" t="s">
        <v>558</v>
      </c>
      <c r="BV4484" t="s">
        <v>98</v>
      </c>
      <c r="BY4484">
        <v>1200</v>
      </c>
      <c r="CA4484" t="s">
        <v>559</v>
      </c>
      <c r="CC4484" t="s">
        <v>555</v>
      </c>
      <c r="CD4484" s="5" t="s">
        <v>560</v>
      </c>
      <c r="CE4484" t="s">
        <v>121</v>
      </c>
      <c r="CF4484" s="3">
        <v>45868</v>
      </c>
      <c r="CI4484">
        <v>1</v>
      </c>
      <c r="CJ4484">
        <v>1</v>
      </c>
      <c r="CK4484">
        <v>21</v>
      </c>
      <c r="CL4484" t="s">
        <v>86</v>
      </c>
    </row>
    <row r="4485" spans="1:90" x14ac:dyDescent="0.3">
      <c r="A4485" t="s">
        <v>72</v>
      </c>
      <c r="B4485" t="s">
        <v>73</v>
      </c>
      <c r="C4485" t="s">
        <v>74</v>
      </c>
      <c r="E4485" t="str">
        <f>"080066865808"</f>
        <v>080066865808</v>
      </c>
      <c r="F4485" s="3">
        <v>45867</v>
      </c>
      <c r="G4485">
        <v>202604</v>
      </c>
      <c r="H4485" t="s">
        <v>75</v>
      </c>
      <c r="I4485" t="s">
        <v>76</v>
      </c>
      <c r="J4485" t="s">
        <v>77</v>
      </c>
      <c r="K4485" t="s">
        <v>78</v>
      </c>
      <c r="L4485" t="s">
        <v>79</v>
      </c>
      <c r="M4485" t="s">
        <v>80</v>
      </c>
      <c r="N4485" t="s">
        <v>931</v>
      </c>
      <c r="O4485" t="s">
        <v>82</v>
      </c>
      <c r="P4485" t="str">
        <f>"4170051746                    "</f>
        <v xml:space="preserve">4170051746                    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>
        <v>22.6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  <c r="BE4485">
        <v>0</v>
      </c>
      <c r="BF4485">
        <v>0</v>
      </c>
      <c r="BG4485">
        <v>0</v>
      </c>
      <c r="BH4485">
        <v>1</v>
      </c>
      <c r="BI4485">
        <v>1</v>
      </c>
      <c r="BJ4485">
        <v>0.2</v>
      </c>
      <c r="BK4485">
        <v>1</v>
      </c>
      <c r="BL4485">
        <v>71.2</v>
      </c>
      <c r="BM4485">
        <v>10.68</v>
      </c>
      <c r="BN4485">
        <v>81.88</v>
      </c>
      <c r="BO4485">
        <v>81.88</v>
      </c>
      <c r="BQ4485" t="s">
        <v>932</v>
      </c>
      <c r="BR4485" t="s">
        <v>84</v>
      </c>
      <c r="BS4485" s="3">
        <v>45868</v>
      </c>
      <c r="BT4485" s="4">
        <v>0.41944444444444445</v>
      </c>
      <c r="BU4485" t="s">
        <v>933</v>
      </c>
      <c r="BV4485" t="s">
        <v>98</v>
      </c>
      <c r="BY4485">
        <v>1200</v>
      </c>
      <c r="CA4485" t="s">
        <v>934</v>
      </c>
      <c r="CC4485" t="s">
        <v>80</v>
      </c>
      <c r="CD4485">
        <v>7535</v>
      </c>
      <c r="CE4485" t="s">
        <v>121</v>
      </c>
      <c r="CF4485" s="3">
        <v>45869</v>
      </c>
      <c r="CI4485">
        <v>1</v>
      </c>
      <c r="CJ4485">
        <v>1</v>
      </c>
      <c r="CK4485">
        <v>21</v>
      </c>
      <c r="CL4485" t="s">
        <v>86</v>
      </c>
    </row>
    <row r="4486" spans="1:90" x14ac:dyDescent="0.3">
      <c r="A4486" t="s">
        <v>72</v>
      </c>
      <c r="B4486" t="s">
        <v>73</v>
      </c>
      <c r="C4486" t="s">
        <v>74</v>
      </c>
      <c r="E4486" t="str">
        <f>"080066865431"</f>
        <v>080066865431</v>
      </c>
      <c r="F4486" s="3">
        <v>45867</v>
      </c>
      <c r="G4486">
        <v>202604</v>
      </c>
      <c r="H4486" t="s">
        <v>75</v>
      </c>
      <c r="I4486" t="s">
        <v>76</v>
      </c>
      <c r="J4486" t="s">
        <v>77</v>
      </c>
      <c r="K4486" t="s">
        <v>78</v>
      </c>
      <c r="L4486" t="s">
        <v>390</v>
      </c>
      <c r="M4486" t="s">
        <v>391</v>
      </c>
      <c r="N4486" t="s">
        <v>3639</v>
      </c>
      <c r="O4486" t="s">
        <v>82</v>
      </c>
      <c r="P4486" t="str">
        <f>"4170051917                    "</f>
        <v xml:space="preserve">4170051917                    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17.649999999999999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  <c r="BE4486">
        <v>0</v>
      </c>
      <c r="BF4486">
        <v>0</v>
      </c>
      <c r="BG4486">
        <v>0</v>
      </c>
      <c r="BH4486">
        <v>1</v>
      </c>
      <c r="BI4486">
        <v>4</v>
      </c>
      <c r="BJ4486">
        <v>5.9</v>
      </c>
      <c r="BK4486">
        <v>6</v>
      </c>
      <c r="BL4486">
        <v>55.61</v>
      </c>
      <c r="BM4486">
        <v>8.34</v>
      </c>
      <c r="BN4486">
        <v>63.95</v>
      </c>
      <c r="BO4486">
        <v>63.95</v>
      </c>
      <c r="BQ4486" t="s">
        <v>3640</v>
      </c>
      <c r="BR4486" t="s">
        <v>84</v>
      </c>
      <c r="BS4486" s="3">
        <v>45868</v>
      </c>
      <c r="BT4486" s="4">
        <v>0.375</v>
      </c>
      <c r="BU4486" t="s">
        <v>3641</v>
      </c>
      <c r="BV4486" t="s">
        <v>98</v>
      </c>
      <c r="BY4486">
        <v>29376</v>
      </c>
      <c r="CA4486" t="s">
        <v>3825</v>
      </c>
      <c r="CC4486" t="s">
        <v>391</v>
      </c>
      <c r="CD4486">
        <v>1724</v>
      </c>
      <c r="CE4486" t="s">
        <v>91</v>
      </c>
      <c r="CF4486" s="3">
        <v>45868</v>
      </c>
      <c r="CI4486">
        <v>1</v>
      </c>
      <c r="CJ4486">
        <v>1</v>
      </c>
      <c r="CK4486">
        <v>22</v>
      </c>
      <c r="CL4486" t="s">
        <v>86</v>
      </c>
    </row>
    <row r="4487" spans="1:90" x14ac:dyDescent="0.3">
      <c r="A4487" t="s">
        <v>72</v>
      </c>
      <c r="B4487" t="s">
        <v>73</v>
      </c>
      <c r="C4487" t="s">
        <v>74</v>
      </c>
      <c r="E4487" t="str">
        <f>"080066866047"</f>
        <v>080066866047</v>
      </c>
      <c r="F4487" s="3">
        <v>45867</v>
      </c>
      <c r="G4487">
        <v>202604</v>
      </c>
      <c r="H4487" t="s">
        <v>75</v>
      </c>
      <c r="I4487" t="s">
        <v>76</v>
      </c>
      <c r="J4487" t="s">
        <v>77</v>
      </c>
      <c r="K4487" t="s">
        <v>78</v>
      </c>
      <c r="L4487" t="s">
        <v>704</v>
      </c>
      <c r="M4487" t="s">
        <v>705</v>
      </c>
      <c r="N4487" t="s">
        <v>829</v>
      </c>
      <c r="O4487" t="s">
        <v>82</v>
      </c>
      <c r="P4487" t="str">
        <f>"4170051712                    "</f>
        <v xml:space="preserve">4170051712                    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83.33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  <c r="BE4487">
        <v>0</v>
      </c>
      <c r="BF4487">
        <v>0</v>
      </c>
      <c r="BG4487">
        <v>0</v>
      </c>
      <c r="BH4487">
        <v>1</v>
      </c>
      <c r="BI4487">
        <v>4</v>
      </c>
      <c r="BJ4487">
        <v>3.4</v>
      </c>
      <c r="BK4487">
        <v>4</v>
      </c>
      <c r="BL4487">
        <v>262.52999999999997</v>
      </c>
      <c r="BM4487">
        <v>39.380000000000003</v>
      </c>
      <c r="BN4487">
        <v>301.91000000000003</v>
      </c>
      <c r="BO4487">
        <v>301.91000000000003</v>
      </c>
      <c r="BQ4487" t="s">
        <v>830</v>
      </c>
      <c r="BR4487" t="s">
        <v>84</v>
      </c>
      <c r="BS4487" t="s">
        <v>587</v>
      </c>
      <c r="BW4487" t="s">
        <v>1120</v>
      </c>
      <c r="BX4487" t="s">
        <v>1420</v>
      </c>
      <c r="BY4487">
        <v>16965</v>
      </c>
      <c r="CC4487" t="s">
        <v>705</v>
      </c>
      <c r="CD4487">
        <v>6850</v>
      </c>
      <c r="CE4487" t="s">
        <v>145</v>
      </c>
      <c r="CI4487">
        <v>2</v>
      </c>
      <c r="CJ4487" t="s">
        <v>587</v>
      </c>
      <c r="CK4487">
        <v>23</v>
      </c>
      <c r="CL4487" t="s">
        <v>86</v>
      </c>
    </row>
    <row r="4488" spans="1:90" x14ac:dyDescent="0.3">
      <c r="A4488" t="s">
        <v>72</v>
      </c>
      <c r="B4488" t="s">
        <v>73</v>
      </c>
      <c r="C4488" t="s">
        <v>74</v>
      </c>
      <c r="E4488" t="str">
        <f>"080066865771"</f>
        <v>080066865771</v>
      </c>
      <c r="F4488" s="3">
        <v>45867</v>
      </c>
      <c r="G4488">
        <v>202604</v>
      </c>
      <c r="H4488" t="s">
        <v>75</v>
      </c>
      <c r="I4488" t="s">
        <v>76</v>
      </c>
      <c r="J4488" t="s">
        <v>77</v>
      </c>
      <c r="K4488" t="s">
        <v>78</v>
      </c>
      <c r="L4488" t="s">
        <v>305</v>
      </c>
      <c r="M4488" t="s">
        <v>306</v>
      </c>
      <c r="N4488" t="s">
        <v>640</v>
      </c>
      <c r="O4488" t="s">
        <v>82</v>
      </c>
      <c r="P4488" t="str">
        <f>"4170051899                    "</f>
        <v xml:space="preserve">4170051899                    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22.6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  <c r="BE4488">
        <v>0</v>
      </c>
      <c r="BF4488">
        <v>0</v>
      </c>
      <c r="BG4488">
        <v>0</v>
      </c>
      <c r="BH4488">
        <v>1</v>
      </c>
      <c r="BI4488">
        <v>1</v>
      </c>
      <c r="BJ4488">
        <v>0.2</v>
      </c>
      <c r="BK4488">
        <v>1</v>
      </c>
      <c r="BL4488">
        <v>71.2</v>
      </c>
      <c r="BM4488">
        <v>10.68</v>
      </c>
      <c r="BN4488">
        <v>81.88</v>
      </c>
      <c r="BO4488">
        <v>81.88</v>
      </c>
      <c r="BQ4488" t="s">
        <v>641</v>
      </c>
      <c r="BR4488" t="s">
        <v>84</v>
      </c>
      <c r="BS4488" s="3">
        <v>45868</v>
      </c>
      <c r="BT4488" s="4">
        <v>0.47222222222222221</v>
      </c>
      <c r="BU4488" t="s">
        <v>975</v>
      </c>
      <c r="BV4488" t="s">
        <v>86</v>
      </c>
      <c r="BY4488">
        <v>1200</v>
      </c>
      <c r="CA4488" t="s">
        <v>310</v>
      </c>
      <c r="CC4488" t="s">
        <v>306</v>
      </c>
      <c r="CD4488">
        <v>5201</v>
      </c>
      <c r="CE4488" t="s">
        <v>121</v>
      </c>
      <c r="CF4488" s="3">
        <v>45869</v>
      </c>
      <c r="CI4488">
        <v>1</v>
      </c>
      <c r="CJ4488">
        <v>1</v>
      </c>
      <c r="CK4488">
        <v>21</v>
      </c>
      <c r="CL4488" t="s">
        <v>86</v>
      </c>
    </row>
    <row r="4489" spans="1:90" x14ac:dyDescent="0.3">
      <c r="A4489" t="s">
        <v>72</v>
      </c>
      <c r="B4489" t="s">
        <v>73</v>
      </c>
      <c r="C4489" t="s">
        <v>74</v>
      </c>
      <c r="E4489" t="str">
        <f>"080066864581"</f>
        <v>080066864581</v>
      </c>
      <c r="F4489" s="3">
        <v>45867</v>
      </c>
      <c r="G4489">
        <v>202604</v>
      </c>
      <c r="H4489" t="s">
        <v>75</v>
      </c>
      <c r="I4489" t="s">
        <v>76</v>
      </c>
      <c r="J4489" t="s">
        <v>77</v>
      </c>
      <c r="K4489" t="s">
        <v>78</v>
      </c>
      <c r="L4489" t="s">
        <v>168</v>
      </c>
      <c r="M4489" t="s">
        <v>169</v>
      </c>
      <c r="N4489" t="s">
        <v>206</v>
      </c>
      <c r="O4489" t="s">
        <v>82</v>
      </c>
      <c r="P4489" t="str">
        <f>"4170046566                    "</f>
        <v xml:space="preserve">4170046566                    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22.6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0</v>
      </c>
      <c r="BA4489">
        <v>0</v>
      </c>
      <c r="BB4489">
        <v>0</v>
      </c>
      <c r="BC4489">
        <v>0</v>
      </c>
      <c r="BD4489">
        <v>0</v>
      </c>
      <c r="BE4489">
        <v>0</v>
      </c>
      <c r="BF4489">
        <v>0</v>
      </c>
      <c r="BG4489">
        <v>0</v>
      </c>
      <c r="BH4489">
        <v>1</v>
      </c>
      <c r="BI4489">
        <v>1</v>
      </c>
      <c r="BJ4489">
        <v>0.2</v>
      </c>
      <c r="BK4489">
        <v>1</v>
      </c>
      <c r="BL4489">
        <v>71.2</v>
      </c>
      <c r="BM4489">
        <v>10.68</v>
      </c>
      <c r="BN4489">
        <v>81.88</v>
      </c>
      <c r="BO4489">
        <v>81.88</v>
      </c>
      <c r="BQ4489" t="s">
        <v>207</v>
      </c>
      <c r="BR4489" t="s">
        <v>84</v>
      </c>
      <c r="BS4489" s="3">
        <v>45868</v>
      </c>
      <c r="BT4489" s="4">
        <v>0.43402777777777779</v>
      </c>
      <c r="BU4489" t="s">
        <v>290</v>
      </c>
      <c r="BV4489" t="s">
        <v>98</v>
      </c>
      <c r="BY4489">
        <v>1200</v>
      </c>
      <c r="CA4489" t="s">
        <v>196</v>
      </c>
      <c r="CC4489" t="s">
        <v>169</v>
      </c>
      <c r="CD4489">
        <v>6001</v>
      </c>
      <c r="CE4489" t="s">
        <v>121</v>
      </c>
      <c r="CF4489" s="3">
        <v>45868</v>
      </c>
      <c r="CI4489">
        <v>1</v>
      </c>
      <c r="CJ4489">
        <v>1</v>
      </c>
      <c r="CK4489">
        <v>21</v>
      </c>
      <c r="CL4489" t="s">
        <v>86</v>
      </c>
    </row>
    <row r="4490" spans="1:90" x14ac:dyDescent="0.3">
      <c r="A4490" t="s">
        <v>72</v>
      </c>
      <c r="B4490" t="s">
        <v>73</v>
      </c>
      <c r="C4490" t="s">
        <v>74</v>
      </c>
      <c r="E4490" t="str">
        <f>"080066865519"</f>
        <v>080066865519</v>
      </c>
      <c r="F4490" s="3">
        <v>45867</v>
      </c>
      <c r="G4490">
        <v>202604</v>
      </c>
      <c r="H4490" t="s">
        <v>75</v>
      </c>
      <c r="I4490" t="s">
        <v>76</v>
      </c>
      <c r="J4490" t="s">
        <v>77</v>
      </c>
      <c r="K4490" t="s">
        <v>78</v>
      </c>
      <c r="L4490" t="s">
        <v>151</v>
      </c>
      <c r="M4490" t="s">
        <v>152</v>
      </c>
      <c r="N4490" t="s">
        <v>835</v>
      </c>
      <c r="O4490" t="s">
        <v>82</v>
      </c>
      <c r="P4490" t="str">
        <f>"4170051900                    "</f>
        <v xml:space="preserve">4170051900                    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22.6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  <c r="BE4490">
        <v>0</v>
      </c>
      <c r="BF4490">
        <v>0</v>
      </c>
      <c r="BG4490">
        <v>0</v>
      </c>
      <c r="BH4490">
        <v>1</v>
      </c>
      <c r="BI4490">
        <v>1</v>
      </c>
      <c r="BJ4490">
        <v>0.2</v>
      </c>
      <c r="BK4490">
        <v>1</v>
      </c>
      <c r="BL4490">
        <v>71.2</v>
      </c>
      <c r="BM4490">
        <v>10.68</v>
      </c>
      <c r="BN4490">
        <v>81.88</v>
      </c>
      <c r="BO4490">
        <v>81.88</v>
      </c>
      <c r="BQ4490" t="s">
        <v>836</v>
      </c>
      <c r="BR4490" t="s">
        <v>84</v>
      </c>
      <c r="BS4490" s="3">
        <v>45869</v>
      </c>
      <c r="BT4490" s="4">
        <v>0.37569444444444444</v>
      </c>
      <c r="BU4490" t="s">
        <v>3869</v>
      </c>
      <c r="BV4490" t="s">
        <v>86</v>
      </c>
      <c r="BY4490">
        <v>1200</v>
      </c>
      <c r="CA4490" t="s">
        <v>3706</v>
      </c>
      <c r="CC4490" t="s">
        <v>152</v>
      </c>
      <c r="CD4490" s="5" t="s">
        <v>717</v>
      </c>
      <c r="CE4490" t="s">
        <v>121</v>
      </c>
      <c r="CI4490">
        <v>1</v>
      </c>
      <c r="CJ4490">
        <v>2</v>
      </c>
      <c r="CK4490">
        <v>21</v>
      </c>
      <c r="CL4490" t="s">
        <v>86</v>
      </c>
    </row>
    <row r="4491" spans="1:90" x14ac:dyDescent="0.3">
      <c r="A4491" t="s">
        <v>72</v>
      </c>
      <c r="B4491" t="s">
        <v>73</v>
      </c>
      <c r="C4491" t="s">
        <v>74</v>
      </c>
      <c r="E4491" t="str">
        <f>"080066863996"</f>
        <v>080066863996</v>
      </c>
      <c r="F4491" s="3">
        <v>45867</v>
      </c>
      <c r="G4491">
        <v>202604</v>
      </c>
      <c r="H4491" t="s">
        <v>75</v>
      </c>
      <c r="I4491" t="s">
        <v>76</v>
      </c>
      <c r="J4491" t="s">
        <v>77</v>
      </c>
      <c r="K4491" t="s">
        <v>78</v>
      </c>
      <c r="L4491" t="s">
        <v>168</v>
      </c>
      <c r="M4491" t="s">
        <v>169</v>
      </c>
      <c r="N4491" t="s">
        <v>1252</v>
      </c>
      <c r="O4491" t="s">
        <v>95</v>
      </c>
      <c r="P4491" t="str">
        <f>"4170051955                    "</f>
        <v xml:space="preserve">4170051955                    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>
        <v>406.34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  <c r="BE4491">
        <v>0</v>
      </c>
      <c r="BF4491">
        <v>0</v>
      </c>
      <c r="BG4491">
        <v>0</v>
      </c>
      <c r="BH4491">
        <v>3</v>
      </c>
      <c r="BI4491">
        <v>182</v>
      </c>
      <c r="BJ4491">
        <v>215.3</v>
      </c>
      <c r="BK4491">
        <v>216</v>
      </c>
      <c r="BL4491">
        <v>1286.07</v>
      </c>
      <c r="BM4491">
        <v>192.91</v>
      </c>
      <c r="BN4491">
        <v>1478.98</v>
      </c>
      <c r="BO4491">
        <v>1478.98</v>
      </c>
      <c r="BQ4491" t="s">
        <v>1545</v>
      </c>
      <c r="BR4491" t="s">
        <v>84</v>
      </c>
      <c r="BS4491" s="3">
        <v>45869</v>
      </c>
      <c r="BT4491" s="4">
        <v>0.38750000000000001</v>
      </c>
      <c r="BU4491" t="s">
        <v>3870</v>
      </c>
      <c r="BV4491" t="s">
        <v>98</v>
      </c>
      <c r="BY4491">
        <v>1076562</v>
      </c>
      <c r="BZ4491" t="s">
        <v>99</v>
      </c>
      <c r="CC4491" t="s">
        <v>169</v>
      </c>
      <c r="CD4491">
        <v>6045</v>
      </c>
      <c r="CE4491" t="s">
        <v>3871</v>
      </c>
      <c r="CF4491" s="3">
        <v>45869</v>
      </c>
      <c r="CI4491">
        <v>3</v>
      </c>
      <c r="CJ4491">
        <v>2</v>
      </c>
      <c r="CK4491">
        <v>41</v>
      </c>
      <c r="CL4491" t="s">
        <v>86</v>
      </c>
    </row>
    <row r="4492" spans="1:90" x14ac:dyDescent="0.3">
      <c r="A4492" t="s">
        <v>72</v>
      </c>
      <c r="B4492" t="s">
        <v>73</v>
      </c>
      <c r="C4492" t="s">
        <v>74</v>
      </c>
      <c r="E4492" t="str">
        <f>"080066866009"</f>
        <v>080066866009</v>
      </c>
      <c r="F4492" s="3">
        <v>45867</v>
      </c>
      <c r="G4492">
        <v>202604</v>
      </c>
      <c r="H4492" t="s">
        <v>75</v>
      </c>
      <c r="I4492" t="s">
        <v>76</v>
      </c>
      <c r="J4492" t="s">
        <v>77</v>
      </c>
      <c r="K4492" t="s">
        <v>78</v>
      </c>
      <c r="L4492" t="s">
        <v>305</v>
      </c>
      <c r="M4492" t="s">
        <v>306</v>
      </c>
      <c r="N4492" t="s">
        <v>640</v>
      </c>
      <c r="O4492" t="s">
        <v>82</v>
      </c>
      <c r="P4492" t="str">
        <f>"4170051909                    "</f>
        <v xml:space="preserve">4170051909                    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33.89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  <c r="BE4492">
        <v>0</v>
      </c>
      <c r="BF4492">
        <v>0</v>
      </c>
      <c r="BG4492">
        <v>0</v>
      </c>
      <c r="BH4492">
        <v>1</v>
      </c>
      <c r="BI4492">
        <v>3</v>
      </c>
      <c r="BJ4492">
        <v>1.9</v>
      </c>
      <c r="BK4492">
        <v>3</v>
      </c>
      <c r="BL4492">
        <v>106.77</v>
      </c>
      <c r="BM4492">
        <v>16.02</v>
      </c>
      <c r="BN4492">
        <v>122.79</v>
      </c>
      <c r="BO4492">
        <v>122.79</v>
      </c>
      <c r="BQ4492" t="s">
        <v>641</v>
      </c>
      <c r="BR4492" t="s">
        <v>84</v>
      </c>
      <c r="BS4492" s="3">
        <v>45868</v>
      </c>
      <c r="BT4492" s="4">
        <v>0.47152777777777777</v>
      </c>
      <c r="BU4492" t="s">
        <v>975</v>
      </c>
      <c r="BV4492" t="s">
        <v>86</v>
      </c>
      <c r="BY4492">
        <v>9450</v>
      </c>
      <c r="CA4492" t="s">
        <v>310</v>
      </c>
      <c r="CC4492" t="s">
        <v>306</v>
      </c>
      <c r="CD4492">
        <v>5201</v>
      </c>
      <c r="CE4492" t="s">
        <v>145</v>
      </c>
      <c r="CF4492" s="3">
        <v>45869</v>
      </c>
      <c r="CI4492">
        <v>1</v>
      </c>
      <c r="CJ4492">
        <v>1</v>
      </c>
      <c r="CK4492">
        <v>21</v>
      </c>
      <c r="CL4492" t="s">
        <v>86</v>
      </c>
    </row>
    <row r="4493" spans="1:90" x14ac:dyDescent="0.3">
      <c r="A4493" t="s">
        <v>72</v>
      </c>
      <c r="B4493" t="s">
        <v>73</v>
      </c>
      <c r="C4493" t="s">
        <v>74</v>
      </c>
      <c r="E4493" t="str">
        <f>"080066866068"</f>
        <v>080066866068</v>
      </c>
      <c r="F4493" s="3">
        <v>45867</v>
      </c>
      <c r="G4493">
        <v>202604</v>
      </c>
      <c r="H4493" t="s">
        <v>75</v>
      </c>
      <c r="I4493" t="s">
        <v>76</v>
      </c>
      <c r="J4493" t="s">
        <v>77</v>
      </c>
      <c r="K4493" t="s">
        <v>78</v>
      </c>
      <c r="L4493" t="s">
        <v>168</v>
      </c>
      <c r="M4493" t="s">
        <v>169</v>
      </c>
      <c r="N4493" t="s">
        <v>191</v>
      </c>
      <c r="O4493" t="s">
        <v>82</v>
      </c>
      <c r="P4493" t="str">
        <f>"4170051777                    "</f>
        <v xml:space="preserve">4170051777                    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22.6</v>
      </c>
      <c r="AR4493">
        <v>0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  <c r="BE4493">
        <v>0</v>
      </c>
      <c r="BF4493">
        <v>0</v>
      </c>
      <c r="BG4493">
        <v>0</v>
      </c>
      <c r="BH4493">
        <v>1</v>
      </c>
      <c r="BI4493">
        <v>1</v>
      </c>
      <c r="BJ4493">
        <v>0.2</v>
      </c>
      <c r="BK4493">
        <v>1</v>
      </c>
      <c r="BL4493">
        <v>71.2</v>
      </c>
      <c r="BM4493">
        <v>10.68</v>
      </c>
      <c r="BN4493">
        <v>81.88</v>
      </c>
      <c r="BO4493">
        <v>81.88</v>
      </c>
      <c r="BQ4493" t="s">
        <v>192</v>
      </c>
      <c r="BR4493" t="s">
        <v>84</v>
      </c>
      <c r="BS4493" s="3">
        <v>45868</v>
      </c>
      <c r="BT4493" s="4">
        <v>0.43263888888888891</v>
      </c>
      <c r="BU4493" t="s">
        <v>193</v>
      </c>
      <c r="BV4493" t="s">
        <v>98</v>
      </c>
      <c r="BY4493">
        <v>1200</v>
      </c>
      <c r="CA4493" t="s">
        <v>196</v>
      </c>
      <c r="CC4493" t="s">
        <v>169</v>
      </c>
      <c r="CD4493">
        <v>6056</v>
      </c>
      <c r="CE4493" t="s">
        <v>121</v>
      </c>
      <c r="CF4493" s="3">
        <v>45868</v>
      </c>
      <c r="CI4493">
        <v>1</v>
      </c>
      <c r="CJ4493">
        <v>1</v>
      </c>
      <c r="CK4493">
        <v>21</v>
      </c>
      <c r="CL4493" t="s">
        <v>86</v>
      </c>
    </row>
    <row r="4494" spans="1:90" x14ac:dyDescent="0.3">
      <c r="A4494" t="s">
        <v>72</v>
      </c>
      <c r="B4494" t="s">
        <v>73</v>
      </c>
      <c r="C4494" t="s">
        <v>74</v>
      </c>
      <c r="E4494" t="str">
        <f>"080066866635"</f>
        <v>080066866635</v>
      </c>
      <c r="F4494" s="3">
        <v>45867</v>
      </c>
      <c r="G4494">
        <v>202604</v>
      </c>
      <c r="H4494" t="s">
        <v>75</v>
      </c>
      <c r="I4494" t="s">
        <v>76</v>
      </c>
      <c r="J4494" t="s">
        <v>77</v>
      </c>
      <c r="K4494" t="s">
        <v>78</v>
      </c>
      <c r="L4494" t="s">
        <v>92</v>
      </c>
      <c r="M4494" t="s">
        <v>93</v>
      </c>
      <c r="N4494" t="s">
        <v>291</v>
      </c>
      <c r="O4494" t="s">
        <v>82</v>
      </c>
      <c r="P4494" t="str">
        <f>"4170051816                    "</f>
        <v xml:space="preserve">4170051816                    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22.6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0</v>
      </c>
      <c r="BA4494">
        <v>0</v>
      </c>
      <c r="BB4494">
        <v>0</v>
      </c>
      <c r="BC4494">
        <v>0</v>
      </c>
      <c r="BD4494">
        <v>0</v>
      </c>
      <c r="BE4494">
        <v>0</v>
      </c>
      <c r="BF4494">
        <v>0</v>
      </c>
      <c r="BG4494">
        <v>0</v>
      </c>
      <c r="BH4494">
        <v>1</v>
      </c>
      <c r="BI4494">
        <v>1</v>
      </c>
      <c r="BJ4494">
        <v>0.2</v>
      </c>
      <c r="BK4494">
        <v>1</v>
      </c>
      <c r="BL4494">
        <v>71.2</v>
      </c>
      <c r="BM4494">
        <v>10.68</v>
      </c>
      <c r="BN4494">
        <v>81.88</v>
      </c>
      <c r="BO4494">
        <v>81.88</v>
      </c>
      <c r="BQ4494" t="s">
        <v>292</v>
      </c>
      <c r="BR4494" t="s">
        <v>84</v>
      </c>
      <c r="BS4494" s="3">
        <v>45868</v>
      </c>
      <c r="BT4494" s="4">
        <v>0.33819444444444446</v>
      </c>
      <c r="BU4494" t="s">
        <v>971</v>
      </c>
      <c r="BV4494" t="s">
        <v>98</v>
      </c>
      <c r="BY4494">
        <v>1200</v>
      </c>
      <c r="CA4494" t="s">
        <v>294</v>
      </c>
      <c r="CC4494" t="s">
        <v>93</v>
      </c>
      <c r="CD4494">
        <v>4051</v>
      </c>
      <c r="CE4494" t="s">
        <v>121</v>
      </c>
      <c r="CF4494" s="3">
        <v>45868</v>
      </c>
      <c r="CI4494">
        <v>1</v>
      </c>
      <c r="CJ4494">
        <v>1</v>
      </c>
      <c r="CK4494">
        <v>21</v>
      </c>
      <c r="CL4494" t="s">
        <v>86</v>
      </c>
    </row>
    <row r="4495" spans="1:90" x14ac:dyDescent="0.3">
      <c r="A4495" t="s">
        <v>72</v>
      </c>
      <c r="B4495" t="s">
        <v>73</v>
      </c>
      <c r="C4495" t="s">
        <v>74</v>
      </c>
      <c r="E4495" t="str">
        <f>"080066866035"</f>
        <v>080066866035</v>
      </c>
      <c r="F4495" s="3">
        <v>45867</v>
      </c>
      <c r="G4495">
        <v>202604</v>
      </c>
      <c r="H4495" t="s">
        <v>75</v>
      </c>
      <c r="I4495" t="s">
        <v>76</v>
      </c>
      <c r="J4495" t="s">
        <v>77</v>
      </c>
      <c r="K4495" t="s">
        <v>78</v>
      </c>
      <c r="L4495" t="s">
        <v>305</v>
      </c>
      <c r="M4495" t="s">
        <v>306</v>
      </c>
      <c r="N4495" t="s">
        <v>1154</v>
      </c>
      <c r="O4495" t="s">
        <v>82</v>
      </c>
      <c r="P4495" t="str">
        <f>"4170051889                    "</f>
        <v xml:space="preserve">4170051889                    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22.6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0</v>
      </c>
      <c r="BA4495">
        <v>0</v>
      </c>
      <c r="BB4495">
        <v>0</v>
      </c>
      <c r="BC4495">
        <v>0</v>
      </c>
      <c r="BD4495">
        <v>0</v>
      </c>
      <c r="BE4495">
        <v>0</v>
      </c>
      <c r="BF4495">
        <v>0</v>
      </c>
      <c r="BG4495">
        <v>0</v>
      </c>
      <c r="BH4495">
        <v>1</v>
      </c>
      <c r="BI4495">
        <v>1</v>
      </c>
      <c r="BJ4495">
        <v>0.2</v>
      </c>
      <c r="BK4495">
        <v>1</v>
      </c>
      <c r="BL4495">
        <v>71.2</v>
      </c>
      <c r="BM4495">
        <v>10.68</v>
      </c>
      <c r="BN4495">
        <v>81.88</v>
      </c>
      <c r="BO4495">
        <v>81.88</v>
      </c>
      <c r="BQ4495" t="s">
        <v>1155</v>
      </c>
      <c r="BR4495" t="s">
        <v>84</v>
      </c>
      <c r="BS4495" s="3">
        <v>45868</v>
      </c>
      <c r="BT4495" s="4">
        <v>0.57291666666666663</v>
      </c>
      <c r="BU4495" t="s">
        <v>3872</v>
      </c>
      <c r="BV4495" t="s">
        <v>86</v>
      </c>
      <c r="BY4495">
        <v>1200</v>
      </c>
      <c r="CA4495" t="s">
        <v>1157</v>
      </c>
      <c r="CC4495" t="s">
        <v>306</v>
      </c>
      <c r="CD4495">
        <v>5200</v>
      </c>
      <c r="CE4495" t="s">
        <v>121</v>
      </c>
      <c r="CF4495" s="3">
        <v>45868</v>
      </c>
      <c r="CI4495">
        <v>1</v>
      </c>
      <c r="CJ4495">
        <v>1</v>
      </c>
      <c r="CK4495">
        <v>21</v>
      </c>
      <c r="CL4495" t="s">
        <v>86</v>
      </c>
    </row>
    <row r="4496" spans="1:90" x14ac:dyDescent="0.3">
      <c r="A4496" t="s">
        <v>72</v>
      </c>
      <c r="B4496" t="s">
        <v>73</v>
      </c>
      <c r="C4496" t="s">
        <v>74</v>
      </c>
      <c r="E4496" t="str">
        <f>"080066864257"</f>
        <v>080066864257</v>
      </c>
      <c r="F4496" s="3">
        <v>45867</v>
      </c>
      <c r="G4496">
        <v>202604</v>
      </c>
      <c r="H4496" t="s">
        <v>75</v>
      </c>
      <c r="I4496" t="s">
        <v>76</v>
      </c>
      <c r="J4496" t="s">
        <v>77</v>
      </c>
      <c r="K4496" t="s">
        <v>78</v>
      </c>
      <c r="L4496" t="s">
        <v>305</v>
      </c>
      <c r="M4496" t="s">
        <v>306</v>
      </c>
      <c r="N4496" t="s">
        <v>1320</v>
      </c>
      <c r="O4496" t="s">
        <v>82</v>
      </c>
      <c r="P4496" t="str">
        <f>"4170051915                    "</f>
        <v xml:space="preserve">4170051915                    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22.6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0</v>
      </c>
      <c r="AZ4496">
        <v>0</v>
      </c>
      <c r="BA4496">
        <v>0</v>
      </c>
      <c r="BB4496">
        <v>0</v>
      </c>
      <c r="BC4496">
        <v>0</v>
      </c>
      <c r="BD4496">
        <v>0</v>
      </c>
      <c r="BE4496">
        <v>0</v>
      </c>
      <c r="BF4496">
        <v>0</v>
      </c>
      <c r="BG4496">
        <v>0</v>
      </c>
      <c r="BH4496">
        <v>1</v>
      </c>
      <c r="BI4496">
        <v>1</v>
      </c>
      <c r="BJ4496">
        <v>1.1000000000000001</v>
      </c>
      <c r="BK4496">
        <v>1.5</v>
      </c>
      <c r="BL4496">
        <v>71.2</v>
      </c>
      <c r="BM4496">
        <v>10.68</v>
      </c>
      <c r="BN4496">
        <v>81.88</v>
      </c>
      <c r="BO4496">
        <v>81.88</v>
      </c>
      <c r="BQ4496" t="s">
        <v>308</v>
      </c>
      <c r="BR4496" t="s">
        <v>84</v>
      </c>
      <c r="BS4496" s="3">
        <v>45868</v>
      </c>
      <c r="BT4496" s="4">
        <v>0.4375</v>
      </c>
      <c r="BU4496" t="s">
        <v>309</v>
      </c>
      <c r="BV4496" t="s">
        <v>98</v>
      </c>
      <c r="BY4496">
        <v>5320</v>
      </c>
      <c r="BZ4496" t="s">
        <v>89</v>
      </c>
      <c r="CA4496" t="s">
        <v>310</v>
      </c>
      <c r="CC4496" t="s">
        <v>306</v>
      </c>
      <c r="CD4496">
        <v>5201</v>
      </c>
      <c r="CE4496" t="s">
        <v>145</v>
      </c>
      <c r="CF4496" s="3">
        <v>45869</v>
      </c>
      <c r="CI4496">
        <v>1</v>
      </c>
      <c r="CJ4496">
        <v>1</v>
      </c>
      <c r="CK4496">
        <v>21</v>
      </c>
      <c r="CL4496" t="s">
        <v>86</v>
      </c>
    </row>
    <row r="4497" spans="1:90" x14ac:dyDescent="0.3">
      <c r="A4497" t="s">
        <v>72</v>
      </c>
      <c r="B4497" t="s">
        <v>73</v>
      </c>
      <c r="C4497" t="s">
        <v>74</v>
      </c>
      <c r="E4497" t="str">
        <f>"080066866122"</f>
        <v>080066866122</v>
      </c>
      <c r="F4497" s="3">
        <v>45867</v>
      </c>
      <c r="G4497">
        <v>202604</v>
      </c>
      <c r="H4497" t="s">
        <v>75</v>
      </c>
      <c r="I4497" t="s">
        <v>76</v>
      </c>
      <c r="J4497" t="s">
        <v>77</v>
      </c>
      <c r="K4497" t="s">
        <v>78</v>
      </c>
      <c r="L4497" t="s">
        <v>2990</v>
      </c>
      <c r="M4497" t="s">
        <v>2991</v>
      </c>
      <c r="N4497" t="s">
        <v>2992</v>
      </c>
      <c r="O4497" t="s">
        <v>82</v>
      </c>
      <c r="P4497" t="str">
        <f>"4170051949                    "</f>
        <v xml:space="preserve">4170051949                    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43.78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>
        <v>0</v>
      </c>
      <c r="BC4497">
        <v>0</v>
      </c>
      <c r="BD4497">
        <v>0</v>
      </c>
      <c r="BE4497">
        <v>0</v>
      </c>
      <c r="BF4497">
        <v>0</v>
      </c>
      <c r="BG4497">
        <v>0</v>
      </c>
      <c r="BH4497">
        <v>1</v>
      </c>
      <c r="BI4497">
        <v>1</v>
      </c>
      <c r="BJ4497">
        <v>0.2</v>
      </c>
      <c r="BK4497">
        <v>1</v>
      </c>
      <c r="BL4497">
        <v>137.94</v>
      </c>
      <c r="BM4497">
        <v>20.69</v>
      </c>
      <c r="BN4497">
        <v>158.63</v>
      </c>
      <c r="BO4497">
        <v>158.63</v>
      </c>
      <c r="BQ4497" t="s">
        <v>2993</v>
      </c>
      <c r="BR4497" t="s">
        <v>84</v>
      </c>
      <c r="BS4497" s="3">
        <v>45868</v>
      </c>
      <c r="BT4497" s="4">
        <v>0.47847222222222224</v>
      </c>
      <c r="BU4497" t="s">
        <v>2542</v>
      </c>
      <c r="BV4497" t="s">
        <v>98</v>
      </c>
      <c r="BY4497">
        <v>1200</v>
      </c>
      <c r="CA4497" t="s">
        <v>2150</v>
      </c>
      <c r="CC4497" t="s">
        <v>2991</v>
      </c>
      <c r="CD4497">
        <v>7129</v>
      </c>
      <c r="CE4497" t="s">
        <v>121</v>
      </c>
      <c r="CF4497" s="3">
        <v>45869</v>
      </c>
      <c r="CI4497">
        <v>1</v>
      </c>
      <c r="CJ4497">
        <v>1</v>
      </c>
      <c r="CK4497">
        <v>23</v>
      </c>
      <c r="CL4497" t="s">
        <v>86</v>
      </c>
    </row>
    <row r="4498" spans="1:90" x14ac:dyDescent="0.3">
      <c r="A4498" t="s">
        <v>72</v>
      </c>
      <c r="B4498" t="s">
        <v>73</v>
      </c>
      <c r="C4498" t="s">
        <v>74</v>
      </c>
      <c r="E4498" t="str">
        <f>"080066865230"</f>
        <v>080066865230</v>
      </c>
      <c r="F4498" s="3">
        <v>45867</v>
      </c>
      <c r="G4498">
        <v>202604</v>
      </c>
      <c r="H4498" t="s">
        <v>75</v>
      </c>
      <c r="I4498" t="s">
        <v>76</v>
      </c>
      <c r="J4498" t="s">
        <v>77</v>
      </c>
      <c r="K4498" t="s">
        <v>78</v>
      </c>
      <c r="L4498" t="s">
        <v>79</v>
      </c>
      <c r="M4498" t="s">
        <v>80</v>
      </c>
      <c r="N4498" t="s">
        <v>141</v>
      </c>
      <c r="O4498" t="s">
        <v>82</v>
      </c>
      <c r="P4498" t="str">
        <f>"4170051887                    "</f>
        <v xml:space="preserve">4170051887                    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22.6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AZ4498">
        <v>0</v>
      </c>
      <c r="BA4498">
        <v>0</v>
      </c>
      <c r="BB4498">
        <v>0</v>
      </c>
      <c r="BC4498">
        <v>0</v>
      </c>
      <c r="BD4498">
        <v>0</v>
      </c>
      <c r="BE4498">
        <v>0</v>
      </c>
      <c r="BF4498">
        <v>0</v>
      </c>
      <c r="BG4498">
        <v>0</v>
      </c>
      <c r="BH4498">
        <v>1</v>
      </c>
      <c r="BI4498">
        <v>1</v>
      </c>
      <c r="BJ4498">
        <v>0.2</v>
      </c>
      <c r="BK4498">
        <v>1</v>
      </c>
      <c r="BL4498">
        <v>71.2</v>
      </c>
      <c r="BM4498">
        <v>10.68</v>
      </c>
      <c r="BN4498">
        <v>81.88</v>
      </c>
      <c r="BO4498">
        <v>81.88</v>
      </c>
      <c r="BQ4498" t="s">
        <v>142</v>
      </c>
      <c r="BR4498" t="s">
        <v>84</v>
      </c>
      <c r="BS4498" s="3">
        <v>45868</v>
      </c>
      <c r="BT4498" s="4">
        <v>0.40763888888888888</v>
      </c>
      <c r="BU4498" t="s">
        <v>976</v>
      </c>
      <c r="BV4498" t="s">
        <v>98</v>
      </c>
      <c r="BY4498">
        <v>1200</v>
      </c>
      <c r="CA4498" t="s">
        <v>144</v>
      </c>
      <c r="CC4498" t="s">
        <v>80</v>
      </c>
      <c r="CD4498">
        <v>7441</v>
      </c>
      <c r="CE4498" t="s">
        <v>121</v>
      </c>
      <c r="CF4498" s="3">
        <v>45869</v>
      </c>
      <c r="CI4498">
        <v>1</v>
      </c>
      <c r="CJ4498">
        <v>1</v>
      </c>
      <c r="CK4498">
        <v>21</v>
      </c>
      <c r="CL4498" t="s">
        <v>86</v>
      </c>
    </row>
    <row r="4499" spans="1:90" x14ac:dyDescent="0.3">
      <c r="A4499" t="s">
        <v>72</v>
      </c>
      <c r="B4499" t="s">
        <v>73</v>
      </c>
      <c r="C4499" t="s">
        <v>74</v>
      </c>
      <c r="E4499" t="str">
        <f>"080066865669"</f>
        <v>080066865669</v>
      </c>
      <c r="F4499" s="3">
        <v>45867</v>
      </c>
      <c r="G4499">
        <v>202604</v>
      </c>
      <c r="H4499" t="s">
        <v>75</v>
      </c>
      <c r="I4499" t="s">
        <v>76</v>
      </c>
      <c r="J4499" t="s">
        <v>77</v>
      </c>
      <c r="K4499" t="s">
        <v>78</v>
      </c>
      <c r="L4499" t="s">
        <v>305</v>
      </c>
      <c r="M4499" t="s">
        <v>306</v>
      </c>
      <c r="N4499" t="s">
        <v>640</v>
      </c>
      <c r="O4499" t="s">
        <v>82</v>
      </c>
      <c r="P4499" t="str">
        <f>"4170051810                    "</f>
        <v xml:space="preserve">4170051810                    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22.6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0</v>
      </c>
      <c r="BB4499">
        <v>0</v>
      </c>
      <c r="BC4499">
        <v>0</v>
      </c>
      <c r="BD4499">
        <v>0</v>
      </c>
      <c r="BE4499">
        <v>0</v>
      </c>
      <c r="BF4499">
        <v>0</v>
      </c>
      <c r="BG4499">
        <v>0</v>
      </c>
      <c r="BH4499">
        <v>1</v>
      </c>
      <c r="BI4499">
        <v>1</v>
      </c>
      <c r="BJ4499">
        <v>0.2</v>
      </c>
      <c r="BK4499">
        <v>1</v>
      </c>
      <c r="BL4499">
        <v>71.2</v>
      </c>
      <c r="BM4499">
        <v>10.68</v>
      </c>
      <c r="BN4499">
        <v>81.88</v>
      </c>
      <c r="BO4499">
        <v>81.88</v>
      </c>
      <c r="BQ4499" t="s">
        <v>641</v>
      </c>
      <c r="BR4499" t="s">
        <v>84</v>
      </c>
      <c r="BS4499" s="3">
        <v>45868</v>
      </c>
      <c r="BT4499" s="4">
        <v>0.47222222222222221</v>
      </c>
      <c r="BU4499" t="s">
        <v>975</v>
      </c>
      <c r="BV4499" t="s">
        <v>86</v>
      </c>
      <c r="BY4499">
        <v>1200</v>
      </c>
      <c r="CA4499" t="s">
        <v>310</v>
      </c>
      <c r="CC4499" t="s">
        <v>306</v>
      </c>
      <c r="CD4499">
        <v>5201</v>
      </c>
      <c r="CE4499" t="s">
        <v>121</v>
      </c>
      <c r="CF4499" s="3">
        <v>45869</v>
      </c>
      <c r="CI4499">
        <v>1</v>
      </c>
      <c r="CJ4499">
        <v>1</v>
      </c>
      <c r="CK4499">
        <v>21</v>
      </c>
      <c r="CL4499" t="s">
        <v>86</v>
      </c>
    </row>
    <row r="4500" spans="1:90" x14ac:dyDescent="0.3">
      <c r="A4500" t="s">
        <v>72</v>
      </c>
      <c r="B4500" t="s">
        <v>73</v>
      </c>
      <c r="C4500" t="s">
        <v>74</v>
      </c>
      <c r="E4500" t="str">
        <f>"080066865426"</f>
        <v>080066865426</v>
      </c>
      <c r="F4500" s="3">
        <v>45867</v>
      </c>
      <c r="G4500">
        <v>202604</v>
      </c>
      <c r="H4500" t="s">
        <v>75</v>
      </c>
      <c r="I4500" t="s">
        <v>76</v>
      </c>
      <c r="J4500" t="s">
        <v>77</v>
      </c>
      <c r="K4500" t="s">
        <v>78</v>
      </c>
      <c r="L4500" t="s">
        <v>554</v>
      </c>
      <c r="M4500" t="s">
        <v>555</v>
      </c>
      <c r="N4500" t="s">
        <v>556</v>
      </c>
      <c r="O4500" t="s">
        <v>82</v>
      </c>
      <c r="P4500" t="str">
        <f>"4170051725                    "</f>
        <v xml:space="preserve">4170051725                    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>
        <v>22.6</v>
      </c>
      <c r="AR4500">
        <v>0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AZ4500">
        <v>0</v>
      </c>
      <c r="BA4500">
        <v>0</v>
      </c>
      <c r="BB4500">
        <v>0</v>
      </c>
      <c r="BC4500">
        <v>0</v>
      </c>
      <c r="BD4500">
        <v>0</v>
      </c>
      <c r="BE4500">
        <v>0</v>
      </c>
      <c r="BF4500">
        <v>0</v>
      </c>
      <c r="BG4500">
        <v>0</v>
      </c>
      <c r="BH4500">
        <v>1</v>
      </c>
      <c r="BI4500">
        <v>1</v>
      </c>
      <c r="BJ4500">
        <v>0.2</v>
      </c>
      <c r="BK4500">
        <v>1</v>
      </c>
      <c r="BL4500">
        <v>71.2</v>
      </c>
      <c r="BM4500">
        <v>10.68</v>
      </c>
      <c r="BN4500">
        <v>81.88</v>
      </c>
      <c r="BO4500">
        <v>81.88</v>
      </c>
      <c r="BQ4500" t="s">
        <v>557</v>
      </c>
      <c r="BR4500" t="s">
        <v>84</v>
      </c>
      <c r="BS4500" s="3">
        <v>45868</v>
      </c>
      <c r="BT4500" s="4">
        <v>0.59305555555555556</v>
      </c>
      <c r="BU4500" t="s">
        <v>3873</v>
      </c>
      <c r="BV4500" t="s">
        <v>86</v>
      </c>
      <c r="BW4500" t="s">
        <v>395</v>
      </c>
      <c r="BX4500" t="s">
        <v>1972</v>
      </c>
      <c r="BY4500">
        <v>1200</v>
      </c>
      <c r="CA4500" t="s">
        <v>3874</v>
      </c>
      <c r="CC4500" t="s">
        <v>555</v>
      </c>
      <c r="CD4500" s="5" t="s">
        <v>560</v>
      </c>
      <c r="CE4500" t="s">
        <v>121</v>
      </c>
      <c r="CF4500" s="3">
        <v>45868</v>
      </c>
      <c r="CI4500">
        <v>1</v>
      </c>
      <c r="CJ4500">
        <v>1</v>
      </c>
      <c r="CK4500">
        <v>21</v>
      </c>
      <c r="CL4500" t="s">
        <v>86</v>
      </c>
    </row>
    <row r="4501" spans="1:90" x14ac:dyDescent="0.3">
      <c r="A4501" t="s">
        <v>72</v>
      </c>
      <c r="B4501" t="s">
        <v>73</v>
      </c>
      <c r="C4501" t="s">
        <v>74</v>
      </c>
      <c r="E4501" t="str">
        <f>"080066865159"</f>
        <v>080066865159</v>
      </c>
      <c r="F4501" s="3">
        <v>45867</v>
      </c>
      <c r="G4501">
        <v>202604</v>
      </c>
      <c r="H4501" t="s">
        <v>75</v>
      </c>
      <c r="I4501" t="s">
        <v>76</v>
      </c>
      <c r="J4501" t="s">
        <v>77</v>
      </c>
      <c r="K4501" t="s">
        <v>78</v>
      </c>
      <c r="L4501" t="s">
        <v>75</v>
      </c>
      <c r="M4501" t="s">
        <v>76</v>
      </c>
      <c r="N4501" t="s">
        <v>562</v>
      </c>
      <c r="O4501" t="s">
        <v>82</v>
      </c>
      <c r="P4501" t="str">
        <f>"4170051755                    "</f>
        <v xml:space="preserve">4170051755                    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17.649999999999999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0</v>
      </c>
      <c r="AX4501">
        <v>0</v>
      </c>
      <c r="AY4501">
        <v>0</v>
      </c>
      <c r="AZ4501">
        <v>0</v>
      </c>
      <c r="BA4501">
        <v>0</v>
      </c>
      <c r="BB4501">
        <v>0</v>
      </c>
      <c r="BC4501">
        <v>0</v>
      </c>
      <c r="BD4501">
        <v>0</v>
      </c>
      <c r="BE4501">
        <v>0</v>
      </c>
      <c r="BF4501">
        <v>0</v>
      </c>
      <c r="BG4501">
        <v>0</v>
      </c>
      <c r="BH4501">
        <v>1</v>
      </c>
      <c r="BI4501">
        <v>1</v>
      </c>
      <c r="BJ4501">
        <v>0.2</v>
      </c>
      <c r="BK4501">
        <v>1</v>
      </c>
      <c r="BL4501">
        <v>55.61</v>
      </c>
      <c r="BM4501">
        <v>8.34</v>
      </c>
      <c r="BN4501">
        <v>63.95</v>
      </c>
      <c r="BO4501">
        <v>63.95</v>
      </c>
      <c r="BQ4501" t="s">
        <v>563</v>
      </c>
      <c r="BR4501" t="s">
        <v>84</v>
      </c>
      <c r="BS4501" s="3">
        <v>45868</v>
      </c>
      <c r="BT4501" s="4">
        <v>0.4375</v>
      </c>
      <c r="BU4501" t="s">
        <v>2155</v>
      </c>
      <c r="BV4501" t="s">
        <v>98</v>
      </c>
      <c r="BY4501">
        <v>1200</v>
      </c>
      <c r="CA4501" t="s">
        <v>565</v>
      </c>
      <c r="CC4501" t="s">
        <v>76</v>
      </c>
      <c r="CD4501">
        <v>1619</v>
      </c>
      <c r="CE4501" t="s">
        <v>121</v>
      </c>
      <c r="CF4501" s="3">
        <v>45869</v>
      </c>
      <c r="CI4501">
        <v>1</v>
      </c>
      <c r="CJ4501">
        <v>1</v>
      </c>
      <c r="CK4501">
        <v>22</v>
      </c>
      <c r="CL4501" t="s">
        <v>86</v>
      </c>
    </row>
    <row r="4502" spans="1:90" x14ac:dyDescent="0.3">
      <c r="A4502" t="s">
        <v>72</v>
      </c>
      <c r="B4502" t="s">
        <v>73</v>
      </c>
      <c r="C4502" t="s">
        <v>74</v>
      </c>
      <c r="E4502" t="str">
        <f>"080066866910"</f>
        <v>080066866910</v>
      </c>
      <c r="F4502" s="3">
        <v>45867</v>
      </c>
      <c r="G4502">
        <v>202604</v>
      </c>
      <c r="H4502" t="s">
        <v>75</v>
      </c>
      <c r="I4502" t="s">
        <v>76</v>
      </c>
      <c r="J4502" t="s">
        <v>77</v>
      </c>
      <c r="K4502" t="s">
        <v>78</v>
      </c>
      <c r="L4502" t="s">
        <v>135</v>
      </c>
      <c r="M4502" t="s">
        <v>136</v>
      </c>
      <c r="N4502" t="s">
        <v>416</v>
      </c>
      <c r="O4502" t="s">
        <v>82</v>
      </c>
      <c r="P4502" t="str">
        <f>"4170051829                    "</f>
        <v xml:space="preserve">4170051829                    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22.6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  <c r="BA4502">
        <v>0</v>
      </c>
      <c r="BB4502">
        <v>0</v>
      </c>
      <c r="BC4502">
        <v>0</v>
      </c>
      <c r="BD4502">
        <v>0</v>
      </c>
      <c r="BE4502">
        <v>0</v>
      </c>
      <c r="BF4502">
        <v>0</v>
      </c>
      <c r="BG4502">
        <v>0</v>
      </c>
      <c r="BH4502">
        <v>1</v>
      </c>
      <c r="BI4502">
        <v>2</v>
      </c>
      <c r="BJ4502">
        <v>0.7</v>
      </c>
      <c r="BK4502">
        <v>2</v>
      </c>
      <c r="BL4502">
        <v>71.2</v>
      </c>
      <c r="BM4502">
        <v>10.68</v>
      </c>
      <c r="BN4502">
        <v>81.88</v>
      </c>
      <c r="BO4502">
        <v>81.88</v>
      </c>
      <c r="BQ4502" t="s">
        <v>417</v>
      </c>
      <c r="BR4502" t="s">
        <v>84</v>
      </c>
      <c r="BS4502" s="3">
        <v>45868</v>
      </c>
      <c r="BT4502" s="4">
        <v>0.625</v>
      </c>
      <c r="BU4502" t="s">
        <v>1741</v>
      </c>
      <c r="BV4502" t="s">
        <v>86</v>
      </c>
      <c r="BY4502">
        <v>3552</v>
      </c>
      <c r="CC4502" t="s">
        <v>136</v>
      </c>
      <c r="CD4502">
        <v>3201</v>
      </c>
      <c r="CE4502" t="s">
        <v>91</v>
      </c>
      <c r="CF4502" s="3">
        <v>45869</v>
      </c>
      <c r="CI4502">
        <v>1</v>
      </c>
      <c r="CJ4502">
        <v>1</v>
      </c>
      <c r="CK4502">
        <v>21</v>
      </c>
      <c r="CL4502" t="s">
        <v>86</v>
      </c>
    </row>
    <row r="4503" spans="1:90" x14ac:dyDescent="0.3">
      <c r="A4503" t="s">
        <v>72</v>
      </c>
      <c r="B4503" t="s">
        <v>73</v>
      </c>
      <c r="C4503" t="s">
        <v>74</v>
      </c>
      <c r="E4503" t="str">
        <f>"080066865138"</f>
        <v>080066865138</v>
      </c>
      <c r="F4503" s="3">
        <v>45867</v>
      </c>
      <c r="G4503">
        <v>202604</v>
      </c>
      <c r="H4503" t="s">
        <v>75</v>
      </c>
      <c r="I4503" t="s">
        <v>76</v>
      </c>
      <c r="J4503" t="s">
        <v>77</v>
      </c>
      <c r="K4503" t="s">
        <v>78</v>
      </c>
      <c r="L4503" t="s">
        <v>75</v>
      </c>
      <c r="M4503" t="s">
        <v>76</v>
      </c>
      <c r="N4503" t="s">
        <v>1855</v>
      </c>
      <c r="O4503" t="s">
        <v>82</v>
      </c>
      <c r="P4503" t="str">
        <f>"4170051879                    "</f>
        <v xml:space="preserve">4170051879                    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>
        <v>17.649999999999999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AZ4503">
        <v>0</v>
      </c>
      <c r="BA4503">
        <v>0</v>
      </c>
      <c r="BB4503">
        <v>0</v>
      </c>
      <c r="BC4503">
        <v>0</v>
      </c>
      <c r="BD4503">
        <v>0</v>
      </c>
      <c r="BE4503">
        <v>0</v>
      </c>
      <c r="BF4503">
        <v>0</v>
      </c>
      <c r="BG4503">
        <v>0</v>
      </c>
      <c r="BH4503">
        <v>1</v>
      </c>
      <c r="BI4503">
        <v>1</v>
      </c>
      <c r="BJ4503">
        <v>0.2</v>
      </c>
      <c r="BK4503">
        <v>1</v>
      </c>
      <c r="BL4503">
        <v>55.61</v>
      </c>
      <c r="BM4503">
        <v>8.34</v>
      </c>
      <c r="BN4503">
        <v>63.95</v>
      </c>
      <c r="BO4503">
        <v>63.95</v>
      </c>
      <c r="BQ4503" t="s">
        <v>1856</v>
      </c>
      <c r="BR4503" t="s">
        <v>84</v>
      </c>
      <c r="BS4503" s="3">
        <v>45868</v>
      </c>
      <c r="BT4503" s="4">
        <v>0.40833333333333333</v>
      </c>
      <c r="BU4503" t="s">
        <v>3875</v>
      </c>
      <c r="BV4503" t="s">
        <v>98</v>
      </c>
      <c r="BY4503">
        <v>1200</v>
      </c>
      <c r="CA4503" t="s">
        <v>304</v>
      </c>
      <c r="CC4503" t="s">
        <v>76</v>
      </c>
      <c r="CD4503">
        <v>1600</v>
      </c>
      <c r="CE4503" t="s">
        <v>121</v>
      </c>
      <c r="CF4503" s="3">
        <v>45869</v>
      </c>
      <c r="CI4503">
        <v>1</v>
      </c>
      <c r="CJ4503">
        <v>1</v>
      </c>
      <c r="CK4503">
        <v>22</v>
      </c>
      <c r="CL4503" t="s">
        <v>86</v>
      </c>
    </row>
    <row r="4504" spans="1:90" x14ac:dyDescent="0.3">
      <c r="A4504" t="s">
        <v>72</v>
      </c>
      <c r="B4504" t="s">
        <v>73</v>
      </c>
      <c r="C4504" t="s">
        <v>74</v>
      </c>
      <c r="E4504" t="str">
        <f>"080066865218"</f>
        <v>080066865218</v>
      </c>
      <c r="F4504" s="3">
        <v>45867</v>
      </c>
      <c r="G4504">
        <v>202604</v>
      </c>
      <c r="H4504" t="s">
        <v>75</v>
      </c>
      <c r="I4504" t="s">
        <v>76</v>
      </c>
      <c r="J4504" t="s">
        <v>77</v>
      </c>
      <c r="K4504" t="s">
        <v>78</v>
      </c>
      <c r="L4504" t="s">
        <v>240</v>
      </c>
      <c r="M4504" t="s">
        <v>241</v>
      </c>
      <c r="N4504" t="s">
        <v>779</v>
      </c>
      <c r="O4504" t="s">
        <v>82</v>
      </c>
      <c r="P4504" t="str">
        <f>"4170051852                    "</f>
        <v xml:space="preserve">4170051852                    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17.649999999999999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  <c r="AZ4504">
        <v>0</v>
      </c>
      <c r="BA4504">
        <v>0</v>
      </c>
      <c r="BB4504">
        <v>0</v>
      </c>
      <c r="BC4504">
        <v>0</v>
      </c>
      <c r="BD4504">
        <v>0</v>
      </c>
      <c r="BE4504">
        <v>0</v>
      </c>
      <c r="BF4504">
        <v>0</v>
      </c>
      <c r="BG4504">
        <v>0</v>
      </c>
      <c r="BH4504">
        <v>1</v>
      </c>
      <c r="BI4504">
        <v>1</v>
      </c>
      <c r="BJ4504">
        <v>0.2</v>
      </c>
      <c r="BK4504">
        <v>1</v>
      </c>
      <c r="BL4504">
        <v>55.61</v>
      </c>
      <c r="BM4504">
        <v>8.34</v>
      </c>
      <c r="BN4504">
        <v>63.95</v>
      </c>
      <c r="BO4504">
        <v>63.95</v>
      </c>
      <c r="BQ4504" t="s">
        <v>780</v>
      </c>
      <c r="BR4504" t="s">
        <v>84</v>
      </c>
      <c r="BS4504" s="3">
        <v>45868</v>
      </c>
      <c r="BT4504" s="4">
        <v>0.43611111111111112</v>
      </c>
      <c r="BU4504" t="s">
        <v>2875</v>
      </c>
      <c r="BV4504" t="s">
        <v>98</v>
      </c>
      <c r="BY4504">
        <v>1200</v>
      </c>
      <c r="CA4504" t="s">
        <v>2876</v>
      </c>
      <c r="CC4504" t="s">
        <v>241</v>
      </c>
      <c r="CD4504">
        <v>2092</v>
      </c>
      <c r="CE4504" t="s">
        <v>121</v>
      </c>
      <c r="CF4504" s="3">
        <v>45869</v>
      </c>
      <c r="CI4504">
        <v>1</v>
      </c>
      <c r="CJ4504">
        <v>1</v>
      </c>
      <c r="CK4504">
        <v>22</v>
      </c>
      <c r="CL4504" t="s">
        <v>86</v>
      </c>
    </row>
    <row r="4505" spans="1:90" x14ac:dyDescent="0.3">
      <c r="A4505" t="s">
        <v>72</v>
      </c>
      <c r="B4505" t="s">
        <v>73</v>
      </c>
      <c r="C4505" t="s">
        <v>74</v>
      </c>
      <c r="E4505" t="str">
        <f>"080066866003"</f>
        <v>080066866003</v>
      </c>
      <c r="F4505" s="3">
        <v>45867</v>
      </c>
      <c r="G4505">
        <v>202604</v>
      </c>
      <c r="H4505" t="s">
        <v>75</v>
      </c>
      <c r="I4505" t="s">
        <v>76</v>
      </c>
      <c r="J4505" t="s">
        <v>77</v>
      </c>
      <c r="K4505" t="s">
        <v>78</v>
      </c>
      <c r="L4505" t="s">
        <v>168</v>
      </c>
      <c r="M4505" t="s">
        <v>169</v>
      </c>
      <c r="N4505" t="s">
        <v>487</v>
      </c>
      <c r="O4505" t="s">
        <v>82</v>
      </c>
      <c r="P4505" t="str">
        <f>"4170051790                    "</f>
        <v xml:space="preserve">4170051790                    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>
        <v>22.6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0</v>
      </c>
      <c r="BA4505">
        <v>0</v>
      </c>
      <c r="BB4505">
        <v>0</v>
      </c>
      <c r="BC4505">
        <v>0</v>
      </c>
      <c r="BD4505">
        <v>0</v>
      </c>
      <c r="BE4505">
        <v>0</v>
      </c>
      <c r="BF4505">
        <v>0</v>
      </c>
      <c r="BG4505">
        <v>0</v>
      </c>
      <c r="BH4505">
        <v>1</v>
      </c>
      <c r="BI4505">
        <v>1</v>
      </c>
      <c r="BJ4505">
        <v>0.2</v>
      </c>
      <c r="BK4505">
        <v>1</v>
      </c>
      <c r="BL4505">
        <v>71.2</v>
      </c>
      <c r="BM4505">
        <v>10.68</v>
      </c>
      <c r="BN4505">
        <v>81.88</v>
      </c>
      <c r="BO4505">
        <v>81.88</v>
      </c>
      <c r="BQ4505" t="s">
        <v>488</v>
      </c>
      <c r="BR4505" t="s">
        <v>84</v>
      </c>
      <c r="BS4505" s="3">
        <v>45868</v>
      </c>
      <c r="BT4505" s="4">
        <v>0.41736111111111113</v>
      </c>
      <c r="BU4505" t="s">
        <v>2693</v>
      </c>
      <c r="BV4505" t="s">
        <v>98</v>
      </c>
      <c r="BY4505">
        <v>1200</v>
      </c>
      <c r="CA4505" t="s">
        <v>415</v>
      </c>
      <c r="CC4505" t="s">
        <v>169</v>
      </c>
      <c r="CD4505">
        <v>6012</v>
      </c>
      <c r="CE4505" t="s">
        <v>121</v>
      </c>
      <c r="CF4505" s="3">
        <v>45868</v>
      </c>
      <c r="CI4505">
        <v>1</v>
      </c>
      <c r="CJ4505">
        <v>1</v>
      </c>
      <c r="CK4505">
        <v>21</v>
      </c>
      <c r="CL4505" t="s">
        <v>86</v>
      </c>
    </row>
    <row r="4506" spans="1:90" x14ac:dyDescent="0.3">
      <c r="A4506" t="s">
        <v>72</v>
      </c>
      <c r="B4506" t="s">
        <v>73</v>
      </c>
      <c r="C4506" t="s">
        <v>74</v>
      </c>
      <c r="E4506" t="str">
        <f>"080066865601"</f>
        <v>080066865601</v>
      </c>
      <c r="F4506" s="3">
        <v>45867</v>
      </c>
      <c r="G4506">
        <v>202604</v>
      </c>
      <c r="H4506" t="s">
        <v>75</v>
      </c>
      <c r="I4506" t="s">
        <v>76</v>
      </c>
      <c r="J4506" t="s">
        <v>77</v>
      </c>
      <c r="K4506" t="s">
        <v>78</v>
      </c>
      <c r="L4506" t="s">
        <v>305</v>
      </c>
      <c r="M4506" t="s">
        <v>306</v>
      </c>
      <c r="N4506" t="s">
        <v>640</v>
      </c>
      <c r="O4506" t="s">
        <v>82</v>
      </c>
      <c r="P4506" t="str">
        <f>"4170051916                    "</f>
        <v xml:space="preserve">4170051916                    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>
        <v>22.6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0</v>
      </c>
      <c r="BA4506">
        <v>0</v>
      </c>
      <c r="BB4506">
        <v>0</v>
      </c>
      <c r="BC4506">
        <v>0</v>
      </c>
      <c r="BD4506">
        <v>0</v>
      </c>
      <c r="BE4506">
        <v>0</v>
      </c>
      <c r="BF4506">
        <v>0</v>
      </c>
      <c r="BG4506">
        <v>0</v>
      </c>
      <c r="BH4506">
        <v>1</v>
      </c>
      <c r="BI4506">
        <v>1</v>
      </c>
      <c r="BJ4506">
        <v>0.2</v>
      </c>
      <c r="BK4506">
        <v>1</v>
      </c>
      <c r="BL4506">
        <v>71.2</v>
      </c>
      <c r="BM4506">
        <v>10.68</v>
      </c>
      <c r="BN4506">
        <v>81.88</v>
      </c>
      <c r="BO4506">
        <v>81.88</v>
      </c>
      <c r="BQ4506" t="s">
        <v>641</v>
      </c>
      <c r="BR4506" t="s">
        <v>84</v>
      </c>
      <c r="BS4506" s="3">
        <v>45868</v>
      </c>
      <c r="BT4506" s="4">
        <v>0.45833333333333331</v>
      </c>
      <c r="BU4506" t="s">
        <v>975</v>
      </c>
      <c r="BV4506" t="s">
        <v>86</v>
      </c>
      <c r="BY4506">
        <v>1200</v>
      </c>
      <c r="CA4506" t="s">
        <v>310</v>
      </c>
      <c r="CC4506" t="s">
        <v>306</v>
      </c>
      <c r="CD4506">
        <v>5201</v>
      </c>
      <c r="CE4506" t="s">
        <v>121</v>
      </c>
      <c r="CF4506" s="3">
        <v>45869</v>
      </c>
      <c r="CI4506">
        <v>1</v>
      </c>
      <c r="CJ4506">
        <v>1</v>
      </c>
      <c r="CK4506">
        <v>21</v>
      </c>
      <c r="CL4506" t="s">
        <v>86</v>
      </c>
    </row>
    <row r="4507" spans="1:90" x14ac:dyDescent="0.3">
      <c r="A4507" t="s">
        <v>72</v>
      </c>
      <c r="B4507" t="s">
        <v>73</v>
      </c>
      <c r="C4507" t="s">
        <v>74</v>
      </c>
      <c r="E4507" t="str">
        <f>"080066866266"</f>
        <v>080066866266</v>
      </c>
      <c r="F4507" s="3">
        <v>45867</v>
      </c>
      <c r="G4507">
        <v>202604</v>
      </c>
      <c r="H4507" t="s">
        <v>75</v>
      </c>
      <c r="I4507" t="s">
        <v>76</v>
      </c>
      <c r="J4507" t="s">
        <v>77</v>
      </c>
      <c r="K4507" t="s">
        <v>78</v>
      </c>
      <c r="L4507" t="s">
        <v>277</v>
      </c>
      <c r="M4507" t="s">
        <v>278</v>
      </c>
      <c r="N4507" t="s">
        <v>462</v>
      </c>
      <c r="O4507" t="s">
        <v>82</v>
      </c>
      <c r="P4507" t="str">
        <f>"4170051897                    "</f>
        <v xml:space="preserve">4170051897                    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>
        <v>22.6</v>
      </c>
      <c r="AR4507">
        <v>0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AZ4507">
        <v>0</v>
      </c>
      <c r="BA4507">
        <v>0</v>
      </c>
      <c r="BB4507">
        <v>0</v>
      </c>
      <c r="BC4507">
        <v>0</v>
      </c>
      <c r="BD4507">
        <v>0</v>
      </c>
      <c r="BE4507">
        <v>0</v>
      </c>
      <c r="BF4507">
        <v>0</v>
      </c>
      <c r="BG4507">
        <v>0</v>
      </c>
      <c r="BH4507">
        <v>1</v>
      </c>
      <c r="BI4507">
        <v>1</v>
      </c>
      <c r="BJ4507">
        <v>1.1000000000000001</v>
      </c>
      <c r="BK4507">
        <v>1.5</v>
      </c>
      <c r="BL4507">
        <v>71.2</v>
      </c>
      <c r="BM4507">
        <v>10.68</v>
      </c>
      <c r="BN4507">
        <v>81.88</v>
      </c>
      <c r="BO4507">
        <v>81.88</v>
      </c>
      <c r="BQ4507" t="s">
        <v>463</v>
      </c>
      <c r="BR4507" t="s">
        <v>84</v>
      </c>
      <c r="BS4507" s="3">
        <v>45868</v>
      </c>
      <c r="BT4507" s="4">
        <v>0.43541666666666667</v>
      </c>
      <c r="BU4507" t="s">
        <v>464</v>
      </c>
      <c r="BV4507" t="s">
        <v>98</v>
      </c>
      <c r="BY4507">
        <v>5320</v>
      </c>
      <c r="CA4507" t="s">
        <v>282</v>
      </c>
      <c r="CC4507" t="s">
        <v>278</v>
      </c>
      <c r="CD4507">
        <v>6229</v>
      </c>
      <c r="CE4507" t="s">
        <v>145</v>
      </c>
      <c r="CF4507" s="3">
        <v>45868</v>
      </c>
      <c r="CI4507">
        <v>1</v>
      </c>
      <c r="CJ4507">
        <v>1</v>
      </c>
      <c r="CK4507">
        <v>21</v>
      </c>
      <c r="CL4507" t="s">
        <v>86</v>
      </c>
    </row>
    <row r="4508" spans="1:90" x14ac:dyDescent="0.3">
      <c r="A4508" t="s">
        <v>72</v>
      </c>
      <c r="B4508" t="s">
        <v>73</v>
      </c>
      <c r="C4508" t="s">
        <v>74</v>
      </c>
      <c r="E4508" t="str">
        <f>"080066866212"</f>
        <v>080066866212</v>
      </c>
      <c r="F4508" s="3">
        <v>45867</v>
      </c>
      <c r="G4508">
        <v>202604</v>
      </c>
      <c r="H4508" t="s">
        <v>75</v>
      </c>
      <c r="I4508" t="s">
        <v>76</v>
      </c>
      <c r="J4508" t="s">
        <v>77</v>
      </c>
      <c r="K4508" t="s">
        <v>78</v>
      </c>
      <c r="L4508" t="s">
        <v>554</v>
      </c>
      <c r="M4508" t="s">
        <v>555</v>
      </c>
      <c r="N4508" t="s">
        <v>556</v>
      </c>
      <c r="O4508" t="s">
        <v>82</v>
      </c>
      <c r="P4508" t="str">
        <f>"4170051720                    "</f>
        <v xml:space="preserve">4170051720                    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>
        <v>22.6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0</v>
      </c>
      <c r="BA4508">
        <v>0</v>
      </c>
      <c r="BB4508">
        <v>0</v>
      </c>
      <c r="BC4508">
        <v>0</v>
      </c>
      <c r="BD4508">
        <v>0</v>
      </c>
      <c r="BE4508">
        <v>0</v>
      </c>
      <c r="BF4508">
        <v>0</v>
      </c>
      <c r="BG4508">
        <v>0</v>
      </c>
      <c r="BH4508">
        <v>1</v>
      </c>
      <c r="BI4508">
        <v>2</v>
      </c>
      <c r="BJ4508">
        <v>1.1000000000000001</v>
      </c>
      <c r="BK4508">
        <v>2</v>
      </c>
      <c r="BL4508">
        <v>71.2</v>
      </c>
      <c r="BM4508">
        <v>10.68</v>
      </c>
      <c r="BN4508">
        <v>81.88</v>
      </c>
      <c r="BO4508">
        <v>81.88</v>
      </c>
      <c r="BQ4508" t="s">
        <v>557</v>
      </c>
      <c r="BR4508" t="s">
        <v>84</v>
      </c>
      <c r="BS4508" s="3">
        <v>45868</v>
      </c>
      <c r="BT4508" s="4">
        <v>0.38541666666666669</v>
      </c>
      <c r="BU4508" t="s">
        <v>558</v>
      </c>
      <c r="BV4508" t="s">
        <v>98</v>
      </c>
      <c r="BY4508">
        <v>5320</v>
      </c>
      <c r="CA4508" t="s">
        <v>559</v>
      </c>
      <c r="CC4508" t="s">
        <v>555</v>
      </c>
      <c r="CD4508" s="5" t="s">
        <v>560</v>
      </c>
      <c r="CE4508" t="s">
        <v>145</v>
      </c>
      <c r="CF4508" s="3">
        <v>45868</v>
      </c>
      <c r="CI4508">
        <v>1</v>
      </c>
      <c r="CJ4508">
        <v>1</v>
      </c>
      <c r="CK4508">
        <v>21</v>
      </c>
      <c r="CL4508" t="s">
        <v>86</v>
      </c>
    </row>
    <row r="4509" spans="1:90" x14ac:dyDescent="0.3">
      <c r="A4509" t="s">
        <v>72</v>
      </c>
      <c r="B4509" t="s">
        <v>73</v>
      </c>
      <c r="C4509" t="s">
        <v>74</v>
      </c>
      <c r="E4509" t="str">
        <f>"080066865140"</f>
        <v>080066865140</v>
      </c>
      <c r="F4509" s="3">
        <v>45867</v>
      </c>
      <c r="G4509">
        <v>202604</v>
      </c>
      <c r="H4509" t="s">
        <v>75</v>
      </c>
      <c r="I4509" t="s">
        <v>76</v>
      </c>
      <c r="J4509" t="s">
        <v>77</v>
      </c>
      <c r="K4509" t="s">
        <v>78</v>
      </c>
      <c r="L4509" t="s">
        <v>102</v>
      </c>
      <c r="M4509" t="s">
        <v>103</v>
      </c>
      <c r="N4509" t="s">
        <v>104</v>
      </c>
      <c r="O4509" t="s">
        <v>82</v>
      </c>
      <c r="P4509" t="str">
        <f>"4170051884                    "</f>
        <v xml:space="preserve">4170051884                    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>
        <v>31.78</v>
      </c>
      <c r="AR4509">
        <v>0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AZ4509">
        <v>0</v>
      </c>
      <c r="BA4509">
        <v>0</v>
      </c>
      <c r="BB4509">
        <v>0</v>
      </c>
      <c r="BC4509">
        <v>0</v>
      </c>
      <c r="BD4509">
        <v>0</v>
      </c>
      <c r="BE4509">
        <v>0</v>
      </c>
      <c r="BF4509">
        <v>0</v>
      </c>
      <c r="BG4509">
        <v>0</v>
      </c>
      <c r="BH4509">
        <v>1</v>
      </c>
      <c r="BI4509">
        <v>1</v>
      </c>
      <c r="BJ4509">
        <v>1.4</v>
      </c>
      <c r="BK4509">
        <v>1.5</v>
      </c>
      <c r="BL4509">
        <v>100.13</v>
      </c>
      <c r="BM4509">
        <v>15.02</v>
      </c>
      <c r="BN4509">
        <v>115.15</v>
      </c>
      <c r="BO4509">
        <v>115.15</v>
      </c>
      <c r="BQ4509" t="s">
        <v>833</v>
      </c>
      <c r="BR4509" t="s">
        <v>84</v>
      </c>
      <c r="BS4509" s="3">
        <v>45868</v>
      </c>
      <c r="BT4509" s="4">
        <v>0.37291666666666667</v>
      </c>
      <c r="BU4509" t="s">
        <v>107</v>
      </c>
      <c r="BV4509" t="s">
        <v>98</v>
      </c>
      <c r="BY4509">
        <v>7000</v>
      </c>
      <c r="CA4509" t="s">
        <v>109</v>
      </c>
      <c r="CC4509" t="s">
        <v>103</v>
      </c>
      <c r="CD4509">
        <v>1748</v>
      </c>
      <c r="CE4509" t="s">
        <v>145</v>
      </c>
      <c r="CF4509" s="3">
        <v>45868</v>
      </c>
      <c r="CI4509">
        <v>1</v>
      </c>
      <c r="CJ4509">
        <v>1</v>
      </c>
      <c r="CK4509">
        <v>24</v>
      </c>
      <c r="CL4509" t="s">
        <v>86</v>
      </c>
    </row>
    <row r="4510" spans="1:90" x14ac:dyDescent="0.3">
      <c r="A4510" t="s">
        <v>72</v>
      </c>
      <c r="B4510" t="s">
        <v>73</v>
      </c>
      <c r="C4510" t="s">
        <v>74</v>
      </c>
      <c r="E4510" t="str">
        <f>"080066866096"</f>
        <v>080066866096</v>
      </c>
      <c r="F4510" s="3">
        <v>45867</v>
      </c>
      <c r="G4510">
        <v>202604</v>
      </c>
      <c r="H4510" t="s">
        <v>75</v>
      </c>
      <c r="I4510" t="s">
        <v>76</v>
      </c>
      <c r="J4510" t="s">
        <v>77</v>
      </c>
      <c r="K4510" t="s">
        <v>78</v>
      </c>
      <c r="L4510" t="s">
        <v>79</v>
      </c>
      <c r="M4510" t="s">
        <v>80</v>
      </c>
      <c r="N4510" t="s">
        <v>1101</v>
      </c>
      <c r="O4510" t="s">
        <v>82</v>
      </c>
      <c r="P4510" t="str">
        <f>"4170051860                    "</f>
        <v xml:space="preserve">4170051860                    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22.6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0</v>
      </c>
      <c r="BA4510">
        <v>0</v>
      </c>
      <c r="BB4510">
        <v>0</v>
      </c>
      <c r="BC4510">
        <v>0</v>
      </c>
      <c r="BD4510">
        <v>0</v>
      </c>
      <c r="BE4510">
        <v>0</v>
      </c>
      <c r="BF4510">
        <v>0</v>
      </c>
      <c r="BG4510">
        <v>0</v>
      </c>
      <c r="BH4510">
        <v>1</v>
      </c>
      <c r="BI4510">
        <v>2</v>
      </c>
      <c r="BJ4510">
        <v>1.7</v>
      </c>
      <c r="BK4510">
        <v>2</v>
      </c>
      <c r="BL4510">
        <v>71.2</v>
      </c>
      <c r="BM4510">
        <v>10.68</v>
      </c>
      <c r="BN4510">
        <v>81.88</v>
      </c>
      <c r="BO4510">
        <v>81.88</v>
      </c>
      <c r="BQ4510" t="s">
        <v>1102</v>
      </c>
      <c r="BR4510" t="s">
        <v>84</v>
      </c>
      <c r="BS4510" s="3">
        <v>45868</v>
      </c>
      <c r="BT4510" s="4">
        <v>0.35208333333333336</v>
      </c>
      <c r="BU4510" t="s">
        <v>2071</v>
      </c>
      <c r="BV4510" t="s">
        <v>98</v>
      </c>
      <c r="BY4510">
        <v>8550</v>
      </c>
      <c r="CA4510" t="s">
        <v>289</v>
      </c>
      <c r="CC4510" t="s">
        <v>80</v>
      </c>
      <c r="CD4510">
        <v>7530</v>
      </c>
      <c r="CE4510" t="s">
        <v>145</v>
      </c>
      <c r="CF4510" s="3">
        <v>45869</v>
      </c>
      <c r="CI4510">
        <v>1</v>
      </c>
      <c r="CJ4510">
        <v>1</v>
      </c>
      <c r="CK4510">
        <v>21</v>
      </c>
      <c r="CL4510" t="s">
        <v>86</v>
      </c>
    </row>
    <row r="4511" spans="1:90" x14ac:dyDescent="0.3">
      <c r="A4511" t="s">
        <v>72</v>
      </c>
      <c r="B4511" t="s">
        <v>73</v>
      </c>
      <c r="C4511" t="s">
        <v>74</v>
      </c>
      <c r="E4511" t="str">
        <f>"080066866659"</f>
        <v>080066866659</v>
      </c>
      <c r="F4511" s="3">
        <v>45867</v>
      </c>
      <c r="G4511">
        <v>202604</v>
      </c>
      <c r="H4511" t="s">
        <v>75</v>
      </c>
      <c r="I4511" t="s">
        <v>76</v>
      </c>
      <c r="J4511" t="s">
        <v>77</v>
      </c>
      <c r="K4511" t="s">
        <v>78</v>
      </c>
      <c r="L4511" t="s">
        <v>277</v>
      </c>
      <c r="M4511" t="s">
        <v>278</v>
      </c>
      <c r="N4511" t="s">
        <v>279</v>
      </c>
      <c r="O4511" t="s">
        <v>82</v>
      </c>
      <c r="P4511" t="str">
        <f>"4170051831                    "</f>
        <v xml:space="preserve">4170051831                    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22.6</v>
      </c>
      <c r="AR4511">
        <v>0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AZ4511">
        <v>0</v>
      </c>
      <c r="BA4511">
        <v>0</v>
      </c>
      <c r="BB4511">
        <v>0</v>
      </c>
      <c r="BC4511">
        <v>0</v>
      </c>
      <c r="BD4511">
        <v>0</v>
      </c>
      <c r="BE4511">
        <v>0</v>
      </c>
      <c r="BF4511">
        <v>0</v>
      </c>
      <c r="BG4511">
        <v>0</v>
      </c>
      <c r="BH4511">
        <v>1</v>
      </c>
      <c r="BI4511">
        <v>1</v>
      </c>
      <c r="BJ4511">
        <v>0.2</v>
      </c>
      <c r="BK4511">
        <v>1</v>
      </c>
      <c r="BL4511">
        <v>71.2</v>
      </c>
      <c r="BM4511">
        <v>10.68</v>
      </c>
      <c r="BN4511">
        <v>81.88</v>
      </c>
      <c r="BO4511">
        <v>81.88</v>
      </c>
      <c r="BQ4511" t="s">
        <v>280</v>
      </c>
      <c r="BR4511" t="s">
        <v>84</v>
      </c>
      <c r="BS4511" s="3">
        <v>45868</v>
      </c>
      <c r="BT4511" s="4">
        <v>0.41805555555555557</v>
      </c>
      <c r="BU4511" t="s">
        <v>1124</v>
      </c>
      <c r="BV4511" t="s">
        <v>98</v>
      </c>
      <c r="BY4511">
        <v>1200</v>
      </c>
      <c r="CA4511" t="s">
        <v>282</v>
      </c>
      <c r="CC4511" t="s">
        <v>278</v>
      </c>
      <c r="CD4511">
        <v>6230</v>
      </c>
      <c r="CE4511" t="s">
        <v>121</v>
      </c>
      <c r="CF4511" s="3">
        <v>45868</v>
      </c>
      <c r="CI4511">
        <v>1</v>
      </c>
      <c r="CJ4511">
        <v>1</v>
      </c>
      <c r="CK4511">
        <v>21</v>
      </c>
      <c r="CL4511" t="s">
        <v>86</v>
      </c>
    </row>
    <row r="4512" spans="1:90" x14ac:dyDescent="0.3">
      <c r="A4512" t="s">
        <v>72</v>
      </c>
      <c r="B4512" t="s">
        <v>73</v>
      </c>
      <c r="C4512" t="s">
        <v>74</v>
      </c>
      <c r="E4512" t="str">
        <f>"080066865622"</f>
        <v>080066865622</v>
      </c>
      <c r="F4512" s="3">
        <v>45867</v>
      </c>
      <c r="G4512">
        <v>202604</v>
      </c>
      <c r="H4512" t="s">
        <v>75</v>
      </c>
      <c r="I4512" t="s">
        <v>76</v>
      </c>
      <c r="J4512" t="s">
        <v>77</v>
      </c>
      <c r="K4512" t="s">
        <v>78</v>
      </c>
      <c r="L4512" t="s">
        <v>554</v>
      </c>
      <c r="M4512" t="s">
        <v>555</v>
      </c>
      <c r="N4512" t="s">
        <v>556</v>
      </c>
      <c r="O4512" t="s">
        <v>82</v>
      </c>
      <c r="P4512" t="str">
        <f>"4170051723                    "</f>
        <v xml:space="preserve">4170051723                    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22.6</v>
      </c>
      <c r="AR4512">
        <v>0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0</v>
      </c>
      <c r="BA4512">
        <v>0</v>
      </c>
      <c r="BB4512">
        <v>0</v>
      </c>
      <c r="BC4512">
        <v>0</v>
      </c>
      <c r="BD4512">
        <v>0</v>
      </c>
      <c r="BE4512">
        <v>0</v>
      </c>
      <c r="BF4512">
        <v>0</v>
      </c>
      <c r="BG4512">
        <v>0</v>
      </c>
      <c r="BH4512">
        <v>1</v>
      </c>
      <c r="BI4512">
        <v>1</v>
      </c>
      <c r="BJ4512">
        <v>0.2</v>
      </c>
      <c r="BK4512">
        <v>1</v>
      </c>
      <c r="BL4512">
        <v>71.2</v>
      </c>
      <c r="BM4512">
        <v>10.68</v>
      </c>
      <c r="BN4512">
        <v>81.88</v>
      </c>
      <c r="BO4512">
        <v>81.88</v>
      </c>
      <c r="BQ4512" t="s">
        <v>557</v>
      </c>
      <c r="BR4512" t="s">
        <v>84</v>
      </c>
      <c r="BS4512" s="3">
        <v>45868</v>
      </c>
      <c r="BT4512" s="4">
        <v>0.38750000000000001</v>
      </c>
      <c r="BU4512" t="s">
        <v>558</v>
      </c>
      <c r="BV4512" t="s">
        <v>98</v>
      </c>
      <c r="BY4512">
        <v>1200</v>
      </c>
      <c r="CA4512" t="s">
        <v>559</v>
      </c>
      <c r="CC4512" t="s">
        <v>555</v>
      </c>
      <c r="CD4512" s="5" t="s">
        <v>560</v>
      </c>
      <c r="CE4512" t="s">
        <v>121</v>
      </c>
      <c r="CF4512" s="3">
        <v>45868</v>
      </c>
      <c r="CI4512">
        <v>1</v>
      </c>
      <c r="CJ4512">
        <v>1</v>
      </c>
      <c r="CK4512">
        <v>21</v>
      </c>
      <c r="CL4512" t="s">
        <v>86</v>
      </c>
    </row>
    <row r="4513" spans="1:90" x14ac:dyDescent="0.3">
      <c r="A4513" t="s">
        <v>72</v>
      </c>
      <c r="B4513" t="s">
        <v>73</v>
      </c>
      <c r="C4513" t="s">
        <v>74</v>
      </c>
      <c r="E4513" t="str">
        <f>"080066866810"</f>
        <v>080066866810</v>
      </c>
      <c r="F4513" s="3">
        <v>45867</v>
      </c>
      <c r="G4513">
        <v>202604</v>
      </c>
      <c r="H4513" t="s">
        <v>75</v>
      </c>
      <c r="I4513" t="s">
        <v>76</v>
      </c>
      <c r="J4513" t="s">
        <v>77</v>
      </c>
      <c r="K4513" t="s">
        <v>78</v>
      </c>
      <c r="L4513" t="s">
        <v>554</v>
      </c>
      <c r="M4513" t="s">
        <v>555</v>
      </c>
      <c r="N4513" t="s">
        <v>556</v>
      </c>
      <c r="O4513" t="s">
        <v>82</v>
      </c>
      <c r="P4513" t="str">
        <f>"4170051718                    "</f>
        <v xml:space="preserve">4170051718                    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22.6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AZ4513">
        <v>0</v>
      </c>
      <c r="BA4513">
        <v>0</v>
      </c>
      <c r="BB4513">
        <v>0</v>
      </c>
      <c r="BC4513">
        <v>0</v>
      </c>
      <c r="BD4513">
        <v>0</v>
      </c>
      <c r="BE4513">
        <v>0</v>
      </c>
      <c r="BF4513">
        <v>0</v>
      </c>
      <c r="BG4513">
        <v>0</v>
      </c>
      <c r="BH4513">
        <v>1</v>
      </c>
      <c r="BI4513">
        <v>2</v>
      </c>
      <c r="BJ4513">
        <v>1.1000000000000001</v>
      </c>
      <c r="BK4513">
        <v>2</v>
      </c>
      <c r="BL4513">
        <v>71.2</v>
      </c>
      <c r="BM4513">
        <v>10.68</v>
      </c>
      <c r="BN4513">
        <v>81.88</v>
      </c>
      <c r="BO4513">
        <v>81.88</v>
      </c>
      <c r="BQ4513" t="s">
        <v>557</v>
      </c>
      <c r="BR4513" t="s">
        <v>84</v>
      </c>
      <c r="BS4513" s="3">
        <v>45868</v>
      </c>
      <c r="BT4513" s="4">
        <v>0.38611111111111113</v>
      </c>
      <c r="BU4513" t="s">
        <v>558</v>
      </c>
      <c r="BV4513" t="s">
        <v>98</v>
      </c>
      <c r="BY4513">
        <v>5320</v>
      </c>
      <c r="CA4513" t="s">
        <v>559</v>
      </c>
      <c r="CC4513" t="s">
        <v>555</v>
      </c>
      <c r="CD4513" s="5" t="s">
        <v>560</v>
      </c>
      <c r="CE4513" t="s">
        <v>145</v>
      </c>
      <c r="CF4513" s="3">
        <v>45868</v>
      </c>
      <c r="CI4513">
        <v>1</v>
      </c>
      <c r="CJ4513">
        <v>1</v>
      </c>
      <c r="CK4513">
        <v>21</v>
      </c>
      <c r="CL4513" t="s">
        <v>86</v>
      </c>
    </row>
    <row r="4514" spans="1:90" x14ac:dyDescent="0.3">
      <c r="A4514" t="s">
        <v>72</v>
      </c>
      <c r="B4514" t="s">
        <v>73</v>
      </c>
      <c r="C4514" t="s">
        <v>74</v>
      </c>
      <c r="E4514" t="str">
        <f>"080066867367"</f>
        <v>080066867367</v>
      </c>
      <c r="F4514" s="3">
        <v>45867</v>
      </c>
      <c r="G4514">
        <v>202604</v>
      </c>
      <c r="H4514" t="s">
        <v>75</v>
      </c>
      <c r="I4514" t="s">
        <v>76</v>
      </c>
      <c r="J4514" t="s">
        <v>77</v>
      </c>
      <c r="K4514" t="s">
        <v>78</v>
      </c>
      <c r="L4514" t="s">
        <v>168</v>
      </c>
      <c r="M4514" t="s">
        <v>169</v>
      </c>
      <c r="N4514" t="s">
        <v>3876</v>
      </c>
      <c r="O4514" t="s">
        <v>95</v>
      </c>
      <c r="P4514" t="str">
        <f>"4170051921                    "</f>
        <v xml:space="preserve">4170051921                    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144.74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0</v>
      </c>
      <c r="BB4514">
        <v>0</v>
      </c>
      <c r="BC4514">
        <v>0</v>
      </c>
      <c r="BD4514">
        <v>0</v>
      </c>
      <c r="BE4514">
        <v>0</v>
      </c>
      <c r="BF4514">
        <v>0</v>
      </c>
      <c r="BG4514">
        <v>0</v>
      </c>
      <c r="BH4514">
        <v>1</v>
      </c>
      <c r="BI4514">
        <v>71</v>
      </c>
      <c r="BJ4514">
        <v>68</v>
      </c>
      <c r="BK4514">
        <v>71</v>
      </c>
      <c r="BL4514">
        <v>461.87</v>
      </c>
      <c r="BM4514">
        <v>69.28</v>
      </c>
      <c r="BN4514">
        <v>531.15</v>
      </c>
      <c r="BO4514">
        <v>531.15</v>
      </c>
      <c r="BQ4514" t="s">
        <v>3877</v>
      </c>
      <c r="BR4514" t="s">
        <v>84</v>
      </c>
      <c r="BS4514" s="3">
        <v>45869</v>
      </c>
      <c r="BT4514" s="4">
        <v>0.37638888888888888</v>
      </c>
      <c r="BU4514" t="s">
        <v>3878</v>
      </c>
      <c r="BV4514" t="s">
        <v>98</v>
      </c>
      <c r="BY4514">
        <v>340032</v>
      </c>
      <c r="CC4514" t="s">
        <v>169</v>
      </c>
      <c r="CD4514">
        <v>6055</v>
      </c>
      <c r="CE4514" t="s">
        <v>91</v>
      </c>
      <c r="CF4514" s="3">
        <v>45869</v>
      </c>
      <c r="CI4514">
        <v>3</v>
      </c>
      <c r="CJ4514">
        <v>2</v>
      </c>
      <c r="CK4514">
        <v>41</v>
      </c>
      <c r="CL4514" t="s">
        <v>86</v>
      </c>
    </row>
    <row r="4515" spans="1:90" x14ac:dyDescent="0.3">
      <c r="A4515" t="s">
        <v>72</v>
      </c>
      <c r="B4515" t="s">
        <v>73</v>
      </c>
      <c r="C4515" t="s">
        <v>74</v>
      </c>
      <c r="E4515" t="str">
        <f>"080066865241"</f>
        <v>080066865241</v>
      </c>
      <c r="F4515" s="3">
        <v>45867</v>
      </c>
      <c r="G4515">
        <v>202604</v>
      </c>
      <c r="H4515" t="s">
        <v>75</v>
      </c>
      <c r="I4515" t="s">
        <v>76</v>
      </c>
      <c r="J4515" t="s">
        <v>77</v>
      </c>
      <c r="K4515" t="s">
        <v>78</v>
      </c>
      <c r="L4515" t="s">
        <v>390</v>
      </c>
      <c r="M4515" t="s">
        <v>391</v>
      </c>
      <c r="N4515" t="s">
        <v>3639</v>
      </c>
      <c r="O4515" t="s">
        <v>82</v>
      </c>
      <c r="P4515" t="str">
        <f>"4170051874                    "</f>
        <v xml:space="preserve">4170051874                    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17.649999999999999</v>
      </c>
      <c r="AR4515">
        <v>0</v>
      </c>
      <c r="AS4515">
        <v>0</v>
      </c>
      <c r="AT4515">
        <v>0</v>
      </c>
      <c r="AU4515">
        <v>0</v>
      </c>
      <c r="AV4515">
        <v>0</v>
      </c>
      <c r="AW4515">
        <v>0</v>
      </c>
      <c r="AX4515">
        <v>0</v>
      </c>
      <c r="AY4515">
        <v>0</v>
      </c>
      <c r="AZ4515">
        <v>0</v>
      </c>
      <c r="BA4515">
        <v>0</v>
      </c>
      <c r="BB4515">
        <v>0</v>
      </c>
      <c r="BC4515">
        <v>0</v>
      </c>
      <c r="BD4515">
        <v>0</v>
      </c>
      <c r="BE4515">
        <v>0</v>
      </c>
      <c r="BF4515">
        <v>0</v>
      </c>
      <c r="BG4515">
        <v>0</v>
      </c>
      <c r="BH4515">
        <v>1</v>
      </c>
      <c r="BI4515">
        <v>1</v>
      </c>
      <c r="BJ4515">
        <v>0.2</v>
      </c>
      <c r="BK4515">
        <v>1</v>
      </c>
      <c r="BL4515">
        <v>55.61</v>
      </c>
      <c r="BM4515">
        <v>8.34</v>
      </c>
      <c r="BN4515">
        <v>63.95</v>
      </c>
      <c r="BO4515">
        <v>63.95</v>
      </c>
      <c r="BQ4515" t="s">
        <v>3640</v>
      </c>
      <c r="BR4515" t="s">
        <v>84</v>
      </c>
      <c r="BS4515" s="3">
        <v>45868</v>
      </c>
      <c r="BT4515" s="4">
        <v>0.375</v>
      </c>
      <c r="BU4515" t="s">
        <v>3641</v>
      </c>
      <c r="BV4515" t="s">
        <v>98</v>
      </c>
      <c r="BY4515">
        <v>1200</v>
      </c>
      <c r="CA4515" t="s">
        <v>3825</v>
      </c>
      <c r="CC4515" t="s">
        <v>391</v>
      </c>
      <c r="CD4515">
        <v>1724</v>
      </c>
      <c r="CE4515" t="s">
        <v>121</v>
      </c>
      <c r="CF4515" s="3">
        <v>45868</v>
      </c>
      <c r="CI4515">
        <v>1</v>
      </c>
      <c r="CJ4515">
        <v>1</v>
      </c>
      <c r="CK4515">
        <v>22</v>
      </c>
      <c r="CL4515" t="s">
        <v>86</v>
      </c>
    </row>
    <row r="4516" spans="1:90" x14ac:dyDescent="0.3">
      <c r="A4516" t="s">
        <v>72</v>
      </c>
      <c r="B4516" t="s">
        <v>73</v>
      </c>
      <c r="C4516" t="s">
        <v>74</v>
      </c>
      <c r="E4516" t="str">
        <f>"080066866868"</f>
        <v>080066866868</v>
      </c>
      <c r="F4516" s="3">
        <v>45867</v>
      </c>
      <c r="G4516">
        <v>202604</v>
      </c>
      <c r="H4516" t="s">
        <v>75</v>
      </c>
      <c r="I4516" t="s">
        <v>76</v>
      </c>
      <c r="J4516" t="s">
        <v>77</v>
      </c>
      <c r="K4516" t="s">
        <v>78</v>
      </c>
      <c r="L4516" t="s">
        <v>246</v>
      </c>
      <c r="M4516" t="s">
        <v>247</v>
      </c>
      <c r="N4516" t="s">
        <v>2920</v>
      </c>
      <c r="O4516" t="s">
        <v>82</v>
      </c>
      <c r="P4516" t="str">
        <f>"4170051833                    "</f>
        <v xml:space="preserve">4170051833                    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31.78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0</v>
      </c>
      <c r="BB4516">
        <v>0</v>
      </c>
      <c r="BC4516">
        <v>0</v>
      </c>
      <c r="BD4516">
        <v>0</v>
      </c>
      <c r="BE4516">
        <v>0</v>
      </c>
      <c r="BF4516">
        <v>0</v>
      </c>
      <c r="BG4516">
        <v>0</v>
      </c>
      <c r="BH4516">
        <v>1</v>
      </c>
      <c r="BI4516">
        <v>1</v>
      </c>
      <c r="BJ4516">
        <v>1.1000000000000001</v>
      </c>
      <c r="BK4516">
        <v>1.5</v>
      </c>
      <c r="BL4516">
        <v>100.13</v>
      </c>
      <c r="BM4516">
        <v>15.02</v>
      </c>
      <c r="BN4516">
        <v>115.15</v>
      </c>
      <c r="BO4516">
        <v>115.15</v>
      </c>
      <c r="BQ4516" t="s">
        <v>2921</v>
      </c>
      <c r="BR4516" t="s">
        <v>84</v>
      </c>
      <c r="BS4516" s="3">
        <v>45868</v>
      </c>
      <c r="BT4516" s="4">
        <v>0.39027777777777778</v>
      </c>
      <c r="BU4516" t="s">
        <v>2922</v>
      </c>
      <c r="BV4516" t="s">
        <v>98</v>
      </c>
      <c r="BY4516">
        <v>5320</v>
      </c>
      <c r="CA4516" t="s">
        <v>251</v>
      </c>
      <c r="CC4516" t="s">
        <v>247</v>
      </c>
      <c r="CD4516">
        <v>1441</v>
      </c>
      <c r="CE4516" t="s">
        <v>145</v>
      </c>
      <c r="CF4516" s="3">
        <v>45869</v>
      </c>
      <c r="CI4516">
        <v>1</v>
      </c>
      <c r="CJ4516">
        <v>1</v>
      </c>
      <c r="CK4516">
        <v>24</v>
      </c>
      <c r="CL4516" t="s">
        <v>86</v>
      </c>
    </row>
    <row r="4517" spans="1:90" x14ac:dyDescent="0.3">
      <c r="A4517" t="s">
        <v>72</v>
      </c>
      <c r="B4517" t="s">
        <v>73</v>
      </c>
      <c r="C4517" t="s">
        <v>74</v>
      </c>
      <c r="E4517" t="str">
        <f>"080066867422"</f>
        <v>080066867422</v>
      </c>
      <c r="F4517" s="3">
        <v>45867</v>
      </c>
      <c r="G4517">
        <v>202604</v>
      </c>
      <c r="H4517" t="s">
        <v>75</v>
      </c>
      <c r="I4517" t="s">
        <v>76</v>
      </c>
      <c r="J4517" t="s">
        <v>77</v>
      </c>
      <c r="K4517" t="s">
        <v>78</v>
      </c>
      <c r="L4517" t="s">
        <v>151</v>
      </c>
      <c r="M4517" t="s">
        <v>152</v>
      </c>
      <c r="N4517" t="s">
        <v>3259</v>
      </c>
      <c r="O4517" t="s">
        <v>82</v>
      </c>
      <c r="P4517" t="str">
        <f>"4170051705                    "</f>
        <v xml:space="preserve">4170051705                    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22.6</v>
      </c>
      <c r="AR4517">
        <v>0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0</v>
      </c>
      <c r="BB4517">
        <v>0</v>
      </c>
      <c r="BC4517">
        <v>0</v>
      </c>
      <c r="BD4517">
        <v>0</v>
      </c>
      <c r="BE4517">
        <v>0</v>
      </c>
      <c r="BF4517">
        <v>0</v>
      </c>
      <c r="BG4517">
        <v>0</v>
      </c>
      <c r="BH4517">
        <v>1</v>
      </c>
      <c r="BI4517">
        <v>2</v>
      </c>
      <c r="BJ4517">
        <v>1.1000000000000001</v>
      </c>
      <c r="BK4517">
        <v>2</v>
      </c>
      <c r="BL4517">
        <v>71.2</v>
      </c>
      <c r="BM4517">
        <v>10.68</v>
      </c>
      <c r="BN4517">
        <v>81.88</v>
      </c>
      <c r="BO4517">
        <v>81.88</v>
      </c>
      <c r="BQ4517" t="s">
        <v>3260</v>
      </c>
      <c r="BR4517" t="s">
        <v>84</v>
      </c>
      <c r="BS4517" s="3">
        <v>45868</v>
      </c>
      <c r="BT4517" s="4">
        <v>0.43125000000000002</v>
      </c>
      <c r="BU4517" t="s">
        <v>3261</v>
      </c>
      <c r="BV4517" t="s">
        <v>98</v>
      </c>
      <c r="BY4517">
        <v>5320</v>
      </c>
      <c r="CA4517" t="s">
        <v>906</v>
      </c>
      <c r="CC4517" t="s">
        <v>152</v>
      </c>
      <c r="CD4517" s="5" t="s">
        <v>1013</v>
      </c>
      <c r="CE4517" t="s">
        <v>145</v>
      </c>
      <c r="CF4517" s="3">
        <v>45868</v>
      </c>
      <c r="CI4517">
        <v>1</v>
      </c>
      <c r="CJ4517">
        <v>1</v>
      </c>
      <c r="CK4517">
        <v>21</v>
      </c>
      <c r="CL4517" t="s">
        <v>86</v>
      </c>
    </row>
    <row r="4518" spans="1:90" x14ac:dyDescent="0.3">
      <c r="A4518" t="s">
        <v>72</v>
      </c>
      <c r="B4518" t="s">
        <v>73</v>
      </c>
      <c r="C4518" t="s">
        <v>74</v>
      </c>
      <c r="E4518" t="str">
        <f>"080066866159"</f>
        <v>080066866159</v>
      </c>
      <c r="F4518" s="3">
        <v>45867</v>
      </c>
      <c r="G4518">
        <v>202604</v>
      </c>
      <c r="H4518" t="s">
        <v>75</v>
      </c>
      <c r="I4518" t="s">
        <v>76</v>
      </c>
      <c r="J4518" t="s">
        <v>77</v>
      </c>
      <c r="K4518" t="s">
        <v>78</v>
      </c>
      <c r="L4518" t="s">
        <v>79</v>
      </c>
      <c r="M4518" t="s">
        <v>80</v>
      </c>
      <c r="N4518" t="s">
        <v>141</v>
      </c>
      <c r="O4518" t="s">
        <v>82</v>
      </c>
      <c r="P4518" t="str">
        <f>"4170051769                    "</f>
        <v xml:space="preserve">4170051769                    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22.6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  <c r="BE4518">
        <v>0</v>
      </c>
      <c r="BF4518">
        <v>0</v>
      </c>
      <c r="BG4518">
        <v>0</v>
      </c>
      <c r="BH4518">
        <v>1</v>
      </c>
      <c r="BI4518">
        <v>1</v>
      </c>
      <c r="BJ4518">
        <v>1.1000000000000001</v>
      </c>
      <c r="BK4518">
        <v>1.5</v>
      </c>
      <c r="BL4518">
        <v>71.2</v>
      </c>
      <c r="BM4518">
        <v>10.68</v>
      </c>
      <c r="BN4518">
        <v>81.88</v>
      </c>
      <c r="BO4518">
        <v>81.88</v>
      </c>
      <c r="BQ4518" t="s">
        <v>142</v>
      </c>
      <c r="BR4518" t="s">
        <v>84</v>
      </c>
      <c r="BS4518" s="3">
        <v>45868</v>
      </c>
      <c r="BT4518" s="4">
        <v>0.40763888888888888</v>
      </c>
      <c r="BU4518" t="s">
        <v>976</v>
      </c>
      <c r="BV4518" t="s">
        <v>98</v>
      </c>
      <c r="BY4518">
        <v>5320</v>
      </c>
      <c r="CA4518" t="s">
        <v>144</v>
      </c>
      <c r="CC4518" t="s">
        <v>80</v>
      </c>
      <c r="CD4518">
        <v>7441</v>
      </c>
      <c r="CE4518" t="s">
        <v>145</v>
      </c>
      <c r="CF4518" s="3">
        <v>45869</v>
      </c>
      <c r="CI4518">
        <v>1</v>
      </c>
      <c r="CJ4518">
        <v>1</v>
      </c>
      <c r="CK4518">
        <v>21</v>
      </c>
      <c r="CL4518" t="s">
        <v>86</v>
      </c>
    </row>
    <row r="4519" spans="1:90" x14ac:dyDescent="0.3">
      <c r="A4519" t="s">
        <v>72</v>
      </c>
      <c r="B4519" t="s">
        <v>73</v>
      </c>
      <c r="C4519" t="s">
        <v>74</v>
      </c>
      <c r="E4519" t="str">
        <f>"080066865857"</f>
        <v>080066865857</v>
      </c>
      <c r="F4519" s="3">
        <v>45867</v>
      </c>
      <c r="G4519">
        <v>202604</v>
      </c>
      <c r="H4519" t="s">
        <v>75</v>
      </c>
      <c r="I4519" t="s">
        <v>76</v>
      </c>
      <c r="J4519" t="s">
        <v>77</v>
      </c>
      <c r="K4519" t="s">
        <v>78</v>
      </c>
      <c r="L4519" t="s">
        <v>79</v>
      </c>
      <c r="M4519" t="s">
        <v>80</v>
      </c>
      <c r="N4519" t="s">
        <v>141</v>
      </c>
      <c r="O4519" t="s">
        <v>82</v>
      </c>
      <c r="P4519" t="str">
        <f>"4170051768                    "</f>
        <v xml:space="preserve">4170051768                    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22.6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0</v>
      </c>
      <c r="BB4519">
        <v>0</v>
      </c>
      <c r="BC4519">
        <v>0</v>
      </c>
      <c r="BD4519">
        <v>0</v>
      </c>
      <c r="BE4519">
        <v>0</v>
      </c>
      <c r="BF4519">
        <v>0</v>
      </c>
      <c r="BG4519">
        <v>0</v>
      </c>
      <c r="BH4519">
        <v>1</v>
      </c>
      <c r="BI4519">
        <v>1</v>
      </c>
      <c r="BJ4519">
        <v>0.2</v>
      </c>
      <c r="BK4519">
        <v>1</v>
      </c>
      <c r="BL4519">
        <v>71.2</v>
      </c>
      <c r="BM4519">
        <v>10.68</v>
      </c>
      <c r="BN4519">
        <v>81.88</v>
      </c>
      <c r="BO4519">
        <v>81.88</v>
      </c>
      <c r="BQ4519" t="s">
        <v>142</v>
      </c>
      <c r="BR4519" t="s">
        <v>84</v>
      </c>
      <c r="BS4519" s="3">
        <v>45868</v>
      </c>
      <c r="BT4519" s="4">
        <v>0.40763888888888888</v>
      </c>
      <c r="BU4519" t="s">
        <v>976</v>
      </c>
      <c r="BV4519" t="s">
        <v>98</v>
      </c>
      <c r="BY4519">
        <v>1200</v>
      </c>
      <c r="CA4519" t="s">
        <v>144</v>
      </c>
      <c r="CC4519" t="s">
        <v>80</v>
      </c>
      <c r="CD4519">
        <v>7441</v>
      </c>
      <c r="CE4519" t="s">
        <v>121</v>
      </c>
      <c r="CF4519" s="3">
        <v>45869</v>
      </c>
      <c r="CI4519">
        <v>1</v>
      </c>
      <c r="CJ4519">
        <v>1</v>
      </c>
      <c r="CK4519">
        <v>21</v>
      </c>
      <c r="CL4519" t="s">
        <v>86</v>
      </c>
    </row>
    <row r="4520" spans="1:90" x14ac:dyDescent="0.3">
      <c r="A4520" t="s">
        <v>72</v>
      </c>
      <c r="B4520" t="s">
        <v>73</v>
      </c>
      <c r="C4520" t="s">
        <v>74</v>
      </c>
      <c r="E4520" t="str">
        <f>"080066867475"</f>
        <v>080066867475</v>
      </c>
      <c r="F4520" s="3">
        <v>45867</v>
      </c>
      <c r="G4520">
        <v>202604</v>
      </c>
      <c r="H4520" t="s">
        <v>75</v>
      </c>
      <c r="I4520" t="s">
        <v>76</v>
      </c>
      <c r="J4520" t="s">
        <v>77</v>
      </c>
      <c r="K4520" t="s">
        <v>78</v>
      </c>
      <c r="L4520" t="s">
        <v>390</v>
      </c>
      <c r="M4520" t="s">
        <v>391</v>
      </c>
      <c r="N4520" t="s">
        <v>3639</v>
      </c>
      <c r="O4520" t="s">
        <v>82</v>
      </c>
      <c r="P4520" t="str">
        <f>"4170051734                    "</f>
        <v xml:space="preserve">4170051734                    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17.649999999999999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0</v>
      </c>
      <c r="BA4520">
        <v>0</v>
      </c>
      <c r="BB4520">
        <v>0</v>
      </c>
      <c r="BC4520">
        <v>0</v>
      </c>
      <c r="BD4520">
        <v>0</v>
      </c>
      <c r="BE4520">
        <v>0</v>
      </c>
      <c r="BF4520">
        <v>0</v>
      </c>
      <c r="BG4520">
        <v>0</v>
      </c>
      <c r="BH4520">
        <v>1</v>
      </c>
      <c r="BI4520">
        <v>1</v>
      </c>
      <c r="BJ4520">
        <v>0.2</v>
      </c>
      <c r="BK4520">
        <v>1</v>
      </c>
      <c r="BL4520">
        <v>55.61</v>
      </c>
      <c r="BM4520">
        <v>8.34</v>
      </c>
      <c r="BN4520">
        <v>63.95</v>
      </c>
      <c r="BO4520">
        <v>63.95</v>
      </c>
      <c r="BQ4520" t="s">
        <v>3640</v>
      </c>
      <c r="BR4520" t="s">
        <v>84</v>
      </c>
      <c r="BS4520" s="3">
        <v>45868</v>
      </c>
      <c r="BT4520" s="4">
        <v>0.375</v>
      </c>
      <c r="BU4520" t="s">
        <v>3641</v>
      </c>
      <c r="BV4520" t="s">
        <v>98</v>
      </c>
      <c r="BY4520">
        <v>1200</v>
      </c>
      <c r="CA4520" t="s">
        <v>3825</v>
      </c>
      <c r="CC4520" t="s">
        <v>391</v>
      </c>
      <c r="CD4520">
        <v>1724</v>
      </c>
      <c r="CE4520" t="s">
        <v>121</v>
      </c>
      <c r="CF4520" s="3">
        <v>45868</v>
      </c>
      <c r="CI4520">
        <v>1</v>
      </c>
      <c r="CJ4520">
        <v>1</v>
      </c>
      <c r="CK4520">
        <v>22</v>
      </c>
      <c r="CL4520" t="s">
        <v>86</v>
      </c>
    </row>
    <row r="4521" spans="1:90" x14ac:dyDescent="0.3">
      <c r="A4521" t="s">
        <v>72</v>
      </c>
      <c r="B4521" t="s">
        <v>73</v>
      </c>
      <c r="C4521" t="s">
        <v>74</v>
      </c>
      <c r="E4521" t="str">
        <f>"080066866762"</f>
        <v>080066866762</v>
      </c>
      <c r="F4521" s="3">
        <v>45867</v>
      </c>
      <c r="G4521">
        <v>202604</v>
      </c>
      <c r="H4521" t="s">
        <v>75</v>
      </c>
      <c r="I4521" t="s">
        <v>76</v>
      </c>
      <c r="J4521" t="s">
        <v>77</v>
      </c>
      <c r="K4521" t="s">
        <v>78</v>
      </c>
      <c r="L4521" t="s">
        <v>554</v>
      </c>
      <c r="M4521" t="s">
        <v>555</v>
      </c>
      <c r="N4521" t="s">
        <v>556</v>
      </c>
      <c r="O4521" t="s">
        <v>82</v>
      </c>
      <c r="P4521" t="str">
        <f>"4170051717                    "</f>
        <v xml:space="preserve">4170051717                    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22.6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AZ4521">
        <v>0</v>
      </c>
      <c r="BA4521">
        <v>0</v>
      </c>
      <c r="BB4521">
        <v>0</v>
      </c>
      <c r="BC4521">
        <v>0</v>
      </c>
      <c r="BD4521">
        <v>0</v>
      </c>
      <c r="BE4521">
        <v>0</v>
      </c>
      <c r="BF4521">
        <v>0</v>
      </c>
      <c r="BG4521">
        <v>0</v>
      </c>
      <c r="BH4521">
        <v>1</v>
      </c>
      <c r="BI4521">
        <v>2</v>
      </c>
      <c r="BJ4521">
        <v>1.1000000000000001</v>
      </c>
      <c r="BK4521">
        <v>2</v>
      </c>
      <c r="BL4521">
        <v>71.2</v>
      </c>
      <c r="BM4521">
        <v>10.68</v>
      </c>
      <c r="BN4521">
        <v>81.88</v>
      </c>
      <c r="BO4521">
        <v>81.88</v>
      </c>
      <c r="BQ4521" t="s">
        <v>557</v>
      </c>
      <c r="BR4521" t="s">
        <v>84</v>
      </c>
      <c r="BS4521" s="3">
        <v>45868</v>
      </c>
      <c r="BT4521" s="4">
        <v>0.38541666666666669</v>
      </c>
      <c r="BU4521" t="s">
        <v>558</v>
      </c>
      <c r="BV4521" t="s">
        <v>98</v>
      </c>
      <c r="BY4521">
        <v>5320</v>
      </c>
      <c r="CA4521" t="s">
        <v>559</v>
      </c>
      <c r="CC4521" t="s">
        <v>555</v>
      </c>
      <c r="CD4521" s="5" t="s">
        <v>560</v>
      </c>
      <c r="CE4521" t="s">
        <v>145</v>
      </c>
      <c r="CF4521" s="3">
        <v>45868</v>
      </c>
      <c r="CI4521">
        <v>1</v>
      </c>
      <c r="CJ4521">
        <v>1</v>
      </c>
      <c r="CK4521">
        <v>21</v>
      </c>
      <c r="CL4521" t="s">
        <v>86</v>
      </c>
    </row>
    <row r="4522" spans="1:90" x14ac:dyDescent="0.3">
      <c r="A4522" t="s">
        <v>72</v>
      </c>
      <c r="B4522" t="s">
        <v>73</v>
      </c>
      <c r="C4522" t="s">
        <v>74</v>
      </c>
      <c r="E4522" t="str">
        <f>"080066867493"</f>
        <v>080066867493</v>
      </c>
      <c r="F4522" s="3">
        <v>45867</v>
      </c>
      <c r="G4522">
        <v>202604</v>
      </c>
      <c r="H4522" t="s">
        <v>75</v>
      </c>
      <c r="I4522" t="s">
        <v>76</v>
      </c>
      <c r="J4522" t="s">
        <v>77</v>
      </c>
      <c r="K4522" t="s">
        <v>78</v>
      </c>
      <c r="L4522" t="s">
        <v>79</v>
      </c>
      <c r="M4522" t="s">
        <v>80</v>
      </c>
      <c r="N4522" t="s">
        <v>286</v>
      </c>
      <c r="O4522" t="s">
        <v>82</v>
      </c>
      <c r="P4522" t="str">
        <f>"4170051766                    "</f>
        <v xml:space="preserve">4170051766                    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22.6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>
        <v>0</v>
      </c>
      <c r="BC4522">
        <v>0</v>
      </c>
      <c r="BD4522">
        <v>0</v>
      </c>
      <c r="BE4522">
        <v>0</v>
      </c>
      <c r="BF4522">
        <v>0</v>
      </c>
      <c r="BG4522">
        <v>0</v>
      </c>
      <c r="BH4522">
        <v>1</v>
      </c>
      <c r="BI4522">
        <v>1</v>
      </c>
      <c r="BJ4522">
        <v>1.1000000000000001</v>
      </c>
      <c r="BK4522">
        <v>1.5</v>
      </c>
      <c r="BL4522">
        <v>71.2</v>
      </c>
      <c r="BM4522">
        <v>10.68</v>
      </c>
      <c r="BN4522">
        <v>81.88</v>
      </c>
      <c r="BO4522">
        <v>81.88</v>
      </c>
      <c r="BQ4522" t="s">
        <v>287</v>
      </c>
      <c r="BR4522" t="s">
        <v>84</v>
      </c>
      <c r="BS4522" s="3">
        <v>45868</v>
      </c>
      <c r="BT4522" s="4">
        <v>0.30416666666666664</v>
      </c>
      <c r="BU4522" t="s">
        <v>2180</v>
      </c>
      <c r="BV4522" t="s">
        <v>98</v>
      </c>
      <c r="BY4522">
        <v>5320</v>
      </c>
      <c r="CA4522" t="s">
        <v>289</v>
      </c>
      <c r="CC4522" t="s">
        <v>80</v>
      </c>
      <c r="CD4522">
        <v>7530</v>
      </c>
      <c r="CE4522" t="s">
        <v>145</v>
      </c>
      <c r="CF4522" s="3">
        <v>45869</v>
      </c>
      <c r="CI4522">
        <v>1</v>
      </c>
      <c r="CJ4522">
        <v>1</v>
      </c>
      <c r="CK4522">
        <v>21</v>
      </c>
      <c r="CL4522" t="s">
        <v>86</v>
      </c>
    </row>
    <row r="4523" spans="1:90" x14ac:dyDescent="0.3">
      <c r="A4523" t="s">
        <v>72</v>
      </c>
      <c r="B4523" t="s">
        <v>73</v>
      </c>
      <c r="C4523" t="s">
        <v>74</v>
      </c>
      <c r="E4523" t="str">
        <f>"080066867683"</f>
        <v>080066867683</v>
      </c>
      <c r="F4523" s="3">
        <v>45867</v>
      </c>
      <c r="G4523">
        <v>202604</v>
      </c>
      <c r="H4523" t="s">
        <v>75</v>
      </c>
      <c r="I4523" t="s">
        <v>76</v>
      </c>
      <c r="J4523" t="s">
        <v>77</v>
      </c>
      <c r="K4523" t="s">
        <v>78</v>
      </c>
      <c r="L4523" t="s">
        <v>580</v>
      </c>
      <c r="M4523" t="s">
        <v>581</v>
      </c>
      <c r="N4523" t="s">
        <v>582</v>
      </c>
      <c r="O4523" t="s">
        <v>82</v>
      </c>
      <c r="P4523" t="str">
        <f>"4170051837                    "</f>
        <v xml:space="preserve">4170051837                    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22.6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  <c r="BE4523">
        <v>0</v>
      </c>
      <c r="BF4523">
        <v>0</v>
      </c>
      <c r="BG4523">
        <v>0</v>
      </c>
      <c r="BH4523">
        <v>1</v>
      </c>
      <c r="BI4523">
        <v>1</v>
      </c>
      <c r="BJ4523">
        <v>0.2</v>
      </c>
      <c r="BK4523">
        <v>1</v>
      </c>
      <c r="BL4523">
        <v>71.2</v>
      </c>
      <c r="BM4523">
        <v>10.68</v>
      </c>
      <c r="BN4523">
        <v>81.88</v>
      </c>
      <c r="BO4523">
        <v>81.88</v>
      </c>
      <c r="BQ4523" t="s">
        <v>583</v>
      </c>
      <c r="BR4523" t="s">
        <v>84</v>
      </c>
      <c r="BS4523" s="3">
        <v>45868</v>
      </c>
      <c r="BT4523" s="4">
        <v>0.43680555555555556</v>
      </c>
      <c r="BU4523" t="s">
        <v>584</v>
      </c>
      <c r="BV4523" t="s">
        <v>98</v>
      </c>
      <c r="BY4523">
        <v>1200</v>
      </c>
      <c r="CA4523" t="s">
        <v>585</v>
      </c>
      <c r="CC4523" t="s">
        <v>581</v>
      </c>
      <c r="CD4523">
        <v>4302</v>
      </c>
      <c r="CE4523" t="s">
        <v>121</v>
      </c>
      <c r="CF4523" s="3">
        <v>45868</v>
      </c>
      <c r="CI4523">
        <v>1</v>
      </c>
      <c r="CJ4523">
        <v>1</v>
      </c>
      <c r="CK4523">
        <v>21</v>
      </c>
      <c r="CL4523" t="s">
        <v>86</v>
      </c>
    </row>
    <row r="4524" spans="1:90" x14ac:dyDescent="0.3">
      <c r="A4524" t="s">
        <v>72</v>
      </c>
      <c r="B4524" t="s">
        <v>73</v>
      </c>
      <c r="C4524" t="s">
        <v>74</v>
      </c>
      <c r="E4524" t="str">
        <f>"080066867528"</f>
        <v>080066867528</v>
      </c>
      <c r="F4524" s="3">
        <v>45867</v>
      </c>
      <c r="G4524">
        <v>202604</v>
      </c>
      <c r="H4524" t="s">
        <v>75</v>
      </c>
      <c r="I4524" t="s">
        <v>76</v>
      </c>
      <c r="J4524" t="s">
        <v>77</v>
      </c>
      <c r="K4524" t="s">
        <v>78</v>
      </c>
      <c r="L4524" t="s">
        <v>554</v>
      </c>
      <c r="M4524" t="s">
        <v>555</v>
      </c>
      <c r="N4524" t="s">
        <v>556</v>
      </c>
      <c r="O4524" t="s">
        <v>82</v>
      </c>
      <c r="P4524" t="str">
        <f>"4170051721                    "</f>
        <v xml:space="preserve">4170051721                    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22.6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>
        <v>0</v>
      </c>
      <c r="BC4524">
        <v>0</v>
      </c>
      <c r="BD4524">
        <v>0</v>
      </c>
      <c r="BE4524">
        <v>0</v>
      </c>
      <c r="BF4524">
        <v>0</v>
      </c>
      <c r="BG4524">
        <v>0</v>
      </c>
      <c r="BH4524">
        <v>1</v>
      </c>
      <c r="BI4524">
        <v>1</v>
      </c>
      <c r="BJ4524">
        <v>1.1000000000000001</v>
      </c>
      <c r="BK4524">
        <v>1.5</v>
      </c>
      <c r="BL4524">
        <v>71.2</v>
      </c>
      <c r="BM4524">
        <v>10.68</v>
      </c>
      <c r="BN4524">
        <v>81.88</v>
      </c>
      <c r="BO4524">
        <v>81.88</v>
      </c>
      <c r="BQ4524" t="s">
        <v>557</v>
      </c>
      <c r="BR4524" t="s">
        <v>84</v>
      </c>
      <c r="BS4524" s="3">
        <v>45868</v>
      </c>
      <c r="BT4524" s="4">
        <v>0.38472222222222224</v>
      </c>
      <c r="BU4524" t="s">
        <v>558</v>
      </c>
      <c r="BV4524" t="s">
        <v>98</v>
      </c>
      <c r="BY4524">
        <v>5320</v>
      </c>
      <c r="CA4524" t="s">
        <v>559</v>
      </c>
      <c r="CC4524" t="s">
        <v>555</v>
      </c>
      <c r="CD4524" s="5" t="s">
        <v>560</v>
      </c>
      <c r="CE4524" t="s">
        <v>145</v>
      </c>
      <c r="CF4524" s="3">
        <v>45868</v>
      </c>
      <c r="CI4524">
        <v>1</v>
      </c>
      <c r="CJ4524">
        <v>1</v>
      </c>
      <c r="CK4524">
        <v>21</v>
      </c>
      <c r="CL4524" t="s">
        <v>86</v>
      </c>
    </row>
    <row r="4525" spans="1:90" x14ac:dyDescent="0.3">
      <c r="A4525" t="s">
        <v>72</v>
      </c>
      <c r="B4525" t="s">
        <v>73</v>
      </c>
      <c r="C4525" t="s">
        <v>74</v>
      </c>
      <c r="E4525" t="str">
        <f>"080066867503"</f>
        <v>080066867503</v>
      </c>
      <c r="F4525" s="3">
        <v>45867</v>
      </c>
      <c r="G4525">
        <v>202604</v>
      </c>
      <c r="H4525" t="s">
        <v>75</v>
      </c>
      <c r="I4525" t="s">
        <v>76</v>
      </c>
      <c r="J4525" t="s">
        <v>77</v>
      </c>
      <c r="K4525" t="s">
        <v>78</v>
      </c>
      <c r="L4525" t="s">
        <v>151</v>
      </c>
      <c r="M4525" t="s">
        <v>152</v>
      </c>
      <c r="N4525" t="s">
        <v>352</v>
      </c>
      <c r="O4525" t="s">
        <v>82</v>
      </c>
      <c r="P4525" t="str">
        <f>"4170051764                    "</f>
        <v xml:space="preserve">4170051764                    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22.6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0</v>
      </c>
      <c r="BA4525">
        <v>0</v>
      </c>
      <c r="BB4525">
        <v>0</v>
      </c>
      <c r="BC4525">
        <v>0</v>
      </c>
      <c r="BD4525">
        <v>0</v>
      </c>
      <c r="BE4525">
        <v>0</v>
      </c>
      <c r="BF4525">
        <v>0</v>
      </c>
      <c r="BG4525">
        <v>0</v>
      </c>
      <c r="BH4525">
        <v>1</v>
      </c>
      <c r="BI4525">
        <v>1</v>
      </c>
      <c r="BJ4525">
        <v>0.2</v>
      </c>
      <c r="BK4525">
        <v>1</v>
      </c>
      <c r="BL4525">
        <v>71.2</v>
      </c>
      <c r="BM4525">
        <v>10.68</v>
      </c>
      <c r="BN4525">
        <v>81.88</v>
      </c>
      <c r="BO4525">
        <v>81.88</v>
      </c>
      <c r="BQ4525" t="s">
        <v>353</v>
      </c>
      <c r="BR4525" t="s">
        <v>84</v>
      </c>
      <c r="BS4525" s="3">
        <v>45868</v>
      </c>
      <c r="BT4525" s="4">
        <v>0.69166666666666665</v>
      </c>
      <c r="BU4525" t="s">
        <v>3879</v>
      </c>
      <c r="BV4525" t="s">
        <v>86</v>
      </c>
      <c r="BW4525" t="s">
        <v>395</v>
      </c>
      <c r="BX4525" t="s">
        <v>2589</v>
      </c>
      <c r="BY4525">
        <v>1200</v>
      </c>
      <c r="CA4525" t="s">
        <v>3706</v>
      </c>
      <c r="CC4525" t="s">
        <v>152</v>
      </c>
      <c r="CD4525" s="5" t="s">
        <v>717</v>
      </c>
      <c r="CE4525" t="s">
        <v>121</v>
      </c>
      <c r="CF4525" s="3">
        <v>45868</v>
      </c>
      <c r="CI4525">
        <v>1</v>
      </c>
      <c r="CJ4525">
        <v>1</v>
      </c>
      <c r="CK4525">
        <v>21</v>
      </c>
      <c r="CL4525" t="s">
        <v>86</v>
      </c>
    </row>
    <row r="4526" spans="1:90" x14ac:dyDescent="0.3">
      <c r="A4526" t="s">
        <v>72</v>
      </c>
      <c r="B4526" t="s">
        <v>73</v>
      </c>
      <c r="C4526" t="s">
        <v>74</v>
      </c>
      <c r="E4526" t="str">
        <f>"080066867567"</f>
        <v>080066867567</v>
      </c>
      <c r="F4526" s="3">
        <v>45867</v>
      </c>
      <c r="G4526">
        <v>202604</v>
      </c>
      <c r="H4526" t="s">
        <v>75</v>
      </c>
      <c r="I4526" t="s">
        <v>76</v>
      </c>
      <c r="J4526" t="s">
        <v>77</v>
      </c>
      <c r="K4526" t="s">
        <v>78</v>
      </c>
      <c r="L4526" t="s">
        <v>79</v>
      </c>
      <c r="M4526" t="s">
        <v>80</v>
      </c>
      <c r="N4526" t="s">
        <v>141</v>
      </c>
      <c r="O4526" t="s">
        <v>82</v>
      </c>
      <c r="P4526" t="str">
        <f>"4170051739                    "</f>
        <v xml:space="preserve">4170051739                    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22.6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  <c r="BE4526">
        <v>0</v>
      </c>
      <c r="BF4526">
        <v>0</v>
      </c>
      <c r="BG4526">
        <v>0</v>
      </c>
      <c r="BH4526">
        <v>1</v>
      </c>
      <c r="BI4526">
        <v>1</v>
      </c>
      <c r="BJ4526">
        <v>0.2</v>
      </c>
      <c r="BK4526">
        <v>1</v>
      </c>
      <c r="BL4526">
        <v>71.2</v>
      </c>
      <c r="BM4526">
        <v>10.68</v>
      </c>
      <c r="BN4526">
        <v>81.88</v>
      </c>
      <c r="BO4526">
        <v>81.88</v>
      </c>
      <c r="BQ4526" t="s">
        <v>142</v>
      </c>
      <c r="BR4526" t="s">
        <v>84</v>
      </c>
      <c r="BS4526" s="3">
        <v>45868</v>
      </c>
      <c r="BT4526" s="4">
        <v>0.40763888888888888</v>
      </c>
      <c r="BU4526" t="s">
        <v>976</v>
      </c>
      <c r="BV4526" t="s">
        <v>98</v>
      </c>
      <c r="BY4526">
        <v>1200</v>
      </c>
      <c r="CA4526" t="s">
        <v>144</v>
      </c>
      <c r="CC4526" t="s">
        <v>80</v>
      </c>
      <c r="CD4526">
        <v>7441</v>
      </c>
      <c r="CE4526" t="s">
        <v>121</v>
      </c>
      <c r="CF4526" s="3">
        <v>45869</v>
      </c>
      <c r="CI4526">
        <v>1</v>
      </c>
      <c r="CJ4526">
        <v>1</v>
      </c>
      <c r="CK4526">
        <v>21</v>
      </c>
      <c r="CL4526" t="s">
        <v>86</v>
      </c>
    </row>
    <row r="4527" spans="1:90" x14ac:dyDescent="0.3">
      <c r="A4527" t="s">
        <v>72</v>
      </c>
      <c r="B4527" t="s">
        <v>73</v>
      </c>
      <c r="C4527" t="s">
        <v>74</v>
      </c>
      <c r="E4527" t="str">
        <f>"080066867423"</f>
        <v>080066867423</v>
      </c>
      <c r="F4527" s="3">
        <v>45867</v>
      </c>
      <c r="G4527">
        <v>202604</v>
      </c>
      <c r="H4527" t="s">
        <v>75</v>
      </c>
      <c r="I4527" t="s">
        <v>76</v>
      </c>
      <c r="J4527" t="s">
        <v>77</v>
      </c>
      <c r="K4527" t="s">
        <v>78</v>
      </c>
      <c r="L4527" t="s">
        <v>151</v>
      </c>
      <c r="M4527" t="s">
        <v>152</v>
      </c>
      <c r="N4527" t="s">
        <v>3046</v>
      </c>
      <c r="O4527" t="s">
        <v>82</v>
      </c>
      <c r="P4527" t="str">
        <f>"4170051822                    "</f>
        <v xml:space="preserve">4170051822                    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22.6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0</v>
      </c>
      <c r="BA4527">
        <v>0</v>
      </c>
      <c r="BB4527">
        <v>0</v>
      </c>
      <c r="BC4527">
        <v>0</v>
      </c>
      <c r="BD4527">
        <v>0</v>
      </c>
      <c r="BE4527">
        <v>0</v>
      </c>
      <c r="BF4527">
        <v>0</v>
      </c>
      <c r="BG4527">
        <v>0</v>
      </c>
      <c r="BH4527">
        <v>1</v>
      </c>
      <c r="BI4527">
        <v>1</v>
      </c>
      <c r="BJ4527">
        <v>0.2</v>
      </c>
      <c r="BK4527">
        <v>1</v>
      </c>
      <c r="BL4527">
        <v>71.2</v>
      </c>
      <c r="BM4527">
        <v>10.68</v>
      </c>
      <c r="BN4527">
        <v>81.88</v>
      </c>
      <c r="BO4527">
        <v>81.88</v>
      </c>
      <c r="BQ4527" t="s">
        <v>3880</v>
      </c>
      <c r="BR4527" t="s">
        <v>84</v>
      </c>
      <c r="BS4527" s="3">
        <v>45868</v>
      </c>
      <c r="BT4527" s="4">
        <v>0.43125000000000002</v>
      </c>
      <c r="BU4527" t="s">
        <v>3261</v>
      </c>
      <c r="BV4527" t="s">
        <v>98</v>
      </c>
      <c r="BY4527">
        <v>1200</v>
      </c>
      <c r="CA4527" t="s">
        <v>906</v>
      </c>
      <c r="CC4527" t="s">
        <v>152</v>
      </c>
      <c r="CD4527" s="5" t="s">
        <v>907</v>
      </c>
      <c r="CE4527" t="s">
        <v>121</v>
      </c>
      <c r="CF4527" s="3">
        <v>45868</v>
      </c>
      <c r="CI4527">
        <v>1</v>
      </c>
      <c r="CJ4527">
        <v>1</v>
      </c>
      <c r="CK4527">
        <v>21</v>
      </c>
      <c r="CL4527" t="s">
        <v>86</v>
      </c>
    </row>
    <row r="4528" spans="1:90" x14ac:dyDescent="0.3">
      <c r="A4528" t="s">
        <v>72</v>
      </c>
      <c r="B4528" t="s">
        <v>73</v>
      </c>
      <c r="C4528" t="s">
        <v>74</v>
      </c>
      <c r="E4528" t="str">
        <f>"080066867358"</f>
        <v>080066867358</v>
      </c>
      <c r="F4528" s="3">
        <v>45867</v>
      </c>
      <c r="G4528">
        <v>202604</v>
      </c>
      <c r="H4528" t="s">
        <v>75</v>
      </c>
      <c r="I4528" t="s">
        <v>76</v>
      </c>
      <c r="J4528" t="s">
        <v>77</v>
      </c>
      <c r="K4528" t="s">
        <v>78</v>
      </c>
      <c r="L4528" t="s">
        <v>295</v>
      </c>
      <c r="M4528" t="s">
        <v>296</v>
      </c>
      <c r="N4528" t="s">
        <v>962</v>
      </c>
      <c r="O4528" t="s">
        <v>311</v>
      </c>
      <c r="P4528" t="str">
        <f>"4170051745                    "</f>
        <v xml:space="preserve">4170051745                    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25.58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0</v>
      </c>
      <c r="BA4528">
        <v>0</v>
      </c>
      <c r="BB4528">
        <v>0</v>
      </c>
      <c r="BC4528">
        <v>0</v>
      </c>
      <c r="BD4528">
        <v>0</v>
      </c>
      <c r="BE4528">
        <v>0</v>
      </c>
      <c r="BF4528">
        <v>0</v>
      </c>
      <c r="BG4528">
        <v>0</v>
      </c>
      <c r="BH4528">
        <v>2</v>
      </c>
      <c r="BI4528">
        <v>12</v>
      </c>
      <c r="BJ4528">
        <v>4.8</v>
      </c>
      <c r="BK4528">
        <v>12</v>
      </c>
      <c r="BL4528">
        <v>80.59</v>
      </c>
      <c r="BM4528">
        <v>12.09</v>
      </c>
      <c r="BN4528">
        <v>92.68</v>
      </c>
      <c r="BO4528">
        <v>92.68</v>
      </c>
      <c r="BQ4528" t="s">
        <v>963</v>
      </c>
      <c r="BR4528" t="s">
        <v>84</v>
      </c>
      <c r="BS4528" s="3">
        <v>45868</v>
      </c>
      <c r="BT4528" s="4">
        <v>0.33958333333333335</v>
      </c>
      <c r="BU4528" t="s">
        <v>1317</v>
      </c>
      <c r="BV4528" t="s">
        <v>98</v>
      </c>
      <c r="BY4528">
        <v>23856</v>
      </c>
      <c r="CA4528" t="s">
        <v>997</v>
      </c>
      <c r="CC4528" t="s">
        <v>296</v>
      </c>
      <c r="CD4528">
        <v>1459</v>
      </c>
      <c r="CE4528" t="s">
        <v>258</v>
      </c>
      <c r="CF4528" s="3">
        <v>45869</v>
      </c>
      <c r="CI4528">
        <v>1</v>
      </c>
      <c r="CJ4528">
        <v>1</v>
      </c>
      <c r="CK4528">
        <v>32</v>
      </c>
      <c r="CL4528" t="s">
        <v>86</v>
      </c>
    </row>
    <row r="4529" spans="1:90" x14ac:dyDescent="0.3">
      <c r="A4529" t="s">
        <v>72</v>
      </c>
      <c r="B4529" t="s">
        <v>73</v>
      </c>
      <c r="C4529" t="s">
        <v>74</v>
      </c>
      <c r="E4529" t="str">
        <f>"080066865146"</f>
        <v>080066865146</v>
      </c>
      <c r="F4529" s="3">
        <v>45867</v>
      </c>
      <c r="G4529">
        <v>202604</v>
      </c>
      <c r="H4529" t="s">
        <v>75</v>
      </c>
      <c r="I4529" t="s">
        <v>76</v>
      </c>
      <c r="J4529" t="s">
        <v>77</v>
      </c>
      <c r="K4529" t="s">
        <v>78</v>
      </c>
      <c r="L4529" t="s">
        <v>122</v>
      </c>
      <c r="M4529" t="s">
        <v>123</v>
      </c>
      <c r="N4529" t="s">
        <v>283</v>
      </c>
      <c r="O4529" t="s">
        <v>82</v>
      </c>
      <c r="P4529" t="str">
        <f>"4170051744                    "</f>
        <v xml:space="preserve">4170051744                    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22.6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AZ4529">
        <v>0</v>
      </c>
      <c r="BA4529">
        <v>0</v>
      </c>
      <c r="BB4529">
        <v>0</v>
      </c>
      <c r="BC4529">
        <v>0</v>
      </c>
      <c r="BD4529">
        <v>0</v>
      </c>
      <c r="BE4529">
        <v>0</v>
      </c>
      <c r="BF4529">
        <v>0</v>
      </c>
      <c r="BG4529">
        <v>0</v>
      </c>
      <c r="BH4529">
        <v>1</v>
      </c>
      <c r="BI4529">
        <v>1</v>
      </c>
      <c r="BJ4529">
        <v>0.2</v>
      </c>
      <c r="BK4529">
        <v>1</v>
      </c>
      <c r="BL4529">
        <v>71.2</v>
      </c>
      <c r="BM4529">
        <v>10.68</v>
      </c>
      <c r="BN4529">
        <v>81.88</v>
      </c>
      <c r="BO4529">
        <v>81.88</v>
      </c>
      <c r="BQ4529" t="s">
        <v>284</v>
      </c>
      <c r="BR4529" t="s">
        <v>84</v>
      </c>
      <c r="BS4529" s="3">
        <v>45868</v>
      </c>
      <c r="BT4529" s="4">
        <v>0.38611111111111113</v>
      </c>
      <c r="BU4529" t="s">
        <v>285</v>
      </c>
      <c r="BV4529" t="s">
        <v>98</v>
      </c>
      <c r="BY4529">
        <v>1200</v>
      </c>
      <c r="CA4529" t="s">
        <v>187</v>
      </c>
      <c r="CC4529" t="s">
        <v>123</v>
      </c>
      <c r="CD4529">
        <v>3608</v>
      </c>
      <c r="CE4529" t="s">
        <v>121</v>
      </c>
      <c r="CF4529" s="3">
        <v>45868</v>
      </c>
      <c r="CI4529">
        <v>1</v>
      </c>
      <c r="CJ4529">
        <v>1</v>
      </c>
      <c r="CK4529">
        <v>21</v>
      </c>
      <c r="CL4529" t="s">
        <v>86</v>
      </c>
    </row>
    <row r="4530" spans="1:90" x14ac:dyDescent="0.3">
      <c r="A4530" t="s">
        <v>72</v>
      </c>
      <c r="B4530" t="s">
        <v>73</v>
      </c>
      <c r="C4530" t="s">
        <v>74</v>
      </c>
      <c r="E4530" t="str">
        <f>"080066867834"</f>
        <v>080066867834</v>
      </c>
      <c r="F4530" s="3">
        <v>45867</v>
      </c>
      <c r="G4530">
        <v>202604</v>
      </c>
      <c r="H4530" t="s">
        <v>75</v>
      </c>
      <c r="I4530" t="s">
        <v>76</v>
      </c>
      <c r="J4530" t="s">
        <v>77</v>
      </c>
      <c r="K4530" t="s">
        <v>78</v>
      </c>
      <c r="L4530" t="s">
        <v>390</v>
      </c>
      <c r="M4530" t="s">
        <v>391</v>
      </c>
      <c r="N4530" t="s">
        <v>3639</v>
      </c>
      <c r="O4530" t="s">
        <v>82</v>
      </c>
      <c r="P4530" t="str">
        <f>"4170051732                    "</f>
        <v xml:space="preserve">4170051732                    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17.649999999999999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AZ4530">
        <v>0</v>
      </c>
      <c r="BA4530">
        <v>0</v>
      </c>
      <c r="BB4530">
        <v>0</v>
      </c>
      <c r="BC4530">
        <v>0</v>
      </c>
      <c r="BD4530">
        <v>0</v>
      </c>
      <c r="BE4530">
        <v>0</v>
      </c>
      <c r="BF4530">
        <v>0</v>
      </c>
      <c r="BG4530">
        <v>0</v>
      </c>
      <c r="BH4530">
        <v>1</v>
      </c>
      <c r="BI4530">
        <v>1</v>
      </c>
      <c r="BJ4530">
        <v>0.2</v>
      </c>
      <c r="BK4530">
        <v>1</v>
      </c>
      <c r="BL4530">
        <v>55.61</v>
      </c>
      <c r="BM4530">
        <v>8.34</v>
      </c>
      <c r="BN4530">
        <v>63.95</v>
      </c>
      <c r="BO4530">
        <v>63.95</v>
      </c>
      <c r="BQ4530" t="s">
        <v>3640</v>
      </c>
      <c r="BR4530" t="s">
        <v>84</v>
      </c>
      <c r="BS4530" s="3">
        <v>45868</v>
      </c>
      <c r="BT4530" s="4">
        <v>0.375</v>
      </c>
      <c r="BU4530" t="s">
        <v>3641</v>
      </c>
      <c r="BV4530" t="s">
        <v>98</v>
      </c>
      <c r="BY4530">
        <v>1200</v>
      </c>
      <c r="CA4530" t="s">
        <v>3825</v>
      </c>
      <c r="CC4530" t="s">
        <v>391</v>
      </c>
      <c r="CD4530">
        <v>1724</v>
      </c>
      <c r="CE4530" t="s">
        <v>121</v>
      </c>
      <c r="CF4530" s="3">
        <v>45868</v>
      </c>
      <c r="CI4530">
        <v>1</v>
      </c>
      <c r="CJ4530">
        <v>1</v>
      </c>
      <c r="CK4530">
        <v>22</v>
      </c>
      <c r="CL4530" t="s">
        <v>86</v>
      </c>
    </row>
    <row r="4531" spans="1:90" x14ac:dyDescent="0.3">
      <c r="A4531" t="s">
        <v>72</v>
      </c>
      <c r="B4531" t="s">
        <v>73</v>
      </c>
      <c r="C4531" t="s">
        <v>74</v>
      </c>
      <c r="E4531" t="str">
        <f>"080066867609"</f>
        <v>080066867609</v>
      </c>
      <c r="F4531" s="3">
        <v>45867</v>
      </c>
      <c r="G4531">
        <v>202604</v>
      </c>
      <c r="H4531" t="s">
        <v>75</v>
      </c>
      <c r="I4531" t="s">
        <v>76</v>
      </c>
      <c r="J4531" t="s">
        <v>77</v>
      </c>
      <c r="K4531" t="s">
        <v>78</v>
      </c>
      <c r="L4531" t="s">
        <v>197</v>
      </c>
      <c r="M4531" t="s">
        <v>198</v>
      </c>
      <c r="N4531" t="s">
        <v>1055</v>
      </c>
      <c r="O4531" t="s">
        <v>82</v>
      </c>
      <c r="P4531" t="str">
        <f>"4170051886                    "</f>
        <v xml:space="preserve">4170051886                    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17.649999999999999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0</v>
      </c>
      <c r="BA4531">
        <v>0</v>
      </c>
      <c r="BB4531">
        <v>0</v>
      </c>
      <c r="BC4531">
        <v>0</v>
      </c>
      <c r="BD4531">
        <v>0</v>
      </c>
      <c r="BE4531">
        <v>0</v>
      </c>
      <c r="BF4531">
        <v>0</v>
      </c>
      <c r="BG4531">
        <v>0</v>
      </c>
      <c r="BH4531">
        <v>1</v>
      </c>
      <c r="BI4531">
        <v>1</v>
      </c>
      <c r="BJ4531">
        <v>0.2</v>
      </c>
      <c r="BK4531">
        <v>1</v>
      </c>
      <c r="BL4531">
        <v>55.61</v>
      </c>
      <c r="BM4531">
        <v>8.34</v>
      </c>
      <c r="BN4531">
        <v>63.95</v>
      </c>
      <c r="BO4531">
        <v>63.95</v>
      </c>
      <c r="BQ4531" t="s">
        <v>1056</v>
      </c>
      <c r="BR4531" t="s">
        <v>84</v>
      </c>
      <c r="BS4531" s="3">
        <v>45868</v>
      </c>
      <c r="BT4531" s="4">
        <v>0.35208333333333336</v>
      </c>
      <c r="BU4531" t="s">
        <v>2155</v>
      </c>
      <c r="BV4531" t="s">
        <v>98</v>
      </c>
      <c r="BY4531">
        <v>1200</v>
      </c>
      <c r="CA4531" t="s">
        <v>3513</v>
      </c>
      <c r="CC4531" t="s">
        <v>198</v>
      </c>
      <c r="CD4531">
        <v>1401</v>
      </c>
      <c r="CE4531" t="s">
        <v>121</v>
      </c>
      <c r="CF4531" s="3">
        <v>45868</v>
      </c>
      <c r="CI4531">
        <v>1</v>
      </c>
      <c r="CJ4531">
        <v>1</v>
      </c>
      <c r="CK4531">
        <v>22</v>
      </c>
      <c r="CL4531" t="s">
        <v>86</v>
      </c>
    </row>
    <row r="4532" spans="1:90" x14ac:dyDescent="0.3">
      <c r="A4532" t="s">
        <v>72</v>
      </c>
      <c r="B4532" t="s">
        <v>73</v>
      </c>
      <c r="C4532" t="s">
        <v>74</v>
      </c>
      <c r="E4532" t="str">
        <f>"080066867965"</f>
        <v>080066867965</v>
      </c>
      <c r="F4532" s="3">
        <v>45867</v>
      </c>
      <c r="G4532">
        <v>202604</v>
      </c>
      <c r="H4532" t="s">
        <v>75</v>
      </c>
      <c r="I4532" t="s">
        <v>76</v>
      </c>
      <c r="J4532" t="s">
        <v>77</v>
      </c>
      <c r="K4532" t="s">
        <v>78</v>
      </c>
      <c r="L4532" t="s">
        <v>79</v>
      </c>
      <c r="M4532" t="s">
        <v>80</v>
      </c>
      <c r="N4532" t="s">
        <v>3881</v>
      </c>
      <c r="O4532" t="s">
        <v>82</v>
      </c>
      <c r="P4532" t="str">
        <f>"4170051752                    "</f>
        <v xml:space="preserve">4170051752                    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22.6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AZ4532">
        <v>0</v>
      </c>
      <c r="BA4532">
        <v>0</v>
      </c>
      <c r="BB4532">
        <v>0</v>
      </c>
      <c r="BC4532">
        <v>0</v>
      </c>
      <c r="BD4532">
        <v>0</v>
      </c>
      <c r="BE4532">
        <v>0</v>
      </c>
      <c r="BF4532">
        <v>0</v>
      </c>
      <c r="BG4532">
        <v>0</v>
      </c>
      <c r="BH4532">
        <v>1</v>
      </c>
      <c r="BI4532">
        <v>1</v>
      </c>
      <c r="BJ4532">
        <v>0.2</v>
      </c>
      <c r="BK4532">
        <v>1</v>
      </c>
      <c r="BL4532">
        <v>71.2</v>
      </c>
      <c r="BM4532">
        <v>10.68</v>
      </c>
      <c r="BN4532">
        <v>81.88</v>
      </c>
      <c r="BO4532">
        <v>81.88</v>
      </c>
      <c r="BQ4532" t="s">
        <v>3882</v>
      </c>
      <c r="BR4532" t="s">
        <v>84</v>
      </c>
      <c r="BS4532" s="3">
        <v>45868</v>
      </c>
      <c r="BT4532" s="4">
        <v>0.39583333333333331</v>
      </c>
      <c r="BU4532" t="s">
        <v>3883</v>
      </c>
      <c r="BV4532" t="s">
        <v>98</v>
      </c>
      <c r="BY4532">
        <v>1200</v>
      </c>
      <c r="CA4532" t="s">
        <v>658</v>
      </c>
      <c r="CC4532" t="s">
        <v>80</v>
      </c>
      <c r="CD4532">
        <v>7405</v>
      </c>
      <c r="CE4532" t="s">
        <v>121</v>
      </c>
      <c r="CF4532" s="3">
        <v>45869</v>
      </c>
      <c r="CI4532">
        <v>1</v>
      </c>
      <c r="CJ4532">
        <v>1</v>
      </c>
      <c r="CK4532">
        <v>21</v>
      </c>
      <c r="CL4532" t="s">
        <v>86</v>
      </c>
    </row>
    <row r="4533" spans="1:90" x14ac:dyDescent="0.3">
      <c r="A4533" t="s">
        <v>72</v>
      </c>
      <c r="B4533" t="s">
        <v>73</v>
      </c>
      <c r="C4533" t="s">
        <v>74</v>
      </c>
      <c r="E4533" t="str">
        <f>"080066865594"</f>
        <v>080066865594</v>
      </c>
      <c r="F4533" s="3">
        <v>45867</v>
      </c>
      <c r="G4533">
        <v>202604</v>
      </c>
      <c r="H4533" t="s">
        <v>75</v>
      </c>
      <c r="I4533" t="s">
        <v>76</v>
      </c>
      <c r="J4533" t="s">
        <v>77</v>
      </c>
      <c r="K4533" t="s">
        <v>78</v>
      </c>
      <c r="L4533" t="s">
        <v>151</v>
      </c>
      <c r="M4533" t="s">
        <v>152</v>
      </c>
      <c r="N4533" t="s">
        <v>153</v>
      </c>
      <c r="O4533" t="s">
        <v>82</v>
      </c>
      <c r="P4533" t="str">
        <f>"4170051742                    "</f>
        <v xml:space="preserve">4170051742                    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>
        <v>33.89</v>
      </c>
      <c r="AR4533">
        <v>0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AZ4533">
        <v>0</v>
      </c>
      <c r="BA4533">
        <v>0</v>
      </c>
      <c r="BB4533">
        <v>0</v>
      </c>
      <c r="BC4533">
        <v>0</v>
      </c>
      <c r="BD4533">
        <v>0</v>
      </c>
      <c r="BE4533">
        <v>0</v>
      </c>
      <c r="BF4533">
        <v>0</v>
      </c>
      <c r="BG4533">
        <v>0</v>
      </c>
      <c r="BH4533">
        <v>1</v>
      </c>
      <c r="BI4533">
        <v>3</v>
      </c>
      <c r="BJ4533">
        <v>1.6</v>
      </c>
      <c r="BK4533">
        <v>3</v>
      </c>
      <c r="BL4533">
        <v>106.77</v>
      </c>
      <c r="BM4533">
        <v>16.02</v>
      </c>
      <c r="BN4533">
        <v>122.79</v>
      </c>
      <c r="BO4533">
        <v>122.79</v>
      </c>
      <c r="BQ4533" t="s">
        <v>154</v>
      </c>
      <c r="BR4533" t="s">
        <v>84</v>
      </c>
      <c r="BS4533" s="3">
        <v>45868</v>
      </c>
      <c r="BT4533" s="4">
        <v>0.38611111111111113</v>
      </c>
      <c r="BU4533" t="s">
        <v>1297</v>
      </c>
      <c r="BV4533" t="s">
        <v>98</v>
      </c>
      <c r="BY4533">
        <v>7840</v>
      </c>
      <c r="CA4533" t="s">
        <v>156</v>
      </c>
      <c r="CC4533" t="s">
        <v>152</v>
      </c>
      <c r="CD4533" s="5" t="s">
        <v>157</v>
      </c>
      <c r="CE4533" t="s">
        <v>91</v>
      </c>
      <c r="CF4533" s="3">
        <v>45868</v>
      </c>
      <c r="CI4533">
        <v>1</v>
      </c>
      <c r="CJ4533">
        <v>1</v>
      </c>
      <c r="CK4533">
        <v>21</v>
      </c>
      <c r="CL4533" t="s">
        <v>86</v>
      </c>
    </row>
    <row r="4534" spans="1:90" x14ac:dyDescent="0.3">
      <c r="A4534" t="s">
        <v>72</v>
      </c>
      <c r="B4534" t="s">
        <v>73</v>
      </c>
      <c r="C4534" t="s">
        <v>74</v>
      </c>
      <c r="E4534" t="str">
        <f>"080066868054"</f>
        <v>080066868054</v>
      </c>
      <c r="F4534" s="3">
        <v>45867</v>
      </c>
      <c r="G4534">
        <v>202604</v>
      </c>
      <c r="H4534" t="s">
        <v>75</v>
      </c>
      <c r="I4534" t="s">
        <v>76</v>
      </c>
      <c r="J4534" t="s">
        <v>77</v>
      </c>
      <c r="K4534" t="s">
        <v>78</v>
      </c>
      <c r="L4534" t="s">
        <v>554</v>
      </c>
      <c r="M4534" t="s">
        <v>555</v>
      </c>
      <c r="N4534" t="s">
        <v>556</v>
      </c>
      <c r="O4534" t="s">
        <v>82</v>
      </c>
      <c r="P4534" t="str">
        <f>"4170051719                    "</f>
        <v xml:space="preserve">4170051719                    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22.6</v>
      </c>
      <c r="AR4534">
        <v>0</v>
      </c>
      <c r="AS4534">
        <v>0</v>
      </c>
      <c r="AT4534">
        <v>0</v>
      </c>
      <c r="AU4534">
        <v>0</v>
      </c>
      <c r="AV4534">
        <v>0</v>
      </c>
      <c r="AW4534">
        <v>0</v>
      </c>
      <c r="AX4534">
        <v>0</v>
      </c>
      <c r="AY4534">
        <v>0</v>
      </c>
      <c r="AZ4534">
        <v>0</v>
      </c>
      <c r="BA4534">
        <v>0</v>
      </c>
      <c r="BB4534">
        <v>0</v>
      </c>
      <c r="BC4534">
        <v>0</v>
      </c>
      <c r="BD4534">
        <v>0</v>
      </c>
      <c r="BE4534">
        <v>0</v>
      </c>
      <c r="BF4534">
        <v>0</v>
      </c>
      <c r="BG4534">
        <v>0</v>
      </c>
      <c r="BH4534">
        <v>1</v>
      </c>
      <c r="BI4534">
        <v>1</v>
      </c>
      <c r="BJ4534">
        <v>0.2</v>
      </c>
      <c r="BK4534">
        <v>1</v>
      </c>
      <c r="BL4534">
        <v>71.2</v>
      </c>
      <c r="BM4534">
        <v>10.68</v>
      </c>
      <c r="BN4534">
        <v>81.88</v>
      </c>
      <c r="BO4534">
        <v>81.88</v>
      </c>
      <c r="BQ4534" t="s">
        <v>557</v>
      </c>
      <c r="BR4534" t="s">
        <v>84</v>
      </c>
      <c r="BS4534" s="3">
        <v>45868</v>
      </c>
      <c r="BT4534" s="4">
        <v>0.38680555555555557</v>
      </c>
      <c r="BU4534" t="s">
        <v>558</v>
      </c>
      <c r="BV4534" t="s">
        <v>98</v>
      </c>
      <c r="BY4534">
        <v>1200</v>
      </c>
      <c r="CA4534" t="s">
        <v>559</v>
      </c>
      <c r="CC4534" t="s">
        <v>555</v>
      </c>
      <c r="CD4534" s="5" t="s">
        <v>560</v>
      </c>
      <c r="CE4534" t="s">
        <v>121</v>
      </c>
      <c r="CF4534" s="3">
        <v>45868</v>
      </c>
      <c r="CI4534">
        <v>1</v>
      </c>
      <c r="CJ4534">
        <v>1</v>
      </c>
      <c r="CK4534">
        <v>21</v>
      </c>
      <c r="CL4534" t="s">
        <v>86</v>
      </c>
    </row>
    <row r="4535" spans="1:90" x14ac:dyDescent="0.3">
      <c r="A4535" t="s">
        <v>72</v>
      </c>
      <c r="B4535" t="s">
        <v>73</v>
      </c>
      <c r="C4535" t="s">
        <v>74</v>
      </c>
      <c r="E4535" t="str">
        <f>"080066868039"</f>
        <v>080066868039</v>
      </c>
      <c r="F4535" s="3">
        <v>45867</v>
      </c>
      <c r="G4535">
        <v>202604</v>
      </c>
      <c r="H4535" t="s">
        <v>75</v>
      </c>
      <c r="I4535" t="s">
        <v>76</v>
      </c>
      <c r="J4535" t="s">
        <v>77</v>
      </c>
      <c r="K4535" t="s">
        <v>78</v>
      </c>
      <c r="L4535" t="s">
        <v>168</v>
      </c>
      <c r="M4535" t="s">
        <v>169</v>
      </c>
      <c r="N4535" t="s">
        <v>202</v>
      </c>
      <c r="O4535" t="s">
        <v>82</v>
      </c>
      <c r="P4535" t="str">
        <f>"4170051754                    "</f>
        <v xml:space="preserve">4170051754                    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22.6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0</v>
      </c>
      <c r="BB4535">
        <v>0</v>
      </c>
      <c r="BC4535">
        <v>0</v>
      </c>
      <c r="BD4535">
        <v>0</v>
      </c>
      <c r="BE4535">
        <v>0</v>
      </c>
      <c r="BF4535">
        <v>0</v>
      </c>
      <c r="BG4535">
        <v>0</v>
      </c>
      <c r="BH4535">
        <v>1</v>
      </c>
      <c r="BI4535">
        <v>2</v>
      </c>
      <c r="BJ4535">
        <v>1.1000000000000001</v>
      </c>
      <c r="BK4535">
        <v>2</v>
      </c>
      <c r="BL4535">
        <v>71.2</v>
      </c>
      <c r="BM4535">
        <v>10.68</v>
      </c>
      <c r="BN4535">
        <v>81.88</v>
      </c>
      <c r="BO4535">
        <v>81.88</v>
      </c>
      <c r="BQ4535" t="s">
        <v>203</v>
      </c>
      <c r="BR4535" t="s">
        <v>84</v>
      </c>
      <c r="BS4535" s="3">
        <v>45868</v>
      </c>
      <c r="BT4535" s="4">
        <v>0.42291666666666666</v>
      </c>
      <c r="BU4535" t="s">
        <v>742</v>
      </c>
      <c r="BV4535" t="s">
        <v>98</v>
      </c>
      <c r="BY4535">
        <v>5320</v>
      </c>
      <c r="CA4535" t="s">
        <v>3850</v>
      </c>
      <c r="CC4535" t="s">
        <v>169</v>
      </c>
      <c r="CD4535">
        <v>6001</v>
      </c>
      <c r="CE4535" t="s">
        <v>145</v>
      </c>
      <c r="CF4535" s="3">
        <v>45868</v>
      </c>
      <c r="CI4535">
        <v>1</v>
      </c>
      <c r="CJ4535">
        <v>1</v>
      </c>
      <c r="CK4535">
        <v>21</v>
      </c>
      <c r="CL4535" t="s">
        <v>86</v>
      </c>
    </row>
    <row r="4536" spans="1:90" x14ac:dyDescent="0.3">
      <c r="A4536" t="s">
        <v>72</v>
      </c>
      <c r="B4536" t="s">
        <v>73</v>
      </c>
      <c r="C4536" t="s">
        <v>74</v>
      </c>
      <c r="E4536" t="str">
        <f>"080066867748"</f>
        <v>080066867748</v>
      </c>
      <c r="F4536" s="3">
        <v>45867</v>
      </c>
      <c r="G4536">
        <v>202604</v>
      </c>
      <c r="H4536" t="s">
        <v>75</v>
      </c>
      <c r="I4536" t="s">
        <v>76</v>
      </c>
      <c r="J4536" t="s">
        <v>77</v>
      </c>
      <c r="K4536" t="s">
        <v>78</v>
      </c>
      <c r="L4536" t="s">
        <v>135</v>
      </c>
      <c r="M4536" t="s">
        <v>136</v>
      </c>
      <c r="N4536" t="s">
        <v>416</v>
      </c>
      <c r="O4536" t="s">
        <v>82</v>
      </c>
      <c r="P4536" t="str">
        <f>"4170051773                    "</f>
        <v xml:space="preserve">4170051773                    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22.6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0</v>
      </c>
      <c r="BB4536">
        <v>0</v>
      </c>
      <c r="BC4536">
        <v>0</v>
      </c>
      <c r="BD4536">
        <v>0</v>
      </c>
      <c r="BE4536">
        <v>0</v>
      </c>
      <c r="BF4536">
        <v>0</v>
      </c>
      <c r="BG4536">
        <v>0</v>
      </c>
      <c r="BH4536">
        <v>1</v>
      </c>
      <c r="BI4536">
        <v>1</v>
      </c>
      <c r="BJ4536">
        <v>0.2</v>
      </c>
      <c r="BK4536">
        <v>1</v>
      </c>
      <c r="BL4536">
        <v>71.2</v>
      </c>
      <c r="BM4536">
        <v>10.68</v>
      </c>
      <c r="BN4536">
        <v>81.88</v>
      </c>
      <c r="BO4536">
        <v>81.88</v>
      </c>
      <c r="BQ4536" t="s">
        <v>417</v>
      </c>
      <c r="BR4536" t="s">
        <v>84</v>
      </c>
      <c r="BS4536" s="3">
        <v>45868</v>
      </c>
      <c r="BT4536" s="4">
        <v>0.625</v>
      </c>
      <c r="BU4536" t="s">
        <v>1741</v>
      </c>
      <c r="BV4536" t="s">
        <v>86</v>
      </c>
      <c r="BY4536">
        <v>1200</v>
      </c>
      <c r="CC4536" t="s">
        <v>136</v>
      </c>
      <c r="CD4536">
        <v>3201</v>
      </c>
      <c r="CE4536" t="s">
        <v>121</v>
      </c>
      <c r="CF4536" s="3">
        <v>45869</v>
      </c>
      <c r="CI4536">
        <v>1</v>
      </c>
      <c r="CJ4536">
        <v>1</v>
      </c>
      <c r="CK4536">
        <v>21</v>
      </c>
      <c r="CL4536" t="s">
        <v>86</v>
      </c>
    </row>
    <row r="4537" spans="1:90" x14ac:dyDescent="0.3">
      <c r="A4537" t="s">
        <v>72</v>
      </c>
      <c r="B4537" t="s">
        <v>73</v>
      </c>
      <c r="C4537" t="s">
        <v>74</v>
      </c>
      <c r="E4537" t="str">
        <f>"080066868011"</f>
        <v>080066868011</v>
      </c>
      <c r="F4537" s="3">
        <v>45867</v>
      </c>
      <c r="G4537">
        <v>202604</v>
      </c>
      <c r="H4537" t="s">
        <v>75</v>
      </c>
      <c r="I4537" t="s">
        <v>76</v>
      </c>
      <c r="J4537" t="s">
        <v>77</v>
      </c>
      <c r="K4537" t="s">
        <v>78</v>
      </c>
      <c r="L4537" t="s">
        <v>363</v>
      </c>
      <c r="M4537" t="s">
        <v>364</v>
      </c>
      <c r="N4537" t="s">
        <v>365</v>
      </c>
      <c r="O4537" t="s">
        <v>82</v>
      </c>
      <c r="P4537" t="str">
        <f>"4170051747                    "</f>
        <v xml:space="preserve">4170051747                    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43.78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  <c r="BA4537">
        <v>0</v>
      </c>
      <c r="BB4537">
        <v>0</v>
      </c>
      <c r="BC4537">
        <v>0</v>
      </c>
      <c r="BD4537">
        <v>0</v>
      </c>
      <c r="BE4537">
        <v>0</v>
      </c>
      <c r="BF4537">
        <v>0</v>
      </c>
      <c r="BG4537">
        <v>0</v>
      </c>
      <c r="BH4537">
        <v>1</v>
      </c>
      <c r="BI4537">
        <v>1</v>
      </c>
      <c r="BJ4537">
        <v>0.2</v>
      </c>
      <c r="BK4537">
        <v>1</v>
      </c>
      <c r="BL4537">
        <v>137.94</v>
      </c>
      <c r="BM4537">
        <v>20.69</v>
      </c>
      <c r="BN4537">
        <v>158.63</v>
      </c>
      <c r="BO4537">
        <v>158.63</v>
      </c>
      <c r="BQ4537" t="s">
        <v>366</v>
      </c>
      <c r="BR4537" t="s">
        <v>84</v>
      </c>
      <c r="BS4537" s="3">
        <v>45868</v>
      </c>
      <c r="BT4537" s="4">
        <v>0.44444444444444442</v>
      </c>
      <c r="BU4537" t="s">
        <v>916</v>
      </c>
      <c r="BV4537" t="s">
        <v>98</v>
      </c>
      <c r="BY4537">
        <v>1200</v>
      </c>
      <c r="CA4537" t="s">
        <v>2129</v>
      </c>
      <c r="CC4537" t="s">
        <v>364</v>
      </c>
      <c r="CD4537">
        <v>7299</v>
      </c>
      <c r="CE4537" t="s">
        <v>121</v>
      </c>
      <c r="CF4537" s="3">
        <v>45869</v>
      </c>
      <c r="CI4537">
        <v>1</v>
      </c>
      <c r="CJ4537">
        <v>1</v>
      </c>
      <c r="CK4537">
        <v>23</v>
      </c>
      <c r="CL4537" t="s">
        <v>86</v>
      </c>
    </row>
    <row r="4538" spans="1:90" x14ac:dyDescent="0.3">
      <c r="A4538" t="s">
        <v>72</v>
      </c>
      <c r="B4538" t="s">
        <v>73</v>
      </c>
      <c r="C4538" t="s">
        <v>74</v>
      </c>
      <c r="E4538" t="str">
        <f>"080066868115"</f>
        <v>080066868115</v>
      </c>
      <c r="F4538" s="3">
        <v>45867</v>
      </c>
      <c r="G4538">
        <v>202604</v>
      </c>
      <c r="H4538" t="s">
        <v>75</v>
      </c>
      <c r="I4538" t="s">
        <v>76</v>
      </c>
      <c r="J4538" t="s">
        <v>77</v>
      </c>
      <c r="K4538" t="s">
        <v>78</v>
      </c>
      <c r="L4538" t="s">
        <v>75</v>
      </c>
      <c r="M4538" t="s">
        <v>76</v>
      </c>
      <c r="N4538" t="s">
        <v>118</v>
      </c>
      <c r="O4538" t="s">
        <v>311</v>
      </c>
      <c r="P4538" t="str">
        <f>"4170051770                    "</f>
        <v xml:space="preserve">4170051770                    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17.66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AZ4538">
        <v>0</v>
      </c>
      <c r="BA4538">
        <v>0</v>
      </c>
      <c r="BB4538">
        <v>0</v>
      </c>
      <c r="BC4538">
        <v>0</v>
      </c>
      <c r="BD4538">
        <v>0</v>
      </c>
      <c r="BE4538">
        <v>0</v>
      </c>
      <c r="BF4538">
        <v>0</v>
      </c>
      <c r="BG4538">
        <v>0</v>
      </c>
      <c r="BH4538">
        <v>1</v>
      </c>
      <c r="BI4538">
        <v>5</v>
      </c>
      <c r="BJ4538">
        <v>1.4</v>
      </c>
      <c r="BK4538">
        <v>5</v>
      </c>
      <c r="BL4538">
        <v>55.63</v>
      </c>
      <c r="BM4538">
        <v>8.34</v>
      </c>
      <c r="BN4538">
        <v>63.97</v>
      </c>
      <c r="BO4538">
        <v>63.97</v>
      </c>
      <c r="BQ4538" t="s">
        <v>119</v>
      </c>
      <c r="BR4538" t="s">
        <v>84</v>
      </c>
      <c r="BS4538" s="3">
        <v>45868</v>
      </c>
      <c r="BT4538" s="4">
        <v>0.31111111111111112</v>
      </c>
      <c r="BU4538" t="s">
        <v>212</v>
      </c>
      <c r="BV4538" t="s">
        <v>98</v>
      </c>
      <c r="BY4538">
        <v>7000</v>
      </c>
      <c r="CA4538" t="s">
        <v>213</v>
      </c>
      <c r="CC4538" t="s">
        <v>76</v>
      </c>
      <c r="CD4538">
        <v>1600</v>
      </c>
      <c r="CE4538" t="s">
        <v>145</v>
      </c>
      <c r="CF4538" s="3">
        <v>45869</v>
      </c>
      <c r="CI4538">
        <v>1</v>
      </c>
      <c r="CJ4538">
        <v>1</v>
      </c>
      <c r="CK4538">
        <v>32</v>
      </c>
      <c r="CL4538" t="s">
        <v>86</v>
      </c>
    </row>
    <row r="4539" spans="1:90" x14ac:dyDescent="0.3">
      <c r="A4539" t="s">
        <v>72</v>
      </c>
      <c r="B4539" t="s">
        <v>73</v>
      </c>
      <c r="C4539" t="s">
        <v>74</v>
      </c>
      <c r="E4539" t="str">
        <f>"080066866162"</f>
        <v>080066866162</v>
      </c>
      <c r="F4539" s="3">
        <v>45867</v>
      </c>
      <c r="G4539">
        <v>202604</v>
      </c>
      <c r="H4539" t="s">
        <v>75</v>
      </c>
      <c r="I4539" t="s">
        <v>76</v>
      </c>
      <c r="J4539" t="s">
        <v>77</v>
      </c>
      <c r="K4539" t="s">
        <v>78</v>
      </c>
      <c r="L4539" t="s">
        <v>3884</v>
      </c>
      <c r="M4539" t="s">
        <v>3885</v>
      </c>
      <c r="N4539" t="s">
        <v>3886</v>
      </c>
      <c r="O4539" t="s">
        <v>82</v>
      </c>
      <c r="P4539" t="str">
        <f>"4170051798                    "</f>
        <v xml:space="preserve">4170051798                    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43.78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AZ4539">
        <v>0</v>
      </c>
      <c r="BA4539">
        <v>0</v>
      </c>
      <c r="BB4539">
        <v>0</v>
      </c>
      <c r="BC4539">
        <v>0</v>
      </c>
      <c r="BD4539">
        <v>0</v>
      </c>
      <c r="BE4539">
        <v>0</v>
      </c>
      <c r="BF4539">
        <v>0</v>
      </c>
      <c r="BG4539">
        <v>0</v>
      </c>
      <c r="BH4539">
        <v>1</v>
      </c>
      <c r="BI4539">
        <v>1</v>
      </c>
      <c r="BJ4539">
        <v>0.2</v>
      </c>
      <c r="BK4539">
        <v>1</v>
      </c>
      <c r="BL4539">
        <v>137.94</v>
      </c>
      <c r="BM4539">
        <v>20.69</v>
      </c>
      <c r="BN4539">
        <v>158.63</v>
      </c>
      <c r="BO4539">
        <v>158.63</v>
      </c>
      <c r="BQ4539" t="s">
        <v>3887</v>
      </c>
      <c r="BR4539" t="s">
        <v>84</v>
      </c>
      <c r="BS4539" s="3">
        <v>45868</v>
      </c>
      <c r="BT4539" s="4">
        <v>0.54236111111111107</v>
      </c>
      <c r="BU4539" t="s">
        <v>3888</v>
      </c>
      <c r="BV4539" t="s">
        <v>98</v>
      </c>
      <c r="BY4539">
        <v>1200</v>
      </c>
      <c r="BZ4539" t="s">
        <v>89</v>
      </c>
      <c r="CA4539" t="s">
        <v>3889</v>
      </c>
      <c r="CC4539" t="s">
        <v>3885</v>
      </c>
      <c r="CD4539">
        <v>7395</v>
      </c>
      <c r="CE4539" t="s">
        <v>239</v>
      </c>
      <c r="CF4539" s="3">
        <v>45869</v>
      </c>
      <c r="CI4539">
        <v>1</v>
      </c>
      <c r="CJ4539">
        <v>1</v>
      </c>
      <c r="CK4539">
        <v>23</v>
      </c>
      <c r="CL4539" t="s">
        <v>86</v>
      </c>
    </row>
    <row r="4540" spans="1:90" x14ac:dyDescent="0.3">
      <c r="A4540" t="s">
        <v>72</v>
      </c>
      <c r="B4540" t="s">
        <v>73</v>
      </c>
      <c r="C4540" t="s">
        <v>74</v>
      </c>
      <c r="E4540" t="str">
        <f>"080066868148"</f>
        <v>080066868148</v>
      </c>
      <c r="F4540" s="3">
        <v>45867</v>
      </c>
      <c r="G4540">
        <v>202604</v>
      </c>
      <c r="H4540" t="s">
        <v>75</v>
      </c>
      <c r="I4540" t="s">
        <v>76</v>
      </c>
      <c r="J4540" t="s">
        <v>77</v>
      </c>
      <c r="K4540" t="s">
        <v>78</v>
      </c>
      <c r="L4540" t="s">
        <v>146</v>
      </c>
      <c r="M4540" t="s">
        <v>146</v>
      </c>
      <c r="N4540" t="s">
        <v>986</v>
      </c>
      <c r="O4540" t="s">
        <v>82</v>
      </c>
      <c r="P4540" t="str">
        <f>"4170051702                    "</f>
        <v xml:space="preserve">4170051702                    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43.78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0</v>
      </c>
      <c r="BB4540">
        <v>0</v>
      </c>
      <c r="BC4540">
        <v>0</v>
      </c>
      <c r="BD4540">
        <v>0</v>
      </c>
      <c r="BE4540">
        <v>0</v>
      </c>
      <c r="BF4540">
        <v>0</v>
      </c>
      <c r="BG4540">
        <v>0</v>
      </c>
      <c r="BH4540">
        <v>1</v>
      </c>
      <c r="BI4540">
        <v>1</v>
      </c>
      <c r="BJ4540">
        <v>1.1000000000000001</v>
      </c>
      <c r="BK4540">
        <v>1.5</v>
      </c>
      <c r="BL4540">
        <v>137.94</v>
      </c>
      <c r="BM4540">
        <v>20.69</v>
      </c>
      <c r="BN4540">
        <v>158.63</v>
      </c>
      <c r="BO4540">
        <v>158.63</v>
      </c>
      <c r="BQ4540" t="s">
        <v>987</v>
      </c>
      <c r="BR4540" t="s">
        <v>84</v>
      </c>
      <c r="BS4540" s="3">
        <v>45868</v>
      </c>
      <c r="BT4540" s="4">
        <v>0.53611111111111109</v>
      </c>
      <c r="BU4540" t="s">
        <v>1115</v>
      </c>
      <c r="BV4540" t="s">
        <v>98</v>
      </c>
      <c r="BY4540">
        <v>5320</v>
      </c>
      <c r="CA4540" t="s">
        <v>150</v>
      </c>
      <c r="CC4540" t="s">
        <v>146</v>
      </c>
      <c r="CD4540">
        <v>7646</v>
      </c>
      <c r="CE4540" t="s">
        <v>145</v>
      </c>
      <c r="CF4540" s="3">
        <v>45869</v>
      </c>
      <c r="CI4540">
        <v>1</v>
      </c>
      <c r="CJ4540">
        <v>1</v>
      </c>
      <c r="CK4540">
        <v>23</v>
      </c>
      <c r="CL4540" t="s">
        <v>86</v>
      </c>
    </row>
    <row r="4541" spans="1:90" x14ac:dyDescent="0.3">
      <c r="A4541" t="s">
        <v>72</v>
      </c>
      <c r="B4541" t="s">
        <v>73</v>
      </c>
      <c r="C4541" t="s">
        <v>74</v>
      </c>
      <c r="E4541" t="str">
        <f>"080066867908"</f>
        <v>080066867908</v>
      </c>
      <c r="F4541" s="3">
        <v>45867</v>
      </c>
      <c r="G4541">
        <v>202604</v>
      </c>
      <c r="H4541" t="s">
        <v>75</v>
      </c>
      <c r="I4541" t="s">
        <v>76</v>
      </c>
      <c r="J4541" t="s">
        <v>77</v>
      </c>
      <c r="K4541" t="s">
        <v>78</v>
      </c>
      <c r="L4541" t="s">
        <v>135</v>
      </c>
      <c r="M4541" t="s">
        <v>136</v>
      </c>
      <c r="N4541" t="s">
        <v>416</v>
      </c>
      <c r="O4541" t="s">
        <v>82</v>
      </c>
      <c r="P4541" t="str">
        <f>"4170051830                    "</f>
        <v xml:space="preserve">4170051830                    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22.6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AZ4541">
        <v>0</v>
      </c>
      <c r="BA4541">
        <v>0</v>
      </c>
      <c r="BB4541">
        <v>0</v>
      </c>
      <c r="BC4541">
        <v>0</v>
      </c>
      <c r="BD4541">
        <v>0</v>
      </c>
      <c r="BE4541">
        <v>0</v>
      </c>
      <c r="BF4541">
        <v>0</v>
      </c>
      <c r="BG4541">
        <v>0</v>
      </c>
      <c r="BH4541">
        <v>1</v>
      </c>
      <c r="BI4541">
        <v>1</v>
      </c>
      <c r="BJ4541">
        <v>0.2</v>
      </c>
      <c r="BK4541">
        <v>1</v>
      </c>
      <c r="BL4541">
        <v>71.2</v>
      </c>
      <c r="BM4541">
        <v>10.68</v>
      </c>
      <c r="BN4541">
        <v>81.88</v>
      </c>
      <c r="BO4541">
        <v>81.88</v>
      </c>
      <c r="BQ4541" t="s">
        <v>417</v>
      </c>
      <c r="BR4541" t="s">
        <v>84</v>
      </c>
      <c r="BS4541" s="3">
        <v>45868</v>
      </c>
      <c r="BT4541" s="4">
        <v>0.625</v>
      </c>
      <c r="BU4541" t="s">
        <v>1741</v>
      </c>
      <c r="BV4541" t="s">
        <v>86</v>
      </c>
      <c r="BY4541">
        <v>1200</v>
      </c>
      <c r="CC4541" t="s">
        <v>136</v>
      </c>
      <c r="CD4541">
        <v>3201</v>
      </c>
      <c r="CE4541" t="s">
        <v>121</v>
      </c>
      <c r="CF4541" s="3">
        <v>45869</v>
      </c>
      <c r="CI4541">
        <v>1</v>
      </c>
      <c r="CJ4541">
        <v>1</v>
      </c>
      <c r="CK4541">
        <v>21</v>
      </c>
      <c r="CL4541" t="s">
        <v>86</v>
      </c>
    </row>
    <row r="4542" spans="1:90" x14ac:dyDescent="0.3">
      <c r="A4542" t="s">
        <v>72</v>
      </c>
      <c r="B4542" t="s">
        <v>73</v>
      </c>
      <c r="C4542" t="s">
        <v>74</v>
      </c>
      <c r="E4542" t="str">
        <f>"080066867444"</f>
        <v>080066867444</v>
      </c>
      <c r="F4542" s="3">
        <v>45867</v>
      </c>
      <c r="G4542">
        <v>202604</v>
      </c>
      <c r="H4542" t="s">
        <v>75</v>
      </c>
      <c r="I4542" t="s">
        <v>76</v>
      </c>
      <c r="J4542" t="s">
        <v>77</v>
      </c>
      <c r="K4542" t="s">
        <v>78</v>
      </c>
      <c r="L4542" t="s">
        <v>252</v>
      </c>
      <c r="M4542" t="s">
        <v>253</v>
      </c>
      <c r="N4542" t="s">
        <v>254</v>
      </c>
      <c r="O4542" t="s">
        <v>82</v>
      </c>
      <c r="P4542" t="str">
        <f>"4170051851                    "</f>
        <v xml:space="preserve">4170051851                    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43.78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  <c r="BA4542">
        <v>0</v>
      </c>
      <c r="BB4542">
        <v>0</v>
      </c>
      <c r="BC4542">
        <v>0</v>
      </c>
      <c r="BD4542">
        <v>0</v>
      </c>
      <c r="BE4542">
        <v>0</v>
      </c>
      <c r="BF4542">
        <v>0</v>
      </c>
      <c r="BG4542">
        <v>0</v>
      </c>
      <c r="BH4542">
        <v>1</v>
      </c>
      <c r="BI4542">
        <v>1</v>
      </c>
      <c r="BJ4542">
        <v>0.2</v>
      </c>
      <c r="BK4542">
        <v>1</v>
      </c>
      <c r="BL4542">
        <v>137.94</v>
      </c>
      <c r="BM4542">
        <v>20.69</v>
      </c>
      <c r="BN4542">
        <v>158.63</v>
      </c>
      <c r="BO4542">
        <v>158.63</v>
      </c>
      <c r="BQ4542" t="s">
        <v>255</v>
      </c>
      <c r="BR4542" t="s">
        <v>84</v>
      </c>
      <c r="BS4542" s="3">
        <v>45868</v>
      </c>
      <c r="BT4542" s="4">
        <v>0.35347222222222224</v>
      </c>
      <c r="BU4542" t="s">
        <v>3890</v>
      </c>
      <c r="BV4542" t="s">
        <v>98</v>
      </c>
      <c r="BY4542">
        <v>1200</v>
      </c>
      <c r="BZ4542" t="s">
        <v>89</v>
      </c>
      <c r="CA4542" t="s">
        <v>3891</v>
      </c>
      <c r="CC4542" t="s">
        <v>253</v>
      </c>
      <c r="CD4542">
        <v>1947</v>
      </c>
      <c r="CE4542" t="s">
        <v>121</v>
      </c>
      <c r="CF4542" s="3">
        <v>45869</v>
      </c>
      <c r="CI4542">
        <v>1</v>
      </c>
      <c r="CJ4542">
        <v>1</v>
      </c>
      <c r="CK4542">
        <v>23</v>
      </c>
      <c r="CL4542" t="s">
        <v>86</v>
      </c>
    </row>
    <row r="4543" spans="1:90" x14ac:dyDescent="0.3">
      <c r="A4543" t="s">
        <v>72</v>
      </c>
      <c r="B4543" t="s">
        <v>73</v>
      </c>
      <c r="C4543" t="s">
        <v>74</v>
      </c>
      <c r="E4543" t="str">
        <f>"080066868350"</f>
        <v>080066868350</v>
      </c>
      <c r="F4543" s="3">
        <v>45867</v>
      </c>
      <c r="G4543">
        <v>202604</v>
      </c>
      <c r="H4543" t="s">
        <v>75</v>
      </c>
      <c r="I4543" t="s">
        <v>76</v>
      </c>
      <c r="J4543" t="s">
        <v>77</v>
      </c>
      <c r="K4543" t="s">
        <v>78</v>
      </c>
      <c r="L4543" t="s">
        <v>1291</v>
      </c>
      <c r="M4543" t="s">
        <v>1292</v>
      </c>
      <c r="N4543" t="s">
        <v>1293</v>
      </c>
      <c r="O4543" t="s">
        <v>82</v>
      </c>
      <c r="P4543" t="str">
        <f>"4170051750                    "</f>
        <v xml:space="preserve">4170051750                    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63.56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0</v>
      </c>
      <c r="BB4543">
        <v>0</v>
      </c>
      <c r="BC4543">
        <v>0</v>
      </c>
      <c r="BD4543">
        <v>0</v>
      </c>
      <c r="BE4543">
        <v>0</v>
      </c>
      <c r="BF4543">
        <v>0</v>
      </c>
      <c r="BG4543">
        <v>0</v>
      </c>
      <c r="BH4543">
        <v>1</v>
      </c>
      <c r="BI4543">
        <v>3</v>
      </c>
      <c r="BJ4543">
        <v>1.1000000000000001</v>
      </c>
      <c r="BK4543">
        <v>3</v>
      </c>
      <c r="BL4543">
        <v>200.24</v>
      </c>
      <c r="BM4543">
        <v>30.04</v>
      </c>
      <c r="BN4543">
        <v>230.28</v>
      </c>
      <c r="BO4543">
        <v>230.28</v>
      </c>
      <c r="BQ4543" t="s">
        <v>1294</v>
      </c>
      <c r="BR4543" t="s">
        <v>84</v>
      </c>
      <c r="BS4543" s="3">
        <v>45868</v>
      </c>
      <c r="BT4543" s="4">
        <v>0.5444444444444444</v>
      </c>
      <c r="BU4543" t="s">
        <v>1295</v>
      </c>
      <c r="BV4543" t="s">
        <v>98</v>
      </c>
      <c r="BY4543">
        <v>5320</v>
      </c>
      <c r="CA4543" t="s">
        <v>1296</v>
      </c>
      <c r="CC4543" t="s">
        <v>1292</v>
      </c>
      <c r="CD4543">
        <v>3370</v>
      </c>
      <c r="CE4543" t="s">
        <v>145</v>
      </c>
      <c r="CF4543" s="3">
        <v>45869</v>
      </c>
      <c r="CI4543">
        <v>2</v>
      </c>
      <c r="CJ4543">
        <v>1</v>
      </c>
      <c r="CK4543">
        <v>23</v>
      </c>
      <c r="CL4543" t="s">
        <v>86</v>
      </c>
    </row>
    <row r="4544" spans="1:90" x14ac:dyDescent="0.3">
      <c r="A4544" t="s">
        <v>72</v>
      </c>
      <c r="B4544" t="s">
        <v>73</v>
      </c>
      <c r="C4544" t="s">
        <v>74</v>
      </c>
      <c r="E4544" t="str">
        <f>"080066867802"</f>
        <v>080066867802</v>
      </c>
      <c r="F4544" s="3">
        <v>45867</v>
      </c>
      <c r="G4544">
        <v>202604</v>
      </c>
      <c r="H4544" t="s">
        <v>75</v>
      </c>
      <c r="I4544" t="s">
        <v>76</v>
      </c>
      <c r="J4544" t="s">
        <v>77</v>
      </c>
      <c r="K4544" t="s">
        <v>78</v>
      </c>
      <c r="L4544" t="s">
        <v>79</v>
      </c>
      <c r="M4544" t="s">
        <v>80</v>
      </c>
      <c r="N4544" t="s">
        <v>931</v>
      </c>
      <c r="O4544" t="s">
        <v>82</v>
      </c>
      <c r="P4544" t="str">
        <f>"4170051086                    "</f>
        <v xml:space="preserve">4170051086                    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22.6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>
        <v>0</v>
      </c>
      <c r="BC4544">
        <v>0</v>
      </c>
      <c r="BD4544">
        <v>0</v>
      </c>
      <c r="BE4544">
        <v>0</v>
      </c>
      <c r="BF4544">
        <v>0</v>
      </c>
      <c r="BG4544">
        <v>0</v>
      </c>
      <c r="BH4544">
        <v>1</v>
      </c>
      <c r="BI4544">
        <v>1</v>
      </c>
      <c r="BJ4544">
        <v>0.2</v>
      </c>
      <c r="BK4544">
        <v>1</v>
      </c>
      <c r="BL4544">
        <v>71.2</v>
      </c>
      <c r="BM4544">
        <v>10.68</v>
      </c>
      <c r="BN4544">
        <v>81.88</v>
      </c>
      <c r="BO4544">
        <v>81.88</v>
      </c>
      <c r="BQ4544" t="s">
        <v>932</v>
      </c>
      <c r="BR4544" t="s">
        <v>84</v>
      </c>
      <c r="BS4544" s="3">
        <v>45868</v>
      </c>
      <c r="BT4544" s="4">
        <v>0.41944444444444445</v>
      </c>
      <c r="BU4544" t="s">
        <v>933</v>
      </c>
      <c r="BV4544" t="s">
        <v>98</v>
      </c>
      <c r="BY4544">
        <v>1200</v>
      </c>
      <c r="CA4544" t="s">
        <v>934</v>
      </c>
      <c r="CC4544" t="s">
        <v>80</v>
      </c>
      <c r="CD4544">
        <v>7535</v>
      </c>
      <c r="CE4544" t="s">
        <v>121</v>
      </c>
      <c r="CF4544" s="3">
        <v>45869</v>
      </c>
      <c r="CI4544">
        <v>1</v>
      </c>
      <c r="CJ4544">
        <v>1</v>
      </c>
      <c r="CK4544">
        <v>21</v>
      </c>
      <c r="CL4544" t="s">
        <v>86</v>
      </c>
    </row>
    <row r="4545" spans="1:90" x14ac:dyDescent="0.3">
      <c r="A4545" t="s">
        <v>72</v>
      </c>
      <c r="B4545" t="s">
        <v>73</v>
      </c>
      <c r="C4545" t="s">
        <v>74</v>
      </c>
      <c r="E4545" t="str">
        <f>"080066868301"</f>
        <v>080066868301</v>
      </c>
      <c r="F4545" s="3">
        <v>45867</v>
      </c>
      <c r="G4545">
        <v>202604</v>
      </c>
      <c r="H4545" t="s">
        <v>75</v>
      </c>
      <c r="I4545" t="s">
        <v>76</v>
      </c>
      <c r="J4545" t="s">
        <v>77</v>
      </c>
      <c r="K4545" t="s">
        <v>78</v>
      </c>
      <c r="L4545" t="s">
        <v>135</v>
      </c>
      <c r="M4545" t="s">
        <v>136</v>
      </c>
      <c r="N4545" t="s">
        <v>379</v>
      </c>
      <c r="O4545" t="s">
        <v>82</v>
      </c>
      <c r="P4545" t="str">
        <f>"4170051708                    "</f>
        <v xml:space="preserve">4170051708                    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22.6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AZ4545">
        <v>0</v>
      </c>
      <c r="BA4545">
        <v>0</v>
      </c>
      <c r="BB4545">
        <v>0</v>
      </c>
      <c r="BC4545">
        <v>0</v>
      </c>
      <c r="BD4545">
        <v>0</v>
      </c>
      <c r="BE4545">
        <v>0</v>
      </c>
      <c r="BF4545">
        <v>0</v>
      </c>
      <c r="BG4545">
        <v>0</v>
      </c>
      <c r="BH4545">
        <v>1</v>
      </c>
      <c r="BI4545">
        <v>2</v>
      </c>
      <c r="BJ4545">
        <v>1.7</v>
      </c>
      <c r="BK4545">
        <v>2</v>
      </c>
      <c r="BL4545">
        <v>71.2</v>
      </c>
      <c r="BM4545">
        <v>10.68</v>
      </c>
      <c r="BN4545">
        <v>81.88</v>
      </c>
      <c r="BO4545">
        <v>81.88</v>
      </c>
      <c r="BQ4545" t="s">
        <v>380</v>
      </c>
      <c r="BR4545" t="s">
        <v>84</v>
      </c>
      <c r="BS4545" s="3">
        <v>45868</v>
      </c>
      <c r="BT4545" s="4">
        <v>0.41666666666666669</v>
      </c>
      <c r="BU4545" t="s">
        <v>3892</v>
      </c>
      <c r="BV4545" t="s">
        <v>98</v>
      </c>
      <c r="BY4545">
        <v>8512</v>
      </c>
      <c r="CC4545" t="s">
        <v>136</v>
      </c>
      <c r="CD4545">
        <v>3212</v>
      </c>
      <c r="CE4545" t="s">
        <v>145</v>
      </c>
      <c r="CF4545" s="3">
        <v>45868</v>
      </c>
      <c r="CI4545">
        <v>2</v>
      </c>
      <c r="CJ4545">
        <v>1</v>
      </c>
      <c r="CK4545">
        <v>21</v>
      </c>
      <c r="CL4545" t="s">
        <v>86</v>
      </c>
    </row>
    <row r="4546" spans="1:90" x14ac:dyDescent="0.3">
      <c r="A4546" t="s">
        <v>72</v>
      </c>
      <c r="B4546" t="s">
        <v>73</v>
      </c>
      <c r="C4546" t="s">
        <v>74</v>
      </c>
      <c r="E4546" t="str">
        <f>"080066867569"</f>
        <v>080066867569</v>
      </c>
      <c r="F4546" s="3">
        <v>45867</v>
      </c>
      <c r="G4546">
        <v>202604</v>
      </c>
      <c r="H4546" t="s">
        <v>75</v>
      </c>
      <c r="I4546" t="s">
        <v>76</v>
      </c>
      <c r="J4546" t="s">
        <v>77</v>
      </c>
      <c r="K4546" t="s">
        <v>78</v>
      </c>
      <c r="L4546" t="s">
        <v>79</v>
      </c>
      <c r="M4546" t="s">
        <v>80</v>
      </c>
      <c r="N4546" t="s">
        <v>1083</v>
      </c>
      <c r="O4546" t="s">
        <v>82</v>
      </c>
      <c r="P4546" t="str">
        <f>"4170051832                    "</f>
        <v xml:space="preserve">4170051832                    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22.6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0</v>
      </c>
      <c r="BA4546">
        <v>0</v>
      </c>
      <c r="BB4546">
        <v>0</v>
      </c>
      <c r="BC4546">
        <v>0</v>
      </c>
      <c r="BD4546">
        <v>0</v>
      </c>
      <c r="BE4546">
        <v>0</v>
      </c>
      <c r="BF4546">
        <v>0</v>
      </c>
      <c r="BG4546">
        <v>0</v>
      </c>
      <c r="BH4546">
        <v>1</v>
      </c>
      <c r="BI4546">
        <v>1</v>
      </c>
      <c r="BJ4546">
        <v>1.1000000000000001</v>
      </c>
      <c r="BK4546">
        <v>1.5</v>
      </c>
      <c r="BL4546">
        <v>71.2</v>
      </c>
      <c r="BM4546">
        <v>10.68</v>
      </c>
      <c r="BN4546">
        <v>81.88</v>
      </c>
      <c r="BO4546">
        <v>81.88</v>
      </c>
      <c r="BQ4546" t="s">
        <v>1084</v>
      </c>
      <c r="BR4546" t="s">
        <v>84</v>
      </c>
      <c r="BS4546" s="3">
        <v>45868</v>
      </c>
      <c r="BT4546" s="4">
        <v>0.41180555555555554</v>
      </c>
      <c r="BU4546" t="s">
        <v>1184</v>
      </c>
      <c r="BV4546" t="s">
        <v>98</v>
      </c>
      <c r="BY4546">
        <v>5320</v>
      </c>
      <c r="CC4546" t="s">
        <v>80</v>
      </c>
      <c r="CD4546">
        <v>8001</v>
      </c>
      <c r="CE4546" t="s">
        <v>145</v>
      </c>
      <c r="CF4546" s="3">
        <v>45869</v>
      </c>
      <c r="CI4546">
        <v>1</v>
      </c>
      <c r="CJ4546">
        <v>1</v>
      </c>
      <c r="CK4546">
        <v>21</v>
      </c>
      <c r="CL4546" t="s">
        <v>86</v>
      </c>
    </row>
    <row r="4547" spans="1:90" x14ac:dyDescent="0.3">
      <c r="A4547" t="s">
        <v>72</v>
      </c>
      <c r="B4547" t="s">
        <v>73</v>
      </c>
      <c r="C4547" t="s">
        <v>74</v>
      </c>
      <c r="E4547" t="str">
        <f>"080066868269"</f>
        <v>080066868269</v>
      </c>
      <c r="F4547" s="3">
        <v>45867</v>
      </c>
      <c r="G4547">
        <v>202604</v>
      </c>
      <c r="H4547" t="s">
        <v>75</v>
      </c>
      <c r="I4547" t="s">
        <v>76</v>
      </c>
      <c r="J4547" t="s">
        <v>77</v>
      </c>
      <c r="K4547" t="s">
        <v>78</v>
      </c>
      <c r="L4547" t="s">
        <v>329</v>
      </c>
      <c r="M4547" t="s">
        <v>330</v>
      </c>
      <c r="N4547" t="s">
        <v>331</v>
      </c>
      <c r="O4547" t="s">
        <v>82</v>
      </c>
      <c r="P4547" t="str">
        <f>"4170051853                    "</f>
        <v xml:space="preserve">4170051853                    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43.78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0</v>
      </c>
      <c r="BB4547">
        <v>0</v>
      </c>
      <c r="BC4547">
        <v>0</v>
      </c>
      <c r="BD4547">
        <v>0</v>
      </c>
      <c r="BE4547">
        <v>0</v>
      </c>
      <c r="BF4547">
        <v>0</v>
      </c>
      <c r="BG4547">
        <v>0</v>
      </c>
      <c r="BH4547">
        <v>1</v>
      </c>
      <c r="BI4547">
        <v>2</v>
      </c>
      <c r="BJ4547">
        <v>1.4</v>
      </c>
      <c r="BK4547">
        <v>2</v>
      </c>
      <c r="BL4547">
        <v>137.94</v>
      </c>
      <c r="BM4547">
        <v>20.69</v>
      </c>
      <c r="BN4547">
        <v>158.63</v>
      </c>
      <c r="BO4547">
        <v>158.63</v>
      </c>
      <c r="BQ4547" t="s">
        <v>332</v>
      </c>
      <c r="BR4547" t="s">
        <v>84</v>
      </c>
      <c r="BS4547" t="s">
        <v>587</v>
      </c>
      <c r="BY4547">
        <v>7000</v>
      </c>
      <c r="CC4547" t="s">
        <v>330</v>
      </c>
      <c r="CD4547">
        <v>6300</v>
      </c>
      <c r="CE4547" t="s">
        <v>145</v>
      </c>
      <c r="CI4547">
        <v>2</v>
      </c>
      <c r="CJ4547" t="s">
        <v>587</v>
      </c>
      <c r="CK4547">
        <v>23</v>
      </c>
      <c r="CL4547" t="s">
        <v>86</v>
      </c>
    </row>
    <row r="4548" spans="1:90" x14ac:dyDescent="0.3">
      <c r="A4548" t="s">
        <v>72</v>
      </c>
      <c r="B4548" t="s">
        <v>73</v>
      </c>
      <c r="C4548" t="s">
        <v>74</v>
      </c>
      <c r="E4548" t="str">
        <f>"080066868125"</f>
        <v>080066868125</v>
      </c>
      <c r="F4548" s="3">
        <v>45867</v>
      </c>
      <c r="G4548">
        <v>202604</v>
      </c>
      <c r="H4548" t="s">
        <v>75</v>
      </c>
      <c r="I4548" t="s">
        <v>76</v>
      </c>
      <c r="J4548" t="s">
        <v>77</v>
      </c>
      <c r="K4548" t="s">
        <v>78</v>
      </c>
      <c r="L4548" t="s">
        <v>350</v>
      </c>
      <c r="M4548" t="s">
        <v>351</v>
      </c>
      <c r="N4548" t="s">
        <v>1739</v>
      </c>
      <c r="O4548" t="s">
        <v>82</v>
      </c>
      <c r="P4548" t="str">
        <f>"4170051729                    "</f>
        <v xml:space="preserve">4170051729                    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22.6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16.739999999999998</v>
      </c>
      <c r="AX4548">
        <v>0</v>
      </c>
      <c r="AY4548">
        <v>0</v>
      </c>
      <c r="AZ4548">
        <v>0</v>
      </c>
      <c r="BA4548">
        <v>0</v>
      </c>
      <c r="BB4548">
        <v>0</v>
      </c>
      <c r="BC4548">
        <v>0</v>
      </c>
      <c r="BD4548">
        <v>0</v>
      </c>
      <c r="BE4548">
        <v>0</v>
      </c>
      <c r="BF4548">
        <v>0</v>
      </c>
      <c r="BG4548">
        <v>0</v>
      </c>
      <c r="BH4548">
        <v>1</v>
      </c>
      <c r="BI4548">
        <v>1</v>
      </c>
      <c r="BJ4548">
        <v>0.2</v>
      </c>
      <c r="BK4548">
        <v>1</v>
      </c>
      <c r="BL4548">
        <v>87.94</v>
      </c>
      <c r="BM4548">
        <v>13.19</v>
      </c>
      <c r="BN4548">
        <v>101.13</v>
      </c>
      <c r="BO4548">
        <v>101.13</v>
      </c>
      <c r="BQ4548" t="s">
        <v>1740</v>
      </c>
      <c r="BR4548" t="s">
        <v>84</v>
      </c>
      <c r="BS4548" s="3">
        <v>45868</v>
      </c>
      <c r="BT4548" s="4">
        <v>0.53680555555555554</v>
      </c>
      <c r="BU4548" t="s">
        <v>1741</v>
      </c>
      <c r="BV4548" t="s">
        <v>86</v>
      </c>
      <c r="BW4548" t="s">
        <v>194</v>
      </c>
      <c r="BX4548" t="s">
        <v>220</v>
      </c>
      <c r="BY4548">
        <v>1200</v>
      </c>
      <c r="BZ4548" t="s">
        <v>30</v>
      </c>
      <c r="CA4548" t="s">
        <v>3829</v>
      </c>
      <c r="CC4548" t="s">
        <v>351</v>
      </c>
      <c r="CD4548">
        <v>4110</v>
      </c>
      <c r="CE4548" t="s">
        <v>121</v>
      </c>
      <c r="CF4548" s="3">
        <v>45869</v>
      </c>
      <c r="CI4548">
        <v>1</v>
      </c>
      <c r="CJ4548">
        <v>1</v>
      </c>
      <c r="CK4548">
        <v>21</v>
      </c>
      <c r="CL4548" t="s">
        <v>86</v>
      </c>
    </row>
    <row r="4549" spans="1:90" x14ac:dyDescent="0.3">
      <c r="A4549" t="s">
        <v>72</v>
      </c>
      <c r="B4549" t="s">
        <v>73</v>
      </c>
      <c r="C4549" t="s">
        <v>74</v>
      </c>
      <c r="E4549" t="str">
        <f>"080066867713"</f>
        <v>080066867713</v>
      </c>
      <c r="F4549" s="3">
        <v>45867</v>
      </c>
      <c r="G4549">
        <v>202604</v>
      </c>
      <c r="H4549" t="s">
        <v>75</v>
      </c>
      <c r="I4549" t="s">
        <v>76</v>
      </c>
      <c r="J4549" t="s">
        <v>77</v>
      </c>
      <c r="K4549" t="s">
        <v>78</v>
      </c>
      <c r="L4549" t="s">
        <v>151</v>
      </c>
      <c r="M4549" t="s">
        <v>152</v>
      </c>
      <c r="N4549" t="s">
        <v>902</v>
      </c>
      <c r="O4549" t="s">
        <v>82</v>
      </c>
      <c r="P4549" t="str">
        <f>"4170051814                    "</f>
        <v xml:space="preserve">4170051814                    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22.6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0</v>
      </c>
      <c r="AX4549">
        <v>0</v>
      </c>
      <c r="AY4549">
        <v>0</v>
      </c>
      <c r="AZ4549">
        <v>0</v>
      </c>
      <c r="BA4549">
        <v>0</v>
      </c>
      <c r="BB4549">
        <v>0</v>
      </c>
      <c r="BC4549">
        <v>0</v>
      </c>
      <c r="BD4549">
        <v>0</v>
      </c>
      <c r="BE4549">
        <v>0</v>
      </c>
      <c r="BF4549">
        <v>0</v>
      </c>
      <c r="BG4549">
        <v>0</v>
      </c>
      <c r="BH4549">
        <v>1</v>
      </c>
      <c r="BI4549">
        <v>1</v>
      </c>
      <c r="BJ4549">
        <v>0.2</v>
      </c>
      <c r="BK4549">
        <v>1</v>
      </c>
      <c r="BL4549">
        <v>71.2</v>
      </c>
      <c r="BM4549">
        <v>10.68</v>
      </c>
      <c r="BN4549">
        <v>81.88</v>
      </c>
      <c r="BO4549">
        <v>81.88</v>
      </c>
      <c r="BQ4549" t="s">
        <v>903</v>
      </c>
      <c r="BR4549" t="s">
        <v>84</v>
      </c>
      <c r="BS4549" t="s">
        <v>587</v>
      </c>
      <c r="BY4549">
        <v>1200</v>
      </c>
      <c r="CC4549" t="s">
        <v>152</v>
      </c>
      <c r="CD4549" s="5" t="s">
        <v>907</v>
      </c>
      <c r="CE4549" t="s">
        <v>121</v>
      </c>
      <c r="CI4549">
        <v>1</v>
      </c>
      <c r="CJ4549" t="s">
        <v>587</v>
      </c>
      <c r="CK4549">
        <v>21</v>
      </c>
      <c r="CL4549" t="s">
        <v>86</v>
      </c>
    </row>
    <row r="4550" spans="1:90" x14ac:dyDescent="0.3">
      <c r="A4550" t="s">
        <v>72</v>
      </c>
      <c r="B4550" t="s">
        <v>73</v>
      </c>
      <c r="C4550" t="s">
        <v>74</v>
      </c>
      <c r="E4550" t="str">
        <f>"080066867460"</f>
        <v>080066867460</v>
      </c>
      <c r="F4550" s="3">
        <v>45867</v>
      </c>
      <c r="G4550">
        <v>202604</v>
      </c>
      <c r="H4550" t="s">
        <v>75</v>
      </c>
      <c r="I4550" t="s">
        <v>76</v>
      </c>
      <c r="J4550" t="s">
        <v>77</v>
      </c>
      <c r="K4550" t="s">
        <v>78</v>
      </c>
      <c r="L4550" t="s">
        <v>151</v>
      </c>
      <c r="M4550" t="s">
        <v>152</v>
      </c>
      <c r="N4550" t="s">
        <v>352</v>
      </c>
      <c r="O4550" t="s">
        <v>82</v>
      </c>
      <c r="P4550" t="str">
        <f>"4170051763                    "</f>
        <v xml:space="preserve">4170051763                    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22.6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AZ4550">
        <v>0</v>
      </c>
      <c r="BA4550">
        <v>0</v>
      </c>
      <c r="BB4550">
        <v>0</v>
      </c>
      <c r="BC4550">
        <v>0</v>
      </c>
      <c r="BD4550">
        <v>0</v>
      </c>
      <c r="BE4550">
        <v>0</v>
      </c>
      <c r="BF4550">
        <v>0</v>
      </c>
      <c r="BG4550">
        <v>0</v>
      </c>
      <c r="BH4550">
        <v>1</v>
      </c>
      <c r="BI4550">
        <v>2</v>
      </c>
      <c r="BJ4550">
        <v>1.4</v>
      </c>
      <c r="BK4550">
        <v>2</v>
      </c>
      <c r="BL4550">
        <v>71.2</v>
      </c>
      <c r="BM4550">
        <v>10.68</v>
      </c>
      <c r="BN4550">
        <v>81.88</v>
      </c>
      <c r="BO4550">
        <v>81.88</v>
      </c>
      <c r="BQ4550" t="s">
        <v>353</v>
      </c>
      <c r="BR4550" t="s">
        <v>84</v>
      </c>
      <c r="BS4550" s="3">
        <v>45868</v>
      </c>
      <c r="BT4550" s="4">
        <v>0.69027777777777777</v>
      </c>
      <c r="BU4550" t="s">
        <v>3879</v>
      </c>
      <c r="BV4550" t="s">
        <v>86</v>
      </c>
      <c r="BW4550" t="s">
        <v>395</v>
      </c>
      <c r="BX4550" t="s">
        <v>2589</v>
      </c>
      <c r="BY4550">
        <v>7000</v>
      </c>
      <c r="BZ4550" t="s">
        <v>89</v>
      </c>
      <c r="CA4550" t="s">
        <v>3706</v>
      </c>
      <c r="CC4550" t="s">
        <v>152</v>
      </c>
      <c r="CD4550" s="5" t="s">
        <v>717</v>
      </c>
      <c r="CE4550" t="s">
        <v>145</v>
      </c>
      <c r="CF4550" s="3">
        <v>45868</v>
      </c>
      <c r="CI4550">
        <v>1</v>
      </c>
      <c r="CJ4550">
        <v>1</v>
      </c>
      <c r="CK4550">
        <v>21</v>
      </c>
      <c r="CL4550" t="s">
        <v>86</v>
      </c>
    </row>
    <row r="4551" spans="1:90" x14ac:dyDescent="0.3">
      <c r="A4551" t="s">
        <v>72</v>
      </c>
      <c r="B4551" t="s">
        <v>73</v>
      </c>
      <c r="C4551" t="s">
        <v>74</v>
      </c>
      <c r="E4551" t="str">
        <f>"080066867642"</f>
        <v>080066867642</v>
      </c>
      <c r="F4551" s="3">
        <v>45867</v>
      </c>
      <c r="G4551">
        <v>202604</v>
      </c>
      <c r="H4551" t="s">
        <v>75</v>
      </c>
      <c r="I4551" t="s">
        <v>76</v>
      </c>
      <c r="J4551" t="s">
        <v>77</v>
      </c>
      <c r="K4551" t="s">
        <v>78</v>
      </c>
      <c r="L4551" t="s">
        <v>102</v>
      </c>
      <c r="M4551" t="s">
        <v>103</v>
      </c>
      <c r="N4551" t="s">
        <v>2293</v>
      </c>
      <c r="O4551" t="s">
        <v>82</v>
      </c>
      <c r="P4551" t="str">
        <f>"4170051845                    "</f>
        <v xml:space="preserve">4170051845                    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>
        <v>31.78</v>
      </c>
      <c r="AR4551">
        <v>0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AZ4551">
        <v>0</v>
      </c>
      <c r="BA4551">
        <v>0</v>
      </c>
      <c r="BB4551">
        <v>0</v>
      </c>
      <c r="BC4551">
        <v>0</v>
      </c>
      <c r="BD4551">
        <v>0</v>
      </c>
      <c r="BE4551">
        <v>0</v>
      </c>
      <c r="BF4551">
        <v>0</v>
      </c>
      <c r="BG4551">
        <v>0</v>
      </c>
      <c r="BH4551">
        <v>1</v>
      </c>
      <c r="BI4551">
        <v>1</v>
      </c>
      <c r="BJ4551">
        <v>0.2</v>
      </c>
      <c r="BK4551">
        <v>1</v>
      </c>
      <c r="BL4551">
        <v>100.13</v>
      </c>
      <c r="BM4551">
        <v>15.02</v>
      </c>
      <c r="BN4551">
        <v>115.15</v>
      </c>
      <c r="BO4551">
        <v>115.15</v>
      </c>
      <c r="BQ4551" t="s">
        <v>2294</v>
      </c>
      <c r="BR4551" t="s">
        <v>84</v>
      </c>
      <c r="BS4551" s="3">
        <v>45868</v>
      </c>
      <c r="BT4551" s="4">
        <v>0.42777777777777776</v>
      </c>
      <c r="BU4551" t="s">
        <v>2295</v>
      </c>
      <c r="BV4551" t="s">
        <v>98</v>
      </c>
      <c r="BY4551">
        <v>1200</v>
      </c>
      <c r="CA4551" t="s">
        <v>2296</v>
      </c>
      <c r="CC4551" t="s">
        <v>103</v>
      </c>
      <c r="CD4551">
        <v>1739</v>
      </c>
      <c r="CE4551" t="s">
        <v>121</v>
      </c>
      <c r="CF4551" s="3">
        <v>45868</v>
      </c>
      <c r="CI4551">
        <v>1</v>
      </c>
      <c r="CJ4551">
        <v>1</v>
      </c>
      <c r="CK4551">
        <v>24</v>
      </c>
      <c r="CL4551" t="s">
        <v>86</v>
      </c>
    </row>
    <row r="4552" spans="1:90" x14ac:dyDescent="0.3">
      <c r="A4552" t="s">
        <v>72</v>
      </c>
      <c r="B4552" t="s">
        <v>73</v>
      </c>
      <c r="C4552" t="s">
        <v>74</v>
      </c>
      <c r="E4552" t="str">
        <f>"080066868386"</f>
        <v>080066868386</v>
      </c>
      <c r="F4552" s="3">
        <v>45867</v>
      </c>
      <c r="G4552">
        <v>202604</v>
      </c>
      <c r="H4552" t="s">
        <v>75</v>
      </c>
      <c r="I4552" t="s">
        <v>76</v>
      </c>
      <c r="J4552" t="s">
        <v>77</v>
      </c>
      <c r="K4552" t="s">
        <v>78</v>
      </c>
      <c r="L4552" t="s">
        <v>174</v>
      </c>
      <c r="M4552" t="s">
        <v>175</v>
      </c>
      <c r="N4552" t="s">
        <v>176</v>
      </c>
      <c r="O4552" t="s">
        <v>82</v>
      </c>
      <c r="P4552" t="str">
        <f>"4170051796                    "</f>
        <v xml:space="preserve">4170051796                    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84.7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AZ4552">
        <v>0</v>
      </c>
      <c r="BA4552">
        <v>0</v>
      </c>
      <c r="BB4552">
        <v>0</v>
      </c>
      <c r="BC4552">
        <v>0</v>
      </c>
      <c r="BD4552">
        <v>0</v>
      </c>
      <c r="BE4552">
        <v>0</v>
      </c>
      <c r="BF4552">
        <v>0</v>
      </c>
      <c r="BG4552">
        <v>0</v>
      </c>
      <c r="BH4552">
        <v>1</v>
      </c>
      <c r="BI4552">
        <v>3</v>
      </c>
      <c r="BJ4552">
        <v>7.2</v>
      </c>
      <c r="BK4552">
        <v>7.5</v>
      </c>
      <c r="BL4552">
        <v>266.83999999999997</v>
      </c>
      <c r="BM4552">
        <v>40.03</v>
      </c>
      <c r="BN4552">
        <v>306.87</v>
      </c>
      <c r="BO4552">
        <v>306.87</v>
      </c>
      <c r="BQ4552" t="s">
        <v>177</v>
      </c>
      <c r="BR4552" t="s">
        <v>84</v>
      </c>
      <c r="BS4552" s="3">
        <v>45868</v>
      </c>
      <c r="BT4552" s="4">
        <v>0.43055555555555558</v>
      </c>
      <c r="BU4552" t="s">
        <v>178</v>
      </c>
      <c r="BV4552" t="s">
        <v>98</v>
      </c>
      <c r="BY4552">
        <v>36192</v>
      </c>
      <c r="CA4552" t="s">
        <v>173</v>
      </c>
      <c r="CC4552" t="s">
        <v>175</v>
      </c>
      <c r="CD4552">
        <v>6220</v>
      </c>
      <c r="CE4552" t="s">
        <v>91</v>
      </c>
      <c r="CF4552" s="3">
        <v>45868</v>
      </c>
      <c r="CI4552">
        <v>1</v>
      </c>
      <c r="CJ4552">
        <v>1</v>
      </c>
      <c r="CK4552">
        <v>21</v>
      </c>
      <c r="CL4552" t="s">
        <v>86</v>
      </c>
    </row>
    <row r="4553" spans="1:90" x14ac:dyDescent="0.3">
      <c r="A4553" t="s">
        <v>72</v>
      </c>
      <c r="B4553" t="s">
        <v>73</v>
      </c>
      <c r="C4553" t="s">
        <v>74</v>
      </c>
      <c r="E4553" t="str">
        <f>"080066866584"</f>
        <v>080066866584</v>
      </c>
      <c r="F4553" s="3">
        <v>45867</v>
      </c>
      <c r="G4553">
        <v>202604</v>
      </c>
      <c r="H4553" t="s">
        <v>75</v>
      </c>
      <c r="I4553" t="s">
        <v>76</v>
      </c>
      <c r="J4553" t="s">
        <v>77</v>
      </c>
      <c r="K4553" t="s">
        <v>78</v>
      </c>
      <c r="L4553" t="s">
        <v>260</v>
      </c>
      <c r="M4553" t="s">
        <v>261</v>
      </c>
      <c r="N4553" t="s">
        <v>1801</v>
      </c>
      <c r="O4553" t="s">
        <v>82</v>
      </c>
      <c r="P4553" t="str">
        <f>"4170051819                    "</f>
        <v xml:space="preserve">4170051819                    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>
        <v>43.78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AZ4553">
        <v>0</v>
      </c>
      <c r="BA4553">
        <v>0</v>
      </c>
      <c r="BB4553">
        <v>0</v>
      </c>
      <c r="BC4553">
        <v>0</v>
      </c>
      <c r="BD4553">
        <v>0</v>
      </c>
      <c r="BE4553">
        <v>0</v>
      </c>
      <c r="BF4553">
        <v>0</v>
      </c>
      <c r="BG4553">
        <v>0</v>
      </c>
      <c r="BH4553">
        <v>1</v>
      </c>
      <c r="BI4553">
        <v>1</v>
      </c>
      <c r="BJ4553">
        <v>0.2</v>
      </c>
      <c r="BK4553">
        <v>1</v>
      </c>
      <c r="BL4553">
        <v>137.94</v>
      </c>
      <c r="BM4553">
        <v>20.69</v>
      </c>
      <c r="BN4553">
        <v>158.63</v>
      </c>
      <c r="BO4553">
        <v>158.63</v>
      </c>
      <c r="BQ4553" t="s">
        <v>1802</v>
      </c>
      <c r="BR4553" t="s">
        <v>84</v>
      </c>
      <c r="BS4553" s="3">
        <v>45868</v>
      </c>
      <c r="BT4553" s="4">
        <v>0.43541666666666667</v>
      </c>
      <c r="BU4553" t="s">
        <v>741</v>
      </c>
      <c r="BV4553" t="s">
        <v>98</v>
      </c>
      <c r="BY4553">
        <v>1200</v>
      </c>
      <c r="BZ4553" t="s">
        <v>89</v>
      </c>
      <c r="CA4553" t="s">
        <v>721</v>
      </c>
      <c r="CC4553" t="s">
        <v>261</v>
      </c>
      <c r="CD4553">
        <v>1900</v>
      </c>
      <c r="CE4553" t="s">
        <v>121</v>
      </c>
      <c r="CF4553" s="3">
        <v>45869</v>
      </c>
      <c r="CI4553">
        <v>1</v>
      </c>
      <c r="CJ4553">
        <v>1</v>
      </c>
      <c r="CK4553">
        <v>23</v>
      </c>
      <c r="CL4553" t="s">
        <v>86</v>
      </c>
    </row>
    <row r="4554" spans="1:90" x14ac:dyDescent="0.3">
      <c r="A4554" t="s">
        <v>72</v>
      </c>
      <c r="B4554" t="s">
        <v>73</v>
      </c>
      <c r="C4554" t="s">
        <v>74</v>
      </c>
      <c r="E4554" t="str">
        <f>"080066868000"</f>
        <v>080066868000</v>
      </c>
      <c r="F4554" s="3">
        <v>45867</v>
      </c>
      <c r="G4554">
        <v>202604</v>
      </c>
      <c r="H4554" t="s">
        <v>75</v>
      </c>
      <c r="I4554" t="s">
        <v>76</v>
      </c>
      <c r="J4554" t="s">
        <v>77</v>
      </c>
      <c r="K4554" t="s">
        <v>78</v>
      </c>
      <c r="L4554" t="s">
        <v>168</v>
      </c>
      <c r="M4554" t="s">
        <v>169</v>
      </c>
      <c r="N4554" t="s">
        <v>420</v>
      </c>
      <c r="O4554" t="s">
        <v>82</v>
      </c>
      <c r="P4554" t="str">
        <f>"4170051726                    "</f>
        <v xml:space="preserve">4170051726                    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22.6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0</v>
      </c>
      <c r="BA4554">
        <v>0</v>
      </c>
      <c r="BB4554">
        <v>0</v>
      </c>
      <c r="BC4554">
        <v>0</v>
      </c>
      <c r="BD4554">
        <v>0</v>
      </c>
      <c r="BE4554">
        <v>0</v>
      </c>
      <c r="BF4554">
        <v>0</v>
      </c>
      <c r="BG4554">
        <v>0</v>
      </c>
      <c r="BH4554">
        <v>1</v>
      </c>
      <c r="BI4554">
        <v>1</v>
      </c>
      <c r="BJ4554">
        <v>1.4</v>
      </c>
      <c r="BK4554">
        <v>1.5</v>
      </c>
      <c r="BL4554">
        <v>71.2</v>
      </c>
      <c r="BM4554">
        <v>10.68</v>
      </c>
      <c r="BN4554">
        <v>81.88</v>
      </c>
      <c r="BO4554">
        <v>81.88</v>
      </c>
      <c r="BQ4554" t="s">
        <v>421</v>
      </c>
      <c r="BR4554" t="s">
        <v>84</v>
      </c>
      <c r="BS4554" s="3">
        <v>45868</v>
      </c>
      <c r="BT4554" s="4">
        <v>0.41736111111111113</v>
      </c>
      <c r="BU4554" t="s">
        <v>1121</v>
      </c>
      <c r="BV4554" t="s">
        <v>98</v>
      </c>
      <c r="BY4554">
        <v>7000</v>
      </c>
      <c r="CA4554" t="s">
        <v>423</v>
      </c>
      <c r="CC4554" t="s">
        <v>169</v>
      </c>
      <c r="CD4554">
        <v>6001</v>
      </c>
      <c r="CE4554" t="s">
        <v>145</v>
      </c>
      <c r="CF4554" s="3">
        <v>45868</v>
      </c>
      <c r="CI4554">
        <v>1</v>
      </c>
      <c r="CJ4554">
        <v>1</v>
      </c>
      <c r="CK4554">
        <v>21</v>
      </c>
      <c r="CL4554" t="s">
        <v>86</v>
      </c>
    </row>
    <row r="4555" spans="1:90" x14ac:dyDescent="0.3">
      <c r="A4555" t="s">
        <v>72</v>
      </c>
      <c r="B4555" t="s">
        <v>73</v>
      </c>
      <c r="C4555" t="s">
        <v>74</v>
      </c>
      <c r="E4555" t="str">
        <f>"080066868191"</f>
        <v>080066868191</v>
      </c>
      <c r="F4555" s="3">
        <v>45867</v>
      </c>
      <c r="G4555">
        <v>202604</v>
      </c>
      <c r="H4555" t="s">
        <v>75</v>
      </c>
      <c r="I4555" t="s">
        <v>76</v>
      </c>
      <c r="J4555" t="s">
        <v>77</v>
      </c>
      <c r="K4555" t="s">
        <v>78</v>
      </c>
      <c r="L4555" t="s">
        <v>92</v>
      </c>
      <c r="M4555" t="s">
        <v>93</v>
      </c>
      <c r="N4555" t="s">
        <v>291</v>
      </c>
      <c r="O4555" t="s">
        <v>95</v>
      </c>
      <c r="P4555" t="str">
        <f>"4170051835                    "</f>
        <v xml:space="preserve">4170051835                    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>
        <v>49.11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  <c r="AZ4555">
        <v>0</v>
      </c>
      <c r="BA4555">
        <v>0</v>
      </c>
      <c r="BB4555">
        <v>0</v>
      </c>
      <c r="BC4555">
        <v>0</v>
      </c>
      <c r="BD4555">
        <v>0</v>
      </c>
      <c r="BE4555">
        <v>0</v>
      </c>
      <c r="BF4555">
        <v>0</v>
      </c>
      <c r="BG4555">
        <v>0</v>
      </c>
      <c r="BH4555">
        <v>1</v>
      </c>
      <c r="BI4555">
        <v>7</v>
      </c>
      <c r="BJ4555">
        <v>17.7</v>
      </c>
      <c r="BK4555">
        <v>18</v>
      </c>
      <c r="BL4555">
        <v>160.6</v>
      </c>
      <c r="BM4555">
        <v>24.09</v>
      </c>
      <c r="BN4555">
        <v>184.69</v>
      </c>
      <c r="BO4555">
        <v>184.69</v>
      </c>
      <c r="BQ4555" t="s">
        <v>292</v>
      </c>
      <c r="BR4555" t="s">
        <v>84</v>
      </c>
      <c r="BS4555" s="3">
        <v>45868</v>
      </c>
      <c r="BT4555" s="4">
        <v>0.33819444444444446</v>
      </c>
      <c r="BU4555" t="s">
        <v>971</v>
      </c>
      <c r="BV4555" t="s">
        <v>98</v>
      </c>
      <c r="BY4555">
        <v>88320</v>
      </c>
      <c r="CA4555" t="s">
        <v>294</v>
      </c>
      <c r="CC4555" t="s">
        <v>93</v>
      </c>
      <c r="CD4555">
        <v>4051</v>
      </c>
      <c r="CE4555" t="s">
        <v>145</v>
      </c>
      <c r="CF4555" s="3">
        <v>45868</v>
      </c>
      <c r="CI4555">
        <v>1</v>
      </c>
      <c r="CJ4555">
        <v>1</v>
      </c>
      <c r="CK4555">
        <v>41</v>
      </c>
      <c r="CL4555" t="s">
        <v>86</v>
      </c>
    </row>
    <row r="4556" spans="1:90" x14ac:dyDescent="0.3">
      <c r="A4556" t="s">
        <v>72</v>
      </c>
      <c r="B4556" t="s">
        <v>73</v>
      </c>
      <c r="C4556" t="s">
        <v>74</v>
      </c>
      <c r="E4556" t="str">
        <f>"080066867538"</f>
        <v>080066867538</v>
      </c>
      <c r="F4556" s="3">
        <v>45867</v>
      </c>
      <c r="G4556">
        <v>202604</v>
      </c>
      <c r="H4556" t="s">
        <v>75</v>
      </c>
      <c r="I4556" t="s">
        <v>76</v>
      </c>
      <c r="J4556" t="s">
        <v>77</v>
      </c>
      <c r="K4556" t="s">
        <v>78</v>
      </c>
      <c r="L4556" t="s">
        <v>390</v>
      </c>
      <c r="M4556" t="s">
        <v>391</v>
      </c>
      <c r="N4556" t="s">
        <v>3639</v>
      </c>
      <c r="O4556" t="s">
        <v>82</v>
      </c>
      <c r="P4556" t="str">
        <f>"4170051733                    "</f>
        <v xml:space="preserve">4170051733                    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>
        <v>17.649999999999999</v>
      </c>
      <c r="AR4556">
        <v>0</v>
      </c>
      <c r="AS4556">
        <v>0</v>
      </c>
      <c r="AT4556">
        <v>0</v>
      </c>
      <c r="AU4556">
        <v>0</v>
      </c>
      <c r="AV4556">
        <v>0</v>
      </c>
      <c r="AW4556">
        <v>0</v>
      </c>
      <c r="AX4556">
        <v>0</v>
      </c>
      <c r="AY4556">
        <v>0</v>
      </c>
      <c r="AZ4556">
        <v>0</v>
      </c>
      <c r="BA4556">
        <v>0</v>
      </c>
      <c r="BB4556">
        <v>0</v>
      </c>
      <c r="BC4556">
        <v>0</v>
      </c>
      <c r="BD4556">
        <v>0</v>
      </c>
      <c r="BE4556">
        <v>0</v>
      </c>
      <c r="BF4556">
        <v>0</v>
      </c>
      <c r="BG4556">
        <v>0</v>
      </c>
      <c r="BH4556">
        <v>1</v>
      </c>
      <c r="BI4556">
        <v>1</v>
      </c>
      <c r="BJ4556">
        <v>0.2</v>
      </c>
      <c r="BK4556">
        <v>1</v>
      </c>
      <c r="BL4556">
        <v>55.61</v>
      </c>
      <c r="BM4556">
        <v>8.34</v>
      </c>
      <c r="BN4556">
        <v>63.95</v>
      </c>
      <c r="BO4556">
        <v>63.95</v>
      </c>
      <c r="BQ4556" t="s">
        <v>3640</v>
      </c>
      <c r="BR4556" t="s">
        <v>84</v>
      </c>
      <c r="BS4556" s="3">
        <v>45868</v>
      </c>
      <c r="BT4556" s="4">
        <v>0.375</v>
      </c>
      <c r="BU4556" t="s">
        <v>3641</v>
      </c>
      <c r="BV4556" t="s">
        <v>98</v>
      </c>
      <c r="BY4556">
        <v>1200</v>
      </c>
      <c r="CA4556" t="s">
        <v>3825</v>
      </c>
      <c r="CC4556" t="s">
        <v>391</v>
      </c>
      <c r="CD4556">
        <v>1724</v>
      </c>
      <c r="CE4556" t="s">
        <v>121</v>
      </c>
      <c r="CF4556" s="3">
        <v>45868</v>
      </c>
      <c r="CI4556">
        <v>1</v>
      </c>
      <c r="CJ4556">
        <v>1</v>
      </c>
      <c r="CK4556">
        <v>22</v>
      </c>
      <c r="CL4556" t="s">
        <v>86</v>
      </c>
    </row>
    <row r="4557" spans="1:90" x14ac:dyDescent="0.3">
      <c r="A4557" t="s">
        <v>72</v>
      </c>
      <c r="B4557" t="s">
        <v>73</v>
      </c>
      <c r="C4557" t="s">
        <v>74</v>
      </c>
      <c r="E4557" t="str">
        <f>"080066868765"</f>
        <v>080066868765</v>
      </c>
      <c r="F4557" s="3">
        <v>45867</v>
      </c>
      <c r="G4557">
        <v>202604</v>
      </c>
      <c r="H4557" t="s">
        <v>75</v>
      </c>
      <c r="I4557" t="s">
        <v>76</v>
      </c>
      <c r="J4557" t="s">
        <v>77</v>
      </c>
      <c r="K4557" t="s">
        <v>78</v>
      </c>
      <c r="L4557" t="s">
        <v>554</v>
      </c>
      <c r="M4557" t="s">
        <v>555</v>
      </c>
      <c r="N4557" t="s">
        <v>556</v>
      </c>
      <c r="O4557" t="s">
        <v>82</v>
      </c>
      <c r="P4557" t="str">
        <f>"4170051714                    "</f>
        <v xml:space="preserve">4170051714                    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22.6</v>
      </c>
      <c r="AR4557">
        <v>0</v>
      </c>
      <c r="AS4557">
        <v>0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  <c r="AZ4557">
        <v>0</v>
      </c>
      <c r="BA4557">
        <v>0</v>
      </c>
      <c r="BB4557">
        <v>0</v>
      </c>
      <c r="BC4557">
        <v>0</v>
      </c>
      <c r="BD4557">
        <v>0</v>
      </c>
      <c r="BE4557">
        <v>0</v>
      </c>
      <c r="BF4557">
        <v>0</v>
      </c>
      <c r="BG4557">
        <v>0</v>
      </c>
      <c r="BH4557">
        <v>1</v>
      </c>
      <c r="BI4557">
        <v>1</v>
      </c>
      <c r="BJ4557">
        <v>1.1000000000000001</v>
      </c>
      <c r="BK4557">
        <v>1.5</v>
      </c>
      <c r="BL4557">
        <v>71.2</v>
      </c>
      <c r="BM4557">
        <v>10.68</v>
      </c>
      <c r="BN4557">
        <v>81.88</v>
      </c>
      <c r="BO4557">
        <v>81.88</v>
      </c>
      <c r="BQ4557" t="s">
        <v>557</v>
      </c>
      <c r="BR4557" t="s">
        <v>84</v>
      </c>
      <c r="BS4557" s="3">
        <v>45868</v>
      </c>
      <c r="BT4557" s="4">
        <v>0.38680555555555557</v>
      </c>
      <c r="BU4557" t="s">
        <v>558</v>
      </c>
      <c r="BV4557" t="s">
        <v>98</v>
      </c>
      <c r="BY4557">
        <v>5320</v>
      </c>
      <c r="CA4557" t="s">
        <v>559</v>
      </c>
      <c r="CC4557" t="s">
        <v>555</v>
      </c>
      <c r="CD4557" s="5" t="s">
        <v>560</v>
      </c>
      <c r="CE4557" t="s">
        <v>145</v>
      </c>
      <c r="CF4557" s="3">
        <v>45868</v>
      </c>
      <c r="CI4557">
        <v>1</v>
      </c>
      <c r="CJ4557">
        <v>1</v>
      </c>
      <c r="CK4557">
        <v>21</v>
      </c>
      <c r="CL4557" t="s">
        <v>86</v>
      </c>
    </row>
    <row r="4558" spans="1:90" x14ac:dyDescent="0.3">
      <c r="A4558" t="s">
        <v>72</v>
      </c>
      <c r="B4558" t="s">
        <v>73</v>
      </c>
      <c r="C4558" t="s">
        <v>74</v>
      </c>
      <c r="E4558" t="str">
        <f>"080066868803"</f>
        <v>080066868803</v>
      </c>
      <c r="F4558" s="3">
        <v>45867</v>
      </c>
      <c r="G4558">
        <v>202604</v>
      </c>
      <c r="H4558" t="s">
        <v>75</v>
      </c>
      <c r="I4558" t="s">
        <v>76</v>
      </c>
      <c r="J4558" t="s">
        <v>77</v>
      </c>
      <c r="K4558" t="s">
        <v>78</v>
      </c>
      <c r="L4558" t="s">
        <v>146</v>
      </c>
      <c r="M4558" t="s">
        <v>146</v>
      </c>
      <c r="N4558" t="s">
        <v>633</v>
      </c>
      <c r="O4558" t="s">
        <v>82</v>
      </c>
      <c r="P4558" t="str">
        <f>"4170051701                    "</f>
        <v xml:space="preserve">4170051701                    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>
        <v>43.78</v>
      </c>
      <c r="AR4558">
        <v>0</v>
      </c>
      <c r="AS4558">
        <v>0</v>
      </c>
      <c r="AT4558">
        <v>0</v>
      </c>
      <c r="AU4558">
        <v>0</v>
      </c>
      <c r="AV4558">
        <v>0</v>
      </c>
      <c r="AW4558">
        <v>0</v>
      </c>
      <c r="AX4558">
        <v>0</v>
      </c>
      <c r="AY4558">
        <v>0</v>
      </c>
      <c r="AZ4558">
        <v>0</v>
      </c>
      <c r="BA4558">
        <v>0</v>
      </c>
      <c r="BB4558">
        <v>0</v>
      </c>
      <c r="BC4558">
        <v>0</v>
      </c>
      <c r="BD4558">
        <v>0</v>
      </c>
      <c r="BE4558">
        <v>0</v>
      </c>
      <c r="BF4558">
        <v>0</v>
      </c>
      <c r="BG4558">
        <v>0</v>
      </c>
      <c r="BH4558">
        <v>1</v>
      </c>
      <c r="BI4558">
        <v>2</v>
      </c>
      <c r="BJ4558">
        <v>1.5</v>
      </c>
      <c r="BK4558">
        <v>2</v>
      </c>
      <c r="BL4558">
        <v>137.94</v>
      </c>
      <c r="BM4558">
        <v>20.69</v>
      </c>
      <c r="BN4558">
        <v>158.63</v>
      </c>
      <c r="BO4558">
        <v>158.63</v>
      </c>
      <c r="BQ4558" t="s">
        <v>634</v>
      </c>
      <c r="BR4558" t="s">
        <v>84</v>
      </c>
      <c r="BS4558" s="3">
        <v>45868</v>
      </c>
      <c r="BT4558" s="4">
        <v>0.53611111111111109</v>
      </c>
      <c r="BU4558" t="s">
        <v>1115</v>
      </c>
      <c r="BV4558" t="s">
        <v>98</v>
      </c>
      <c r="BY4558">
        <v>7540</v>
      </c>
      <c r="CA4558" t="s">
        <v>150</v>
      </c>
      <c r="CC4558" t="s">
        <v>146</v>
      </c>
      <c r="CD4558">
        <v>7646</v>
      </c>
      <c r="CE4558" t="s">
        <v>145</v>
      </c>
      <c r="CF4558" s="3">
        <v>45869</v>
      </c>
      <c r="CI4558">
        <v>1</v>
      </c>
      <c r="CJ4558">
        <v>1</v>
      </c>
      <c r="CK4558">
        <v>23</v>
      </c>
      <c r="CL4558" t="s">
        <v>86</v>
      </c>
    </row>
    <row r="4559" spans="1:90" x14ac:dyDescent="0.3">
      <c r="A4559" t="s">
        <v>72</v>
      </c>
      <c r="B4559" t="s">
        <v>73</v>
      </c>
      <c r="C4559" t="s">
        <v>74</v>
      </c>
      <c r="E4559" t="str">
        <f>"080066868732"</f>
        <v>080066868732</v>
      </c>
      <c r="F4559" s="3">
        <v>45867</v>
      </c>
      <c r="G4559">
        <v>202604</v>
      </c>
      <c r="H4559" t="s">
        <v>75</v>
      </c>
      <c r="I4559" t="s">
        <v>76</v>
      </c>
      <c r="J4559" t="s">
        <v>77</v>
      </c>
      <c r="K4559" t="s">
        <v>78</v>
      </c>
      <c r="L4559" t="s">
        <v>75</v>
      </c>
      <c r="M4559" t="s">
        <v>76</v>
      </c>
      <c r="N4559" t="s">
        <v>562</v>
      </c>
      <c r="O4559" t="s">
        <v>95</v>
      </c>
      <c r="P4559" t="str">
        <f>"4170051758                    "</f>
        <v xml:space="preserve">4170051758                    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33.72</v>
      </c>
      <c r="AR4559">
        <v>0</v>
      </c>
      <c r="AS4559">
        <v>0</v>
      </c>
      <c r="AT4559">
        <v>0</v>
      </c>
      <c r="AU4559">
        <v>0</v>
      </c>
      <c r="AV4559">
        <v>0</v>
      </c>
      <c r="AW4559">
        <v>0</v>
      </c>
      <c r="AX4559">
        <v>0</v>
      </c>
      <c r="AY4559">
        <v>0</v>
      </c>
      <c r="AZ4559">
        <v>0</v>
      </c>
      <c r="BA4559">
        <v>0</v>
      </c>
      <c r="BB4559">
        <v>0</v>
      </c>
      <c r="BC4559">
        <v>0</v>
      </c>
      <c r="BD4559">
        <v>0</v>
      </c>
      <c r="BE4559">
        <v>0</v>
      </c>
      <c r="BF4559">
        <v>0</v>
      </c>
      <c r="BG4559">
        <v>0</v>
      </c>
      <c r="BH4559">
        <v>1</v>
      </c>
      <c r="BI4559">
        <v>8</v>
      </c>
      <c r="BJ4559">
        <v>5.4</v>
      </c>
      <c r="BK4559">
        <v>8</v>
      </c>
      <c r="BL4559">
        <v>112.11</v>
      </c>
      <c r="BM4559">
        <v>16.82</v>
      </c>
      <c r="BN4559">
        <v>128.93</v>
      </c>
      <c r="BO4559">
        <v>128.93</v>
      </c>
      <c r="BQ4559" t="s">
        <v>563</v>
      </c>
      <c r="BR4559" t="s">
        <v>84</v>
      </c>
      <c r="BS4559" s="3">
        <v>45868</v>
      </c>
      <c r="BT4559" s="4">
        <v>0.4375</v>
      </c>
      <c r="BU4559" t="s">
        <v>2155</v>
      </c>
      <c r="BV4559" t="s">
        <v>98</v>
      </c>
      <c r="BY4559">
        <v>27144</v>
      </c>
      <c r="CA4559" t="s">
        <v>565</v>
      </c>
      <c r="CC4559" t="s">
        <v>76</v>
      </c>
      <c r="CD4559">
        <v>1619</v>
      </c>
      <c r="CE4559" t="s">
        <v>3893</v>
      </c>
      <c r="CF4559" s="3">
        <v>45869</v>
      </c>
      <c r="CI4559">
        <v>1</v>
      </c>
      <c r="CJ4559">
        <v>1</v>
      </c>
      <c r="CK4559">
        <v>42</v>
      </c>
      <c r="CL4559" t="s">
        <v>86</v>
      </c>
    </row>
    <row r="4560" spans="1:90" x14ac:dyDescent="0.3">
      <c r="A4560" t="s">
        <v>72</v>
      </c>
      <c r="B4560" t="s">
        <v>73</v>
      </c>
      <c r="C4560" t="s">
        <v>74</v>
      </c>
      <c r="E4560" t="str">
        <f>"080066868969"</f>
        <v>080066868969</v>
      </c>
      <c r="F4560" s="3">
        <v>45867</v>
      </c>
      <c r="G4560">
        <v>202604</v>
      </c>
      <c r="H4560" t="s">
        <v>75</v>
      </c>
      <c r="I4560" t="s">
        <v>76</v>
      </c>
      <c r="J4560" t="s">
        <v>77</v>
      </c>
      <c r="K4560" t="s">
        <v>78</v>
      </c>
      <c r="L4560" t="s">
        <v>240</v>
      </c>
      <c r="M4560" t="s">
        <v>241</v>
      </c>
      <c r="N4560" t="s">
        <v>610</v>
      </c>
      <c r="O4560" t="s">
        <v>82</v>
      </c>
      <c r="P4560" t="str">
        <f>"4170051801                    "</f>
        <v xml:space="preserve">4170051801                    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17.649999999999999</v>
      </c>
      <c r="AR4560">
        <v>0</v>
      </c>
      <c r="AS4560">
        <v>0</v>
      </c>
      <c r="AT4560">
        <v>0</v>
      </c>
      <c r="AU4560">
        <v>0</v>
      </c>
      <c r="AV4560">
        <v>0</v>
      </c>
      <c r="AW4560">
        <v>0</v>
      </c>
      <c r="AX4560">
        <v>0</v>
      </c>
      <c r="AY4560">
        <v>0</v>
      </c>
      <c r="AZ4560">
        <v>0</v>
      </c>
      <c r="BA4560">
        <v>0</v>
      </c>
      <c r="BB4560">
        <v>0</v>
      </c>
      <c r="BC4560">
        <v>0</v>
      </c>
      <c r="BD4560">
        <v>0</v>
      </c>
      <c r="BE4560">
        <v>0</v>
      </c>
      <c r="BF4560">
        <v>0</v>
      </c>
      <c r="BG4560">
        <v>0</v>
      </c>
      <c r="BH4560">
        <v>1</v>
      </c>
      <c r="BI4560">
        <v>3</v>
      </c>
      <c r="BJ4560">
        <v>1.9</v>
      </c>
      <c r="BK4560">
        <v>3</v>
      </c>
      <c r="BL4560">
        <v>55.61</v>
      </c>
      <c r="BM4560">
        <v>8.34</v>
      </c>
      <c r="BN4560">
        <v>63.95</v>
      </c>
      <c r="BO4560">
        <v>63.95</v>
      </c>
      <c r="BQ4560" t="s">
        <v>611</v>
      </c>
      <c r="BR4560" t="s">
        <v>84</v>
      </c>
      <c r="BS4560" s="3">
        <v>45868</v>
      </c>
      <c r="BT4560" s="4">
        <v>0.4284722222222222</v>
      </c>
      <c r="BU4560" t="s">
        <v>3894</v>
      </c>
      <c r="BV4560" t="s">
        <v>98</v>
      </c>
      <c r="BY4560">
        <v>9576</v>
      </c>
      <c r="CA4560" t="s">
        <v>613</v>
      </c>
      <c r="CC4560" t="s">
        <v>241</v>
      </c>
      <c r="CD4560">
        <v>2197</v>
      </c>
      <c r="CE4560" t="s">
        <v>145</v>
      </c>
      <c r="CF4560" s="3">
        <v>45868</v>
      </c>
      <c r="CI4560">
        <v>1</v>
      </c>
      <c r="CJ4560">
        <v>1</v>
      </c>
      <c r="CK4560">
        <v>22</v>
      </c>
      <c r="CL4560" t="s">
        <v>86</v>
      </c>
    </row>
    <row r="4561" spans="1:90" x14ac:dyDescent="0.3">
      <c r="A4561" t="s">
        <v>72</v>
      </c>
      <c r="B4561" t="s">
        <v>73</v>
      </c>
      <c r="C4561" t="s">
        <v>74</v>
      </c>
      <c r="E4561" t="str">
        <f>"080066868928"</f>
        <v>080066868928</v>
      </c>
      <c r="F4561" s="3">
        <v>45867</v>
      </c>
      <c r="G4561">
        <v>202604</v>
      </c>
      <c r="H4561" t="s">
        <v>75</v>
      </c>
      <c r="I4561" t="s">
        <v>76</v>
      </c>
      <c r="J4561" t="s">
        <v>77</v>
      </c>
      <c r="K4561" t="s">
        <v>78</v>
      </c>
      <c r="L4561" t="s">
        <v>92</v>
      </c>
      <c r="M4561" t="s">
        <v>93</v>
      </c>
      <c r="N4561" t="s">
        <v>3599</v>
      </c>
      <c r="O4561" t="s">
        <v>82</v>
      </c>
      <c r="P4561" t="str">
        <f>"4170051844                    "</f>
        <v xml:space="preserve">4170051844                    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50.82</v>
      </c>
      <c r="AR4561">
        <v>0</v>
      </c>
      <c r="AS4561">
        <v>0</v>
      </c>
      <c r="AT4561">
        <v>0</v>
      </c>
      <c r="AU4561">
        <v>0</v>
      </c>
      <c r="AV4561">
        <v>0</v>
      </c>
      <c r="AW4561">
        <v>0</v>
      </c>
      <c r="AX4561">
        <v>0</v>
      </c>
      <c r="AY4561">
        <v>0</v>
      </c>
      <c r="AZ4561">
        <v>0</v>
      </c>
      <c r="BA4561">
        <v>0</v>
      </c>
      <c r="BB4561">
        <v>0</v>
      </c>
      <c r="BC4561">
        <v>0</v>
      </c>
      <c r="BD4561">
        <v>0</v>
      </c>
      <c r="BE4561">
        <v>0</v>
      </c>
      <c r="BF4561">
        <v>0</v>
      </c>
      <c r="BG4561">
        <v>0</v>
      </c>
      <c r="BH4561">
        <v>1</v>
      </c>
      <c r="BI4561">
        <v>4</v>
      </c>
      <c r="BJ4561">
        <v>4.0999999999999996</v>
      </c>
      <c r="BK4561">
        <v>4.5</v>
      </c>
      <c r="BL4561">
        <v>160.12</v>
      </c>
      <c r="BM4561">
        <v>24.02</v>
      </c>
      <c r="BN4561">
        <v>184.14</v>
      </c>
      <c r="BO4561">
        <v>184.14</v>
      </c>
      <c r="BQ4561" t="s">
        <v>750</v>
      </c>
      <c r="BR4561" t="s">
        <v>84</v>
      </c>
      <c r="BS4561" s="3">
        <v>45868</v>
      </c>
      <c r="BT4561" s="4">
        <v>0.38958333333333334</v>
      </c>
      <c r="BU4561" t="s">
        <v>3568</v>
      </c>
      <c r="BV4561" t="s">
        <v>98</v>
      </c>
      <c r="BY4561">
        <v>20358</v>
      </c>
      <c r="CA4561" t="s">
        <v>2430</v>
      </c>
      <c r="CC4561" t="s">
        <v>93</v>
      </c>
      <c r="CD4561">
        <v>4000</v>
      </c>
      <c r="CE4561" t="s">
        <v>145</v>
      </c>
      <c r="CF4561" s="3">
        <v>45868</v>
      </c>
      <c r="CI4561">
        <v>1</v>
      </c>
      <c r="CJ4561">
        <v>1</v>
      </c>
      <c r="CK4561">
        <v>21</v>
      </c>
      <c r="CL4561" t="s">
        <v>86</v>
      </c>
    </row>
    <row r="4562" spans="1:90" x14ac:dyDescent="0.3">
      <c r="A4562" t="s">
        <v>72</v>
      </c>
      <c r="B4562" t="s">
        <v>73</v>
      </c>
      <c r="C4562" t="s">
        <v>74</v>
      </c>
      <c r="E4562" t="str">
        <f>"080066868226"</f>
        <v>080066868226</v>
      </c>
      <c r="F4562" s="3">
        <v>45867</v>
      </c>
      <c r="G4562">
        <v>202604</v>
      </c>
      <c r="H4562" t="s">
        <v>75</v>
      </c>
      <c r="I4562" t="s">
        <v>76</v>
      </c>
      <c r="J4562" t="s">
        <v>77</v>
      </c>
      <c r="K4562" t="s">
        <v>78</v>
      </c>
      <c r="L4562" t="s">
        <v>580</v>
      </c>
      <c r="M4562" t="s">
        <v>581</v>
      </c>
      <c r="N4562" t="s">
        <v>582</v>
      </c>
      <c r="O4562" t="s">
        <v>82</v>
      </c>
      <c r="P4562" t="str">
        <f>"4170051806                    "</f>
        <v xml:space="preserve">4170051806                    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45.18</v>
      </c>
      <c r="AR4562">
        <v>0</v>
      </c>
      <c r="AS4562">
        <v>0</v>
      </c>
      <c r="AT4562">
        <v>0</v>
      </c>
      <c r="AU4562">
        <v>0</v>
      </c>
      <c r="AV4562">
        <v>0</v>
      </c>
      <c r="AW4562">
        <v>0</v>
      </c>
      <c r="AX4562">
        <v>0</v>
      </c>
      <c r="AY4562">
        <v>0</v>
      </c>
      <c r="AZ4562">
        <v>0</v>
      </c>
      <c r="BA4562">
        <v>0</v>
      </c>
      <c r="BB4562">
        <v>0</v>
      </c>
      <c r="BC4562">
        <v>0</v>
      </c>
      <c r="BD4562">
        <v>0</v>
      </c>
      <c r="BE4562">
        <v>0</v>
      </c>
      <c r="BF4562">
        <v>0</v>
      </c>
      <c r="BG4562">
        <v>0</v>
      </c>
      <c r="BH4562">
        <v>1</v>
      </c>
      <c r="BI4562">
        <v>2</v>
      </c>
      <c r="BJ4562">
        <v>3.8</v>
      </c>
      <c r="BK4562">
        <v>4</v>
      </c>
      <c r="BL4562">
        <v>142.34</v>
      </c>
      <c r="BM4562">
        <v>21.35</v>
      </c>
      <c r="BN4562">
        <v>163.69</v>
      </c>
      <c r="BO4562">
        <v>163.69</v>
      </c>
      <c r="BQ4562" t="s">
        <v>583</v>
      </c>
      <c r="BR4562" t="s">
        <v>84</v>
      </c>
      <c r="BS4562" s="3">
        <v>45868</v>
      </c>
      <c r="BT4562" s="4">
        <v>0.43680555555555556</v>
      </c>
      <c r="BU4562" t="s">
        <v>584</v>
      </c>
      <c r="BV4562" t="s">
        <v>98</v>
      </c>
      <c r="BY4562">
        <v>19227</v>
      </c>
      <c r="CA4562" t="s">
        <v>585</v>
      </c>
      <c r="CC4562" t="s">
        <v>581</v>
      </c>
      <c r="CD4562">
        <v>4302</v>
      </c>
      <c r="CE4562" t="s">
        <v>145</v>
      </c>
      <c r="CF4562" s="3">
        <v>45868</v>
      </c>
      <c r="CI4562">
        <v>1</v>
      </c>
      <c r="CJ4562">
        <v>1</v>
      </c>
      <c r="CK4562">
        <v>21</v>
      </c>
      <c r="CL4562" t="s">
        <v>86</v>
      </c>
    </row>
    <row r="4563" spans="1:90" x14ac:dyDescent="0.3">
      <c r="A4563" t="s">
        <v>72</v>
      </c>
      <c r="B4563" t="s">
        <v>73</v>
      </c>
      <c r="C4563" t="s">
        <v>74</v>
      </c>
      <c r="E4563" t="str">
        <f>"080066868103"</f>
        <v>080066868103</v>
      </c>
      <c r="F4563" s="3">
        <v>45867</v>
      </c>
      <c r="G4563">
        <v>202604</v>
      </c>
      <c r="H4563" t="s">
        <v>75</v>
      </c>
      <c r="I4563" t="s">
        <v>76</v>
      </c>
      <c r="J4563" t="s">
        <v>77</v>
      </c>
      <c r="K4563" t="s">
        <v>78</v>
      </c>
      <c r="L4563" t="s">
        <v>79</v>
      </c>
      <c r="M4563" t="s">
        <v>80</v>
      </c>
      <c r="N4563" t="s">
        <v>1751</v>
      </c>
      <c r="O4563" t="s">
        <v>82</v>
      </c>
      <c r="P4563" t="str">
        <f>"4170051760                    "</f>
        <v xml:space="preserve">4170051760                    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22.6</v>
      </c>
      <c r="AR4563">
        <v>0</v>
      </c>
      <c r="AS4563">
        <v>0</v>
      </c>
      <c r="AT4563">
        <v>0</v>
      </c>
      <c r="AU4563">
        <v>0</v>
      </c>
      <c r="AV4563">
        <v>0</v>
      </c>
      <c r="AW4563">
        <v>0</v>
      </c>
      <c r="AX4563">
        <v>0</v>
      </c>
      <c r="AY4563">
        <v>0</v>
      </c>
      <c r="AZ4563">
        <v>0</v>
      </c>
      <c r="BA4563">
        <v>0</v>
      </c>
      <c r="BB4563">
        <v>0</v>
      </c>
      <c r="BC4563">
        <v>0</v>
      </c>
      <c r="BD4563">
        <v>0</v>
      </c>
      <c r="BE4563">
        <v>0</v>
      </c>
      <c r="BF4563">
        <v>0</v>
      </c>
      <c r="BG4563">
        <v>0</v>
      </c>
      <c r="BH4563">
        <v>1</v>
      </c>
      <c r="BI4563">
        <v>1</v>
      </c>
      <c r="BJ4563">
        <v>0.2</v>
      </c>
      <c r="BK4563">
        <v>1</v>
      </c>
      <c r="BL4563">
        <v>71.2</v>
      </c>
      <c r="BM4563">
        <v>10.68</v>
      </c>
      <c r="BN4563">
        <v>81.88</v>
      </c>
      <c r="BO4563">
        <v>81.88</v>
      </c>
      <c r="BQ4563" t="s">
        <v>1752</v>
      </c>
      <c r="BR4563" t="s">
        <v>84</v>
      </c>
      <c r="BS4563" s="3">
        <v>45868</v>
      </c>
      <c r="BT4563" s="4">
        <v>0.39583333333333331</v>
      </c>
      <c r="BU4563" t="s">
        <v>3895</v>
      </c>
      <c r="BV4563" t="s">
        <v>98</v>
      </c>
      <c r="BY4563">
        <v>1200</v>
      </c>
      <c r="CA4563" t="s">
        <v>3896</v>
      </c>
      <c r="CC4563" t="s">
        <v>80</v>
      </c>
      <c r="CD4563">
        <v>7441</v>
      </c>
      <c r="CE4563" t="s">
        <v>121</v>
      </c>
      <c r="CF4563" s="3">
        <v>45869</v>
      </c>
      <c r="CI4563">
        <v>1</v>
      </c>
      <c r="CJ4563">
        <v>1</v>
      </c>
      <c r="CK4563">
        <v>21</v>
      </c>
      <c r="CL4563" t="s">
        <v>86</v>
      </c>
    </row>
    <row r="4564" spans="1:90" x14ac:dyDescent="0.3">
      <c r="A4564" t="s">
        <v>72</v>
      </c>
      <c r="B4564" t="s">
        <v>73</v>
      </c>
      <c r="C4564" t="s">
        <v>74</v>
      </c>
      <c r="E4564" t="str">
        <f>"080066869128"</f>
        <v>080066869128</v>
      </c>
      <c r="F4564" s="3">
        <v>45867</v>
      </c>
      <c r="G4564">
        <v>202604</v>
      </c>
      <c r="H4564" t="s">
        <v>75</v>
      </c>
      <c r="I4564" t="s">
        <v>76</v>
      </c>
      <c r="J4564" t="s">
        <v>77</v>
      </c>
      <c r="K4564" t="s">
        <v>78</v>
      </c>
      <c r="L4564" t="s">
        <v>2145</v>
      </c>
      <c r="M4564" t="s">
        <v>2146</v>
      </c>
      <c r="N4564" t="s">
        <v>2147</v>
      </c>
      <c r="O4564" t="s">
        <v>95</v>
      </c>
      <c r="P4564" t="str">
        <f>"4170051892                    "</f>
        <v xml:space="preserve">4170051892                    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102.56</v>
      </c>
      <c r="AR4564">
        <v>0</v>
      </c>
      <c r="AS4564">
        <v>0</v>
      </c>
      <c r="AT4564">
        <v>0</v>
      </c>
      <c r="AU4564">
        <v>0</v>
      </c>
      <c r="AV4564">
        <v>0</v>
      </c>
      <c r="AW4564">
        <v>0</v>
      </c>
      <c r="AX4564">
        <v>0</v>
      </c>
      <c r="AY4564">
        <v>0</v>
      </c>
      <c r="AZ4564">
        <v>0</v>
      </c>
      <c r="BA4564">
        <v>0</v>
      </c>
      <c r="BB4564">
        <v>0</v>
      </c>
      <c r="BC4564">
        <v>0</v>
      </c>
      <c r="BD4564">
        <v>0</v>
      </c>
      <c r="BE4564">
        <v>0</v>
      </c>
      <c r="BF4564">
        <v>0</v>
      </c>
      <c r="BG4564">
        <v>0</v>
      </c>
      <c r="BH4564">
        <v>2</v>
      </c>
      <c r="BI4564">
        <v>23</v>
      </c>
      <c r="BJ4564">
        <v>27.2</v>
      </c>
      <c r="BK4564">
        <v>28</v>
      </c>
      <c r="BL4564">
        <v>328.99</v>
      </c>
      <c r="BM4564">
        <v>49.35</v>
      </c>
      <c r="BN4564">
        <v>378.34</v>
      </c>
      <c r="BO4564">
        <v>378.34</v>
      </c>
      <c r="BQ4564" t="s">
        <v>2148</v>
      </c>
      <c r="BR4564" t="s">
        <v>84</v>
      </c>
      <c r="BS4564" s="3">
        <v>45869</v>
      </c>
      <c r="BT4564" s="4">
        <v>0.41180555555555554</v>
      </c>
      <c r="BU4564" t="s">
        <v>3807</v>
      </c>
      <c r="BV4564" t="s">
        <v>98</v>
      </c>
      <c r="BY4564">
        <v>136188</v>
      </c>
      <c r="CA4564" t="s">
        <v>2150</v>
      </c>
      <c r="CC4564" t="s">
        <v>2146</v>
      </c>
      <c r="CD4564">
        <v>7110</v>
      </c>
      <c r="CE4564" t="s">
        <v>91</v>
      </c>
      <c r="CI4564">
        <v>3</v>
      </c>
      <c r="CJ4564">
        <v>2</v>
      </c>
      <c r="CK4564">
        <v>43</v>
      </c>
      <c r="CL4564" t="s">
        <v>86</v>
      </c>
    </row>
    <row r="4565" spans="1:90" x14ac:dyDescent="0.3">
      <c r="A4565" t="s">
        <v>72</v>
      </c>
      <c r="B4565" t="s">
        <v>73</v>
      </c>
      <c r="C4565" t="s">
        <v>74</v>
      </c>
      <c r="E4565" t="str">
        <f>"080066868877"</f>
        <v>080066868877</v>
      </c>
      <c r="F4565" s="3">
        <v>45867</v>
      </c>
      <c r="G4565">
        <v>202604</v>
      </c>
      <c r="H4565" t="s">
        <v>75</v>
      </c>
      <c r="I4565" t="s">
        <v>76</v>
      </c>
      <c r="J4565" t="s">
        <v>77</v>
      </c>
      <c r="K4565" t="s">
        <v>78</v>
      </c>
      <c r="L4565" t="s">
        <v>240</v>
      </c>
      <c r="M4565" t="s">
        <v>241</v>
      </c>
      <c r="N4565" t="s">
        <v>242</v>
      </c>
      <c r="O4565" t="s">
        <v>82</v>
      </c>
      <c r="P4565" t="str">
        <f>"4170051808                    "</f>
        <v xml:space="preserve">4170051808                    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17.649999999999999</v>
      </c>
      <c r="AR4565">
        <v>0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AZ4565">
        <v>0</v>
      </c>
      <c r="BA4565">
        <v>0</v>
      </c>
      <c r="BB4565">
        <v>0</v>
      </c>
      <c r="BC4565">
        <v>0</v>
      </c>
      <c r="BD4565">
        <v>0</v>
      </c>
      <c r="BE4565">
        <v>0</v>
      </c>
      <c r="BF4565">
        <v>0</v>
      </c>
      <c r="BG4565">
        <v>0</v>
      </c>
      <c r="BH4565">
        <v>1</v>
      </c>
      <c r="BI4565">
        <v>3</v>
      </c>
      <c r="BJ4565">
        <v>3.2</v>
      </c>
      <c r="BK4565">
        <v>4</v>
      </c>
      <c r="BL4565">
        <v>55.61</v>
      </c>
      <c r="BM4565">
        <v>8.34</v>
      </c>
      <c r="BN4565">
        <v>63.95</v>
      </c>
      <c r="BO4565">
        <v>63.95</v>
      </c>
      <c r="BQ4565" t="s">
        <v>243</v>
      </c>
      <c r="BR4565" t="s">
        <v>84</v>
      </c>
      <c r="BS4565" s="3">
        <v>45868</v>
      </c>
      <c r="BT4565" s="4">
        <v>0.39583333333333331</v>
      </c>
      <c r="BU4565" t="s">
        <v>244</v>
      </c>
      <c r="BV4565" t="s">
        <v>98</v>
      </c>
      <c r="BY4565">
        <v>16200</v>
      </c>
      <c r="CA4565" t="s">
        <v>245</v>
      </c>
      <c r="CC4565" t="s">
        <v>241</v>
      </c>
      <c r="CD4565">
        <v>2091</v>
      </c>
      <c r="CE4565" t="s">
        <v>145</v>
      </c>
      <c r="CF4565" s="3">
        <v>45869</v>
      </c>
      <c r="CI4565">
        <v>1</v>
      </c>
      <c r="CJ4565">
        <v>1</v>
      </c>
      <c r="CK4565">
        <v>22</v>
      </c>
      <c r="CL4565" t="s">
        <v>86</v>
      </c>
    </row>
    <row r="4566" spans="1:90" x14ac:dyDescent="0.3">
      <c r="A4566" t="s">
        <v>72</v>
      </c>
      <c r="B4566" t="s">
        <v>73</v>
      </c>
      <c r="C4566" t="s">
        <v>74</v>
      </c>
      <c r="E4566" t="str">
        <f>"080066868725"</f>
        <v>080066868725</v>
      </c>
      <c r="F4566" s="3">
        <v>45867</v>
      </c>
      <c r="G4566">
        <v>202604</v>
      </c>
      <c r="H4566" t="s">
        <v>75</v>
      </c>
      <c r="I4566" t="s">
        <v>76</v>
      </c>
      <c r="J4566" t="s">
        <v>77</v>
      </c>
      <c r="K4566" t="s">
        <v>78</v>
      </c>
      <c r="L4566" t="s">
        <v>305</v>
      </c>
      <c r="M4566" t="s">
        <v>306</v>
      </c>
      <c r="N4566" t="s">
        <v>1320</v>
      </c>
      <c r="O4566" t="s">
        <v>82</v>
      </c>
      <c r="P4566" t="str">
        <f>"4170051738                    "</f>
        <v xml:space="preserve">4170051738                    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22.6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AZ4566">
        <v>0</v>
      </c>
      <c r="BA4566">
        <v>0</v>
      </c>
      <c r="BB4566">
        <v>0</v>
      </c>
      <c r="BC4566">
        <v>0</v>
      </c>
      <c r="BD4566">
        <v>0</v>
      </c>
      <c r="BE4566">
        <v>0</v>
      </c>
      <c r="BF4566">
        <v>0</v>
      </c>
      <c r="BG4566">
        <v>0</v>
      </c>
      <c r="BH4566">
        <v>1</v>
      </c>
      <c r="BI4566">
        <v>1</v>
      </c>
      <c r="BJ4566">
        <v>0.2</v>
      </c>
      <c r="BK4566">
        <v>1</v>
      </c>
      <c r="BL4566">
        <v>71.2</v>
      </c>
      <c r="BM4566">
        <v>10.68</v>
      </c>
      <c r="BN4566">
        <v>81.88</v>
      </c>
      <c r="BO4566">
        <v>81.88</v>
      </c>
      <c r="BQ4566" t="s">
        <v>308</v>
      </c>
      <c r="BR4566" t="s">
        <v>84</v>
      </c>
      <c r="BS4566" s="3">
        <v>45868</v>
      </c>
      <c r="BT4566" s="4">
        <v>0.4375</v>
      </c>
      <c r="BU4566" t="s">
        <v>1378</v>
      </c>
      <c r="BV4566" t="s">
        <v>98</v>
      </c>
      <c r="BY4566">
        <v>1200</v>
      </c>
      <c r="BZ4566" t="s">
        <v>89</v>
      </c>
      <c r="CA4566" t="s">
        <v>310</v>
      </c>
      <c r="CC4566" t="s">
        <v>306</v>
      </c>
      <c r="CD4566">
        <v>5200</v>
      </c>
      <c r="CE4566" t="s">
        <v>121</v>
      </c>
      <c r="CF4566" s="3">
        <v>45869</v>
      </c>
      <c r="CI4566">
        <v>1</v>
      </c>
      <c r="CJ4566">
        <v>1</v>
      </c>
      <c r="CK4566">
        <v>21</v>
      </c>
      <c r="CL4566" t="s">
        <v>86</v>
      </c>
    </row>
    <row r="4567" spans="1:90" x14ac:dyDescent="0.3">
      <c r="A4567" t="s">
        <v>72</v>
      </c>
      <c r="B4567" t="s">
        <v>73</v>
      </c>
      <c r="C4567" t="s">
        <v>74</v>
      </c>
      <c r="E4567" t="str">
        <f>"080066869202"</f>
        <v>080066869202</v>
      </c>
      <c r="F4567" s="3">
        <v>45867</v>
      </c>
      <c r="G4567">
        <v>202604</v>
      </c>
      <c r="H4567" t="s">
        <v>75</v>
      </c>
      <c r="I4567" t="s">
        <v>76</v>
      </c>
      <c r="J4567" t="s">
        <v>77</v>
      </c>
      <c r="K4567" t="s">
        <v>78</v>
      </c>
      <c r="L4567" t="s">
        <v>79</v>
      </c>
      <c r="M4567" t="s">
        <v>80</v>
      </c>
      <c r="N4567" t="s">
        <v>1775</v>
      </c>
      <c r="O4567" t="s">
        <v>82</v>
      </c>
      <c r="P4567" t="str">
        <f>"4170051834                    "</f>
        <v xml:space="preserve">4170051834                    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45.18</v>
      </c>
      <c r="AR4567">
        <v>0</v>
      </c>
      <c r="AS4567">
        <v>0</v>
      </c>
      <c r="AT4567">
        <v>0</v>
      </c>
      <c r="AU4567">
        <v>0</v>
      </c>
      <c r="AV4567">
        <v>0</v>
      </c>
      <c r="AW4567">
        <v>0</v>
      </c>
      <c r="AX4567">
        <v>0</v>
      </c>
      <c r="AY4567">
        <v>0</v>
      </c>
      <c r="AZ4567">
        <v>0</v>
      </c>
      <c r="BA4567">
        <v>0</v>
      </c>
      <c r="BB4567">
        <v>0</v>
      </c>
      <c r="BC4567">
        <v>0</v>
      </c>
      <c r="BD4567">
        <v>0</v>
      </c>
      <c r="BE4567">
        <v>0</v>
      </c>
      <c r="BF4567">
        <v>0</v>
      </c>
      <c r="BG4567">
        <v>0</v>
      </c>
      <c r="BH4567">
        <v>1</v>
      </c>
      <c r="BI4567">
        <v>4</v>
      </c>
      <c r="BJ4567">
        <v>2.2000000000000002</v>
      </c>
      <c r="BK4567">
        <v>4</v>
      </c>
      <c r="BL4567">
        <v>142.34</v>
      </c>
      <c r="BM4567">
        <v>21.35</v>
      </c>
      <c r="BN4567">
        <v>163.69</v>
      </c>
      <c r="BO4567">
        <v>163.69</v>
      </c>
      <c r="BQ4567" t="s">
        <v>1776</v>
      </c>
      <c r="BR4567" t="s">
        <v>84</v>
      </c>
      <c r="BS4567" s="3">
        <v>45868</v>
      </c>
      <c r="BT4567" s="4">
        <v>0.41944444444444445</v>
      </c>
      <c r="BU4567" t="s">
        <v>933</v>
      </c>
      <c r="BV4567" t="s">
        <v>98</v>
      </c>
      <c r="BY4567">
        <v>11172</v>
      </c>
      <c r="BZ4567" t="s">
        <v>89</v>
      </c>
      <c r="CA4567" t="s">
        <v>934</v>
      </c>
      <c r="CC4567" t="s">
        <v>80</v>
      </c>
      <c r="CD4567">
        <v>7530</v>
      </c>
      <c r="CE4567" t="s">
        <v>91</v>
      </c>
      <c r="CF4567" s="3">
        <v>45869</v>
      </c>
      <c r="CI4567">
        <v>1</v>
      </c>
      <c r="CJ4567">
        <v>1</v>
      </c>
      <c r="CK4567">
        <v>21</v>
      </c>
      <c r="CL4567" t="s">
        <v>86</v>
      </c>
    </row>
    <row r="4568" spans="1:90" x14ac:dyDescent="0.3">
      <c r="A4568" t="s">
        <v>72</v>
      </c>
      <c r="B4568" t="s">
        <v>73</v>
      </c>
      <c r="C4568" t="s">
        <v>74</v>
      </c>
      <c r="E4568" t="str">
        <f>"080066869304"</f>
        <v>080066869304</v>
      </c>
      <c r="F4568" s="3">
        <v>45867</v>
      </c>
      <c r="G4568">
        <v>202604</v>
      </c>
      <c r="H4568" t="s">
        <v>75</v>
      </c>
      <c r="I4568" t="s">
        <v>76</v>
      </c>
      <c r="J4568" t="s">
        <v>77</v>
      </c>
      <c r="K4568" t="s">
        <v>78</v>
      </c>
      <c r="L4568" t="s">
        <v>554</v>
      </c>
      <c r="M4568" t="s">
        <v>555</v>
      </c>
      <c r="N4568" t="s">
        <v>556</v>
      </c>
      <c r="O4568" t="s">
        <v>82</v>
      </c>
      <c r="P4568" t="str">
        <f>"4170051715                    "</f>
        <v xml:space="preserve">4170051715                    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22.6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0</v>
      </c>
      <c r="BA4568">
        <v>0</v>
      </c>
      <c r="BB4568">
        <v>0</v>
      </c>
      <c r="BC4568">
        <v>0</v>
      </c>
      <c r="BD4568">
        <v>0</v>
      </c>
      <c r="BE4568">
        <v>0</v>
      </c>
      <c r="BF4568">
        <v>0</v>
      </c>
      <c r="BG4568">
        <v>0</v>
      </c>
      <c r="BH4568">
        <v>1</v>
      </c>
      <c r="BI4568">
        <v>2</v>
      </c>
      <c r="BJ4568">
        <v>1.1000000000000001</v>
      </c>
      <c r="BK4568">
        <v>2</v>
      </c>
      <c r="BL4568">
        <v>71.2</v>
      </c>
      <c r="BM4568">
        <v>10.68</v>
      </c>
      <c r="BN4568">
        <v>81.88</v>
      </c>
      <c r="BO4568">
        <v>81.88</v>
      </c>
      <c r="BQ4568" t="s">
        <v>557</v>
      </c>
      <c r="BR4568" t="s">
        <v>84</v>
      </c>
      <c r="BS4568" s="3">
        <v>45868</v>
      </c>
      <c r="BT4568" s="4">
        <v>0.3840277777777778</v>
      </c>
      <c r="BU4568" t="s">
        <v>558</v>
      </c>
      <c r="BV4568" t="s">
        <v>98</v>
      </c>
      <c r="BY4568">
        <v>5320</v>
      </c>
      <c r="BZ4568" t="s">
        <v>89</v>
      </c>
      <c r="CA4568" t="s">
        <v>559</v>
      </c>
      <c r="CC4568" t="s">
        <v>555</v>
      </c>
      <c r="CD4568" s="5" t="s">
        <v>560</v>
      </c>
      <c r="CE4568" t="s">
        <v>145</v>
      </c>
      <c r="CF4568" s="3">
        <v>45868</v>
      </c>
      <c r="CI4568">
        <v>1</v>
      </c>
      <c r="CJ4568">
        <v>1</v>
      </c>
      <c r="CK4568">
        <v>21</v>
      </c>
      <c r="CL4568" t="s">
        <v>86</v>
      </c>
    </row>
    <row r="4569" spans="1:90" x14ac:dyDescent="0.3">
      <c r="A4569" t="s">
        <v>72</v>
      </c>
      <c r="B4569" t="s">
        <v>73</v>
      </c>
      <c r="C4569" t="s">
        <v>74</v>
      </c>
      <c r="E4569" t="str">
        <f>"080066869256"</f>
        <v>080066869256</v>
      </c>
      <c r="F4569" s="3">
        <v>45867</v>
      </c>
      <c r="G4569">
        <v>202604</v>
      </c>
      <c r="H4569" t="s">
        <v>75</v>
      </c>
      <c r="I4569" t="s">
        <v>76</v>
      </c>
      <c r="J4569" t="s">
        <v>77</v>
      </c>
      <c r="K4569" t="s">
        <v>78</v>
      </c>
      <c r="L4569" t="s">
        <v>79</v>
      </c>
      <c r="M4569" t="s">
        <v>80</v>
      </c>
      <c r="N4569" t="s">
        <v>1414</v>
      </c>
      <c r="O4569" t="s">
        <v>82</v>
      </c>
      <c r="P4569" t="str">
        <f>"4170051800                    "</f>
        <v xml:space="preserve">4170051800                    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22.6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AZ4569">
        <v>0</v>
      </c>
      <c r="BA4569">
        <v>0</v>
      </c>
      <c r="BB4569">
        <v>0</v>
      </c>
      <c r="BC4569">
        <v>0</v>
      </c>
      <c r="BD4569">
        <v>0</v>
      </c>
      <c r="BE4569">
        <v>0</v>
      </c>
      <c r="BF4569">
        <v>0</v>
      </c>
      <c r="BG4569">
        <v>0</v>
      </c>
      <c r="BH4569">
        <v>1</v>
      </c>
      <c r="BI4569">
        <v>1</v>
      </c>
      <c r="BJ4569">
        <v>1.9</v>
      </c>
      <c r="BK4569">
        <v>2</v>
      </c>
      <c r="BL4569">
        <v>71.2</v>
      </c>
      <c r="BM4569">
        <v>10.68</v>
      </c>
      <c r="BN4569">
        <v>81.88</v>
      </c>
      <c r="BO4569">
        <v>81.88</v>
      </c>
      <c r="BQ4569" t="s">
        <v>1415</v>
      </c>
      <c r="BR4569" t="s">
        <v>84</v>
      </c>
      <c r="BS4569" s="3">
        <v>45868</v>
      </c>
      <c r="BT4569" s="4">
        <v>0.43402777777777779</v>
      </c>
      <c r="BU4569" t="s">
        <v>2646</v>
      </c>
      <c r="BV4569" t="s">
        <v>98</v>
      </c>
      <c r="BY4569">
        <v>9600</v>
      </c>
      <c r="BZ4569" t="s">
        <v>89</v>
      </c>
      <c r="CA4569" t="s">
        <v>579</v>
      </c>
      <c r="CC4569" t="s">
        <v>80</v>
      </c>
      <c r="CD4569">
        <v>7460</v>
      </c>
      <c r="CE4569" t="s">
        <v>145</v>
      </c>
      <c r="CF4569" s="3">
        <v>45869</v>
      </c>
      <c r="CI4569">
        <v>1</v>
      </c>
      <c r="CJ4569">
        <v>1</v>
      </c>
      <c r="CK4569">
        <v>21</v>
      </c>
      <c r="CL4569" t="s">
        <v>86</v>
      </c>
    </row>
    <row r="4570" spans="1:90" x14ac:dyDescent="0.3">
      <c r="A4570" t="s">
        <v>72</v>
      </c>
      <c r="B4570" t="s">
        <v>73</v>
      </c>
      <c r="C4570" t="s">
        <v>74</v>
      </c>
      <c r="E4570" t="str">
        <f>"080066869353"</f>
        <v>080066869353</v>
      </c>
      <c r="F4570" s="3">
        <v>45867</v>
      </c>
      <c r="G4570">
        <v>202604</v>
      </c>
      <c r="H4570" t="s">
        <v>75</v>
      </c>
      <c r="I4570" t="s">
        <v>76</v>
      </c>
      <c r="J4570" t="s">
        <v>77</v>
      </c>
      <c r="K4570" t="s">
        <v>78</v>
      </c>
      <c r="L4570" t="s">
        <v>542</v>
      </c>
      <c r="M4570" t="s">
        <v>543</v>
      </c>
      <c r="N4570" t="s">
        <v>745</v>
      </c>
      <c r="O4570" t="s">
        <v>82</v>
      </c>
      <c r="P4570" t="str">
        <f>"4170051803                    "</f>
        <v xml:space="preserve">4170051803                    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17.649999999999999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AZ4570">
        <v>0</v>
      </c>
      <c r="BA4570">
        <v>0</v>
      </c>
      <c r="BB4570">
        <v>0</v>
      </c>
      <c r="BC4570">
        <v>0</v>
      </c>
      <c r="BD4570">
        <v>0</v>
      </c>
      <c r="BE4570">
        <v>0</v>
      </c>
      <c r="BF4570">
        <v>0</v>
      </c>
      <c r="BG4570">
        <v>0</v>
      </c>
      <c r="BH4570">
        <v>1</v>
      </c>
      <c r="BI4570">
        <v>4</v>
      </c>
      <c r="BJ4570">
        <v>0.9</v>
      </c>
      <c r="BK4570">
        <v>4</v>
      </c>
      <c r="BL4570">
        <v>55.61</v>
      </c>
      <c r="BM4570">
        <v>8.34</v>
      </c>
      <c r="BN4570">
        <v>63.95</v>
      </c>
      <c r="BO4570">
        <v>63.95</v>
      </c>
      <c r="BQ4570" t="s">
        <v>746</v>
      </c>
      <c r="BR4570" t="s">
        <v>84</v>
      </c>
      <c r="BS4570" s="3">
        <v>45868</v>
      </c>
      <c r="BT4570" s="4">
        <v>0.43472222222222223</v>
      </c>
      <c r="BU4570" t="s">
        <v>3897</v>
      </c>
      <c r="BV4570" t="s">
        <v>98</v>
      </c>
      <c r="BY4570">
        <v>4275</v>
      </c>
      <c r="BZ4570" t="s">
        <v>89</v>
      </c>
      <c r="CA4570" t="s">
        <v>748</v>
      </c>
      <c r="CC4570" t="s">
        <v>543</v>
      </c>
      <c r="CD4570">
        <v>1451</v>
      </c>
      <c r="CE4570" t="s">
        <v>259</v>
      </c>
      <c r="CF4570" s="3">
        <v>45868</v>
      </c>
      <c r="CI4570">
        <v>1</v>
      </c>
      <c r="CJ4570">
        <v>1</v>
      </c>
      <c r="CK4570">
        <v>22</v>
      </c>
      <c r="CL4570" t="s">
        <v>86</v>
      </c>
    </row>
    <row r="4571" spans="1:90" x14ac:dyDescent="0.3">
      <c r="A4571" t="s">
        <v>72</v>
      </c>
      <c r="B4571" t="s">
        <v>73</v>
      </c>
      <c r="C4571" t="s">
        <v>74</v>
      </c>
      <c r="E4571" t="str">
        <f>"080011580556"</f>
        <v>080011580556</v>
      </c>
      <c r="F4571" s="3">
        <v>45867</v>
      </c>
      <c r="G4571">
        <v>202604</v>
      </c>
      <c r="H4571" t="s">
        <v>146</v>
      </c>
      <c r="I4571" t="s">
        <v>146</v>
      </c>
      <c r="J4571" t="s">
        <v>3898</v>
      </c>
      <c r="K4571" t="s">
        <v>78</v>
      </c>
      <c r="L4571" t="s">
        <v>75</v>
      </c>
      <c r="M4571" t="s">
        <v>76</v>
      </c>
      <c r="N4571" t="s">
        <v>228</v>
      </c>
      <c r="O4571" t="s">
        <v>82</v>
      </c>
      <c r="P4571" t="str">
        <f>"ZA3000018838                  "</f>
        <v xml:space="preserve">ZA3000018838                  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53.67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0</v>
      </c>
      <c r="BA4571">
        <v>0</v>
      </c>
      <c r="BB4571">
        <v>0</v>
      </c>
      <c r="BC4571">
        <v>0</v>
      </c>
      <c r="BD4571">
        <v>0</v>
      </c>
      <c r="BE4571">
        <v>0</v>
      </c>
      <c r="BF4571">
        <v>0</v>
      </c>
      <c r="BG4571">
        <v>0</v>
      </c>
      <c r="BH4571">
        <v>1</v>
      </c>
      <c r="BI4571">
        <v>2</v>
      </c>
      <c r="BJ4571">
        <v>2.1</v>
      </c>
      <c r="BK4571">
        <v>2.5</v>
      </c>
      <c r="BL4571">
        <v>169.09</v>
      </c>
      <c r="BM4571">
        <v>25.36</v>
      </c>
      <c r="BN4571">
        <v>194.45</v>
      </c>
      <c r="BO4571">
        <v>194.45</v>
      </c>
      <c r="BP4571" t="s">
        <v>587</v>
      </c>
      <c r="BQ4571" t="s">
        <v>230</v>
      </c>
      <c r="BR4571" t="s">
        <v>3899</v>
      </c>
      <c r="BS4571" s="3">
        <v>45868</v>
      </c>
      <c r="BT4571" s="4">
        <v>0.42499999999999999</v>
      </c>
      <c r="BU4571" t="s">
        <v>232</v>
      </c>
      <c r="BV4571" t="s">
        <v>98</v>
      </c>
      <c r="BY4571">
        <v>10587.36</v>
      </c>
      <c r="BZ4571" t="s">
        <v>89</v>
      </c>
      <c r="CA4571" t="s">
        <v>304</v>
      </c>
      <c r="CC4571" t="s">
        <v>76</v>
      </c>
      <c r="CD4571">
        <v>1619</v>
      </c>
      <c r="CE4571" t="s">
        <v>233</v>
      </c>
      <c r="CF4571" s="3">
        <v>45869</v>
      </c>
      <c r="CI4571">
        <v>1</v>
      </c>
      <c r="CJ4571">
        <v>1</v>
      </c>
      <c r="CK4571">
        <v>23</v>
      </c>
      <c r="CL4571" t="s">
        <v>86</v>
      </c>
    </row>
    <row r="4572" spans="1:90" x14ac:dyDescent="0.3">
      <c r="A4572" t="s">
        <v>72</v>
      </c>
      <c r="B4572" t="s">
        <v>73</v>
      </c>
      <c r="C4572" t="s">
        <v>74</v>
      </c>
      <c r="E4572" t="str">
        <f>"080066870052"</f>
        <v>080066870052</v>
      </c>
      <c r="F4572" s="3">
        <v>45867</v>
      </c>
      <c r="G4572">
        <v>202604</v>
      </c>
      <c r="H4572" t="s">
        <v>75</v>
      </c>
      <c r="I4572" t="s">
        <v>76</v>
      </c>
      <c r="J4572" t="s">
        <v>77</v>
      </c>
      <c r="K4572" t="s">
        <v>78</v>
      </c>
      <c r="L4572" t="s">
        <v>168</v>
      </c>
      <c r="M4572" t="s">
        <v>169</v>
      </c>
      <c r="N4572" t="s">
        <v>202</v>
      </c>
      <c r="O4572" t="s">
        <v>82</v>
      </c>
      <c r="P4572" t="str">
        <f>"4170051756                    "</f>
        <v xml:space="preserve">4170051756                    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22.6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AZ4572">
        <v>0</v>
      </c>
      <c r="BA4572">
        <v>0</v>
      </c>
      <c r="BB4572">
        <v>0</v>
      </c>
      <c r="BC4572">
        <v>0</v>
      </c>
      <c r="BD4572">
        <v>0</v>
      </c>
      <c r="BE4572">
        <v>0</v>
      </c>
      <c r="BF4572">
        <v>0</v>
      </c>
      <c r="BG4572">
        <v>0</v>
      </c>
      <c r="BH4572">
        <v>1</v>
      </c>
      <c r="BI4572">
        <v>2</v>
      </c>
      <c r="BJ4572">
        <v>1.1000000000000001</v>
      </c>
      <c r="BK4572">
        <v>2</v>
      </c>
      <c r="BL4572">
        <v>71.2</v>
      </c>
      <c r="BM4572">
        <v>10.68</v>
      </c>
      <c r="BN4572">
        <v>81.88</v>
      </c>
      <c r="BO4572">
        <v>81.88</v>
      </c>
      <c r="BQ4572" t="s">
        <v>203</v>
      </c>
      <c r="BR4572" t="s">
        <v>84</v>
      </c>
      <c r="BS4572" s="3">
        <v>45868</v>
      </c>
      <c r="BT4572" s="4">
        <v>0.42083333333333334</v>
      </c>
      <c r="BU4572" t="s">
        <v>3849</v>
      </c>
      <c r="BV4572" t="s">
        <v>98</v>
      </c>
      <c r="BY4572">
        <v>5320</v>
      </c>
      <c r="CA4572" t="s">
        <v>3850</v>
      </c>
      <c r="CC4572" t="s">
        <v>169</v>
      </c>
      <c r="CD4572">
        <v>6001</v>
      </c>
      <c r="CE4572" t="s">
        <v>145</v>
      </c>
      <c r="CF4572" s="3">
        <v>45868</v>
      </c>
      <c r="CI4572">
        <v>1</v>
      </c>
      <c r="CJ4572">
        <v>1</v>
      </c>
      <c r="CK4572">
        <v>21</v>
      </c>
      <c r="CL4572" t="s">
        <v>86</v>
      </c>
    </row>
    <row r="4573" spans="1:90" x14ac:dyDescent="0.3">
      <c r="A4573" t="s">
        <v>72</v>
      </c>
      <c r="B4573" t="s">
        <v>73</v>
      </c>
      <c r="C4573" t="s">
        <v>74</v>
      </c>
      <c r="E4573" t="str">
        <f>"080066870120"</f>
        <v>080066870120</v>
      </c>
      <c r="F4573" s="3">
        <v>45867</v>
      </c>
      <c r="G4573">
        <v>202604</v>
      </c>
      <c r="H4573" t="s">
        <v>75</v>
      </c>
      <c r="I4573" t="s">
        <v>76</v>
      </c>
      <c r="J4573" t="s">
        <v>77</v>
      </c>
      <c r="K4573" t="s">
        <v>78</v>
      </c>
      <c r="L4573" t="s">
        <v>151</v>
      </c>
      <c r="M4573" t="s">
        <v>152</v>
      </c>
      <c r="N4573" t="s">
        <v>352</v>
      </c>
      <c r="O4573" t="s">
        <v>95</v>
      </c>
      <c r="P4573" t="str">
        <f>"4170051762                    "</f>
        <v xml:space="preserve">4170051762                    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43.7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AZ4573">
        <v>0</v>
      </c>
      <c r="BA4573">
        <v>0</v>
      </c>
      <c r="BB4573">
        <v>0</v>
      </c>
      <c r="BC4573">
        <v>0</v>
      </c>
      <c r="BD4573">
        <v>0</v>
      </c>
      <c r="BE4573">
        <v>0</v>
      </c>
      <c r="BF4573">
        <v>0</v>
      </c>
      <c r="BG4573">
        <v>0</v>
      </c>
      <c r="BH4573">
        <v>1</v>
      </c>
      <c r="BI4573">
        <v>3</v>
      </c>
      <c r="BJ4573">
        <v>5.2</v>
      </c>
      <c r="BK4573">
        <v>6</v>
      </c>
      <c r="BL4573">
        <v>143.55000000000001</v>
      </c>
      <c r="BM4573">
        <v>21.53</v>
      </c>
      <c r="BN4573">
        <v>165.08</v>
      </c>
      <c r="BO4573">
        <v>165.08</v>
      </c>
      <c r="BQ4573" t="s">
        <v>353</v>
      </c>
      <c r="BR4573" t="s">
        <v>84</v>
      </c>
      <c r="BS4573" s="3">
        <v>45868</v>
      </c>
      <c r="BT4573" s="4">
        <v>0.69097222222222221</v>
      </c>
      <c r="BU4573" t="s">
        <v>3879</v>
      </c>
      <c r="BV4573" t="s">
        <v>98</v>
      </c>
      <c r="BY4573">
        <v>26112</v>
      </c>
      <c r="CA4573" t="s">
        <v>3706</v>
      </c>
      <c r="CC4573" t="s">
        <v>152</v>
      </c>
      <c r="CD4573" s="5" t="s">
        <v>911</v>
      </c>
      <c r="CE4573" t="s">
        <v>91</v>
      </c>
      <c r="CF4573" s="3">
        <v>45868</v>
      </c>
      <c r="CI4573">
        <v>1</v>
      </c>
      <c r="CJ4573">
        <v>1</v>
      </c>
      <c r="CK4573">
        <v>41</v>
      </c>
      <c r="CL4573" t="s">
        <v>86</v>
      </c>
    </row>
    <row r="4574" spans="1:90" x14ac:dyDescent="0.3">
      <c r="A4574" t="s">
        <v>72</v>
      </c>
      <c r="B4574" t="s">
        <v>73</v>
      </c>
      <c r="C4574" t="s">
        <v>74</v>
      </c>
      <c r="E4574" t="str">
        <f>"080066870187"</f>
        <v>080066870187</v>
      </c>
      <c r="F4574" s="3">
        <v>45867</v>
      </c>
      <c r="G4574">
        <v>202604</v>
      </c>
      <c r="H4574" t="s">
        <v>75</v>
      </c>
      <c r="I4574" t="s">
        <v>76</v>
      </c>
      <c r="J4574" t="s">
        <v>77</v>
      </c>
      <c r="K4574" t="s">
        <v>78</v>
      </c>
      <c r="L4574" t="s">
        <v>75</v>
      </c>
      <c r="M4574" t="s">
        <v>76</v>
      </c>
      <c r="N4574" t="s">
        <v>118</v>
      </c>
      <c r="O4574" t="s">
        <v>82</v>
      </c>
      <c r="P4574" t="str">
        <f>"4170051704                    "</f>
        <v xml:space="preserve">4170051704                    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17.649999999999999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AZ4574">
        <v>0</v>
      </c>
      <c r="BA4574">
        <v>0</v>
      </c>
      <c r="BB4574">
        <v>0</v>
      </c>
      <c r="BC4574">
        <v>0</v>
      </c>
      <c r="BD4574">
        <v>0</v>
      </c>
      <c r="BE4574">
        <v>0</v>
      </c>
      <c r="BF4574">
        <v>0</v>
      </c>
      <c r="BG4574">
        <v>0</v>
      </c>
      <c r="BH4574">
        <v>1</v>
      </c>
      <c r="BI4574">
        <v>3</v>
      </c>
      <c r="BJ4574">
        <v>1.7</v>
      </c>
      <c r="BK4574">
        <v>3</v>
      </c>
      <c r="BL4574">
        <v>55.61</v>
      </c>
      <c r="BM4574">
        <v>8.34</v>
      </c>
      <c r="BN4574">
        <v>63.95</v>
      </c>
      <c r="BO4574">
        <v>63.95</v>
      </c>
      <c r="BQ4574" t="s">
        <v>119</v>
      </c>
      <c r="BR4574" t="s">
        <v>84</v>
      </c>
      <c r="BS4574" s="3">
        <v>45868</v>
      </c>
      <c r="BT4574" s="4">
        <v>0.31180555555555556</v>
      </c>
      <c r="BU4574" t="s">
        <v>212</v>
      </c>
      <c r="BV4574" t="s">
        <v>98</v>
      </c>
      <c r="BY4574">
        <v>8700</v>
      </c>
      <c r="CA4574" t="s">
        <v>213</v>
      </c>
      <c r="CC4574" t="s">
        <v>76</v>
      </c>
      <c r="CD4574">
        <v>1600</v>
      </c>
      <c r="CE4574" t="s">
        <v>91</v>
      </c>
      <c r="CF4574" s="3">
        <v>45869</v>
      </c>
      <c r="CI4574">
        <v>1</v>
      </c>
      <c r="CJ4574">
        <v>1</v>
      </c>
      <c r="CK4574">
        <v>22</v>
      </c>
      <c r="CL4574" t="s">
        <v>86</v>
      </c>
    </row>
    <row r="4575" spans="1:90" x14ac:dyDescent="0.3">
      <c r="A4575" t="s">
        <v>72</v>
      </c>
      <c r="B4575" t="s">
        <v>73</v>
      </c>
      <c r="C4575" t="s">
        <v>74</v>
      </c>
      <c r="E4575" t="str">
        <f>"080066870394"</f>
        <v>080066870394</v>
      </c>
      <c r="F4575" s="3">
        <v>45867</v>
      </c>
      <c r="G4575">
        <v>202604</v>
      </c>
      <c r="H4575" t="s">
        <v>75</v>
      </c>
      <c r="I4575" t="s">
        <v>76</v>
      </c>
      <c r="J4575" t="s">
        <v>77</v>
      </c>
      <c r="K4575" t="s">
        <v>78</v>
      </c>
      <c r="L4575" t="s">
        <v>79</v>
      </c>
      <c r="M4575" t="s">
        <v>80</v>
      </c>
      <c r="N4575" t="s">
        <v>804</v>
      </c>
      <c r="O4575" t="s">
        <v>82</v>
      </c>
      <c r="P4575" t="str">
        <f>"4170051802                    "</f>
        <v xml:space="preserve">4170051802                    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22.6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AZ4575">
        <v>0</v>
      </c>
      <c r="BA4575">
        <v>0</v>
      </c>
      <c r="BB4575">
        <v>0</v>
      </c>
      <c r="BC4575">
        <v>0</v>
      </c>
      <c r="BD4575">
        <v>0</v>
      </c>
      <c r="BE4575">
        <v>0</v>
      </c>
      <c r="BF4575">
        <v>0</v>
      </c>
      <c r="BG4575">
        <v>0</v>
      </c>
      <c r="BH4575">
        <v>1</v>
      </c>
      <c r="BI4575">
        <v>1</v>
      </c>
      <c r="BJ4575">
        <v>0.2</v>
      </c>
      <c r="BK4575">
        <v>1</v>
      </c>
      <c r="BL4575">
        <v>71.2</v>
      </c>
      <c r="BM4575">
        <v>10.68</v>
      </c>
      <c r="BN4575">
        <v>81.88</v>
      </c>
      <c r="BO4575">
        <v>81.88</v>
      </c>
      <c r="BQ4575" t="s">
        <v>805</v>
      </c>
      <c r="BR4575" t="s">
        <v>84</v>
      </c>
      <c r="BS4575" s="3">
        <v>45868</v>
      </c>
      <c r="BT4575" s="4">
        <v>0.37361111111111112</v>
      </c>
      <c r="BU4575" t="s">
        <v>3900</v>
      </c>
      <c r="BV4575" t="s">
        <v>98</v>
      </c>
      <c r="BY4575">
        <v>1200</v>
      </c>
      <c r="CA4575" t="s">
        <v>665</v>
      </c>
      <c r="CC4575" t="s">
        <v>80</v>
      </c>
      <c r="CD4575">
        <v>7965</v>
      </c>
      <c r="CE4575" t="s">
        <v>121</v>
      </c>
      <c r="CF4575" s="3">
        <v>45869</v>
      </c>
      <c r="CI4575">
        <v>1</v>
      </c>
      <c r="CJ4575">
        <v>1</v>
      </c>
      <c r="CK4575">
        <v>21</v>
      </c>
      <c r="CL4575" t="s">
        <v>86</v>
      </c>
    </row>
    <row r="4576" spans="1:90" x14ac:dyDescent="0.3">
      <c r="A4576" t="s">
        <v>72</v>
      </c>
      <c r="B4576" t="s">
        <v>73</v>
      </c>
      <c r="C4576" t="s">
        <v>74</v>
      </c>
      <c r="E4576" t="str">
        <f>"080066870473"</f>
        <v>080066870473</v>
      </c>
      <c r="F4576" s="3">
        <v>45867</v>
      </c>
      <c r="G4576">
        <v>202604</v>
      </c>
      <c r="H4576" t="s">
        <v>75</v>
      </c>
      <c r="I4576" t="s">
        <v>76</v>
      </c>
      <c r="J4576" t="s">
        <v>77</v>
      </c>
      <c r="K4576" t="s">
        <v>78</v>
      </c>
      <c r="L4576" t="s">
        <v>554</v>
      </c>
      <c r="M4576" t="s">
        <v>555</v>
      </c>
      <c r="N4576" t="s">
        <v>556</v>
      </c>
      <c r="O4576" t="s">
        <v>95</v>
      </c>
      <c r="P4576" t="str">
        <f>"4170051716                    "</f>
        <v xml:space="preserve">4170051716                    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43.7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AZ4576">
        <v>0</v>
      </c>
      <c r="BA4576">
        <v>0</v>
      </c>
      <c r="BB4576">
        <v>0</v>
      </c>
      <c r="BC4576">
        <v>0</v>
      </c>
      <c r="BD4576">
        <v>0</v>
      </c>
      <c r="BE4576">
        <v>0</v>
      </c>
      <c r="BF4576">
        <v>0</v>
      </c>
      <c r="BG4576">
        <v>0</v>
      </c>
      <c r="BH4576">
        <v>2</v>
      </c>
      <c r="BI4576">
        <v>6</v>
      </c>
      <c r="BJ4576">
        <v>3.4</v>
      </c>
      <c r="BK4576">
        <v>6</v>
      </c>
      <c r="BL4576">
        <v>143.55000000000001</v>
      </c>
      <c r="BM4576">
        <v>21.53</v>
      </c>
      <c r="BN4576">
        <v>165.08</v>
      </c>
      <c r="BO4576">
        <v>165.08</v>
      </c>
      <c r="BQ4576" t="s">
        <v>557</v>
      </c>
      <c r="BR4576" t="s">
        <v>84</v>
      </c>
      <c r="BS4576" s="3">
        <v>45868</v>
      </c>
      <c r="BT4576" s="4">
        <v>0.3840277777777778</v>
      </c>
      <c r="BU4576" t="s">
        <v>558</v>
      </c>
      <c r="BV4576" t="s">
        <v>98</v>
      </c>
      <c r="BY4576">
        <v>17020</v>
      </c>
      <c r="CA4576" t="s">
        <v>559</v>
      </c>
      <c r="CC4576" t="s">
        <v>555</v>
      </c>
      <c r="CD4576" s="5" t="s">
        <v>560</v>
      </c>
      <c r="CE4576" t="s">
        <v>145</v>
      </c>
      <c r="CF4576" s="3">
        <v>45868</v>
      </c>
      <c r="CI4576">
        <v>1</v>
      </c>
      <c r="CJ4576">
        <v>1</v>
      </c>
      <c r="CK4576">
        <v>41</v>
      </c>
      <c r="CL4576" t="s">
        <v>86</v>
      </c>
    </row>
    <row r="4577" spans="1:90" x14ac:dyDescent="0.3">
      <c r="A4577" t="s">
        <v>72</v>
      </c>
      <c r="B4577" t="s">
        <v>73</v>
      </c>
      <c r="C4577" t="s">
        <v>74</v>
      </c>
      <c r="E4577" t="str">
        <f>"080066870722"</f>
        <v>080066870722</v>
      </c>
      <c r="F4577" s="3">
        <v>45867</v>
      </c>
      <c r="G4577">
        <v>202604</v>
      </c>
      <c r="H4577" t="s">
        <v>75</v>
      </c>
      <c r="I4577" t="s">
        <v>76</v>
      </c>
      <c r="J4577" t="s">
        <v>77</v>
      </c>
      <c r="K4577" t="s">
        <v>78</v>
      </c>
      <c r="L4577" t="s">
        <v>79</v>
      </c>
      <c r="M4577" t="s">
        <v>80</v>
      </c>
      <c r="N4577" t="s">
        <v>804</v>
      </c>
      <c r="O4577" t="s">
        <v>82</v>
      </c>
      <c r="P4577" t="str">
        <f>"4170051805                    "</f>
        <v xml:space="preserve">4170051805                    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22.6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0</v>
      </c>
      <c r="AX4577">
        <v>0</v>
      </c>
      <c r="AY4577">
        <v>0</v>
      </c>
      <c r="AZ4577">
        <v>0</v>
      </c>
      <c r="BA4577">
        <v>0</v>
      </c>
      <c r="BB4577">
        <v>0</v>
      </c>
      <c r="BC4577">
        <v>0</v>
      </c>
      <c r="BD4577">
        <v>0</v>
      </c>
      <c r="BE4577">
        <v>0</v>
      </c>
      <c r="BF4577">
        <v>0</v>
      </c>
      <c r="BG4577">
        <v>0</v>
      </c>
      <c r="BH4577">
        <v>1</v>
      </c>
      <c r="BI4577">
        <v>1</v>
      </c>
      <c r="BJ4577">
        <v>0.2</v>
      </c>
      <c r="BK4577">
        <v>1</v>
      </c>
      <c r="BL4577">
        <v>71.2</v>
      </c>
      <c r="BM4577">
        <v>10.68</v>
      </c>
      <c r="BN4577">
        <v>81.88</v>
      </c>
      <c r="BO4577">
        <v>81.88</v>
      </c>
      <c r="BQ4577" t="s">
        <v>805</v>
      </c>
      <c r="BR4577" t="s">
        <v>84</v>
      </c>
      <c r="BS4577" s="3">
        <v>45868</v>
      </c>
      <c r="BT4577" s="4">
        <v>0.37430555555555556</v>
      </c>
      <c r="BU4577" t="s">
        <v>3900</v>
      </c>
      <c r="BV4577" t="s">
        <v>98</v>
      </c>
      <c r="BY4577">
        <v>1200</v>
      </c>
      <c r="CA4577" t="s">
        <v>665</v>
      </c>
      <c r="CC4577" t="s">
        <v>80</v>
      </c>
      <c r="CD4577">
        <v>7965</v>
      </c>
      <c r="CE4577" t="s">
        <v>121</v>
      </c>
      <c r="CF4577" s="3">
        <v>45869</v>
      </c>
      <c r="CI4577">
        <v>1</v>
      </c>
      <c r="CJ4577">
        <v>1</v>
      </c>
      <c r="CK4577">
        <v>21</v>
      </c>
      <c r="CL4577" t="s">
        <v>86</v>
      </c>
    </row>
    <row r="4578" spans="1:90" x14ac:dyDescent="0.3">
      <c r="A4578" t="s">
        <v>72</v>
      </c>
      <c r="B4578" t="s">
        <v>73</v>
      </c>
      <c r="C4578" t="s">
        <v>74</v>
      </c>
      <c r="E4578" t="str">
        <f>"080066870736"</f>
        <v>080066870736</v>
      </c>
      <c r="F4578" s="3">
        <v>45867</v>
      </c>
      <c r="G4578">
        <v>202604</v>
      </c>
      <c r="H4578" t="s">
        <v>75</v>
      </c>
      <c r="I4578" t="s">
        <v>76</v>
      </c>
      <c r="J4578" t="s">
        <v>77</v>
      </c>
      <c r="K4578" t="s">
        <v>78</v>
      </c>
      <c r="L4578" t="s">
        <v>452</v>
      </c>
      <c r="M4578" t="s">
        <v>453</v>
      </c>
      <c r="N4578" t="s">
        <v>968</v>
      </c>
      <c r="O4578" t="s">
        <v>82</v>
      </c>
      <c r="P4578" t="str">
        <f>"4170051703                    "</f>
        <v xml:space="preserve">4170051703                    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17.649999999999999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AZ4578">
        <v>0</v>
      </c>
      <c r="BA4578">
        <v>0</v>
      </c>
      <c r="BB4578">
        <v>0</v>
      </c>
      <c r="BC4578">
        <v>0</v>
      </c>
      <c r="BD4578">
        <v>0</v>
      </c>
      <c r="BE4578">
        <v>0</v>
      </c>
      <c r="BF4578">
        <v>0</v>
      </c>
      <c r="BG4578">
        <v>0</v>
      </c>
      <c r="BH4578">
        <v>1</v>
      </c>
      <c r="BI4578">
        <v>4</v>
      </c>
      <c r="BJ4578">
        <v>3.9</v>
      </c>
      <c r="BK4578">
        <v>4</v>
      </c>
      <c r="BL4578">
        <v>55.61</v>
      </c>
      <c r="BM4578">
        <v>8.34</v>
      </c>
      <c r="BN4578">
        <v>63.95</v>
      </c>
      <c r="BO4578">
        <v>63.95</v>
      </c>
      <c r="BQ4578" t="s">
        <v>1098</v>
      </c>
      <c r="BR4578" t="s">
        <v>84</v>
      </c>
      <c r="BS4578" s="3">
        <v>45868</v>
      </c>
      <c r="BT4578" s="4">
        <v>0.45624999999999999</v>
      </c>
      <c r="BU4578" t="s">
        <v>3901</v>
      </c>
      <c r="BV4578" t="s">
        <v>98</v>
      </c>
      <c r="BY4578">
        <v>19600</v>
      </c>
      <c r="CC4578" t="s">
        <v>453</v>
      </c>
      <c r="CD4578">
        <v>1559</v>
      </c>
      <c r="CE4578" t="s">
        <v>91</v>
      </c>
      <c r="CF4578" s="3">
        <v>45868</v>
      </c>
      <c r="CI4578">
        <v>1</v>
      </c>
      <c r="CJ4578">
        <v>1</v>
      </c>
      <c r="CK4578">
        <v>22</v>
      </c>
      <c r="CL4578" t="s">
        <v>86</v>
      </c>
    </row>
    <row r="4579" spans="1:90" x14ac:dyDescent="0.3">
      <c r="A4579" t="s">
        <v>72</v>
      </c>
      <c r="B4579" t="s">
        <v>73</v>
      </c>
      <c r="C4579" t="s">
        <v>74</v>
      </c>
      <c r="E4579" t="str">
        <f>"080066870866"</f>
        <v>080066870866</v>
      </c>
      <c r="F4579" s="3">
        <v>45867</v>
      </c>
      <c r="G4579">
        <v>202604</v>
      </c>
      <c r="H4579" t="s">
        <v>75</v>
      </c>
      <c r="I4579" t="s">
        <v>76</v>
      </c>
      <c r="J4579" t="s">
        <v>77</v>
      </c>
      <c r="K4579" t="s">
        <v>78</v>
      </c>
      <c r="L4579" t="s">
        <v>197</v>
      </c>
      <c r="M4579" t="s">
        <v>198</v>
      </c>
      <c r="N4579" t="s">
        <v>945</v>
      </c>
      <c r="O4579" t="s">
        <v>82</v>
      </c>
      <c r="P4579" t="str">
        <f>"4170051836                    "</f>
        <v xml:space="preserve">4170051836                    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17.649999999999999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>
        <v>0</v>
      </c>
      <c r="BC4579">
        <v>0</v>
      </c>
      <c r="BD4579">
        <v>0</v>
      </c>
      <c r="BE4579">
        <v>0</v>
      </c>
      <c r="BF4579">
        <v>0</v>
      </c>
      <c r="BG4579">
        <v>0</v>
      </c>
      <c r="BH4579">
        <v>1</v>
      </c>
      <c r="BI4579">
        <v>2</v>
      </c>
      <c r="BJ4579">
        <v>1.7</v>
      </c>
      <c r="BK4579">
        <v>2</v>
      </c>
      <c r="BL4579">
        <v>55.61</v>
      </c>
      <c r="BM4579">
        <v>8.34</v>
      </c>
      <c r="BN4579">
        <v>63.95</v>
      </c>
      <c r="BO4579">
        <v>63.95</v>
      </c>
      <c r="BQ4579" t="s">
        <v>946</v>
      </c>
      <c r="BR4579" t="s">
        <v>84</v>
      </c>
      <c r="BS4579" s="3">
        <v>45868</v>
      </c>
      <c r="BT4579" s="4">
        <v>0.35069444444444442</v>
      </c>
      <c r="BU4579" t="s">
        <v>3067</v>
      </c>
      <c r="BV4579" t="s">
        <v>98</v>
      </c>
      <c r="BY4579">
        <v>8512</v>
      </c>
      <c r="CA4579" t="s">
        <v>318</v>
      </c>
      <c r="CC4579" t="s">
        <v>198</v>
      </c>
      <c r="CD4579">
        <v>1422</v>
      </c>
      <c r="CE4579" t="s">
        <v>145</v>
      </c>
      <c r="CF4579" s="3">
        <v>45868</v>
      </c>
      <c r="CI4579">
        <v>1</v>
      </c>
      <c r="CJ4579">
        <v>1</v>
      </c>
      <c r="CK4579">
        <v>22</v>
      </c>
      <c r="CL4579" t="s">
        <v>86</v>
      </c>
    </row>
    <row r="4580" spans="1:90" x14ac:dyDescent="0.3">
      <c r="A4580" t="s">
        <v>72</v>
      </c>
      <c r="B4580" t="s">
        <v>73</v>
      </c>
      <c r="C4580" t="s">
        <v>74</v>
      </c>
      <c r="E4580" t="str">
        <f>"080066870778"</f>
        <v>080066870778</v>
      </c>
      <c r="F4580" s="3">
        <v>45867</v>
      </c>
      <c r="G4580">
        <v>202604</v>
      </c>
      <c r="H4580" t="s">
        <v>75</v>
      </c>
      <c r="I4580" t="s">
        <v>76</v>
      </c>
      <c r="J4580" t="s">
        <v>77</v>
      </c>
      <c r="K4580" t="s">
        <v>78</v>
      </c>
      <c r="L4580" t="s">
        <v>398</v>
      </c>
      <c r="M4580" t="s">
        <v>399</v>
      </c>
      <c r="N4580" t="s">
        <v>3295</v>
      </c>
      <c r="O4580" t="s">
        <v>82</v>
      </c>
      <c r="P4580" t="str">
        <f>"4170051827                    "</f>
        <v xml:space="preserve">4170051827                    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17.649999999999999</v>
      </c>
      <c r="AR4580">
        <v>0</v>
      </c>
      <c r="AS4580">
        <v>0</v>
      </c>
      <c r="AT4580">
        <v>0</v>
      </c>
      <c r="AU4580">
        <v>0</v>
      </c>
      <c r="AV4580">
        <v>0</v>
      </c>
      <c r="AW4580">
        <v>0</v>
      </c>
      <c r="AX4580">
        <v>0</v>
      </c>
      <c r="AY4580">
        <v>0</v>
      </c>
      <c r="AZ4580">
        <v>0</v>
      </c>
      <c r="BA4580">
        <v>0</v>
      </c>
      <c r="BB4580">
        <v>0</v>
      </c>
      <c r="BC4580">
        <v>0</v>
      </c>
      <c r="BD4580">
        <v>0</v>
      </c>
      <c r="BE4580">
        <v>0</v>
      </c>
      <c r="BF4580">
        <v>0</v>
      </c>
      <c r="BG4580">
        <v>0</v>
      </c>
      <c r="BH4580">
        <v>1</v>
      </c>
      <c r="BI4580">
        <v>1</v>
      </c>
      <c r="BJ4580">
        <v>0.2</v>
      </c>
      <c r="BK4580">
        <v>1</v>
      </c>
      <c r="BL4580">
        <v>55.61</v>
      </c>
      <c r="BM4580">
        <v>8.34</v>
      </c>
      <c r="BN4580">
        <v>63.95</v>
      </c>
      <c r="BO4580">
        <v>63.95</v>
      </c>
      <c r="BQ4580" t="s">
        <v>3296</v>
      </c>
      <c r="BR4580" t="s">
        <v>84</v>
      </c>
      <c r="BS4580" s="3">
        <v>45868</v>
      </c>
      <c r="BT4580" s="4">
        <v>0.38958333333333334</v>
      </c>
      <c r="BU4580" t="s">
        <v>3902</v>
      </c>
      <c r="BV4580" t="s">
        <v>98</v>
      </c>
      <c r="BY4580">
        <v>1200</v>
      </c>
      <c r="CA4580" t="s">
        <v>2249</v>
      </c>
      <c r="CC4580" t="s">
        <v>399</v>
      </c>
      <c r="CD4580">
        <v>1501</v>
      </c>
      <c r="CE4580" t="s">
        <v>121</v>
      </c>
      <c r="CF4580" s="3">
        <v>45869</v>
      </c>
      <c r="CI4580">
        <v>1</v>
      </c>
      <c r="CJ4580">
        <v>1</v>
      </c>
      <c r="CK4580">
        <v>22</v>
      </c>
      <c r="CL4580" t="s">
        <v>86</v>
      </c>
    </row>
    <row r="4581" spans="1:90" x14ac:dyDescent="0.3">
      <c r="A4581" t="s">
        <v>72</v>
      </c>
      <c r="B4581" t="s">
        <v>73</v>
      </c>
      <c r="C4581" t="s">
        <v>74</v>
      </c>
      <c r="E4581" t="str">
        <f>"080066870820"</f>
        <v>080066870820</v>
      </c>
      <c r="F4581" s="3">
        <v>45867</v>
      </c>
      <c r="G4581">
        <v>202604</v>
      </c>
      <c r="H4581" t="s">
        <v>75</v>
      </c>
      <c r="I4581" t="s">
        <v>76</v>
      </c>
      <c r="J4581" t="s">
        <v>77</v>
      </c>
      <c r="K4581" t="s">
        <v>78</v>
      </c>
      <c r="L4581" t="s">
        <v>168</v>
      </c>
      <c r="M4581" t="s">
        <v>169</v>
      </c>
      <c r="N4581" t="s">
        <v>924</v>
      </c>
      <c r="O4581" t="s">
        <v>82</v>
      </c>
      <c r="P4581" t="str">
        <f>"4170051807                    "</f>
        <v xml:space="preserve">4170051807                    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22.6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0</v>
      </c>
      <c r="BA4581">
        <v>0</v>
      </c>
      <c r="BB4581">
        <v>0</v>
      </c>
      <c r="BC4581">
        <v>0</v>
      </c>
      <c r="BD4581">
        <v>0</v>
      </c>
      <c r="BE4581">
        <v>0</v>
      </c>
      <c r="BF4581">
        <v>0</v>
      </c>
      <c r="BG4581">
        <v>0</v>
      </c>
      <c r="BH4581">
        <v>1</v>
      </c>
      <c r="BI4581">
        <v>1</v>
      </c>
      <c r="BJ4581">
        <v>0.2</v>
      </c>
      <c r="BK4581">
        <v>1</v>
      </c>
      <c r="BL4581">
        <v>71.2</v>
      </c>
      <c r="BM4581">
        <v>10.68</v>
      </c>
      <c r="BN4581">
        <v>81.88</v>
      </c>
      <c r="BO4581">
        <v>81.88</v>
      </c>
      <c r="BQ4581" t="s">
        <v>925</v>
      </c>
      <c r="BR4581" t="s">
        <v>84</v>
      </c>
      <c r="BS4581" s="3">
        <v>45868</v>
      </c>
      <c r="BT4581" s="4">
        <v>0.43680555555555556</v>
      </c>
      <c r="BU4581" t="s">
        <v>3456</v>
      </c>
      <c r="BV4581" t="s">
        <v>98</v>
      </c>
      <c r="BY4581">
        <v>1200</v>
      </c>
      <c r="CA4581" t="s">
        <v>196</v>
      </c>
      <c r="CC4581" t="s">
        <v>169</v>
      </c>
      <c r="CD4581">
        <v>6056</v>
      </c>
      <c r="CE4581" t="s">
        <v>121</v>
      </c>
      <c r="CI4581">
        <v>1</v>
      </c>
      <c r="CJ4581">
        <v>1</v>
      </c>
      <c r="CK4581">
        <v>21</v>
      </c>
      <c r="CL4581" t="s">
        <v>86</v>
      </c>
    </row>
    <row r="4582" spans="1:90" x14ac:dyDescent="0.3">
      <c r="A4582" t="s">
        <v>72</v>
      </c>
      <c r="B4582" t="s">
        <v>73</v>
      </c>
      <c r="C4582" t="s">
        <v>74</v>
      </c>
      <c r="E4582" t="str">
        <f>"080066870994"</f>
        <v>080066870994</v>
      </c>
      <c r="F4582" s="3">
        <v>45867</v>
      </c>
      <c r="G4582">
        <v>202604</v>
      </c>
      <c r="H4582" t="s">
        <v>75</v>
      </c>
      <c r="I4582" t="s">
        <v>76</v>
      </c>
      <c r="J4582" t="s">
        <v>77</v>
      </c>
      <c r="K4582" t="s">
        <v>78</v>
      </c>
      <c r="L4582" t="s">
        <v>79</v>
      </c>
      <c r="M4582" t="s">
        <v>80</v>
      </c>
      <c r="N4582" t="s">
        <v>3903</v>
      </c>
      <c r="O4582" t="s">
        <v>82</v>
      </c>
      <c r="P4582" t="str">
        <f>"4170051813                    "</f>
        <v xml:space="preserve">4170051813                    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22.6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>
        <v>0</v>
      </c>
      <c r="BC4582">
        <v>0</v>
      </c>
      <c r="BD4582">
        <v>0</v>
      </c>
      <c r="BE4582">
        <v>0</v>
      </c>
      <c r="BF4582">
        <v>0</v>
      </c>
      <c r="BG4582">
        <v>0</v>
      </c>
      <c r="BH4582">
        <v>1</v>
      </c>
      <c r="BI4582">
        <v>1</v>
      </c>
      <c r="BJ4582">
        <v>0.2</v>
      </c>
      <c r="BK4582">
        <v>1</v>
      </c>
      <c r="BL4582">
        <v>71.2</v>
      </c>
      <c r="BM4582">
        <v>10.68</v>
      </c>
      <c r="BN4582">
        <v>81.88</v>
      </c>
      <c r="BO4582">
        <v>81.88</v>
      </c>
      <c r="BQ4582" t="s">
        <v>3904</v>
      </c>
      <c r="BR4582" t="s">
        <v>84</v>
      </c>
      <c r="BS4582" s="3">
        <v>45868</v>
      </c>
      <c r="BT4582" s="4">
        <v>0.40555555555555556</v>
      </c>
      <c r="BU4582" t="s">
        <v>3905</v>
      </c>
      <c r="BV4582" t="s">
        <v>98</v>
      </c>
      <c r="BY4582">
        <v>1200</v>
      </c>
      <c r="CA4582" t="s">
        <v>665</v>
      </c>
      <c r="CC4582" t="s">
        <v>80</v>
      </c>
      <c r="CD4582">
        <v>7945</v>
      </c>
      <c r="CE4582" t="s">
        <v>121</v>
      </c>
      <c r="CF4582" s="3">
        <v>45869</v>
      </c>
      <c r="CI4582">
        <v>1</v>
      </c>
      <c r="CJ4582">
        <v>1</v>
      </c>
      <c r="CK4582">
        <v>21</v>
      </c>
      <c r="CL4582" t="s">
        <v>86</v>
      </c>
    </row>
    <row r="4583" spans="1:90" x14ac:dyDescent="0.3">
      <c r="A4583" t="s">
        <v>72</v>
      </c>
      <c r="B4583" t="s">
        <v>73</v>
      </c>
      <c r="C4583" t="s">
        <v>74</v>
      </c>
      <c r="E4583" t="str">
        <f>"080066871042"</f>
        <v>080066871042</v>
      </c>
      <c r="F4583" s="3">
        <v>45867</v>
      </c>
      <c r="G4583">
        <v>202604</v>
      </c>
      <c r="H4583" t="s">
        <v>75</v>
      </c>
      <c r="I4583" t="s">
        <v>76</v>
      </c>
      <c r="J4583" t="s">
        <v>77</v>
      </c>
      <c r="K4583" t="s">
        <v>78</v>
      </c>
      <c r="L4583" t="s">
        <v>503</v>
      </c>
      <c r="M4583" t="s">
        <v>504</v>
      </c>
      <c r="N4583" t="s">
        <v>505</v>
      </c>
      <c r="O4583" t="s">
        <v>82</v>
      </c>
      <c r="P4583" t="str">
        <f>"4170051978                    "</f>
        <v xml:space="preserve">4170051978                    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53.67</v>
      </c>
      <c r="AR4583">
        <v>0</v>
      </c>
      <c r="AS4583">
        <v>0</v>
      </c>
      <c r="AT4583">
        <v>0</v>
      </c>
      <c r="AU4583">
        <v>0</v>
      </c>
      <c r="AV4583">
        <v>0</v>
      </c>
      <c r="AW4583">
        <v>0</v>
      </c>
      <c r="AX4583">
        <v>0</v>
      </c>
      <c r="AY4583">
        <v>0</v>
      </c>
      <c r="AZ4583">
        <v>0</v>
      </c>
      <c r="BA4583">
        <v>0</v>
      </c>
      <c r="BB4583">
        <v>0</v>
      </c>
      <c r="BC4583">
        <v>0</v>
      </c>
      <c r="BD4583">
        <v>0</v>
      </c>
      <c r="BE4583">
        <v>0</v>
      </c>
      <c r="BF4583">
        <v>0</v>
      </c>
      <c r="BG4583">
        <v>0</v>
      </c>
      <c r="BH4583">
        <v>1</v>
      </c>
      <c r="BI4583">
        <v>2</v>
      </c>
      <c r="BJ4583">
        <v>2.4</v>
      </c>
      <c r="BK4583">
        <v>2.5</v>
      </c>
      <c r="BL4583">
        <v>169.09</v>
      </c>
      <c r="BM4583">
        <v>25.36</v>
      </c>
      <c r="BN4583">
        <v>194.45</v>
      </c>
      <c r="BO4583">
        <v>194.45</v>
      </c>
      <c r="BQ4583" t="s">
        <v>506</v>
      </c>
      <c r="BR4583" t="s">
        <v>84</v>
      </c>
      <c r="BS4583" s="3">
        <v>45868</v>
      </c>
      <c r="BT4583" s="4">
        <v>0.46944444444444444</v>
      </c>
      <c r="BU4583" t="s">
        <v>3757</v>
      </c>
      <c r="BV4583" t="s">
        <v>98</v>
      </c>
      <c r="BY4583">
        <v>11956</v>
      </c>
      <c r="CA4583" t="s">
        <v>508</v>
      </c>
      <c r="CC4583" t="s">
        <v>504</v>
      </c>
      <c r="CD4583">
        <v>7130</v>
      </c>
      <c r="CE4583" t="s">
        <v>91</v>
      </c>
      <c r="CF4583" s="3">
        <v>45869</v>
      </c>
      <c r="CI4583">
        <v>1</v>
      </c>
      <c r="CJ4583">
        <v>1</v>
      </c>
      <c r="CK4583">
        <v>23</v>
      </c>
      <c r="CL4583" t="s">
        <v>86</v>
      </c>
    </row>
    <row r="4584" spans="1:90" x14ac:dyDescent="0.3">
      <c r="A4584" t="s">
        <v>72</v>
      </c>
      <c r="B4584" t="s">
        <v>73</v>
      </c>
      <c r="C4584" t="s">
        <v>74</v>
      </c>
      <c r="E4584" t="str">
        <f>"080066871077"</f>
        <v>080066871077</v>
      </c>
      <c r="F4584" s="3">
        <v>45867</v>
      </c>
      <c r="G4584">
        <v>202604</v>
      </c>
      <c r="H4584" t="s">
        <v>75</v>
      </c>
      <c r="I4584" t="s">
        <v>76</v>
      </c>
      <c r="J4584" t="s">
        <v>77</v>
      </c>
      <c r="K4584" t="s">
        <v>78</v>
      </c>
      <c r="L4584" t="s">
        <v>128</v>
      </c>
      <c r="M4584" t="s">
        <v>129</v>
      </c>
      <c r="N4584" t="s">
        <v>636</v>
      </c>
      <c r="O4584" t="s">
        <v>95</v>
      </c>
      <c r="P4584" t="str">
        <f>"4170050735                    "</f>
        <v xml:space="preserve">4170050735                    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83.67</v>
      </c>
      <c r="AR4584">
        <v>0</v>
      </c>
      <c r="AS4584">
        <v>0</v>
      </c>
      <c r="AT4584">
        <v>0</v>
      </c>
      <c r="AU4584">
        <v>0</v>
      </c>
      <c r="AV4584">
        <v>0</v>
      </c>
      <c r="AW4584">
        <v>0</v>
      </c>
      <c r="AX4584">
        <v>0</v>
      </c>
      <c r="AY4584">
        <v>0</v>
      </c>
      <c r="AZ4584">
        <v>0</v>
      </c>
      <c r="BA4584">
        <v>0</v>
      </c>
      <c r="BB4584">
        <v>0</v>
      </c>
      <c r="BC4584">
        <v>0</v>
      </c>
      <c r="BD4584">
        <v>0</v>
      </c>
      <c r="BE4584">
        <v>0</v>
      </c>
      <c r="BF4584">
        <v>0</v>
      </c>
      <c r="BG4584">
        <v>0</v>
      </c>
      <c r="BH4584">
        <v>1</v>
      </c>
      <c r="BI4584">
        <v>22</v>
      </c>
      <c r="BJ4584">
        <v>17.7</v>
      </c>
      <c r="BK4584">
        <v>22</v>
      </c>
      <c r="BL4584">
        <v>269.48</v>
      </c>
      <c r="BM4584">
        <v>40.42</v>
      </c>
      <c r="BN4584">
        <v>309.89999999999998</v>
      </c>
      <c r="BO4584">
        <v>309.89999999999998</v>
      </c>
      <c r="BQ4584" t="s">
        <v>637</v>
      </c>
      <c r="BR4584" t="s">
        <v>84</v>
      </c>
      <c r="BS4584" s="3">
        <v>45868</v>
      </c>
      <c r="BT4584" s="4">
        <v>0.52847222222222223</v>
      </c>
      <c r="BU4584" t="s">
        <v>781</v>
      </c>
      <c r="BV4584" t="s">
        <v>98</v>
      </c>
      <c r="BY4584">
        <v>88320</v>
      </c>
      <c r="CC4584" t="s">
        <v>129</v>
      </c>
      <c r="CD4584" s="5" t="s">
        <v>134</v>
      </c>
      <c r="CE4584" t="s">
        <v>145</v>
      </c>
      <c r="CF4584" s="3">
        <v>45869</v>
      </c>
      <c r="CI4584">
        <v>1</v>
      </c>
      <c r="CJ4584">
        <v>1</v>
      </c>
      <c r="CK4584">
        <v>43</v>
      </c>
      <c r="CL4584" t="s">
        <v>86</v>
      </c>
    </row>
    <row r="4585" spans="1:90" x14ac:dyDescent="0.3">
      <c r="A4585" t="s">
        <v>72</v>
      </c>
      <c r="B4585" t="s">
        <v>73</v>
      </c>
      <c r="C4585" t="s">
        <v>74</v>
      </c>
      <c r="E4585" t="str">
        <f>"080066871079"</f>
        <v>080066871079</v>
      </c>
      <c r="F4585" s="3">
        <v>45867</v>
      </c>
      <c r="G4585">
        <v>202604</v>
      </c>
      <c r="H4585" t="s">
        <v>75</v>
      </c>
      <c r="I4585" t="s">
        <v>76</v>
      </c>
      <c r="J4585" t="s">
        <v>77</v>
      </c>
      <c r="K4585" t="s">
        <v>78</v>
      </c>
      <c r="L4585" t="s">
        <v>75</v>
      </c>
      <c r="M4585" t="s">
        <v>76</v>
      </c>
      <c r="N4585" t="s">
        <v>1579</v>
      </c>
      <c r="O4585" t="s">
        <v>82</v>
      </c>
      <c r="P4585" t="str">
        <f>"4170051795                    "</f>
        <v xml:space="preserve">4170051795                    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17.649999999999999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0</v>
      </c>
      <c r="AZ4585">
        <v>0</v>
      </c>
      <c r="BA4585">
        <v>0</v>
      </c>
      <c r="BB4585">
        <v>0</v>
      </c>
      <c r="BC4585">
        <v>0</v>
      </c>
      <c r="BD4585">
        <v>0</v>
      </c>
      <c r="BE4585">
        <v>0</v>
      </c>
      <c r="BF4585">
        <v>0</v>
      </c>
      <c r="BG4585">
        <v>0</v>
      </c>
      <c r="BH4585">
        <v>1</v>
      </c>
      <c r="BI4585">
        <v>1</v>
      </c>
      <c r="BJ4585">
        <v>0.2</v>
      </c>
      <c r="BK4585">
        <v>1</v>
      </c>
      <c r="BL4585">
        <v>55.61</v>
      </c>
      <c r="BM4585">
        <v>8.34</v>
      </c>
      <c r="BN4585">
        <v>63.95</v>
      </c>
      <c r="BO4585">
        <v>63.95</v>
      </c>
      <c r="BQ4585" t="s">
        <v>1580</v>
      </c>
      <c r="BR4585" t="s">
        <v>84</v>
      </c>
      <c r="BS4585" s="3">
        <v>45868</v>
      </c>
      <c r="BT4585" s="4">
        <v>0.29166666666666669</v>
      </c>
      <c r="BU4585" t="s">
        <v>1797</v>
      </c>
      <c r="BV4585" t="s">
        <v>98</v>
      </c>
      <c r="BY4585">
        <v>1200</v>
      </c>
      <c r="CA4585" t="s">
        <v>213</v>
      </c>
      <c r="CC4585" t="s">
        <v>76</v>
      </c>
      <c r="CD4585">
        <v>1600</v>
      </c>
      <c r="CE4585" t="s">
        <v>121</v>
      </c>
      <c r="CF4585" s="3">
        <v>45869</v>
      </c>
      <c r="CI4585">
        <v>1</v>
      </c>
      <c r="CJ4585">
        <v>1</v>
      </c>
      <c r="CK4585">
        <v>22</v>
      </c>
      <c r="CL4585" t="s">
        <v>86</v>
      </c>
    </row>
    <row r="4586" spans="1:90" x14ac:dyDescent="0.3">
      <c r="A4586" t="s">
        <v>72</v>
      </c>
      <c r="B4586" t="s">
        <v>73</v>
      </c>
      <c r="C4586" t="s">
        <v>74</v>
      </c>
      <c r="E4586" t="str">
        <f>"080066871155"</f>
        <v>080066871155</v>
      </c>
      <c r="F4586" s="3">
        <v>45867</v>
      </c>
      <c r="G4586">
        <v>202604</v>
      </c>
      <c r="H4586" t="s">
        <v>75</v>
      </c>
      <c r="I4586" t="s">
        <v>76</v>
      </c>
      <c r="J4586" t="s">
        <v>77</v>
      </c>
      <c r="K4586" t="s">
        <v>78</v>
      </c>
      <c r="L4586" t="s">
        <v>92</v>
      </c>
      <c r="M4586" t="s">
        <v>93</v>
      </c>
      <c r="N4586" t="s">
        <v>2721</v>
      </c>
      <c r="O4586" t="s">
        <v>82</v>
      </c>
      <c r="P4586" t="str">
        <f>"4170051928                    "</f>
        <v xml:space="preserve">4170051928                    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22.6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0</v>
      </c>
      <c r="AZ4586">
        <v>0</v>
      </c>
      <c r="BA4586">
        <v>0</v>
      </c>
      <c r="BB4586">
        <v>0</v>
      </c>
      <c r="BC4586">
        <v>0</v>
      </c>
      <c r="BD4586">
        <v>0</v>
      </c>
      <c r="BE4586">
        <v>0</v>
      </c>
      <c r="BF4586">
        <v>0</v>
      </c>
      <c r="BG4586">
        <v>0</v>
      </c>
      <c r="BH4586">
        <v>1</v>
      </c>
      <c r="BI4586">
        <v>1</v>
      </c>
      <c r="BJ4586">
        <v>0.2</v>
      </c>
      <c r="BK4586">
        <v>1</v>
      </c>
      <c r="BL4586">
        <v>71.2</v>
      </c>
      <c r="BM4586">
        <v>10.68</v>
      </c>
      <c r="BN4586">
        <v>81.88</v>
      </c>
      <c r="BO4586">
        <v>81.88</v>
      </c>
      <c r="BQ4586" t="s">
        <v>2722</v>
      </c>
      <c r="BR4586" t="s">
        <v>84</v>
      </c>
      <c r="BS4586" s="3">
        <v>45868</v>
      </c>
      <c r="BT4586" s="4">
        <v>0.42499999999999999</v>
      </c>
      <c r="BU4586" t="s">
        <v>3906</v>
      </c>
      <c r="BV4586" t="s">
        <v>98</v>
      </c>
      <c r="BY4586">
        <v>1200</v>
      </c>
      <c r="CA4586" t="s">
        <v>491</v>
      </c>
      <c r="CC4586" t="s">
        <v>93</v>
      </c>
      <c r="CD4586">
        <v>4000</v>
      </c>
      <c r="CE4586" t="s">
        <v>121</v>
      </c>
      <c r="CF4586" s="3">
        <v>45868</v>
      </c>
      <c r="CI4586">
        <v>1</v>
      </c>
      <c r="CJ4586">
        <v>1</v>
      </c>
      <c r="CK4586">
        <v>21</v>
      </c>
      <c r="CL4586" t="s">
        <v>86</v>
      </c>
    </row>
    <row r="4587" spans="1:90" x14ac:dyDescent="0.3">
      <c r="A4587" t="s">
        <v>72</v>
      </c>
      <c r="B4587" t="s">
        <v>73</v>
      </c>
      <c r="C4587" t="s">
        <v>74</v>
      </c>
      <c r="E4587" t="str">
        <f>"080066871245"</f>
        <v>080066871245</v>
      </c>
      <c r="F4587" s="3">
        <v>45867</v>
      </c>
      <c r="G4587">
        <v>202604</v>
      </c>
      <c r="H4587" t="s">
        <v>75</v>
      </c>
      <c r="I4587" t="s">
        <v>76</v>
      </c>
      <c r="J4587" t="s">
        <v>77</v>
      </c>
      <c r="K4587" t="s">
        <v>78</v>
      </c>
      <c r="L4587" t="s">
        <v>75</v>
      </c>
      <c r="M4587" t="s">
        <v>76</v>
      </c>
      <c r="N4587" t="s">
        <v>1616</v>
      </c>
      <c r="O4587" t="s">
        <v>311</v>
      </c>
      <c r="P4587" t="str">
        <f>"4170051956                    "</f>
        <v xml:space="preserve">4170051956                    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17.66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0</v>
      </c>
      <c r="BA4587">
        <v>0</v>
      </c>
      <c r="BB4587">
        <v>0</v>
      </c>
      <c r="BC4587">
        <v>0</v>
      </c>
      <c r="BD4587">
        <v>0</v>
      </c>
      <c r="BE4587">
        <v>0</v>
      </c>
      <c r="BF4587">
        <v>0</v>
      </c>
      <c r="BG4587">
        <v>0</v>
      </c>
      <c r="BH4587">
        <v>1</v>
      </c>
      <c r="BI4587">
        <v>7</v>
      </c>
      <c r="BJ4587">
        <v>3.4</v>
      </c>
      <c r="BK4587">
        <v>7</v>
      </c>
      <c r="BL4587">
        <v>55.63</v>
      </c>
      <c r="BM4587">
        <v>8.34</v>
      </c>
      <c r="BN4587">
        <v>63.97</v>
      </c>
      <c r="BO4587">
        <v>63.97</v>
      </c>
      <c r="BQ4587" t="s">
        <v>1617</v>
      </c>
      <c r="BR4587" t="s">
        <v>84</v>
      </c>
      <c r="BS4587" s="3">
        <v>45868</v>
      </c>
      <c r="BT4587" s="4">
        <v>0.375</v>
      </c>
      <c r="BU4587" t="s">
        <v>3907</v>
      </c>
      <c r="BV4587" t="s">
        <v>98</v>
      </c>
      <c r="BY4587">
        <v>16965</v>
      </c>
      <c r="CA4587" t="s">
        <v>471</v>
      </c>
      <c r="CC4587" t="s">
        <v>76</v>
      </c>
      <c r="CD4587">
        <v>1610</v>
      </c>
      <c r="CE4587" t="s">
        <v>145</v>
      </c>
      <c r="CF4587" s="3">
        <v>45868</v>
      </c>
      <c r="CI4587">
        <v>1</v>
      </c>
      <c r="CJ4587">
        <v>1</v>
      </c>
      <c r="CK4587">
        <v>32</v>
      </c>
      <c r="CL4587" t="s">
        <v>86</v>
      </c>
    </row>
    <row r="4588" spans="1:90" x14ac:dyDescent="0.3">
      <c r="A4588" t="s">
        <v>72</v>
      </c>
      <c r="B4588" t="s">
        <v>73</v>
      </c>
      <c r="C4588" t="s">
        <v>74</v>
      </c>
      <c r="E4588" t="str">
        <f>"080066871255"</f>
        <v>080066871255</v>
      </c>
      <c r="F4588" s="3">
        <v>45867</v>
      </c>
      <c r="G4588">
        <v>202604</v>
      </c>
      <c r="H4588" t="s">
        <v>75</v>
      </c>
      <c r="I4588" t="s">
        <v>76</v>
      </c>
      <c r="J4588" t="s">
        <v>77</v>
      </c>
      <c r="K4588" t="s">
        <v>78</v>
      </c>
      <c r="L4588" t="s">
        <v>79</v>
      </c>
      <c r="M4588" t="s">
        <v>80</v>
      </c>
      <c r="N4588" t="s">
        <v>1101</v>
      </c>
      <c r="O4588" t="s">
        <v>82</v>
      </c>
      <c r="P4588" t="str">
        <f>"4170051904                    "</f>
        <v xml:space="preserve">4170051904                    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22.6</v>
      </c>
      <c r="AR4588">
        <v>0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AZ4588">
        <v>0</v>
      </c>
      <c r="BA4588">
        <v>0</v>
      </c>
      <c r="BB4588">
        <v>0</v>
      </c>
      <c r="BC4588">
        <v>0</v>
      </c>
      <c r="BD4588">
        <v>0</v>
      </c>
      <c r="BE4588">
        <v>0</v>
      </c>
      <c r="BF4588">
        <v>0</v>
      </c>
      <c r="BG4588">
        <v>0</v>
      </c>
      <c r="BH4588">
        <v>1</v>
      </c>
      <c r="BI4588">
        <v>1</v>
      </c>
      <c r="BJ4588">
        <v>0.2</v>
      </c>
      <c r="BK4588">
        <v>1</v>
      </c>
      <c r="BL4588">
        <v>71.2</v>
      </c>
      <c r="BM4588">
        <v>10.68</v>
      </c>
      <c r="BN4588">
        <v>81.88</v>
      </c>
      <c r="BO4588">
        <v>81.88</v>
      </c>
      <c r="BQ4588" t="s">
        <v>1102</v>
      </c>
      <c r="BR4588" t="s">
        <v>84</v>
      </c>
      <c r="BS4588" s="3">
        <v>45868</v>
      </c>
      <c r="BT4588" s="4">
        <v>0.35208333333333336</v>
      </c>
      <c r="BU4588" t="s">
        <v>2071</v>
      </c>
      <c r="BV4588" t="s">
        <v>98</v>
      </c>
      <c r="BY4588">
        <v>1200</v>
      </c>
      <c r="CA4588" t="s">
        <v>289</v>
      </c>
      <c r="CC4588" t="s">
        <v>80</v>
      </c>
      <c r="CD4588">
        <v>7530</v>
      </c>
      <c r="CE4588" t="s">
        <v>121</v>
      </c>
      <c r="CF4588" s="3">
        <v>45869</v>
      </c>
      <c r="CI4588">
        <v>1</v>
      </c>
      <c r="CJ4588">
        <v>1</v>
      </c>
      <c r="CK4588">
        <v>21</v>
      </c>
      <c r="CL4588" t="s">
        <v>86</v>
      </c>
    </row>
    <row r="4589" spans="1:90" x14ac:dyDescent="0.3">
      <c r="A4589" t="s">
        <v>72</v>
      </c>
      <c r="B4589" t="s">
        <v>73</v>
      </c>
      <c r="C4589" t="s">
        <v>74</v>
      </c>
      <c r="E4589" t="str">
        <f>"080066871325"</f>
        <v>080066871325</v>
      </c>
      <c r="F4589" s="3">
        <v>45867</v>
      </c>
      <c r="G4589">
        <v>202604</v>
      </c>
      <c r="H4589" t="s">
        <v>75</v>
      </c>
      <c r="I4589" t="s">
        <v>76</v>
      </c>
      <c r="J4589" t="s">
        <v>77</v>
      </c>
      <c r="K4589" t="s">
        <v>78</v>
      </c>
      <c r="L4589" t="s">
        <v>240</v>
      </c>
      <c r="M4589" t="s">
        <v>241</v>
      </c>
      <c r="N4589" t="s">
        <v>568</v>
      </c>
      <c r="O4589" t="s">
        <v>82</v>
      </c>
      <c r="P4589" t="str">
        <f>"4170051774                    "</f>
        <v xml:space="preserve">4170051774                    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17.649999999999999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0</v>
      </c>
      <c r="AX4589">
        <v>0</v>
      </c>
      <c r="AY4589">
        <v>0</v>
      </c>
      <c r="AZ4589">
        <v>0</v>
      </c>
      <c r="BA4589">
        <v>0</v>
      </c>
      <c r="BB4589">
        <v>0</v>
      </c>
      <c r="BC4589">
        <v>0</v>
      </c>
      <c r="BD4589">
        <v>0</v>
      </c>
      <c r="BE4589">
        <v>0</v>
      </c>
      <c r="BF4589">
        <v>0</v>
      </c>
      <c r="BG4589">
        <v>0</v>
      </c>
      <c r="BH4589">
        <v>1</v>
      </c>
      <c r="BI4589">
        <v>1</v>
      </c>
      <c r="BJ4589">
        <v>0.2</v>
      </c>
      <c r="BK4589">
        <v>1</v>
      </c>
      <c r="BL4589">
        <v>55.61</v>
      </c>
      <c r="BM4589">
        <v>8.34</v>
      </c>
      <c r="BN4589">
        <v>63.95</v>
      </c>
      <c r="BO4589">
        <v>63.95</v>
      </c>
      <c r="BQ4589" t="s">
        <v>569</v>
      </c>
      <c r="BR4589" t="s">
        <v>84</v>
      </c>
      <c r="BS4589" s="3">
        <v>45868</v>
      </c>
      <c r="BT4589" s="4">
        <v>0.43680555555555556</v>
      </c>
      <c r="BU4589" t="s">
        <v>3908</v>
      </c>
      <c r="BV4589" t="s">
        <v>98</v>
      </c>
      <c r="BY4589">
        <v>1200</v>
      </c>
      <c r="CA4589" t="s">
        <v>1541</v>
      </c>
      <c r="CC4589" t="s">
        <v>241</v>
      </c>
      <c r="CD4589">
        <v>2047</v>
      </c>
      <c r="CE4589" t="s">
        <v>121</v>
      </c>
      <c r="CF4589" s="3">
        <v>45868</v>
      </c>
      <c r="CI4589">
        <v>1</v>
      </c>
      <c r="CJ4589">
        <v>1</v>
      </c>
      <c r="CK4589">
        <v>22</v>
      </c>
      <c r="CL4589" t="s">
        <v>86</v>
      </c>
    </row>
    <row r="4590" spans="1:90" x14ac:dyDescent="0.3">
      <c r="A4590" t="s">
        <v>72</v>
      </c>
      <c r="B4590" t="s">
        <v>73</v>
      </c>
      <c r="C4590" t="s">
        <v>74</v>
      </c>
      <c r="E4590" t="str">
        <f>"080066871334"</f>
        <v>080066871334</v>
      </c>
      <c r="F4590" s="3">
        <v>45867</v>
      </c>
      <c r="G4590">
        <v>202604</v>
      </c>
      <c r="H4590" t="s">
        <v>75</v>
      </c>
      <c r="I4590" t="s">
        <v>76</v>
      </c>
      <c r="J4590" t="s">
        <v>77</v>
      </c>
      <c r="K4590" t="s">
        <v>78</v>
      </c>
      <c r="L4590" t="s">
        <v>350</v>
      </c>
      <c r="M4590" t="s">
        <v>351</v>
      </c>
      <c r="N4590" t="s">
        <v>752</v>
      </c>
      <c r="O4590" t="s">
        <v>82</v>
      </c>
      <c r="P4590" t="str">
        <f>"4170051967                    "</f>
        <v xml:space="preserve">4170051967                    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22.6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0</v>
      </c>
      <c r="BA4590">
        <v>0</v>
      </c>
      <c r="BB4590">
        <v>0</v>
      </c>
      <c r="BC4590">
        <v>0</v>
      </c>
      <c r="BD4590">
        <v>0</v>
      </c>
      <c r="BE4590">
        <v>0</v>
      </c>
      <c r="BF4590">
        <v>0</v>
      </c>
      <c r="BG4590">
        <v>0</v>
      </c>
      <c r="BH4590">
        <v>1</v>
      </c>
      <c r="BI4590">
        <v>1</v>
      </c>
      <c r="BJ4590">
        <v>0.2</v>
      </c>
      <c r="BK4590">
        <v>1</v>
      </c>
      <c r="BL4590">
        <v>71.2</v>
      </c>
      <c r="BM4590">
        <v>10.68</v>
      </c>
      <c r="BN4590">
        <v>81.88</v>
      </c>
      <c r="BO4590">
        <v>81.88</v>
      </c>
      <c r="BQ4590" t="s">
        <v>753</v>
      </c>
      <c r="BR4590" t="s">
        <v>84</v>
      </c>
      <c r="BS4590" t="s">
        <v>587</v>
      </c>
      <c r="BY4590">
        <v>1200</v>
      </c>
      <c r="CC4590" t="s">
        <v>351</v>
      </c>
      <c r="CD4590">
        <v>4113</v>
      </c>
      <c r="CE4590" t="s">
        <v>121</v>
      </c>
      <c r="CI4590">
        <v>1</v>
      </c>
      <c r="CJ4590" t="s">
        <v>587</v>
      </c>
      <c r="CK4590">
        <v>21</v>
      </c>
      <c r="CL4590" t="s">
        <v>86</v>
      </c>
    </row>
    <row r="4591" spans="1:90" x14ac:dyDescent="0.3">
      <c r="A4591" t="s">
        <v>72</v>
      </c>
      <c r="B4591" t="s">
        <v>73</v>
      </c>
      <c r="C4591" t="s">
        <v>74</v>
      </c>
      <c r="E4591" t="str">
        <f>"080066871371"</f>
        <v>080066871371</v>
      </c>
      <c r="F4591" s="3">
        <v>45867</v>
      </c>
      <c r="G4591">
        <v>202604</v>
      </c>
      <c r="H4591" t="s">
        <v>75</v>
      </c>
      <c r="I4591" t="s">
        <v>76</v>
      </c>
      <c r="J4591" t="s">
        <v>77</v>
      </c>
      <c r="K4591" t="s">
        <v>78</v>
      </c>
      <c r="L4591" t="s">
        <v>146</v>
      </c>
      <c r="M4591" t="s">
        <v>146</v>
      </c>
      <c r="N4591" t="s">
        <v>633</v>
      </c>
      <c r="O4591" t="s">
        <v>82</v>
      </c>
      <c r="P4591" t="str">
        <f>"4170051772                    "</f>
        <v xml:space="preserve">4170051772                    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43.78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AZ4591">
        <v>0</v>
      </c>
      <c r="BA4591">
        <v>0</v>
      </c>
      <c r="BB4591">
        <v>0</v>
      </c>
      <c r="BC4591">
        <v>0</v>
      </c>
      <c r="BD4591">
        <v>0</v>
      </c>
      <c r="BE4591">
        <v>0</v>
      </c>
      <c r="BF4591">
        <v>0</v>
      </c>
      <c r="BG4591">
        <v>0</v>
      </c>
      <c r="BH4591">
        <v>1</v>
      </c>
      <c r="BI4591">
        <v>1</v>
      </c>
      <c r="BJ4591">
        <v>0.2</v>
      </c>
      <c r="BK4591">
        <v>1</v>
      </c>
      <c r="BL4591">
        <v>137.94</v>
      </c>
      <c r="BM4591">
        <v>20.69</v>
      </c>
      <c r="BN4591">
        <v>158.63</v>
      </c>
      <c r="BO4591">
        <v>158.63</v>
      </c>
      <c r="BQ4591" t="s">
        <v>634</v>
      </c>
      <c r="BR4591" t="s">
        <v>84</v>
      </c>
      <c r="BS4591" s="3">
        <v>45868</v>
      </c>
      <c r="BT4591" s="4">
        <v>0.53611111111111109</v>
      </c>
      <c r="BU4591" t="s">
        <v>1115</v>
      </c>
      <c r="BV4591" t="s">
        <v>98</v>
      </c>
      <c r="BY4591">
        <v>1200</v>
      </c>
      <c r="CA4591" t="s">
        <v>150</v>
      </c>
      <c r="CC4591" t="s">
        <v>146</v>
      </c>
      <c r="CD4591">
        <v>7646</v>
      </c>
      <c r="CE4591" t="s">
        <v>121</v>
      </c>
      <c r="CF4591" s="3">
        <v>45869</v>
      </c>
      <c r="CI4591">
        <v>1</v>
      </c>
      <c r="CJ4591">
        <v>1</v>
      </c>
      <c r="CK4591">
        <v>23</v>
      </c>
      <c r="CL4591" t="s">
        <v>86</v>
      </c>
    </row>
    <row r="4592" spans="1:90" x14ac:dyDescent="0.3">
      <c r="A4592" t="s">
        <v>72</v>
      </c>
      <c r="B4592" t="s">
        <v>73</v>
      </c>
      <c r="C4592" t="s">
        <v>74</v>
      </c>
      <c r="E4592" t="str">
        <f>"080066871401"</f>
        <v>080066871401</v>
      </c>
      <c r="F4592" s="3">
        <v>45867</v>
      </c>
      <c r="G4592">
        <v>202604</v>
      </c>
      <c r="H4592" t="s">
        <v>75</v>
      </c>
      <c r="I4592" t="s">
        <v>76</v>
      </c>
      <c r="J4592" t="s">
        <v>77</v>
      </c>
      <c r="K4592" t="s">
        <v>78</v>
      </c>
      <c r="L4592" t="s">
        <v>168</v>
      </c>
      <c r="M4592" t="s">
        <v>169</v>
      </c>
      <c r="N4592" t="s">
        <v>206</v>
      </c>
      <c r="O4592" t="s">
        <v>82</v>
      </c>
      <c r="P4592" t="str">
        <f>"4170051815                    "</f>
        <v xml:space="preserve">4170051815                    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22.6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  <c r="BE4592">
        <v>0</v>
      </c>
      <c r="BF4592">
        <v>0</v>
      </c>
      <c r="BG4592">
        <v>0</v>
      </c>
      <c r="BH4592">
        <v>1</v>
      </c>
      <c r="BI4592">
        <v>1</v>
      </c>
      <c r="BJ4592">
        <v>0.2</v>
      </c>
      <c r="BK4592">
        <v>1</v>
      </c>
      <c r="BL4592">
        <v>71.2</v>
      </c>
      <c r="BM4592">
        <v>10.68</v>
      </c>
      <c r="BN4592">
        <v>81.88</v>
      </c>
      <c r="BO4592">
        <v>81.88</v>
      </c>
      <c r="BQ4592" t="s">
        <v>207</v>
      </c>
      <c r="BR4592" t="s">
        <v>84</v>
      </c>
      <c r="BS4592" s="3">
        <v>45868</v>
      </c>
      <c r="BT4592" s="4">
        <v>0.45277777777777778</v>
      </c>
      <c r="BU4592" t="s">
        <v>290</v>
      </c>
      <c r="BV4592" t="s">
        <v>86</v>
      </c>
      <c r="BY4592">
        <v>1200</v>
      </c>
      <c r="CA4592" t="s">
        <v>196</v>
      </c>
      <c r="CC4592" t="s">
        <v>169</v>
      </c>
      <c r="CD4592">
        <v>6001</v>
      </c>
      <c r="CE4592" t="s">
        <v>121</v>
      </c>
      <c r="CF4592" s="3">
        <v>45868</v>
      </c>
      <c r="CI4592">
        <v>1</v>
      </c>
      <c r="CJ4592">
        <v>1</v>
      </c>
      <c r="CK4592">
        <v>21</v>
      </c>
      <c r="CL4592" t="s">
        <v>86</v>
      </c>
    </row>
    <row r="4593" spans="1:90" x14ac:dyDescent="0.3">
      <c r="A4593" t="s">
        <v>72</v>
      </c>
      <c r="B4593" t="s">
        <v>73</v>
      </c>
      <c r="C4593" t="s">
        <v>74</v>
      </c>
      <c r="E4593" t="str">
        <f>"080066871452"</f>
        <v>080066871452</v>
      </c>
      <c r="F4593" s="3">
        <v>45867</v>
      </c>
      <c r="G4593">
        <v>202604</v>
      </c>
      <c r="H4593" t="s">
        <v>75</v>
      </c>
      <c r="I4593" t="s">
        <v>76</v>
      </c>
      <c r="J4593" t="s">
        <v>77</v>
      </c>
      <c r="K4593" t="s">
        <v>78</v>
      </c>
      <c r="L4593" t="s">
        <v>168</v>
      </c>
      <c r="M4593" t="s">
        <v>169</v>
      </c>
      <c r="N4593" t="s">
        <v>2157</v>
      </c>
      <c r="O4593" t="s">
        <v>82</v>
      </c>
      <c r="P4593" t="str">
        <f>"4170051775                    "</f>
        <v xml:space="preserve">4170051775                    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22.6</v>
      </c>
      <c r="AR4593">
        <v>0</v>
      </c>
      <c r="AS4593">
        <v>0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AZ4593">
        <v>0</v>
      </c>
      <c r="BA4593">
        <v>0</v>
      </c>
      <c r="BB4593">
        <v>0</v>
      </c>
      <c r="BC4593">
        <v>0</v>
      </c>
      <c r="BD4593">
        <v>0</v>
      </c>
      <c r="BE4593">
        <v>0</v>
      </c>
      <c r="BF4593">
        <v>0</v>
      </c>
      <c r="BG4593">
        <v>0</v>
      </c>
      <c r="BH4593">
        <v>1</v>
      </c>
      <c r="BI4593">
        <v>1</v>
      </c>
      <c r="BJ4593">
        <v>0.2</v>
      </c>
      <c r="BK4593">
        <v>1</v>
      </c>
      <c r="BL4593">
        <v>71.2</v>
      </c>
      <c r="BM4593">
        <v>10.68</v>
      </c>
      <c r="BN4593">
        <v>81.88</v>
      </c>
      <c r="BO4593">
        <v>81.88</v>
      </c>
      <c r="BQ4593" t="s">
        <v>2158</v>
      </c>
      <c r="BR4593" t="s">
        <v>84</v>
      </c>
      <c r="BS4593" s="3">
        <v>45868</v>
      </c>
      <c r="BT4593" s="4">
        <v>0.38750000000000001</v>
      </c>
      <c r="BU4593" t="s">
        <v>470</v>
      </c>
      <c r="BV4593" t="s">
        <v>98</v>
      </c>
      <c r="BY4593">
        <v>1200</v>
      </c>
      <c r="CA4593" t="s">
        <v>415</v>
      </c>
      <c r="CC4593" t="s">
        <v>169</v>
      </c>
      <c r="CD4593">
        <v>6001</v>
      </c>
      <c r="CE4593" t="s">
        <v>121</v>
      </c>
      <c r="CF4593" s="3">
        <v>45868</v>
      </c>
      <c r="CI4593">
        <v>1</v>
      </c>
      <c r="CJ4593">
        <v>1</v>
      </c>
      <c r="CK4593">
        <v>21</v>
      </c>
      <c r="CL4593" t="s">
        <v>86</v>
      </c>
    </row>
    <row r="4594" spans="1:90" x14ac:dyDescent="0.3">
      <c r="A4594" t="s">
        <v>72</v>
      </c>
      <c r="B4594" t="s">
        <v>73</v>
      </c>
      <c r="C4594" t="s">
        <v>74</v>
      </c>
      <c r="E4594" t="str">
        <f>"080066871490"</f>
        <v>080066871490</v>
      </c>
      <c r="F4594" s="3">
        <v>45867</v>
      </c>
      <c r="G4594">
        <v>202604</v>
      </c>
      <c r="H4594" t="s">
        <v>75</v>
      </c>
      <c r="I4594" t="s">
        <v>76</v>
      </c>
      <c r="J4594" t="s">
        <v>77</v>
      </c>
      <c r="K4594" t="s">
        <v>78</v>
      </c>
      <c r="L4594" t="s">
        <v>75</v>
      </c>
      <c r="M4594" t="s">
        <v>76</v>
      </c>
      <c r="N4594" t="s">
        <v>3909</v>
      </c>
      <c r="O4594" t="s">
        <v>311</v>
      </c>
      <c r="P4594" t="str">
        <f>"4170051438                    "</f>
        <v xml:space="preserve">4170051438                    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19.64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0</v>
      </c>
      <c r="BA4594">
        <v>0</v>
      </c>
      <c r="BB4594">
        <v>0</v>
      </c>
      <c r="BC4594">
        <v>0</v>
      </c>
      <c r="BD4594">
        <v>0</v>
      </c>
      <c r="BE4594">
        <v>0</v>
      </c>
      <c r="BF4594">
        <v>0</v>
      </c>
      <c r="BG4594">
        <v>0</v>
      </c>
      <c r="BH4594">
        <v>1</v>
      </c>
      <c r="BI4594">
        <v>5</v>
      </c>
      <c r="BJ4594">
        <v>8.6</v>
      </c>
      <c r="BK4594">
        <v>9</v>
      </c>
      <c r="BL4594">
        <v>61.87</v>
      </c>
      <c r="BM4594">
        <v>9.2799999999999994</v>
      </c>
      <c r="BN4594">
        <v>71.150000000000006</v>
      </c>
      <c r="BO4594">
        <v>71.150000000000006</v>
      </c>
      <c r="BQ4594" t="s">
        <v>3910</v>
      </c>
      <c r="BR4594" t="s">
        <v>84</v>
      </c>
      <c r="BS4594" s="3">
        <v>45869</v>
      </c>
      <c r="BT4594" s="4">
        <v>0.60347222222222219</v>
      </c>
      <c r="BU4594" t="s">
        <v>534</v>
      </c>
      <c r="BV4594" t="s">
        <v>86</v>
      </c>
      <c r="BY4594">
        <v>43200</v>
      </c>
      <c r="CA4594" t="s">
        <v>535</v>
      </c>
      <c r="CC4594" t="s">
        <v>76</v>
      </c>
      <c r="CD4594">
        <v>1609</v>
      </c>
      <c r="CE4594" t="s">
        <v>91</v>
      </c>
      <c r="CI4594">
        <v>1</v>
      </c>
      <c r="CJ4594">
        <v>2</v>
      </c>
      <c r="CK4594">
        <v>32</v>
      </c>
      <c r="CL4594" t="s">
        <v>86</v>
      </c>
    </row>
    <row r="4595" spans="1:90" x14ac:dyDescent="0.3">
      <c r="A4595" t="s">
        <v>72</v>
      </c>
      <c r="B4595" t="s">
        <v>73</v>
      </c>
      <c r="C4595" t="s">
        <v>74</v>
      </c>
      <c r="E4595" t="str">
        <f>"080066871491"</f>
        <v>080066871491</v>
      </c>
      <c r="F4595" s="3">
        <v>45867</v>
      </c>
      <c r="G4595">
        <v>202604</v>
      </c>
      <c r="H4595" t="s">
        <v>75</v>
      </c>
      <c r="I4595" t="s">
        <v>76</v>
      </c>
      <c r="J4595" t="s">
        <v>77</v>
      </c>
      <c r="K4595" t="s">
        <v>78</v>
      </c>
      <c r="L4595" t="s">
        <v>1128</v>
      </c>
      <c r="M4595" t="s">
        <v>1129</v>
      </c>
      <c r="N4595" t="s">
        <v>2083</v>
      </c>
      <c r="O4595" t="s">
        <v>82</v>
      </c>
      <c r="P4595" t="str">
        <f>"4170051871                    "</f>
        <v xml:space="preserve">4170051871                    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22.6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  <c r="BE4595">
        <v>0</v>
      </c>
      <c r="BF4595">
        <v>0</v>
      </c>
      <c r="BG4595">
        <v>0</v>
      </c>
      <c r="BH4595">
        <v>1</v>
      </c>
      <c r="BI4595">
        <v>1</v>
      </c>
      <c r="BJ4595">
        <v>0.2</v>
      </c>
      <c r="BK4595">
        <v>1</v>
      </c>
      <c r="BL4595">
        <v>71.2</v>
      </c>
      <c r="BM4595">
        <v>10.68</v>
      </c>
      <c r="BN4595">
        <v>81.88</v>
      </c>
      <c r="BO4595">
        <v>81.88</v>
      </c>
      <c r="BQ4595" t="s">
        <v>2084</v>
      </c>
      <c r="BR4595" t="s">
        <v>84</v>
      </c>
      <c r="BS4595" s="3">
        <v>45868</v>
      </c>
      <c r="BT4595" s="4">
        <v>0.35138888888888886</v>
      </c>
      <c r="BU4595" t="s">
        <v>2524</v>
      </c>
      <c r="BV4595" t="s">
        <v>98</v>
      </c>
      <c r="BY4595">
        <v>1200</v>
      </c>
      <c r="CA4595" t="s">
        <v>1133</v>
      </c>
      <c r="CC4595" t="s">
        <v>1129</v>
      </c>
      <c r="CD4595">
        <v>7600</v>
      </c>
      <c r="CE4595" t="s">
        <v>121</v>
      </c>
      <c r="CF4595" s="3">
        <v>45869</v>
      </c>
      <c r="CI4595">
        <v>1</v>
      </c>
      <c r="CJ4595">
        <v>1</v>
      </c>
      <c r="CK4595">
        <v>21</v>
      </c>
      <c r="CL4595" t="s">
        <v>86</v>
      </c>
    </row>
    <row r="4596" spans="1:90" x14ac:dyDescent="0.3">
      <c r="A4596" t="s">
        <v>72</v>
      </c>
      <c r="B4596" t="s">
        <v>73</v>
      </c>
      <c r="C4596" t="s">
        <v>74</v>
      </c>
      <c r="E4596" t="str">
        <f>"080066871543"</f>
        <v>080066871543</v>
      </c>
      <c r="F4596" s="3">
        <v>45867</v>
      </c>
      <c r="G4596">
        <v>202604</v>
      </c>
      <c r="H4596" t="s">
        <v>75</v>
      </c>
      <c r="I4596" t="s">
        <v>76</v>
      </c>
      <c r="J4596" t="s">
        <v>77</v>
      </c>
      <c r="K4596" t="s">
        <v>78</v>
      </c>
      <c r="L4596" t="s">
        <v>305</v>
      </c>
      <c r="M4596" t="s">
        <v>306</v>
      </c>
      <c r="N4596" t="s">
        <v>1320</v>
      </c>
      <c r="O4596" t="s">
        <v>82</v>
      </c>
      <c r="P4596" t="str">
        <f>"4170051859                    "</f>
        <v xml:space="preserve">4170051859                    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22.6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0</v>
      </c>
      <c r="BA4596">
        <v>0</v>
      </c>
      <c r="BB4596">
        <v>0</v>
      </c>
      <c r="BC4596">
        <v>0</v>
      </c>
      <c r="BD4596">
        <v>0</v>
      </c>
      <c r="BE4596">
        <v>0</v>
      </c>
      <c r="BF4596">
        <v>0</v>
      </c>
      <c r="BG4596">
        <v>0</v>
      </c>
      <c r="BH4596">
        <v>1</v>
      </c>
      <c r="BI4596">
        <v>1</v>
      </c>
      <c r="BJ4596">
        <v>0.2</v>
      </c>
      <c r="BK4596">
        <v>1</v>
      </c>
      <c r="BL4596">
        <v>71.2</v>
      </c>
      <c r="BM4596">
        <v>10.68</v>
      </c>
      <c r="BN4596">
        <v>81.88</v>
      </c>
      <c r="BO4596">
        <v>81.88</v>
      </c>
      <c r="BQ4596" t="s">
        <v>308</v>
      </c>
      <c r="BR4596" t="s">
        <v>84</v>
      </c>
      <c r="BS4596" s="3">
        <v>45868</v>
      </c>
      <c r="BT4596" s="4">
        <v>0.4375</v>
      </c>
      <c r="BU4596" t="s">
        <v>1378</v>
      </c>
      <c r="BV4596" t="s">
        <v>98</v>
      </c>
      <c r="BY4596">
        <v>1200</v>
      </c>
      <c r="BZ4596" t="s">
        <v>89</v>
      </c>
      <c r="CA4596" t="s">
        <v>310</v>
      </c>
      <c r="CC4596" t="s">
        <v>306</v>
      </c>
      <c r="CD4596">
        <v>5200</v>
      </c>
      <c r="CE4596" t="s">
        <v>239</v>
      </c>
      <c r="CF4596" s="3">
        <v>45869</v>
      </c>
      <c r="CI4596">
        <v>1</v>
      </c>
      <c r="CJ4596">
        <v>1</v>
      </c>
      <c r="CK4596">
        <v>21</v>
      </c>
      <c r="CL4596" t="s">
        <v>86</v>
      </c>
    </row>
    <row r="4597" spans="1:90" x14ac:dyDescent="0.3">
      <c r="A4597" t="s">
        <v>72</v>
      </c>
      <c r="B4597" t="s">
        <v>73</v>
      </c>
      <c r="C4597" t="s">
        <v>74</v>
      </c>
      <c r="E4597" t="str">
        <f>"080066871557"</f>
        <v>080066871557</v>
      </c>
      <c r="F4597" s="3">
        <v>45867</v>
      </c>
      <c r="G4597">
        <v>202604</v>
      </c>
      <c r="H4597" t="s">
        <v>75</v>
      </c>
      <c r="I4597" t="s">
        <v>76</v>
      </c>
      <c r="J4597" t="s">
        <v>77</v>
      </c>
      <c r="K4597" t="s">
        <v>78</v>
      </c>
      <c r="L4597" t="s">
        <v>1762</v>
      </c>
      <c r="M4597" t="s">
        <v>1763</v>
      </c>
      <c r="N4597" t="s">
        <v>3911</v>
      </c>
      <c r="O4597" t="s">
        <v>82</v>
      </c>
      <c r="P4597" t="str">
        <f>"4170051954                    "</f>
        <v xml:space="preserve">4170051954                    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182.19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>
        <v>0</v>
      </c>
      <c r="BC4597">
        <v>0</v>
      </c>
      <c r="BD4597">
        <v>0</v>
      </c>
      <c r="BE4597">
        <v>0</v>
      </c>
      <c r="BF4597">
        <v>0</v>
      </c>
      <c r="BG4597">
        <v>0</v>
      </c>
      <c r="BH4597">
        <v>1</v>
      </c>
      <c r="BI4597">
        <v>9</v>
      </c>
      <c r="BJ4597">
        <v>3.5</v>
      </c>
      <c r="BK4597">
        <v>9</v>
      </c>
      <c r="BL4597">
        <v>573.99</v>
      </c>
      <c r="BM4597">
        <v>86.1</v>
      </c>
      <c r="BN4597">
        <v>660.09</v>
      </c>
      <c r="BO4597">
        <v>660.09</v>
      </c>
      <c r="BQ4597" t="s">
        <v>3912</v>
      </c>
      <c r="BR4597" t="s">
        <v>84</v>
      </c>
      <c r="BS4597" s="3">
        <v>45868</v>
      </c>
      <c r="BT4597" s="4">
        <v>0.50208333333333333</v>
      </c>
      <c r="BU4597" t="s">
        <v>3913</v>
      </c>
      <c r="BV4597" t="s">
        <v>98</v>
      </c>
      <c r="BY4597">
        <v>17550</v>
      </c>
      <c r="BZ4597" t="s">
        <v>89</v>
      </c>
      <c r="CA4597" t="s">
        <v>1767</v>
      </c>
      <c r="CC4597" t="s">
        <v>1763</v>
      </c>
      <c r="CD4597">
        <v>1390</v>
      </c>
      <c r="CE4597" t="s">
        <v>117</v>
      </c>
      <c r="CF4597" s="3">
        <v>45868</v>
      </c>
      <c r="CI4597">
        <v>1</v>
      </c>
      <c r="CJ4597">
        <v>1</v>
      </c>
      <c r="CK4597">
        <v>23</v>
      </c>
      <c r="CL4597" t="s">
        <v>86</v>
      </c>
    </row>
    <row r="4598" spans="1:90" x14ac:dyDescent="0.3">
      <c r="A4598" t="s">
        <v>72</v>
      </c>
      <c r="B4598" t="s">
        <v>73</v>
      </c>
      <c r="C4598" t="s">
        <v>74</v>
      </c>
      <c r="E4598" t="str">
        <f>"080066871595"</f>
        <v>080066871595</v>
      </c>
      <c r="F4598" s="3">
        <v>45867</v>
      </c>
      <c r="G4598">
        <v>202604</v>
      </c>
      <c r="H4598" t="s">
        <v>75</v>
      </c>
      <c r="I4598" t="s">
        <v>76</v>
      </c>
      <c r="J4598" t="s">
        <v>77</v>
      </c>
      <c r="K4598" t="s">
        <v>78</v>
      </c>
      <c r="L4598" t="s">
        <v>79</v>
      </c>
      <c r="M4598" t="s">
        <v>80</v>
      </c>
      <c r="N4598" t="s">
        <v>492</v>
      </c>
      <c r="O4598" t="s">
        <v>82</v>
      </c>
      <c r="P4598" t="str">
        <f>"4170051964                    "</f>
        <v xml:space="preserve">4170051964                    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22.6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0</v>
      </c>
      <c r="BA4598">
        <v>0</v>
      </c>
      <c r="BB4598">
        <v>0</v>
      </c>
      <c r="BC4598">
        <v>0</v>
      </c>
      <c r="BD4598">
        <v>0</v>
      </c>
      <c r="BE4598">
        <v>0</v>
      </c>
      <c r="BF4598">
        <v>0</v>
      </c>
      <c r="BG4598">
        <v>0</v>
      </c>
      <c r="BH4598">
        <v>1</v>
      </c>
      <c r="BI4598">
        <v>1</v>
      </c>
      <c r="BJ4598">
        <v>0.2</v>
      </c>
      <c r="BK4598">
        <v>1</v>
      </c>
      <c r="BL4598">
        <v>71.2</v>
      </c>
      <c r="BM4598">
        <v>10.68</v>
      </c>
      <c r="BN4598">
        <v>81.88</v>
      </c>
      <c r="BO4598">
        <v>81.88</v>
      </c>
      <c r="BQ4598" t="s">
        <v>493</v>
      </c>
      <c r="BR4598" t="s">
        <v>84</v>
      </c>
      <c r="BS4598" s="3">
        <v>45868</v>
      </c>
      <c r="BT4598" s="4">
        <v>0.41666666666666669</v>
      </c>
      <c r="BU4598" t="s">
        <v>494</v>
      </c>
      <c r="BV4598" t="s">
        <v>98</v>
      </c>
      <c r="BY4598">
        <v>1200</v>
      </c>
      <c r="CA4598" t="s">
        <v>495</v>
      </c>
      <c r="CC4598" t="s">
        <v>80</v>
      </c>
      <c r="CD4598">
        <v>7800</v>
      </c>
      <c r="CE4598" t="s">
        <v>121</v>
      </c>
      <c r="CF4598" s="3">
        <v>45869</v>
      </c>
      <c r="CI4598">
        <v>1</v>
      </c>
      <c r="CJ4598">
        <v>1</v>
      </c>
      <c r="CK4598">
        <v>21</v>
      </c>
      <c r="CL4598" t="s">
        <v>86</v>
      </c>
    </row>
    <row r="4599" spans="1:90" x14ac:dyDescent="0.3">
      <c r="A4599" t="s">
        <v>72</v>
      </c>
      <c r="B4599" t="s">
        <v>73</v>
      </c>
      <c r="C4599" t="s">
        <v>74</v>
      </c>
      <c r="E4599" t="str">
        <f>"080066871624"</f>
        <v>080066871624</v>
      </c>
      <c r="F4599" s="3">
        <v>45867</v>
      </c>
      <c r="G4599">
        <v>202604</v>
      </c>
      <c r="H4599" t="s">
        <v>75</v>
      </c>
      <c r="I4599" t="s">
        <v>76</v>
      </c>
      <c r="J4599" t="s">
        <v>77</v>
      </c>
      <c r="K4599" t="s">
        <v>78</v>
      </c>
      <c r="L4599" t="s">
        <v>79</v>
      </c>
      <c r="M4599" t="s">
        <v>80</v>
      </c>
      <c r="N4599" t="s">
        <v>141</v>
      </c>
      <c r="O4599" t="s">
        <v>82</v>
      </c>
      <c r="P4599" t="str">
        <f>"4170051958                    "</f>
        <v xml:space="preserve">4170051958                    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39.53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AZ4599">
        <v>0</v>
      </c>
      <c r="BA4599">
        <v>0</v>
      </c>
      <c r="BB4599">
        <v>0</v>
      </c>
      <c r="BC4599">
        <v>0</v>
      </c>
      <c r="BD4599">
        <v>0</v>
      </c>
      <c r="BE4599">
        <v>0</v>
      </c>
      <c r="BF4599">
        <v>0</v>
      </c>
      <c r="BG4599">
        <v>0</v>
      </c>
      <c r="BH4599">
        <v>1</v>
      </c>
      <c r="BI4599">
        <v>2</v>
      </c>
      <c r="BJ4599">
        <v>3.4</v>
      </c>
      <c r="BK4599">
        <v>3.5</v>
      </c>
      <c r="BL4599">
        <v>124.55</v>
      </c>
      <c r="BM4599">
        <v>18.68</v>
      </c>
      <c r="BN4599">
        <v>143.22999999999999</v>
      </c>
      <c r="BO4599">
        <v>143.22999999999999</v>
      </c>
      <c r="BQ4599" t="s">
        <v>142</v>
      </c>
      <c r="BR4599" t="s">
        <v>84</v>
      </c>
      <c r="BS4599" s="3">
        <v>45868</v>
      </c>
      <c r="BT4599" s="4">
        <v>0.40763888888888888</v>
      </c>
      <c r="BU4599" t="s">
        <v>976</v>
      </c>
      <c r="BV4599" t="s">
        <v>98</v>
      </c>
      <c r="BY4599">
        <v>16965</v>
      </c>
      <c r="CA4599" t="s">
        <v>144</v>
      </c>
      <c r="CC4599" t="s">
        <v>80</v>
      </c>
      <c r="CD4599">
        <v>7441</v>
      </c>
      <c r="CE4599" t="s">
        <v>145</v>
      </c>
      <c r="CF4599" s="3">
        <v>45869</v>
      </c>
      <c r="CI4599">
        <v>1</v>
      </c>
      <c r="CJ4599">
        <v>1</v>
      </c>
      <c r="CK4599">
        <v>21</v>
      </c>
      <c r="CL4599" t="s">
        <v>86</v>
      </c>
    </row>
    <row r="4600" spans="1:90" x14ac:dyDescent="0.3">
      <c r="A4600" t="s">
        <v>72</v>
      </c>
      <c r="B4600" t="s">
        <v>73</v>
      </c>
      <c r="C4600" t="s">
        <v>74</v>
      </c>
      <c r="E4600" t="str">
        <f>"080066871643"</f>
        <v>080066871643</v>
      </c>
      <c r="F4600" s="3">
        <v>45867</v>
      </c>
      <c r="G4600">
        <v>202604</v>
      </c>
      <c r="H4600" t="s">
        <v>75</v>
      </c>
      <c r="I4600" t="s">
        <v>76</v>
      </c>
      <c r="J4600" t="s">
        <v>77</v>
      </c>
      <c r="K4600" t="s">
        <v>78</v>
      </c>
      <c r="L4600" t="s">
        <v>122</v>
      </c>
      <c r="M4600" t="s">
        <v>123</v>
      </c>
      <c r="N4600" t="s">
        <v>267</v>
      </c>
      <c r="O4600" t="s">
        <v>82</v>
      </c>
      <c r="P4600" t="str">
        <f>"4170051856                    "</f>
        <v xml:space="preserve">4170051856                    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22.6</v>
      </c>
      <c r="AR4600">
        <v>0</v>
      </c>
      <c r="AS4600">
        <v>0</v>
      </c>
      <c r="AT4600">
        <v>0</v>
      </c>
      <c r="AU4600">
        <v>0</v>
      </c>
      <c r="AV4600">
        <v>0</v>
      </c>
      <c r="AW4600">
        <v>0</v>
      </c>
      <c r="AX4600">
        <v>0</v>
      </c>
      <c r="AY4600">
        <v>0</v>
      </c>
      <c r="AZ4600">
        <v>0</v>
      </c>
      <c r="BA4600">
        <v>0</v>
      </c>
      <c r="BB4600">
        <v>0</v>
      </c>
      <c r="BC4600">
        <v>0</v>
      </c>
      <c r="BD4600">
        <v>0</v>
      </c>
      <c r="BE4600">
        <v>0</v>
      </c>
      <c r="BF4600">
        <v>0</v>
      </c>
      <c r="BG4600">
        <v>0</v>
      </c>
      <c r="BH4600">
        <v>1</v>
      </c>
      <c r="BI4600">
        <v>1</v>
      </c>
      <c r="BJ4600">
        <v>0.2</v>
      </c>
      <c r="BK4600">
        <v>1</v>
      </c>
      <c r="BL4600">
        <v>71.2</v>
      </c>
      <c r="BM4600">
        <v>10.68</v>
      </c>
      <c r="BN4600">
        <v>81.88</v>
      </c>
      <c r="BO4600">
        <v>81.88</v>
      </c>
      <c r="BQ4600" t="s">
        <v>268</v>
      </c>
      <c r="BR4600" t="s">
        <v>84</v>
      </c>
      <c r="BS4600" s="3">
        <v>45868</v>
      </c>
      <c r="BT4600" s="4">
        <v>0.52500000000000002</v>
      </c>
      <c r="BU4600" t="s">
        <v>939</v>
      </c>
      <c r="BV4600" t="s">
        <v>98</v>
      </c>
      <c r="BY4600">
        <v>1200</v>
      </c>
      <c r="CA4600" t="s">
        <v>166</v>
      </c>
      <c r="CC4600" t="s">
        <v>123</v>
      </c>
      <c r="CD4600">
        <v>3610</v>
      </c>
      <c r="CE4600" t="s">
        <v>121</v>
      </c>
      <c r="CF4600" s="3">
        <v>45868</v>
      </c>
      <c r="CI4600">
        <v>1</v>
      </c>
      <c r="CJ4600">
        <v>1</v>
      </c>
      <c r="CK4600">
        <v>21</v>
      </c>
      <c r="CL4600" t="s">
        <v>86</v>
      </c>
    </row>
    <row r="4601" spans="1:90" x14ac:dyDescent="0.3">
      <c r="A4601" t="s">
        <v>72</v>
      </c>
      <c r="B4601" t="s">
        <v>73</v>
      </c>
      <c r="C4601" t="s">
        <v>74</v>
      </c>
      <c r="E4601" t="str">
        <f>"080066871724"</f>
        <v>080066871724</v>
      </c>
      <c r="F4601" s="3">
        <v>45867</v>
      </c>
      <c r="G4601">
        <v>202604</v>
      </c>
      <c r="H4601" t="s">
        <v>75</v>
      </c>
      <c r="I4601" t="s">
        <v>76</v>
      </c>
      <c r="J4601" t="s">
        <v>77</v>
      </c>
      <c r="K4601" t="s">
        <v>78</v>
      </c>
      <c r="L4601" t="s">
        <v>168</v>
      </c>
      <c r="M4601" t="s">
        <v>169</v>
      </c>
      <c r="N4601" t="s">
        <v>1111</v>
      </c>
      <c r="O4601" t="s">
        <v>82</v>
      </c>
      <c r="P4601" t="str">
        <f>"4170051846                    "</f>
        <v xml:space="preserve">4170051846                    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22.6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0</v>
      </c>
      <c r="BA4601">
        <v>0</v>
      </c>
      <c r="BB4601">
        <v>0</v>
      </c>
      <c r="BC4601">
        <v>0</v>
      </c>
      <c r="BD4601">
        <v>0</v>
      </c>
      <c r="BE4601">
        <v>0</v>
      </c>
      <c r="BF4601">
        <v>0</v>
      </c>
      <c r="BG4601">
        <v>0</v>
      </c>
      <c r="BH4601">
        <v>1</v>
      </c>
      <c r="BI4601">
        <v>1</v>
      </c>
      <c r="BJ4601">
        <v>0.2</v>
      </c>
      <c r="BK4601">
        <v>1</v>
      </c>
      <c r="BL4601">
        <v>71.2</v>
      </c>
      <c r="BM4601">
        <v>10.68</v>
      </c>
      <c r="BN4601">
        <v>81.88</v>
      </c>
      <c r="BO4601">
        <v>81.88</v>
      </c>
      <c r="BQ4601" t="s">
        <v>1112</v>
      </c>
      <c r="BR4601" t="s">
        <v>84</v>
      </c>
      <c r="BS4601" s="3">
        <v>45868</v>
      </c>
      <c r="BT4601" s="4">
        <v>0.3923611111111111</v>
      </c>
      <c r="BU4601" t="s">
        <v>3914</v>
      </c>
      <c r="BV4601" t="s">
        <v>98</v>
      </c>
      <c r="BY4601">
        <v>1200</v>
      </c>
      <c r="CA4601" t="s">
        <v>423</v>
      </c>
      <c r="CC4601" t="s">
        <v>169</v>
      </c>
      <c r="CD4601">
        <v>6001</v>
      </c>
      <c r="CE4601" t="s">
        <v>121</v>
      </c>
      <c r="CF4601" s="3">
        <v>45868</v>
      </c>
      <c r="CI4601">
        <v>1</v>
      </c>
      <c r="CJ4601">
        <v>1</v>
      </c>
      <c r="CK4601">
        <v>21</v>
      </c>
      <c r="CL4601" t="s">
        <v>86</v>
      </c>
    </row>
    <row r="4602" spans="1:90" x14ac:dyDescent="0.3">
      <c r="A4602" t="s">
        <v>72</v>
      </c>
      <c r="B4602" t="s">
        <v>73</v>
      </c>
      <c r="C4602" t="s">
        <v>74</v>
      </c>
      <c r="E4602" t="str">
        <f>"080066871726"</f>
        <v>080066871726</v>
      </c>
      <c r="F4602" s="3">
        <v>45867</v>
      </c>
      <c r="G4602">
        <v>202604</v>
      </c>
      <c r="H4602" t="s">
        <v>75</v>
      </c>
      <c r="I4602" t="s">
        <v>76</v>
      </c>
      <c r="J4602" t="s">
        <v>77</v>
      </c>
      <c r="K4602" t="s">
        <v>78</v>
      </c>
      <c r="L4602" t="s">
        <v>146</v>
      </c>
      <c r="M4602" t="s">
        <v>146</v>
      </c>
      <c r="N4602" t="s">
        <v>986</v>
      </c>
      <c r="O4602" t="s">
        <v>82</v>
      </c>
      <c r="P4602" t="str">
        <f>"4170051699                    "</f>
        <v xml:space="preserve">4170051699                    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83.33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0</v>
      </c>
      <c r="BB4602">
        <v>0</v>
      </c>
      <c r="BC4602">
        <v>0</v>
      </c>
      <c r="BD4602">
        <v>0</v>
      </c>
      <c r="BE4602">
        <v>0</v>
      </c>
      <c r="BF4602">
        <v>0</v>
      </c>
      <c r="BG4602">
        <v>0</v>
      </c>
      <c r="BH4602">
        <v>1</v>
      </c>
      <c r="BI4602">
        <v>4</v>
      </c>
      <c r="BJ4602">
        <v>3.4</v>
      </c>
      <c r="BK4602">
        <v>4</v>
      </c>
      <c r="BL4602">
        <v>262.52999999999997</v>
      </c>
      <c r="BM4602">
        <v>39.380000000000003</v>
      </c>
      <c r="BN4602">
        <v>301.91000000000003</v>
      </c>
      <c r="BO4602">
        <v>301.91000000000003</v>
      </c>
      <c r="BQ4602" t="s">
        <v>987</v>
      </c>
      <c r="BR4602" t="s">
        <v>84</v>
      </c>
      <c r="BS4602" s="3">
        <v>45868</v>
      </c>
      <c r="BT4602" s="4">
        <v>0.53611111111111109</v>
      </c>
      <c r="BU4602" t="s">
        <v>1115</v>
      </c>
      <c r="BV4602" t="s">
        <v>98</v>
      </c>
      <c r="BY4602">
        <v>16965</v>
      </c>
      <c r="CA4602" t="s">
        <v>150</v>
      </c>
      <c r="CC4602" t="s">
        <v>146</v>
      </c>
      <c r="CD4602">
        <v>7646</v>
      </c>
      <c r="CE4602" t="s">
        <v>145</v>
      </c>
      <c r="CF4602" s="3">
        <v>45869</v>
      </c>
      <c r="CI4602">
        <v>1</v>
      </c>
      <c r="CJ4602">
        <v>1</v>
      </c>
      <c r="CK4602">
        <v>23</v>
      </c>
      <c r="CL4602" t="s">
        <v>86</v>
      </c>
    </row>
    <row r="4603" spans="1:90" x14ac:dyDescent="0.3">
      <c r="A4603" t="s">
        <v>72</v>
      </c>
      <c r="B4603" t="s">
        <v>73</v>
      </c>
      <c r="C4603" t="s">
        <v>74</v>
      </c>
      <c r="E4603" t="str">
        <f>"080066871822"</f>
        <v>080066871822</v>
      </c>
      <c r="F4603" s="3">
        <v>45867</v>
      </c>
      <c r="G4603">
        <v>202604</v>
      </c>
      <c r="H4603" t="s">
        <v>75</v>
      </c>
      <c r="I4603" t="s">
        <v>76</v>
      </c>
      <c r="J4603" t="s">
        <v>77</v>
      </c>
      <c r="K4603" t="s">
        <v>78</v>
      </c>
      <c r="L4603" t="s">
        <v>75</v>
      </c>
      <c r="M4603" t="s">
        <v>76</v>
      </c>
      <c r="N4603" t="s">
        <v>118</v>
      </c>
      <c r="O4603" t="s">
        <v>82</v>
      </c>
      <c r="P4603" t="str">
        <f>"4170051868                    "</f>
        <v xml:space="preserve">4170051868                    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17.649999999999999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0</v>
      </c>
      <c r="BA4603">
        <v>0</v>
      </c>
      <c r="BB4603">
        <v>0</v>
      </c>
      <c r="BC4603">
        <v>0</v>
      </c>
      <c r="BD4603">
        <v>0</v>
      </c>
      <c r="BE4603">
        <v>0</v>
      </c>
      <c r="BF4603">
        <v>0</v>
      </c>
      <c r="BG4603">
        <v>0</v>
      </c>
      <c r="BH4603">
        <v>1</v>
      </c>
      <c r="BI4603">
        <v>1</v>
      </c>
      <c r="BJ4603">
        <v>0.2</v>
      </c>
      <c r="BK4603">
        <v>1</v>
      </c>
      <c r="BL4603">
        <v>55.61</v>
      </c>
      <c r="BM4603">
        <v>8.34</v>
      </c>
      <c r="BN4603">
        <v>63.95</v>
      </c>
      <c r="BO4603">
        <v>63.95</v>
      </c>
      <c r="BQ4603" t="s">
        <v>119</v>
      </c>
      <c r="BR4603" t="s">
        <v>84</v>
      </c>
      <c r="BS4603" s="3">
        <v>45868</v>
      </c>
      <c r="BT4603" s="4">
        <v>0.31111111111111112</v>
      </c>
      <c r="BU4603" t="s">
        <v>212</v>
      </c>
      <c r="BV4603" t="s">
        <v>98</v>
      </c>
      <c r="BY4603">
        <v>1200</v>
      </c>
      <c r="CA4603" t="s">
        <v>213</v>
      </c>
      <c r="CC4603" t="s">
        <v>76</v>
      </c>
      <c r="CD4603">
        <v>1600</v>
      </c>
      <c r="CE4603" t="s">
        <v>121</v>
      </c>
      <c r="CF4603" s="3">
        <v>45869</v>
      </c>
      <c r="CI4603">
        <v>1</v>
      </c>
      <c r="CJ4603">
        <v>1</v>
      </c>
      <c r="CK4603">
        <v>22</v>
      </c>
      <c r="CL4603" t="s">
        <v>86</v>
      </c>
    </row>
    <row r="4604" spans="1:90" x14ac:dyDescent="0.3">
      <c r="A4604" t="s">
        <v>72</v>
      </c>
      <c r="B4604" t="s">
        <v>73</v>
      </c>
      <c r="C4604" t="s">
        <v>74</v>
      </c>
      <c r="E4604" t="str">
        <f>"080066871872"</f>
        <v>080066871872</v>
      </c>
      <c r="F4604" s="3">
        <v>45867</v>
      </c>
      <c r="G4604">
        <v>202604</v>
      </c>
      <c r="H4604" t="s">
        <v>75</v>
      </c>
      <c r="I4604" t="s">
        <v>76</v>
      </c>
      <c r="J4604" t="s">
        <v>77</v>
      </c>
      <c r="K4604" t="s">
        <v>78</v>
      </c>
      <c r="L4604" t="s">
        <v>79</v>
      </c>
      <c r="M4604" t="s">
        <v>80</v>
      </c>
      <c r="N4604" t="s">
        <v>141</v>
      </c>
      <c r="O4604" t="s">
        <v>82</v>
      </c>
      <c r="P4604" t="str">
        <f>"4170051950                    "</f>
        <v xml:space="preserve">4170051950                    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22.6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</v>
      </c>
      <c r="AX4604">
        <v>0</v>
      </c>
      <c r="AY4604">
        <v>0</v>
      </c>
      <c r="AZ4604">
        <v>0</v>
      </c>
      <c r="BA4604">
        <v>0</v>
      </c>
      <c r="BB4604">
        <v>0</v>
      </c>
      <c r="BC4604">
        <v>0</v>
      </c>
      <c r="BD4604">
        <v>0</v>
      </c>
      <c r="BE4604">
        <v>0</v>
      </c>
      <c r="BF4604">
        <v>0</v>
      </c>
      <c r="BG4604">
        <v>0</v>
      </c>
      <c r="BH4604">
        <v>1</v>
      </c>
      <c r="BI4604">
        <v>2</v>
      </c>
      <c r="BJ4604">
        <v>0.9</v>
      </c>
      <c r="BK4604">
        <v>2</v>
      </c>
      <c r="BL4604">
        <v>71.2</v>
      </c>
      <c r="BM4604">
        <v>10.68</v>
      </c>
      <c r="BN4604">
        <v>81.88</v>
      </c>
      <c r="BO4604">
        <v>81.88</v>
      </c>
      <c r="BQ4604" t="s">
        <v>142</v>
      </c>
      <c r="BR4604" t="s">
        <v>84</v>
      </c>
      <c r="BS4604" s="3">
        <v>45868</v>
      </c>
      <c r="BT4604" s="4">
        <v>0.40763888888888888</v>
      </c>
      <c r="BU4604" t="s">
        <v>976</v>
      </c>
      <c r="BV4604" t="s">
        <v>98</v>
      </c>
      <c r="BY4604">
        <v>4275</v>
      </c>
      <c r="CA4604" t="s">
        <v>144</v>
      </c>
      <c r="CC4604" t="s">
        <v>80</v>
      </c>
      <c r="CD4604">
        <v>7441</v>
      </c>
      <c r="CE4604" t="s">
        <v>145</v>
      </c>
      <c r="CF4604" s="3">
        <v>45869</v>
      </c>
      <c r="CI4604">
        <v>1</v>
      </c>
      <c r="CJ4604">
        <v>1</v>
      </c>
      <c r="CK4604">
        <v>21</v>
      </c>
      <c r="CL4604" t="s">
        <v>86</v>
      </c>
    </row>
    <row r="4605" spans="1:90" x14ac:dyDescent="0.3">
      <c r="A4605" t="s">
        <v>72</v>
      </c>
      <c r="B4605" t="s">
        <v>73</v>
      </c>
      <c r="C4605" t="s">
        <v>74</v>
      </c>
      <c r="E4605" t="str">
        <f>"080066871932"</f>
        <v>080066871932</v>
      </c>
      <c r="F4605" s="3">
        <v>45867</v>
      </c>
      <c r="G4605">
        <v>202604</v>
      </c>
      <c r="H4605" t="s">
        <v>75</v>
      </c>
      <c r="I4605" t="s">
        <v>76</v>
      </c>
      <c r="J4605" t="s">
        <v>77</v>
      </c>
      <c r="K4605" t="s">
        <v>78</v>
      </c>
      <c r="L4605" t="s">
        <v>221</v>
      </c>
      <c r="M4605" t="s">
        <v>222</v>
      </c>
      <c r="N4605" t="s">
        <v>223</v>
      </c>
      <c r="O4605" t="s">
        <v>82</v>
      </c>
      <c r="P4605" t="str">
        <f>"4170051976                    "</f>
        <v xml:space="preserve">4170051976                    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43.78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0</v>
      </c>
      <c r="BB4605">
        <v>0</v>
      </c>
      <c r="BC4605">
        <v>0</v>
      </c>
      <c r="BD4605">
        <v>0</v>
      </c>
      <c r="BE4605">
        <v>0</v>
      </c>
      <c r="BF4605">
        <v>0</v>
      </c>
      <c r="BG4605">
        <v>0</v>
      </c>
      <c r="BH4605">
        <v>1</v>
      </c>
      <c r="BI4605">
        <v>1</v>
      </c>
      <c r="BJ4605">
        <v>0.2</v>
      </c>
      <c r="BK4605">
        <v>1</v>
      </c>
      <c r="BL4605">
        <v>137.94</v>
      </c>
      <c r="BM4605">
        <v>20.69</v>
      </c>
      <c r="BN4605">
        <v>158.63</v>
      </c>
      <c r="BO4605">
        <v>158.63</v>
      </c>
      <c r="BQ4605" t="s">
        <v>224</v>
      </c>
      <c r="BR4605" t="s">
        <v>84</v>
      </c>
      <c r="BS4605" s="3">
        <v>45868</v>
      </c>
      <c r="BT4605" s="4">
        <v>0.39583333333333331</v>
      </c>
      <c r="BU4605" t="s">
        <v>1707</v>
      </c>
      <c r="BV4605" t="s">
        <v>98</v>
      </c>
      <c r="BY4605">
        <v>1200</v>
      </c>
      <c r="CC4605" t="s">
        <v>222</v>
      </c>
      <c r="CD4605">
        <v>2740</v>
      </c>
      <c r="CE4605" t="s">
        <v>121</v>
      </c>
      <c r="CF4605" s="3">
        <v>45869</v>
      </c>
      <c r="CI4605">
        <v>1</v>
      </c>
      <c r="CJ4605">
        <v>1</v>
      </c>
      <c r="CK4605">
        <v>23</v>
      </c>
      <c r="CL4605" t="s">
        <v>86</v>
      </c>
    </row>
    <row r="4606" spans="1:90" x14ac:dyDescent="0.3">
      <c r="A4606" t="s">
        <v>72</v>
      </c>
      <c r="B4606" t="s">
        <v>73</v>
      </c>
      <c r="C4606" t="s">
        <v>74</v>
      </c>
      <c r="E4606" t="str">
        <f>"080066872054"</f>
        <v>080066872054</v>
      </c>
      <c r="F4606" s="3">
        <v>45867</v>
      </c>
      <c r="G4606">
        <v>202604</v>
      </c>
      <c r="H4606" t="s">
        <v>75</v>
      </c>
      <c r="I4606" t="s">
        <v>76</v>
      </c>
      <c r="J4606" t="s">
        <v>77</v>
      </c>
      <c r="K4606" t="s">
        <v>78</v>
      </c>
      <c r="L4606" t="s">
        <v>92</v>
      </c>
      <c r="M4606" t="s">
        <v>93</v>
      </c>
      <c r="N4606" t="s">
        <v>723</v>
      </c>
      <c r="O4606" t="s">
        <v>82</v>
      </c>
      <c r="P4606" t="str">
        <f>"4170051959                    "</f>
        <v xml:space="preserve">4170051959                    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50.82</v>
      </c>
      <c r="AR4606">
        <v>0</v>
      </c>
      <c r="AS4606">
        <v>0</v>
      </c>
      <c r="AT4606">
        <v>0</v>
      </c>
      <c r="AU4606">
        <v>0</v>
      </c>
      <c r="AV4606">
        <v>0</v>
      </c>
      <c r="AW4606">
        <v>0</v>
      </c>
      <c r="AX4606">
        <v>0</v>
      </c>
      <c r="AY4606">
        <v>0</v>
      </c>
      <c r="AZ4606">
        <v>0</v>
      </c>
      <c r="BA4606">
        <v>0</v>
      </c>
      <c r="BB4606">
        <v>0</v>
      </c>
      <c r="BC4606">
        <v>0</v>
      </c>
      <c r="BD4606">
        <v>0</v>
      </c>
      <c r="BE4606">
        <v>0</v>
      </c>
      <c r="BF4606">
        <v>0</v>
      </c>
      <c r="BG4606">
        <v>0</v>
      </c>
      <c r="BH4606">
        <v>1</v>
      </c>
      <c r="BI4606">
        <v>3</v>
      </c>
      <c r="BJ4606">
        <v>4.5</v>
      </c>
      <c r="BK4606">
        <v>4.5</v>
      </c>
      <c r="BL4606">
        <v>160.12</v>
      </c>
      <c r="BM4606">
        <v>24.02</v>
      </c>
      <c r="BN4606">
        <v>184.14</v>
      </c>
      <c r="BO4606">
        <v>184.14</v>
      </c>
      <c r="BQ4606" t="s">
        <v>724</v>
      </c>
      <c r="BR4606" t="s">
        <v>84</v>
      </c>
      <c r="BS4606" s="3">
        <v>45868</v>
      </c>
      <c r="BT4606" s="4">
        <v>0.65</v>
      </c>
      <c r="BU4606" t="s">
        <v>354</v>
      </c>
      <c r="BV4606" t="s">
        <v>86</v>
      </c>
      <c r="BY4606">
        <v>22620</v>
      </c>
      <c r="CA4606" t="s">
        <v>166</v>
      </c>
      <c r="CC4606" t="s">
        <v>93</v>
      </c>
      <c r="CD4606">
        <v>4000</v>
      </c>
      <c r="CE4606" t="s">
        <v>145</v>
      </c>
      <c r="CF4606" s="3">
        <v>45868</v>
      </c>
      <c r="CI4606">
        <v>1</v>
      </c>
      <c r="CJ4606">
        <v>1</v>
      </c>
      <c r="CK4606">
        <v>21</v>
      </c>
      <c r="CL4606" t="s">
        <v>86</v>
      </c>
    </row>
    <row r="4607" spans="1:90" x14ac:dyDescent="0.3">
      <c r="A4607" t="s">
        <v>72</v>
      </c>
      <c r="B4607" t="s">
        <v>73</v>
      </c>
      <c r="C4607" t="s">
        <v>74</v>
      </c>
      <c r="E4607" t="str">
        <f>"080066872124"</f>
        <v>080066872124</v>
      </c>
      <c r="F4607" s="3">
        <v>45867</v>
      </c>
      <c r="G4607">
        <v>202604</v>
      </c>
      <c r="H4607" t="s">
        <v>75</v>
      </c>
      <c r="I4607" t="s">
        <v>76</v>
      </c>
      <c r="J4607" t="s">
        <v>77</v>
      </c>
      <c r="K4607" t="s">
        <v>78</v>
      </c>
      <c r="L4607" t="s">
        <v>277</v>
      </c>
      <c r="M4607" t="s">
        <v>278</v>
      </c>
      <c r="N4607" t="s">
        <v>3842</v>
      </c>
      <c r="O4607" t="s">
        <v>82</v>
      </c>
      <c r="P4607" t="str">
        <f>"4170051785                    "</f>
        <v xml:space="preserve">4170051785                    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22.6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0</v>
      </c>
      <c r="BB4607">
        <v>0</v>
      </c>
      <c r="BC4607">
        <v>0</v>
      </c>
      <c r="BD4607">
        <v>0</v>
      </c>
      <c r="BE4607">
        <v>0</v>
      </c>
      <c r="BF4607">
        <v>0</v>
      </c>
      <c r="BG4607">
        <v>0</v>
      </c>
      <c r="BH4607">
        <v>1</v>
      </c>
      <c r="BI4607">
        <v>1</v>
      </c>
      <c r="BJ4607">
        <v>0.2</v>
      </c>
      <c r="BK4607">
        <v>1</v>
      </c>
      <c r="BL4607">
        <v>71.2</v>
      </c>
      <c r="BM4607">
        <v>10.68</v>
      </c>
      <c r="BN4607">
        <v>81.88</v>
      </c>
      <c r="BO4607">
        <v>81.88</v>
      </c>
      <c r="BQ4607" t="s">
        <v>3843</v>
      </c>
      <c r="BR4607" t="s">
        <v>84</v>
      </c>
      <c r="BS4607" s="3">
        <v>45868</v>
      </c>
      <c r="BT4607" s="4">
        <v>0.41805555555555557</v>
      </c>
      <c r="BU4607" t="s">
        <v>1124</v>
      </c>
      <c r="BV4607" t="s">
        <v>98</v>
      </c>
      <c r="BY4607">
        <v>1200</v>
      </c>
      <c r="CA4607" t="s">
        <v>282</v>
      </c>
      <c r="CC4607" t="s">
        <v>278</v>
      </c>
      <c r="CD4607">
        <v>6230</v>
      </c>
      <c r="CE4607" t="s">
        <v>121</v>
      </c>
      <c r="CF4607" s="3">
        <v>45868</v>
      </c>
      <c r="CI4607">
        <v>1</v>
      </c>
      <c r="CJ4607">
        <v>1</v>
      </c>
      <c r="CK4607">
        <v>21</v>
      </c>
      <c r="CL4607" t="s">
        <v>86</v>
      </c>
    </row>
    <row r="4608" spans="1:90" x14ac:dyDescent="0.3">
      <c r="A4608" t="s">
        <v>72</v>
      </c>
      <c r="B4608" t="s">
        <v>73</v>
      </c>
      <c r="C4608" t="s">
        <v>74</v>
      </c>
      <c r="E4608" t="str">
        <f>"080066872148"</f>
        <v>080066872148</v>
      </c>
      <c r="F4608" s="3">
        <v>45867</v>
      </c>
      <c r="G4608">
        <v>202604</v>
      </c>
      <c r="H4608" t="s">
        <v>75</v>
      </c>
      <c r="I4608" t="s">
        <v>76</v>
      </c>
      <c r="J4608" t="s">
        <v>77</v>
      </c>
      <c r="K4608" t="s">
        <v>78</v>
      </c>
      <c r="L4608" t="s">
        <v>503</v>
      </c>
      <c r="M4608" t="s">
        <v>504</v>
      </c>
      <c r="N4608" t="s">
        <v>505</v>
      </c>
      <c r="O4608" t="s">
        <v>82</v>
      </c>
      <c r="P4608" t="str">
        <f>"4170051838                    "</f>
        <v xml:space="preserve">4170051838                    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43.78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0</v>
      </c>
      <c r="AZ4608">
        <v>0</v>
      </c>
      <c r="BA4608">
        <v>0</v>
      </c>
      <c r="BB4608">
        <v>0</v>
      </c>
      <c r="BC4608">
        <v>0</v>
      </c>
      <c r="BD4608">
        <v>0</v>
      </c>
      <c r="BE4608">
        <v>0</v>
      </c>
      <c r="BF4608">
        <v>0</v>
      </c>
      <c r="BG4608">
        <v>0</v>
      </c>
      <c r="BH4608">
        <v>1</v>
      </c>
      <c r="BI4608">
        <v>2</v>
      </c>
      <c r="BJ4608">
        <v>1.7</v>
      </c>
      <c r="BK4608">
        <v>2</v>
      </c>
      <c r="BL4608">
        <v>137.94</v>
      </c>
      <c r="BM4608">
        <v>20.69</v>
      </c>
      <c r="BN4608">
        <v>158.63</v>
      </c>
      <c r="BO4608">
        <v>158.63</v>
      </c>
      <c r="BQ4608" t="s">
        <v>506</v>
      </c>
      <c r="BR4608" t="s">
        <v>84</v>
      </c>
      <c r="BS4608" s="3">
        <v>45868</v>
      </c>
      <c r="BT4608" s="4">
        <v>0.46944444444444444</v>
      </c>
      <c r="BU4608" t="s">
        <v>3757</v>
      </c>
      <c r="BV4608" t="s">
        <v>98</v>
      </c>
      <c r="BY4608">
        <v>8512</v>
      </c>
      <c r="CA4608" t="s">
        <v>508</v>
      </c>
      <c r="CC4608" t="s">
        <v>504</v>
      </c>
      <c r="CD4608">
        <v>7130</v>
      </c>
      <c r="CE4608" t="s">
        <v>145</v>
      </c>
      <c r="CF4608" s="3">
        <v>45869</v>
      </c>
      <c r="CI4608">
        <v>1</v>
      </c>
      <c r="CJ4608">
        <v>1</v>
      </c>
      <c r="CK4608">
        <v>23</v>
      </c>
      <c r="CL4608" t="s">
        <v>86</v>
      </c>
    </row>
    <row r="4609" spans="1:90" x14ac:dyDescent="0.3">
      <c r="A4609" t="s">
        <v>72</v>
      </c>
      <c r="B4609" t="s">
        <v>73</v>
      </c>
      <c r="C4609" t="s">
        <v>74</v>
      </c>
      <c r="E4609" t="str">
        <f>"080066872203"</f>
        <v>080066872203</v>
      </c>
      <c r="F4609" s="3">
        <v>45867</v>
      </c>
      <c r="G4609">
        <v>202604</v>
      </c>
      <c r="H4609" t="s">
        <v>75</v>
      </c>
      <c r="I4609" t="s">
        <v>76</v>
      </c>
      <c r="J4609" t="s">
        <v>77</v>
      </c>
      <c r="K4609" t="s">
        <v>78</v>
      </c>
      <c r="L4609" t="s">
        <v>277</v>
      </c>
      <c r="M4609" t="s">
        <v>278</v>
      </c>
      <c r="N4609" t="s">
        <v>3915</v>
      </c>
      <c r="O4609" t="s">
        <v>82</v>
      </c>
      <c r="P4609" t="str">
        <f>"4170051840                    "</f>
        <v xml:space="preserve">4170051840                    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22.6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0</v>
      </c>
      <c r="AZ4609">
        <v>0</v>
      </c>
      <c r="BA4609">
        <v>0</v>
      </c>
      <c r="BB4609">
        <v>0</v>
      </c>
      <c r="BC4609">
        <v>0</v>
      </c>
      <c r="BD4609">
        <v>0</v>
      </c>
      <c r="BE4609">
        <v>0</v>
      </c>
      <c r="BF4609">
        <v>0</v>
      </c>
      <c r="BG4609">
        <v>0</v>
      </c>
      <c r="BH4609">
        <v>1</v>
      </c>
      <c r="BI4609">
        <v>1</v>
      </c>
      <c r="BJ4609">
        <v>0.2</v>
      </c>
      <c r="BK4609">
        <v>1</v>
      </c>
      <c r="BL4609">
        <v>71.2</v>
      </c>
      <c r="BM4609">
        <v>10.68</v>
      </c>
      <c r="BN4609">
        <v>81.88</v>
      </c>
      <c r="BO4609">
        <v>81.88</v>
      </c>
      <c r="BQ4609" t="s">
        <v>3916</v>
      </c>
      <c r="BR4609" t="s">
        <v>84</v>
      </c>
      <c r="BS4609" s="3">
        <v>45868</v>
      </c>
      <c r="BT4609" s="4">
        <v>0.4513888888888889</v>
      </c>
      <c r="BU4609" t="s">
        <v>2119</v>
      </c>
      <c r="BV4609" t="s">
        <v>86</v>
      </c>
      <c r="BY4609">
        <v>1200</v>
      </c>
      <c r="CA4609" t="s">
        <v>282</v>
      </c>
      <c r="CC4609" t="s">
        <v>278</v>
      </c>
      <c r="CD4609">
        <v>6229</v>
      </c>
      <c r="CE4609" t="s">
        <v>121</v>
      </c>
      <c r="CF4609" s="3">
        <v>45868</v>
      </c>
      <c r="CI4609">
        <v>1</v>
      </c>
      <c r="CJ4609">
        <v>1</v>
      </c>
      <c r="CK4609">
        <v>21</v>
      </c>
      <c r="CL4609" t="s">
        <v>86</v>
      </c>
    </row>
    <row r="4610" spans="1:90" x14ac:dyDescent="0.3">
      <c r="A4610" t="s">
        <v>72</v>
      </c>
      <c r="B4610" t="s">
        <v>73</v>
      </c>
      <c r="C4610" t="s">
        <v>74</v>
      </c>
      <c r="E4610" t="str">
        <f>"080066872231"</f>
        <v>080066872231</v>
      </c>
      <c r="F4610" s="3">
        <v>45867</v>
      </c>
      <c r="G4610">
        <v>202604</v>
      </c>
      <c r="H4610" t="s">
        <v>75</v>
      </c>
      <c r="I4610" t="s">
        <v>76</v>
      </c>
      <c r="J4610" t="s">
        <v>77</v>
      </c>
      <c r="K4610" t="s">
        <v>78</v>
      </c>
      <c r="L4610" t="s">
        <v>135</v>
      </c>
      <c r="M4610" t="s">
        <v>136</v>
      </c>
      <c r="N4610" t="s">
        <v>1093</v>
      </c>
      <c r="O4610" t="s">
        <v>82</v>
      </c>
      <c r="P4610" t="str">
        <f>"4170051765                    "</f>
        <v xml:space="preserve">4170051765                    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169.37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  <c r="BA4610">
        <v>0</v>
      </c>
      <c r="BB4610">
        <v>0</v>
      </c>
      <c r="BC4610">
        <v>0</v>
      </c>
      <c r="BD4610">
        <v>0</v>
      </c>
      <c r="BE4610">
        <v>0</v>
      </c>
      <c r="BF4610">
        <v>0</v>
      </c>
      <c r="BG4610">
        <v>0</v>
      </c>
      <c r="BH4610">
        <v>1</v>
      </c>
      <c r="BI4610">
        <v>11</v>
      </c>
      <c r="BJ4610">
        <v>14.6</v>
      </c>
      <c r="BK4610">
        <v>15</v>
      </c>
      <c r="BL4610">
        <v>533.61</v>
      </c>
      <c r="BM4610">
        <v>80.040000000000006</v>
      </c>
      <c r="BN4610">
        <v>613.65</v>
      </c>
      <c r="BO4610">
        <v>613.65</v>
      </c>
      <c r="BQ4610" t="s">
        <v>1094</v>
      </c>
      <c r="BR4610" t="s">
        <v>84</v>
      </c>
      <c r="BS4610" s="3">
        <v>45868</v>
      </c>
      <c r="BT4610" s="4">
        <v>0.625</v>
      </c>
      <c r="BU4610" t="s">
        <v>3917</v>
      </c>
      <c r="BV4610" t="s">
        <v>86</v>
      </c>
      <c r="BY4610">
        <v>72800</v>
      </c>
      <c r="CC4610" t="s">
        <v>136</v>
      </c>
      <c r="CD4610">
        <v>3201</v>
      </c>
      <c r="CE4610" t="s">
        <v>91</v>
      </c>
      <c r="CF4610" s="3">
        <v>45868</v>
      </c>
      <c r="CI4610">
        <v>1</v>
      </c>
      <c r="CJ4610">
        <v>1</v>
      </c>
      <c r="CK4610">
        <v>21</v>
      </c>
      <c r="CL4610" t="s">
        <v>86</v>
      </c>
    </row>
    <row r="4611" spans="1:90" x14ac:dyDescent="0.3">
      <c r="A4611" t="s">
        <v>72</v>
      </c>
      <c r="B4611" t="s">
        <v>73</v>
      </c>
      <c r="C4611" t="s">
        <v>74</v>
      </c>
      <c r="E4611" t="str">
        <f>"080066872290"</f>
        <v>080066872290</v>
      </c>
      <c r="F4611" s="3">
        <v>45867</v>
      </c>
      <c r="G4611">
        <v>202604</v>
      </c>
      <c r="H4611" t="s">
        <v>75</v>
      </c>
      <c r="I4611" t="s">
        <v>76</v>
      </c>
      <c r="J4611" t="s">
        <v>77</v>
      </c>
      <c r="K4611" t="s">
        <v>78</v>
      </c>
      <c r="L4611" t="s">
        <v>92</v>
      </c>
      <c r="M4611" t="s">
        <v>93</v>
      </c>
      <c r="N4611" t="s">
        <v>334</v>
      </c>
      <c r="O4611" t="s">
        <v>82</v>
      </c>
      <c r="P4611" t="str">
        <f>"4170051786                    "</f>
        <v xml:space="preserve">4170051786                    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22.6</v>
      </c>
      <c r="AR4611">
        <v>0</v>
      </c>
      <c r="AS4611">
        <v>0</v>
      </c>
      <c r="AT4611">
        <v>0</v>
      </c>
      <c r="AU4611">
        <v>0</v>
      </c>
      <c r="AV4611">
        <v>0</v>
      </c>
      <c r="AW4611">
        <v>0</v>
      </c>
      <c r="AX4611">
        <v>0</v>
      </c>
      <c r="AY4611">
        <v>0</v>
      </c>
      <c r="AZ4611">
        <v>0</v>
      </c>
      <c r="BA4611">
        <v>0</v>
      </c>
      <c r="BB4611">
        <v>0</v>
      </c>
      <c r="BC4611">
        <v>0</v>
      </c>
      <c r="BD4611">
        <v>0</v>
      </c>
      <c r="BE4611">
        <v>0</v>
      </c>
      <c r="BF4611">
        <v>0</v>
      </c>
      <c r="BG4611">
        <v>0</v>
      </c>
      <c r="BH4611">
        <v>1</v>
      </c>
      <c r="BI4611">
        <v>1</v>
      </c>
      <c r="BJ4611">
        <v>0.2</v>
      </c>
      <c r="BK4611">
        <v>1</v>
      </c>
      <c r="BL4611">
        <v>71.2</v>
      </c>
      <c r="BM4611">
        <v>10.68</v>
      </c>
      <c r="BN4611">
        <v>81.88</v>
      </c>
      <c r="BO4611">
        <v>81.88</v>
      </c>
      <c r="BQ4611" t="s">
        <v>335</v>
      </c>
      <c r="BR4611" t="s">
        <v>84</v>
      </c>
      <c r="BS4611" s="3">
        <v>45868</v>
      </c>
      <c r="BT4611" s="4">
        <v>0.3888888888888889</v>
      </c>
      <c r="BU4611" t="s">
        <v>3918</v>
      </c>
      <c r="BV4611" t="s">
        <v>98</v>
      </c>
      <c r="BY4611">
        <v>1200</v>
      </c>
      <c r="CA4611" t="s">
        <v>3829</v>
      </c>
      <c r="CC4611" t="s">
        <v>93</v>
      </c>
      <c r="CD4611">
        <v>4052</v>
      </c>
      <c r="CE4611" t="s">
        <v>121</v>
      </c>
      <c r="CF4611" s="3">
        <v>45869</v>
      </c>
      <c r="CI4611">
        <v>1</v>
      </c>
      <c r="CJ4611">
        <v>1</v>
      </c>
      <c r="CK4611">
        <v>21</v>
      </c>
      <c r="CL4611" t="s">
        <v>86</v>
      </c>
    </row>
    <row r="4612" spans="1:90" x14ac:dyDescent="0.3">
      <c r="A4612" t="s">
        <v>72</v>
      </c>
      <c r="B4612" t="s">
        <v>73</v>
      </c>
      <c r="C4612" t="s">
        <v>74</v>
      </c>
      <c r="E4612" t="str">
        <f>"080066872327"</f>
        <v>080066872327</v>
      </c>
      <c r="F4612" s="3">
        <v>45867</v>
      </c>
      <c r="G4612">
        <v>202604</v>
      </c>
      <c r="H4612" t="s">
        <v>75</v>
      </c>
      <c r="I4612" t="s">
        <v>76</v>
      </c>
      <c r="J4612" t="s">
        <v>77</v>
      </c>
      <c r="K4612" t="s">
        <v>78</v>
      </c>
      <c r="L4612" t="s">
        <v>240</v>
      </c>
      <c r="M4612" t="s">
        <v>241</v>
      </c>
      <c r="N4612" t="s">
        <v>457</v>
      </c>
      <c r="O4612" t="s">
        <v>95</v>
      </c>
      <c r="P4612" t="str">
        <f>"4170051946                    "</f>
        <v xml:space="preserve">4170051946                    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50.48</v>
      </c>
      <c r="AR4612">
        <v>0</v>
      </c>
      <c r="AS4612">
        <v>0</v>
      </c>
      <c r="AT4612">
        <v>0</v>
      </c>
      <c r="AU4612">
        <v>0</v>
      </c>
      <c r="AV4612">
        <v>0</v>
      </c>
      <c r="AW4612">
        <v>16.739999999999998</v>
      </c>
      <c r="AX4612">
        <v>0</v>
      </c>
      <c r="AY4612">
        <v>0</v>
      </c>
      <c r="AZ4612">
        <v>0</v>
      </c>
      <c r="BA4612">
        <v>0</v>
      </c>
      <c r="BB4612">
        <v>0</v>
      </c>
      <c r="BC4612">
        <v>0</v>
      </c>
      <c r="BD4612">
        <v>0</v>
      </c>
      <c r="BE4612">
        <v>0</v>
      </c>
      <c r="BF4612">
        <v>0</v>
      </c>
      <c r="BG4612">
        <v>0</v>
      </c>
      <c r="BH4612">
        <v>1</v>
      </c>
      <c r="BI4612">
        <v>11</v>
      </c>
      <c r="BJ4612">
        <v>31.5</v>
      </c>
      <c r="BK4612">
        <v>32</v>
      </c>
      <c r="BL4612">
        <v>181.65</v>
      </c>
      <c r="BM4612">
        <v>27.25</v>
      </c>
      <c r="BN4612">
        <v>208.9</v>
      </c>
      <c r="BO4612">
        <v>208.9</v>
      </c>
      <c r="BQ4612" t="s">
        <v>458</v>
      </c>
      <c r="BR4612" t="s">
        <v>84</v>
      </c>
      <c r="BS4612" s="3">
        <v>45868</v>
      </c>
      <c r="BT4612" s="4">
        <v>0.41041666666666665</v>
      </c>
      <c r="BU4612" t="s">
        <v>3826</v>
      </c>
      <c r="BV4612" t="s">
        <v>98</v>
      </c>
      <c r="BY4612">
        <v>157320</v>
      </c>
      <c r="BZ4612" t="s">
        <v>30</v>
      </c>
      <c r="CA4612" t="s">
        <v>461</v>
      </c>
      <c r="CC4612" t="s">
        <v>241</v>
      </c>
      <c r="CD4612">
        <v>2188</v>
      </c>
      <c r="CE4612" t="s">
        <v>145</v>
      </c>
      <c r="CF4612" s="3">
        <v>45868</v>
      </c>
      <c r="CI4612">
        <v>1</v>
      </c>
      <c r="CJ4612">
        <v>1</v>
      </c>
      <c r="CK4612">
        <v>42</v>
      </c>
      <c r="CL4612" t="s">
        <v>86</v>
      </c>
    </row>
    <row r="4613" spans="1:90" x14ac:dyDescent="0.3">
      <c r="A4613" t="s">
        <v>72</v>
      </c>
      <c r="B4613" t="s">
        <v>73</v>
      </c>
      <c r="C4613" t="s">
        <v>74</v>
      </c>
      <c r="E4613" t="str">
        <f>"080066872345"</f>
        <v>080066872345</v>
      </c>
      <c r="F4613" s="3">
        <v>45867</v>
      </c>
      <c r="G4613">
        <v>202604</v>
      </c>
      <c r="H4613" t="s">
        <v>75</v>
      </c>
      <c r="I4613" t="s">
        <v>76</v>
      </c>
      <c r="J4613" t="s">
        <v>77</v>
      </c>
      <c r="K4613" t="s">
        <v>78</v>
      </c>
      <c r="L4613" t="s">
        <v>704</v>
      </c>
      <c r="M4613" t="s">
        <v>705</v>
      </c>
      <c r="N4613" t="s">
        <v>829</v>
      </c>
      <c r="O4613" t="s">
        <v>82</v>
      </c>
      <c r="P4613" t="str">
        <f>"4170051981                    "</f>
        <v xml:space="preserve">4170051981                    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43.78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  <c r="BE4613">
        <v>0</v>
      </c>
      <c r="BF4613">
        <v>0</v>
      </c>
      <c r="BG4613">
        <v>0</v>
      </c>
      <c r="BH4613">
        <v>1</v>
      </c>
      <c r="BI4613">
        <v>1</v>
      </c>
      <c r="BJ4613">
        <v>0.2</v>
      </c>
      <c r="BK4613">
        <v>1</v>
      </c>
      <c r="BL4613">
        <v>137.94</v>
      </c>
      <c r="BM4613">
        <v>20.69</v>
      </c>
      <c r="BN4613">
        <v>158.63</v>
      </c>
      <c r="BO4613">
        <v>158.63</v>
      </c>
      <c r="BQ4613" t="s">
        <v>830</v>
      </c>
      <c r="BR4613" t="s">
        <v>84</v>
      </c>
      <c r="BS4613" t="s">
        <v>587</v>
      </c>
      <c r="BW4613" t="s">
        <v>1120</v>
      </c>
      <c r="BX4613" t="s">
        <v>1420</v>
      </c>
      <c r="BY4613">
        <v>1200</v>
      </c>
      <c r="CC4613" t="s">
        <v>705</v>
      </c>
      <c r="CD4613">
        <v>6850</v>
      </c>
      <c r="CE4613" t="s">
        <v>121</v>
      </c>
      <c r="CI4613">
        <v>2</v>
      </c>
      <c r="CJ4613" t="s">
        <v>587</v>
      </c>
      <c r="CK4613">
        <v>23</v>
      </c>
      <c r="CL4613" t="s">
        <v>86</v>
      </c>
    </row>
    <row r="4614" spans="1:90" x14ac:dyDescent="0.3">
      <c r="A4614" t="s">
        <v>72</v>
      </c>
      <c r="B4614" t="s">
        <v>73</v>
      </c>
      <c r="C4614" t="s">
        <v>74</v>
      </c>
      <c r="E4614" t="str">
        <f>"080066872414"</f>
        <v>080066872414</v>
      </c>
      <c r="F4614" s="3">
        <v>45867</v>
      </c>
      <c r="G4614">
        <v>202604</v>
      </c>
      <c r="H4614" t="s">
        <v>75</v>
      </c>
      <c r="I4614" t="s">
        <v>76</v>
      </c>
      <c r="J4614" t="s">
        <v>77</v>
      </c>
      <c r="K4614" t="s">
        <v>78</v>
      </c>
      <c r="L4614" t="s">
        <v>122</v>
      </c>
      <c r="M4614" t="s">
        <v>123</v>
      </c>
      <c r="N4614" t="s">
        <v>267</v>
      </c>
      <c r="O4614" t="s">
        <v>82</v>
      </c>
      <c r="P4614" t="str">
        <f>"4170051789                    "</f>
        <v xml:space="preserve">4170051789                    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22.6</v>
      </c>
      <c r="AR4614">
        <v>0</v>
      </c>
      <c r="AS4614">
        <v>0</v>
      </c>
      <c r="AT4614">
        <v>0</v>
      </c>
      <c r="AU4614">
        <v>0</v>
      </c>
      <c r="AV4614">
        <v>0</v>
      </c>
      <c r="AW4614">
        <v>0</v>
      </c>
      <c r="AX4614">
        <v>0</v>
      </c>
      <c r="AY4614">
        <v>0</v>
      </c>
      <c r="AZ4614">
        <v>0</v>
      </c>
      <c r="BA4614">
        <v>0</v>
      </c>
      <c r="BB4614">
        <v>0</v>
      </c>
      <c r="BC4614">
        <v>0</v>
      </c>
      <c r="BD4614">
        <v>0</v>
      </c>
      <c r="BE4614">
        <v>0</v>
      </c>
      <c r="BF4614">
        <v>0</v>
      </c>
      <c r="BG4614">
        <v>0</v>
      </c>
      <c r="BH4614">
        <v>1</v>
      </c>
      <c r="BI4614">
        <v>1</v>
      </c>
      <c r="BJ4614">
        <v>0.2</v>
      </c>
      <c r="BK4614">
        <v>1</v>
      </c>
      <c r="BL4614">
        <v>71.2</v>
      </c>
      <c r="BM4614">
        <v>10.68</v>
      </c>
      <c r="BN4614">
        <v>81.88</v>
      </c>
      <c r="BO4614">
        <v>81.88</v>
      </c>
      <c r="BQ4614" t="s">
        <v>268</v>
      </c>
      <c r="BR4614" t="s">
        <v>84</v>
      </c>
      <c r="BS4614" s="3">
        <v>45868</v>
      </c>
      <c r="BT4614" s="4">
        <v>0.52500000000000002</v>
      </c>
      <c r="BU4614" t="s">
        <v>939</v>
      </c>
      <c r="BV4614" t="s">
        <v>98</v>
      </c>
      <c r="BY4614">
        <v>1200</v>
      </c>
      <c r="CA4614" t="s">
        <v>166</v>
      </c>
      <c r="CC4614" t="s">
        <v>123</v>
      </c>
      <c r="CD4614">
        <v>3610</v>
      </c>
      <c r="CE4614" t="s">
        <v>121</v>
      </c>
      <c r="CF4614" s="3">
        <v>45868</v>
      </c>
      <c r="CI4614">
        <v>1</v>
      </c>
      <c r="CJ4614">
        <v>1</v>
      </c>
      <c r="CK4614">
        <v>21</v>
      </c>
      <c r="CL4614" t="s">
        <v>86</v>
      </c>
    </row>
    <row r="4615" spans="1:90" x14ac:dyDescent="0.3">
      <c r="A4615" t="s">
        <v>72</v>
      </c>
      <c r="B4615" t="s">
        <v>73</v>
      </c>
      <c r="C4615" t="s">
        <v>74</v>
      </c>
      <c r="E4615" t="str">
        <f>"080066872416"</f>
        <v>080066872416</v>
      </c>
      <c r="F4615" s="3">
        <v>45867</v>
      </c>
      <c r="G4615">
        <v>202604</v>
      </c>
      <c r="H4615" t="s">
        <v>75</v>
      </c>
      <c r="I4615" t="s">
        <v>76</v>
      </c>
      <c r="J4615" t="s">
        <v>77</v>
      </c>
      <c r="K4615" t="s">
        <v>78</v>
      </c>
      <c r="L4615" t="s">
        <v>295</v>
      </c>
      <c r="M4615" t="s">
        <v>296</v>
      </c>
      <c r="N4615" t="s">
        <v>1090</v>
      </c>
      <c r="O4615" t="s">
        <v>82</v>
      </c>
      <c r="P4615" t="str">
        <f>"4170051920                    "</f>
        <v xml:space="preserve">4170051920                    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17.649999999999999</v>
      </c>
      <c r="AR4615">
        <v>0</v>
      </c>
      <c r="AS4615">
        <v>0</v>
      </c>
      <c r="AT4615">
        <v>0</v>
      </c>
      <c r="AU4615">
        <v>0</v>
      </c>
      <c r="AV4615">
        <v>0</v>
      </c>
      <c r="AW4615">
        <v>0</v>
      </c>
      <c r="AX4615">
        <v>0</v>
      </c>
      <c r="AY4615">
        <v>0</v>
      </c>
      <c r="AZ4615">
        <v>0</v>
      </c>
      <c r="BA4615">
        <v>0</v>
      </c>
      <c r="BB4615">
        <v>0</v>
      </c>
      <c r="BC4615">
        <v>0</v>
      </c>
      <c r="BD4615">
        <v>0</v>
      </c>
      <c r="BE4615">
        <v>0</v>
      </c>
      <c r="BF4615">
        <v>0</v>
      </c>
      <c r="BG4615">
        <v>0</v>
      </c>
      <c r="BH4615">
        <v>1</v>
      </c>
      <c r="BI4615">
        <v>1</v>
      </c>
      <c r="BJ4615">
        <v>0.2</v>
      </c>
      <c r="BK4615">
        <v>1</v>
      </c>
      <c r="BL4615">
        <v>55.61</v>
      </c>
      <c r="BM4615">
        <v>8.34</v>
      </c>
      <c r="BN4615">
        <v>63.95</v>
      </c>
      <c r="BO4615">
        <v>63.95</v>
      </c>
      <c r="BQ4615" t="s">
        <v>1091</v>
      </c>
      <c r="BR4615" t="s">
        <v>84</v>
      </c>
      <c r="BS4615" s="3">
        <v>45868</v>
      </c>
      <c r="BT4615" s="4">
        <v>0.41249999999999998</v>
      </c>
      <c r="BU4615" t="s">
        <v>3025</v>
      </c>
      <c r="BV4615" t="s">
        <v>98</v>
      </c>
      <c r="BY4615">
        <v>1200</v>
      </c>
      <c r="CA4615" t="s">
        <v>2782</v>
      </c>
      <c r="CC4615" t="s">
        <v>296</v>
      </c>
      <c r="CD4615">
        <v>1459</v>
      </c>
      <c r="CE4615" t="s">
        <v>121</v>
      </c>
      <c r="CF4615" s="3">
        <v>45869</v>
      </c>
      <c r="CI4615">
        <v>1</v>
      </c>
      <c r="CJ4615">
        <v>1</v>
      </c>
      <c r="CK4615">
        <v>22</v>
      </c>
      <c r="CL4615" t="s">
        <v>86</v>
      </c>
    </row>
    <row r="4616" spans="1:90" x14ac:dyDescent="0.3">
      <c r="A4616" t="s">
        <v>72</v>
      </c>
      <c r="B4616" t="s">
        <v>73</v>
      </c>
      <c r="C4616" t="s">
        <v>74</v>
      </c>
      <c r="E4616" t="str">
        <f>"080066872450"</f>
        <v>080066872450</v>
      </c>
      <c r="F4616" s="3">
        <v>45867</v>
      </c>
      <c r="G4616">
        <v>202604</v>
      </c>
      <c r="H4616" t="s">
        <v>75</v>
      </c>
      <c r="I4616" t="s">
        <v>76</v>
      </c>
      <c r="J4616" t="s">
        <v>77</v>
      </c>
      <c r="K4616" t="s">
        <v>78</v>
      </c>
      <c r="L4616" t="s">
        <v>135</v>
      </c>
      <c r="M4616" t="s">
        <v>136</v>
      </c>
      <c r="N4616" t="s">
        <v>416</v>
      </c>
      <c r="O4616" t="s">
        <v>82</v>
      </c>
      <c r="P4616" t="str">
        <f>"4170051848                    "</f>
        <v xml:space="preserve">4170051848                    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22.6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AZ4616">
        <v>0</v>
      </c>
      <c r="BA4616">
        <v>0</v>
      </c>
      <c r="BB4616">
        <v>0</v>
      </c>
      <c r="BC4616">
        <v>0</v>
      </c>
      <c r="BD4616">
        <v>0</v>
      </c>
      <c r="BE4616">
        <v>0</v>
      </c>
      <c r="BF4616">
        <v>0</v>
      </c>
      <c r="BG4616">
        <v>0</v>
      </c>
      <c r="BH4616">
        <v>1</v>
      </c>
      <c r="BI4616">
        <v>1</v>
      </c>
      <c r="BJ4616">
        <v>0.2</v>
      </c>
      <c r="BK4616">
        <v>1</v>
      </c>
      <c r="BL4616">
        <v>71.2</v>
      </c>
      <c r="BM4616">
        <v>10.68</v>
      </c>
      <c r="BN4616">
        <v>81.88</v>
      </c>
      <c r="BO4616">
        <v>81.88</v>
      </c>
      <c r="BQ4616" t="s">
        <v>417</v>
      </c>
      <c r="BR4616" t="s">
        <v>84</v>
      </c>
      <c r="BS4616" s="3">
        <v>45868</v>
      </c>
      <c r="BT4616" s="4">
        <v>0.625</v>
      </c>
      <c r="BU4616" t="s">
        <v>1741</v>
      </c>
      <c r="BV4616" t="s">
        <v>86</v>
      </c>
      <c r="BY4616">
        <v>1200</v>
      </c>
      <c r="CC4616" t="s">
        <v>136</v>
      </c>
      <c r="CD4616">
        <v>3201</v>
      </c>
      <c r="CE4616" t="s">
        <v>121</v>
      </c>
      <c r="CF4616" s="3">
        <v>45869</v>
      </c>
      <c r="CI4616">
        <v>1</v>
      </c>
      <c r="CJ4616">
        <v>1</v>
      </c>
      <c r="CK4616">
        <v>21</v>
      </c>
      <c r="CL4616" t="s">
        <v>86</v>
      </c>
    </row>
    <row r="4617" spans="1:90" x14ac:dyDescent="0.3">
      <c r="A4617" t="s">
        <v>72</v>
      </c>
      <c r="B4617" t="s">
        <v>73</v>
      </c>
      <c r="C4617" t="s">
        <v>74</v>
      </c>
      <c r="E4617" t="str">
        <f>"080066872457"</f>
        <v>080066872457</v>
      </c>
      <c r="F4617" s="3">
        <v>45867</v>
      </c>
      <c r="G4617">
        <v>202604</v>
      </c>
      <c r="H4617" t="s">
        <v>75</v>
      </c>
      <c r="I4617" t="s">
        <v>76</v>
      </c>
      <c r="J4617" t="s">
        <v>77</v>
      </c>
      <c r="K4617" t="s">
        <v>78</v>
      </c>
      <c r="L4617" t="s">
        <v>168</v>
      </c>
      <c r="M4617" t="s">
        <v>169</v>
      </c>
      <c r="N4617" t="s">
        <v>202</v>
      </c>
      <c r="O4617" t="s">
        <v>82</v>
      </c>
      <c r="P4617" t="str">
        <f>"4170051809                    "</f>
        <v xml:space="preserve">4170051809                    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22.6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AZ4617">
        <v>0</v>
      </c>
      <c r="BA4617">
        <v>0</v>
      </c>
      <c r="BB4617">
        <v>0</v>
      </c>
      <c r="BC4617">
        <v>0</v>
      </c>
      <c r="BD4617">
        <v>0</v>
      </c>
      <c r="BE4617">
        <v>0</v>
      </c>
      <c r="BF4617">
        <v>0</v>
      </c>
      <c r="BG4617">
        <v>0</v>
      </c>
      <c r="BH4617">
        <v>1</v>
      </c>
      <c r="BI4617">
        <v>1</v>
      </c>
      <c r="BJ4617">
        <v>0.2</v>
      </c>
      <c r="BK4617">
        <v>1</v>
      </c>
      <c r="BL4617">
        <v>71.2</v>
      </c>
      <c r="BM4617">
        <v>10.68</v>
      </c>
      <c r="BN4617">
        <v>81.88</v>
      </c>
      <c r="BO4617">
        <v>81.88</v>
      </c>
      <c r="BQ4617" t="s">
        <v>203</v>
      </c>
      <c r="BR4617" t="s">
        <v>84</v>
      </c>
      <c r="BS4617" s="3">
        <v>45868</v>
      </c>
      <c r="BT4617" s="4">
        <v>0.42152777777777778</v>
      </c>
      <c r="BU4617" t="s">
        <v>3849</v>
      </c>
      <c r="BV4617" t="s">
        <v>98</v>
      </c>
      <c r="BY4617">
        <v>1200</v>
      </c>
      <c r="CA4617" t="s">
        <v>3850</v>
      </c>
      <c r="CC4617" t="s">
        <v>169</v>
      </c>
      <c r="CD4617">
        <v>6001</v>
      </c>
      <c r="CE4617" t="s">
        <v>121</v>
      </c>
      <c r="CF4617" s="3">
        <v>45868</v>
      </c>
      <c r="CI4617">
        <v>1</v>
      </c>
      <c r="CJ4617">
        <v>1</v>
      </c>
      <c r="CK4617">
        <v>21</v>
      </c>
      <c r="CL4617" t="s">
        <v>86</v>
      </c>
    </row>
    <row r="4618" spans="1:90" x14ac:dyDescent="0.3">
      <c r="A4618" t="s">
        <v>72</v>
      </c>
      <c r="B4618" t="s">
        <v>73</v>
      </c>
      <c r="C4618" t="s">
        <v>74</v>
      </c>
      <c r="E4618" t="str">
        <f>"080066872499"</f>
        <v>080066872499</v>
      </c>
      <c r="F4618" s="3">
        <v>45867</v>
      </c>
      <c r="G4618">
        <v>202604</v>
      </c>
      <c r="H4618" t="s">
        <v>75</v>
      </c>
      <c r="I4618" t="s">
        <v>76</v>
      </c>
      <c r="J4618" t="s">
        <v>77</v>
      </c>
      <c r="K4618" t="s">
        <v>78</v>
      </c>
      <c r="L4618" t="s">
        <v>79</v>
      </c>
      <c r="M4618" t="s">
        <v>80</v>
      </c>
      <c r="N4618" t="s">
        <v>931</v>
      </c>
      <c r="O4618" t="s">
        <v>82</v>
      </c>
      <c r="P4618" t="str">
        <f>"4170051872                    "</f>
        <v xml:space="preserve">4170051872                    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22.6</v>
      </c>
      <c r="AR4618">
        <v>0</v>
      </c>
      <c r="AS4618">
        <v>0</v>
      </c>
      <c r="AT4618">
        <v>0</v>
      </c>
      <c r="AU4618">
        <v>0</v>
      </c>
      <c r="AV4618">
        <v>0</v>
      </c>
      <c r="AW4618">
        <v>0</v>
      </c>
      <c r="AX4618">
        <v>0</v>
      </c>
      <c r="AY4618">
        <v>0</v>
      </c>
      <c r="AZ4618">
        <v>0</v>
      </c>
      <c r="BA4618">
        <v>0</v>
      </c>
      <c r="BB4618">
        <v>0</v>
      </c>
      <c r="BC4618">
        <v>0</v>
      </c>
      <c r="BD4618">
        <v>0</v>
      </c>
      <c r="BE4618">
        <v>0</v>
      </c>
      <c r="BF4618">
        <v>0</v>
      </c>
      <c r="BG4618">
        <v>0</v>
      </c>
      <c r="BH4618">
        <v>1</v>
      </c>
      <c r="BI4618">
        <v>1</v>
      </c>
      <c r="BJ4618">
        <v>0.2</v>
      </c>
      <c r="BK4618">
        <v>1</v>
      </c>
      <c r="BL4618">
        <v>71.2</v>
      </c>
      <c r="BM4618">
        <v>10.68</v>
      </c>
      <c r="BN4618">
        <v>81.88</v>
      </c>
      <c r="BO4618">
        <v>81.88</v>
      </c>
      <c r="BQ4618" t="s">
        <v>932</v>
      </c>
      <c r="BR4618" t="s">
        <v>84</v>
      </c>
      <c r="BS4618" s="3">
        <v>45868</v>
      </c>
      <c r="BT4618" s="4">
        <v>0.41944444444444445</v>
      </c>
      <c r="BU4618" t="s">
        <v>933</v>
      </c>
      <c r="BV4618" t="s">
        <v>98</v>
      </c>
      <c r="BY4618">
        <v>1200</v>
      </c>
      <c r="CA4618" t="s">
        <v>934</v>
      </c>
      <c r="CC4618" t="s">
        <v>80</v>
      </c>
      <c r="CD4618">
        <v>7535</v>
      </c>
      <c r="CE4618" t="s">
        <v>121</v>
      </c>
      <c r="CF4618" s="3">
        <v>45869</v>
      </c>
      <c r="CI4618">
        <v>1</v>
      </c>
      <c r="CJ4618">
        <v>1</v>
      </c>
      <c r="CK4618">
        <v>21</v>
      </c>
      <c r="CL4618" t="s">
        <v>86</v>
      </c>
    </row>
    <row r="4619" spans="1:90" x14ac:dyDescent="0.3">
      <c r="A4619" t="s">
        <v>72</v>
      </c>
      <c r="B4619" t="s">
        <v>73</v>
      </c>
      <c r="C4619" t="s">
        <v>74</v>
      </c>
      <c r="E4619" t="str">
        <f>"080066872503"</f>
        <v>080066872503</v>
      </c>
      <c r="F4619" s="3">
        <v>45867</v>
      </c>
      <c r="G4619">
        <v>202604</v>
      </c>
      <c r="H4619" t="s">
        <v>75</v>
      </c>
      <c r="I4619" t="s">
        <v>76</v>
      </c>
      <c r="J4619" t="s">
        <v>77</v>
      </c>
      <c r="K4619" t="s">
        <v>78</v>
      </c>
      <c r="L4619" t="s">
        <v>240</v>
      </c>
      <c r="M4619" t="s">
        <v>241</v>
      </c>
      <c r="N4619" t="s">
        <v>1341</v>
      </c>
      <c r="O4619" t="s">
        <v>82</v>
      </c>
      <c r="P4619" t="str">
        <f>"4170051937                    "</f>
        <v xml:space="preserve">4170051937                    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17.649999999999999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AZ4619">
        <v>0</v>
      </c>
      <c r="BA4619">
        <v>0</v>
      </c>
      <c r="BB4619">
        <v>0</v>
      </c>
      <c r="BC4619">
        <v>0</v>
      </c>
      <c r="BD4619">
        <v>0</v>
      </c>
      <c r="BE4619">
        <v>0</v>
      </c>
      <c r="BF4619">
        <v>0</v>
      </c>
      <c r="BG4619">
        <v>0</v>
      </c>
      <c r="BH4619">
        <v>1</v>
      </c>
      <c r="BI4619">
        <v>2</v>
      </c>
      <c r="BJ4619">
        <v>1.1000000000000001</v>
      </c>
      <c r="BK4619">
        <v>2</v>
      </c>
      <c r="BL4619">
        <v>55.61</v>
      </c>
      <c r="BM4619">
        <v>8.34</v>
      </c>
      <c r="BN4619">
        <v>63.95</v>
      </c>
      <c r="BO4619">
        <v>63.95</v>
      </c>
      <c r="BQ4619" t="s">
        <v>1342</v>
      </c>
      <c r="BR4619" t="s">
        <v>84</v>
      </c>
      <c r="BS4619" s="3">
        <v>45868</v>
      </c>
      <c r="BT4619" s="4">
        <v>0.40972222222222221</v>
      </c>
      <c r="BU4619" t="s">
        <v>3919</v>
      </c>
      <c r="BV4619" t="s">
        <v>98</v>
      </c>
      <c r="BY4619">
        <v>5320</v>
      </c>
      <c r="CA4619" t="s">
        <v>1344</v>
      </c>
      <c r="CC4619" t="s">
        <v>241</v>
      </c>
      <c r="CD4619">
        <v>2169</v>
      </c>
      <c r="CE4619" t="s">
        <v>145</v>
      </c>
      <c r="CF4619" s="3">
        <v>45868</v>
      </c>
      <c r="CI4619">
        <v>1</v>
      </c>
      <c r="CJ4619">
        <v>1</v>
      </c>
      <c r="CK4619">
        <v>22</v>
      </c>
      <c r="CL4619" t="s">
        <v>86</v>
      </c>
    </row>
    <row r="4620" spans="1:90" x14ac:dyDescent="0.3">
      <c r="A4620" t="s">
        <v>72</v>
      </c>
      <c r="B4620" t="s">
        <v>73</v>
      </c>
      <c r="C4620" t="s">
        <v>74</v>
      </c>
      <c r="E4620" t="str">
        <f>"080066872527"</f>
        <v>080066872527</v>
      </c>
      <c r="F4620" s="3">
        <v>45867</v>
      </c>
      <c r="G4620">
        <v>202604</v>
      </c>
      <c r="H4620" t="s">
        <v>75</v>
      </c>
      <c r="I4620" t="s">
        <v>76</v>
      </c>
      <c r="J4620" t="s">
        <v>77</v>
      </c>
      <c r="K4620" t="s">
        <v>78</v>
      </c>
      <c r="L4620" t="s">
        <v>240</v>
      </c>
      <c r="M4620" t="s">
        <v>241</v>
      </c>
      <c r="N4620" t="s">
        <v>3016</v>
      </c>
      <c r="O4620" t="s">
        <v>82</v>
      </c>
      <c r="P4620" t="str">
        <f>"4170051864                    "</f>
        <v xml:space="preserve">4170051864                    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17.649999999999999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0</v>
      </c>
      <c r="BA4620">
        <v>0</v>
      </c>
      <c r="BB4620">
        <v>0</v>
      </c>
      <c r="BC4620">
        <v>0</v>
      </c>
      <c r="BD4620">
        <v>0</v>
      </c>
      <c r="BE4620">
        <v>0</v>
      </c>
      <c r="BF4620">
        <v>0</v>
      </c>
      <c r="BG4620">
        <v>0</v>
      </c>
      <c r="BH4620">
        <v>1</v>
      </c>
      <c r="BI4620">
        <v>1</v>
      </c>
      <c r="BJ4620">
        <v>0.2</v>
      </c>
      <c r="BK4620">
        <v>1</v>
      </c>
      <c r="BL4620">
        <v>55.61</v>
      </c>
      <c r="BM4620">
        <v>8.34</v>
      </c>
      <c r="BN4620">
        <v>63.95</v>
      </c>
      <c r="BO4620">
        <v>63.95</v>
      </c>
      <c r="BQ4620" t="s">
        <v>3017</v>
      </c>
      <c r="BR4620" t="s">
        <v>84</v>
      </c>
      <c r="BS4620" s="3">
        <v>45868</v>
      </c>
      <c r="BT4620" s="4">
        <v>0.38194444444444442</v>
      </c>
      <c r="BU4620" t="s">
        <v>3018</v>
      </c>
      <c r="BV4620" t="s">
        <v>98</v>
      </c>
      <c r="BY4620">
        <v>1200</v>
      </c>
      <c r="CA4620" t="s">
        <v>245</v>
      </c>
      <c r="CC4620" t="s">
        <v>241</v>
      </c>
      <c r="CD4620">
        <v>2000</v>
      </c>
      <c r="CE4620" t="s">
        <v>121</v>
      </c>
      <c r="CF4620" s="3">
        <v>45869</v>
      </c>
      <c r="CI4620">
        <v>1</v>
      </c>
      <c r="CJ4620">
        <v>1</v>
      </c>
      <c r="CK4620">
        <v>22</v>
      </c>
      <c r="CL4620" t="s">
        <v>86</v>
      </c>
    </row>
    <row r="4621" spans="1:90" x14ac:dyDescent="0.3">
      <c r="A4621" t="s">
        <v>72</v>
      </c>
      <c r="B4621" t="s">
        <v>73</v>
      </c>
      <c r="C4621" t="s">
        <v>74</v>
      </c>
      <c r="E4621" t="str">
        <f>"080066872608"</f>
        <v>080066872608</v>
      </c>
      <c r="F4621" s="3">
        <v>45867</v>
      </c>
      <c r="G4621">
        <v>202604</v>
      </c>
      <c r="H4621" t="s">
        <v>75</v>
      </c>
      <c r="I4621" t="s">
        <v>76</v>
      </c>
      <c r="J4621" t="s">
        <v>77</v>
      </c>
      <c r="K4621" t="s">
        <v>78</v>
      </c>
      <c r="L4621" t="s">
        <v>452</v>
      </c>
      <c r="M4621" t="s">
        <v>453</v>
      </c>
      <c r="N4621" t="s">
        <v>1999</v>
      </c>
      <c r="O4621" t="s">
        <v>82</v>
      </c>
      <c r="P4621" t="str">
        <f>"4170051823                    "</f>
        <v xml:space="preserve">4170051823                    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17.649999999999999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0</v>
      </c>
      <c r="BA4621">
        <v>0</v>
      </c>
      <c r="BB4621">
        <v>0</v>
      </c>
      <c r="BC4621">
        <v>0</v>
      </c>
      <c r="BD4621">
        <v>0</v>
      </c>
      <c r="BE4621">
        <v>0</v>
      </c>
      <c r="BF4621">
        <v>0</v>
      </c>
      <c r="BG4621">
        <v>0</v>
      </c>
      <c r="BH4621">
        <v>1</v>
      </c>
      <c r="BI4621">
        <v>1</v>
      </c>
      <c r="BJ4621">
        <v>0.2</v>
      </c>
      <c r="BK4621">
        <v>1</v>
      </c>
      <c r="BL4621">
        <v>55.61</v>
      </c>
      <c r="BM4621">
        <v>8.34</v>
      </c>
      <c r="BN4621">
        <v>63.95</v>
      </c>
      <c r="BO4621">
        <v>63.95</v>
      </c>
      <c r="BQ4621" t="s">
        <v>2000</v>
      </c>
      <c r="BR4621" t="s">
        <v>84</v>
      </c>
      <c r="BS4621" s="3">
        <v>45868</v>
      </c>
      <c r="BT4621" s="4">
        <v>0.36180555555555555</v>
      </c>
      <c r="BU4621" t="s">
        <v>2001</v>
      </c>
      <c r="BV4621" t="s">
        <v>98</v>
      </c>
      <c r="BY4621">
        <v>1200</v>
      </c>
      <c r="CA4621" t="s">
        <v>1541</v>
      </c>
      <c r="CC4621" t="s">
        <v>453</v>
      </c>
      <c r="CD4621">
        <v>1559</v>
      </c>
      <c r="CE4621" t="s">
        <v>121</v>
      </c>
      <c r="CF4621" s="3">
        <v>45868</v>
      </c>
      <c r="CI4621">
        <v>1</v>
      </c>
      <c r="CJ4621">
        <v>1</v>
      </c>
      <c r="CK4621">
        <v>22</v>
      </c>
      <c r="CL4621" t="s">
        <v>86</v>
      </c>
    </row>
    <row r="4622" spans="1:90" x14ac:dyDescent="0.3">
      <c r="A4622" t="s">
        <v>72</v>
      </c>
      <c r="B4622" t="s">
        <v>73</v>
      </c>
      <c r="C4622" t="s">
        <v>74</v>
      </c>
      <c r="E4622" t="str">
        <f>"080066872637"</f>
        <v>080066872637</v>
      </c>
      <c r="F4622" s="3">
        <v>45867</v>
      </c>
      <c r="G4622">
        <v>202604</v>
      </c>
      <c r="H4622" t="s">
        <v>75</v>
      </c>
      <c r="I4622" t="s">
        <v>76</v>
      </c>
      <c r="J4622" t="s">
        <v>77</v>
      </c>
      <c r="K4622" t="s">
        <v>78</v>
      </c>
      <c r="L4622" t="s">
        <v>197</v>
      </c>
      <c r="M4622" t="s">
        <v>198</v>
      </c>
      <c r="N4622" t="s">
        <v>315</v>
      </c>
      <c r="O4622" t="s">
        <v>311</v>
      </c>
      <c r="P4622" t="str">
        <f>"4170051885                    "</f>
        <v xml:space="preserve">4170051885                    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>
        <v>17.66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AZ4622">
        <v>0</v>
      </c>
      <c r="BA4622">
        <v>0</v>
      </c>
      <c r="BB4622">
        <v>0</v>
      </c>
      <c r="BC4622">
        <v>0</v>
      </c>
      <c r="BD4622">
        <v>0</v>
      </c>
      <c r="BE4622">
        <v>0</v>
      </c>
      <c r="BF4622">
        <v>0</v>
      </c>
      <c r="BG4622">
        <v>0</v>
      </c>
      <c r="BH4622">
        <v>1</v>
      </c>
      <c r="BI4622">
        <v>5</v>
      </c>
      <c r="BJ4622">
        <v>3.4</v>
      </c>
      <c r="BK4622">
        <v>5</v>
      </c>
      <c r="BL4622">
        <v>55.63</v>
      </c>
      <c r="BM4622">
        <v>8.34</v>
      </c>
      <c r="BN4622">
        <v>63.97</v>
      </c>
      <c r="BO4622">
        <v>63.97</v>
      </c>
      <c r="BQ4622" t="s">
        <v>316</v>
      </c>
      <c r="BR4622" t="s">
        <v>84</v>
      </c>
      <c r="BS4622" s="3">
        <v>45868</v>
      </c>
      <c r="BT4622" s="4">
        <v>0.4201388888888889</v>
      </c>
      <c r="BU4622" t="s">
        <v>2155</v>
      </c>
      <c r="BV4622" t="s">
        <v>98</v>
      </c>
      <c r="BY4622">
        <v>16965</v>
      </c>
      <c r="CA4622" t="s">
        <v>318</v>
      </c>
      <c r="CC4622" t="s">
        <v>198</v>
      </c>
      <c r="CD4622">
        <v>1401</v>
      </c>
      <c r="CE4622" t="s">
        <v>145</v>
      </c>
      <c r="CF4622" s="3">
        <v>45868</v>
      </c>
      <c r="CI4622">
        <v>1</v>
      </c>
      <c r="CJ4622">
        <v>1</v>
      </c>
      <c r="CK4622">
        <v>32</v>
      </c>
      <c r="CL4622" t="s">
        <v>86</v>
      </c>
    </row>
    <row r="4623" spans="1:90" x14ac:dyDescent="0.3">
      <c r="A4623" t="s">
        <v>72</v>
      </c>
      <c r="B4623" t="s">
        <v>73</v>
      </c>
      <c r="C4623" t="s">
        <v>74</v>
      </c>
      <c r="E4623" t="str">
        <f>"080066872665"</f>
        <v>080066872665</v>
      </c>
      <c r="F4623" s="3">
        <v>45867</v>
      </c>
      <c r="G4623">
        <v>202604</v>
      </c>
      <c r="H4623" t="s">
        <v>75</v>
      </c>
      <c r="I4623" t="s">
        <v>76</v>
      </c>
      <c r="J4623" t="s">
        <v>77</v>
      </c>
      <c r="K4623" t="s">
        <v>78</v>
      </c>
      <c r="L4623" t="s">
        <v>79</v>
      </c>
      <c r="M4623" t="s">
        <v>80</v>
      </c>
      <c r="N4623" t="s">
        <v>594</v>
      </c>
      <c r="O4623" t="s">
        <v>82</v>
      </c>
      <c r="P4623" t="str">
        <f>"4170051944                    "</f>
        <v xml:space="preserve">4170051944                    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22.6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AZ4623">
        <v>0</v>
      </c>
      <c r="BA4623">
        <v>0</v>
      </c>
      <c r="BB4623">
        <v>0</v>
      </c>
      <c r="BC4623">
        <v>0</v>
      </c>
      <c r="BD4623">
        <v>0</v>
      </c>
      <c r="BE4623">
        <v>0</v>
      </c>
      <c r="BF4623">
        <v>0</v>
      </c>
      <c r="BG4623">
        <v>0</v>
      </c>
      <c r="BH4623">
        <v>1</v>
      </c>
      <c r="BI4623">
        <v>1</v>
      </c>
      <c r="BJ4623">
        <v>0.2</v>
      </c>
      <c r="BK4623">
        <v>1</v>
      </c>
      <c r="BL4623">
        <v>71.2</v>
      </c>
      <c r="BM4623">
        <v>10.68</v>
      </c>
      <c r="BN4623">
        <v>81.88</v>
      </c>
      <c r="BO4623">
        <v>81.88</v>
      </c>
      <c r="BQ4623" t="s">
        <v>595</v>
      </c>
      <c r="BR4623" t="s">
        <v>84</v>
      </c>
      <c r="BS4623" s="3">
        <v>45868</v>
      </c>
      <c r="BT4623" s="4">
        <v>0.36388888888888887</v>
      </c>
      <c r="BU4623" t="s">
        <v>3920</v>
      </c>
      <c r="BV4623" t="s">
        <v>98</v>
      </c>
      <c r="BY4623">
        <v>1200</v>
      </c>
      <c r="CA4623" t="s">
        <v>579</v>
      </c>
      <c r="CC4623" t="s">
        <v>80</v>
      </c>
      <c r="CD4623">
        <v>7480</v>
      </c>
      <c r="CE4623" t="s">
        <v>121</v>
      </c>
      <c r="CF4623" s="3">
        <v>45869</v>
      </c>
      <c r="CI4623">
        <v>1</v>
      </c>
      <c r="CJ4623">
        <v>1</v>
      </c>
      <c r="CK4623">
        <v>21</v>
      </c>
      <c r="CL4623" t="s">
        <v>86</v>
      </c>
    </row>
    <row r="4624" spans="1:90" x14ac:dyDescent="0.3">
      <c r="A4624" t="s">
        <v>72</v>
      </c>
      <c r="B4624" t="s">
        <v>73</v>
      </c>
      <c r="C4624" t="s">
        <v>74</v>
      </c>
      <c r="E4624" t="str">
        <f>"080066872715"</f>
        <v>080066872715</v>
      </c>
      <c r="F4624" s="3">
        <v>45867</v>
      </c>
      <c r="G4624">
        <v>202604</v>
      </c>
      <c r="H4624" t="s">
        <v>75</v>
      </c>
      <c r="I4624" t="s">
        <v>76</v>
      </c>
      <c r="J4624" t="s">
        <v>77</v>
      </c>
      <c r="K4624" t="s">
        <v>78</v>
      </c>
      <c r="L4624" t="s">
        <v>542</v>
      </c>
      <c r="M4624" t="s">
        <v>543</v>
      </c>
      <c r="N4624" t="s">
        <v>745</v>
      </c>
      <c r="O4624" t="s">
        <v>82</v>
      </c>
      <c r="P4624" t="str">
        <f>"4170051943                    "</f>
        <v xml:space="preserve">4170051943                    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17.649999999999999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  <c r="BA4624">
        <v>0</v>
      </c>
      <c r="BB4624">
        <v>0</v>
      </c>
      <c r="BC4624">
        <v>0</v>
      </c>
      <c r="BD4624">
        <v>0</v>
      </c>
      <c r="BE4624">
        <v>0</v>
      </c>
      <c r="BF4624">
        <v>0</v>
      </c>
      <c r="BG4624">
        <v>0</v>
      </c>
      <c r="BH4624">
        <v>1</v>
      </c>
      <c r="BI4624">
        <v>1</v>
      </c>
      <c r="BJ4624">
        <v>0.2</v>
      </c>
      <c r="BK4624">
        <v>1</v>
      </c>
      <c r="BL4624">
        <v>55.61</v>
      </c>
      <c r="BM4624">
        <v>8.34</v>
      </c>
      <c r="BN4624">
        <v>63.95</v>
      </c>
      <c r="BO4624">
        <v>63.95</v>
      </c>
      <c r="BQ4624" t="s">
        <v>746</v>
      </c>
      <c r="BR4624" t="s">
        <v>84</v>
      </c>
      <c r="BS4624" s="3">
        <v>45868</v>
      </c>
      <c r="BT4624" s="4">
        <v>0.43472222222222223</v>
      </c>
      <c r="BU4624" t="s">
        <v>3897</v>
      </c>
      <c r="BV4624" t="s">
        <v>98</v>
      </c>
      <c r="BY4624">
        <v>1200</v>
      </c>
      <c r="CA4624" t="s">
        <v>748</v>
      </c>
      <c r="CC4624" t="s">
        <v>543</v>
      </c>
      <c r="CD4624">
        <v>1451</v>
      </c>
      <c r="CE4624" t="s">
        <v>121</v>
      </c>
      <c r="CF4624" s="3">
        <v>45868</v>
      </c>
      <c r="CI4624">
        <v>1</v>
      </c>
      <c r="CJ4624">
        <v>1</v>
      </c>
      <c r="CK4624">
        <v>22</v>
      </c>
      <c r="CL4624" t="s">
        <v>86</v>
      </c>
    </row>
    <row r="4625" spans="1:90" x14ac:dyDescent="0.3">
      <c r="A4625" t="s">
        <v>72</v>
      </c>
      <c r="B4625" t="s">
        <v>73</v>
      </c>
      <c r="C4625" t="s">
        <v>74</v>
      </c>
      <c r="E4625" t="str">
        <f>"080066872777"</f>
        <v>080066872777</v>
      </c>
      <c r="F4625" s="3">
        <v>45867</v>
      </c>
      <c r="G4625">
        <v>202604</v>
      </c>
      <c r="H4625" t="s">
        <v>75</v>
      </c>
      <c r="I4625" t="s">
        <v>76</v>
      </c>
      <c r="J4625" t="s">
        <v>77</v>
      </c>
      <c r="K4625" t="s">
        <v>78</v>
      </c>
      <c r="L4625" t="s">
        <v>146</v>
      </c>
      <c r="M4625" t="s">
        <v>146</v>
      </c>
      <c r="N4625" t="s">
        <v>633</v>
      </c>
      <c r="O4625" t="s">
        <v>82</v>
      </c>
      <c r="P4625" t="str">
        <f>"4170051925                    "</f>
        <v xml:space="preserve">4170051925                    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43.78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0</v>
      </c>
      <c r="BA4625">
        <v>0</v>
      </c>
      <c r="BB4625">
        <v>0</v>
      </c>
      <c r="BC4625">
        <v>0</v>
      </c>
      <c r="BD4625">
        <v>0</v>
      </c>
      <c r="BE4625">
        <v>0</v>
      </c>
      <c r="BF4625">
        <v>0</v>
      </c>
      <c r="BG4625">
        <v>0</v>
      </c>
      <c r="BH4625">
        <v>1</v>
      </c>
      <c r="BI4625">
        <v>1</v>
      </c>
      <c r="BJ4625">
        <v>0.2</v>
      </c>
      <c r="BK4625">
        <v>1</v>
      </c>
      <c r="BL4625">
        <v>137.94</v>
      </c>
      <c r="BM4625">
        <v>20.69</v>
      </c>
      <c r="BN4625">
        <v>158.63</v>
      </c>
      <c r="BO4625">
        <v>158.63</v>
      </c>
      <c r="BQ4625" t="s">
        <v>634</v>
      </c>
      <c r="BR4625" t="s">
        <v>84</v>
      </c>
      <c r="BS4625" s="3">
        <v>45868</v>
      </c>
      <c r="BT4625" s="4">
        <v>0.53611111111111109</v>
      </c>
      <c r="BU4625" t="s">
        <v>1115</v>
      </c>
      <c r="BV4625" t="s">
        <v>98</v>
      </c>
      <c r="BY4625">
        <v>1200</v>
      </c>
      <c r="CA4625" t="s">
        <v>150</v>
      </c>
      <c r="CC4625" t="s">
        <v>146</v>
      </c>
      <c r="CD4625">
        <v>7646</v>
      </c>
      <c r="CE4625" t="s">
        <v>121</v>
      </c>
      <c r="CF4625" s="3">
        <v>45869</v>
      </c>
      <c r="CI4625">
        <v>1</v>
      </c>
      <c r="CJ4625">
        <v>1</v>
      </c>
      <c r="CK4625">
        <v>23</v>
      </c>
      <c r="CL4625" t="s">
        <v>86</v>
      </c>
    </row>
    <row r="4626" spans="1:90" x14ac:dyDescent="0.3">
      <c r="A4626" t="s">
        <v>72</v>
      </c>
      <c r="B4626" t="s">
        <v>73</v>
      </c>
      <c r="C4626" t="s">
        <v>74</v>
      </c>
      <c r="E4626" t="str">
        <f>"080066872829"</f>
        <v>080066872829</v>
      </c>
      <c r="F4626" s="3">
        <v>45867</v>
      </c>
      <c r="G4626">
        <v>202604</v>
      </c>
      <c r="H4626" t="s">
        <v>75</v>
      </c>
      <c r="I4626" t="s">
        <v>76</v>
      </c>
      <c r="J4626" t="s">
        <v>77</v>
      </c>
      <c r="K4626" t="s">
        <v>78</v>
      </c>
      <c r="L4626" t="s">
        <v>79</v>
      </c>
      <c r="M4626" t="s">
        <v>80</v>
      </c>
      <c r="N4626" t="s">
        <v>141</v>
      </c>
      <c r="O4626" t="s">
        <v>82</v>
      </c>
      <c r="P4626" t="str">
        <f>"4170051825                    "</f>
        <v xml:space="preserve">4170051825                    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22.6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  <c r="BE4626">
        <v>0</v>
      </c>
      <c r="BF4626">
        <v>0</v>
      </c>
      <c r="BG4626">
        <v>0</v>
      </c>
      <c r="BH4626">
        <v>1</v>
      </c>
      <c r="BI4626">
        <v>1</v>
      </c>
      <c r="BJ4626">
        <v>0.2</v>
      </c>
      <c r="BK4626">
        <v>1</v>
      </c>
      <c r="BL4626">
        <v>71.2</v>
      </c>
      <c r="BM4626">
        <v>10.68</v>
      </c>
      <c r="BN4626">
        <v>81.88</v>
      </c>
      <c r="BO4626">
        <v>81.88</v>
      </c>
      <c r="BQ4626" t="s">
        <v>142</v>
      </c>
      <c r="BR4626" t="s">
        <v>84</v>
      </c>
      <c r="BS4626" s="3">
        <v>45868</v>
      </c>
      <c r="BT4626" s="4">
        <v>0.40763888888888888</v>
      </c>
      <c r="BU4626" t="s">
        <v>976</v>
      </c>
      <c r="BV4626" t="s">
        <v>98</v>
      </c>
      <c r="BY4626">
        <v>1200</v>
      </c>
      <c r="CA4626" t="s">
        <v>144</v>
      </c>
      <c r="CC4626" t="s">
        <v>80</v>
      </c>
      <c r="CD4626">
        <v>7441</v>
      </c>
      <c r="CE4626" t="s">
        <v>121</v>
      </c>
      <c r="CF4626" s="3">
        <v>45869</v>
      </c>
      <c r="CI4626">
        <v>1</v>
      </c>
      <c r="CJ4626">
        <v>1</v>
      </c>
      <c r="CK4626">
        <v>21</v>
      </c>
      <c r="CL4626" t="s">
        <v>86</v>
      </c>
    </row>
    <row r="4627" spans="1:90" x14ac:dyDescent="0.3">
      <c r="A4627" t="s">
        <v>72</v>
      </c>
      <c r="B4627" t="s">
        <v>73</v>
      </c>
      <c r="C4627" t="s">
        <v>74</v>
      </c>
      <c r="E4627" t="str">
        <f>"080066872878"</f>
        <v>080066872878</v>
      </c>
      <c r="F4627" s="3">
        <v>45867</v>
      </c>
      <c r="G4627">
        <v>202604</v>
      </c>
      <c r="H4627" t="s">
        <v>75</v>
      </c>
      <c r="I4627" t="s">
        <v>76</v>
      </c>
      <c r="J4627" t="s">
        <v>77</v>
      </c>
      <c r="K4627" t="s">
        <v>78</v>
      </c>
      <c r="L4627" t="s">
        <v>168</v>
      </c>
      <c r="M4627" t="s">
        <v>169</v>
      </c>
      <c r="N4627" t="s">
        <v>206</v>
      </c>
      <c r="O4627" t="s">
        <v>82</v>
      </c>
      <c r="P4627" t="str">
        <f>"4170051890                    "</f>
        <v xml:space="preserve">4170051890                    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22.6</v>
      </c>
      <c r="AR4627">
        <v>0</v>
      </c>
      <c r="AS4627">
        <v>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0</v>
      </c>
      <c r="BA4627">
        <v>0</v>
      </c>
      <c r="BB4627">
        <v>0</v>
      </c>
      <c r="BC4627">
        <v>0</v>
      </c>
      <c r="BD4627">
        <v>0</v>
      </c>
      <c r="BE4627">
        <v>0</v>
      </c>
      <c r="BF4627">
        <v>0</v>
      </c>
      <c r="BG4627">
        <v>0</v>
      </c>
      <c r="BH4627">
        <v>1</v>
      </c>
      <c r="BI4627">
        <v>1</v>
      </c>
      <c r="BJ4627">
        <v>0.2</v>
      </c>
      <c r="BK4627">
        <v>1</v>
      </c>
      <c r="BL4627">
        <v>71.2</v>
      </c>
      <c r="BM4627">
        <v>10.68</v>
      </c>
      <c r="BN4627">
        <v>81.88</v>
      </c>
      <c r="BO4627">
        <v>81.88</v>
      </c>
      <c r="BQ4627" t="s">
        <v>207</v>
      </c>
      <c r="BR4627" t="s">
        <v>84</v>
      </c>
      <c r="BS4627" s="3">
        <v>45868</v>
      </c>
      <c r="BT4627" s="4">
        <v>0.45277777777777778</v>
      </c>
      <c r="BU4627" t="s">
        <v>290</v>
      </c>
      <c r="BV4627" t="s">
        <v>86</v>
      </c>
      <c r="BY4627">
        <v>1200</v>
      </c>
      <c r="CA4627" t="s">
        <v>196</v>
      </c>
      <c r="CC4627" t="s">
        <v>169</v>
      </c>
      <c r="CD4627">
        <v>6001</v>
      </c>
      <c r="CE4627" t="s">
        <v>121</v>
      </c>
      <c r="CF4627" s="3">
        <v>45868</v>
      </c>
      <c r="CI4627">
        <v>1</v>
      </c>
      <c r="CJ4627">
        <v>1</v>
      </c>
      <c r="CK4627">
        <v>21</v>
      </c>
      <c r="CL4627" t="s">
        <v>86</v>
      </c>
    </row>
    <row r="4628" spans="1:90" x14ac:dyDescent="0.3">
      <c r="A4628" t="s">
        <v>72</v>
      </c>
      <c r="B4628" t="s">
        <v>73</v>
      </c>
      <c r="C4628" t="s">
        <v>74</v>
      </c>
      <c r="E4628" t="str">
        <f>"080066872919"</f>
        <v>080066872919</v>
      </c>
      <c r="F4628" s="3">
        <v>45867</v>
      </c>
      <c r="G4628">
        <v>202604</v>
      </c>
      <c r="H4628" t="s">
        <v>75</v>
      </c>
      <c r="I4628" t="s">
        <v>76</v>
      </c>
      <c r="J4628" t="s">
        <v>77</v>
      </c>
      <c r="K4628" t="s">
        <v>78</v>
      </c>
      <c r="L4628" t="s">
        <v>135</v>
      </c>
      <c r="M4628" t="s">
        <v>136</v>
      </c>
      <c r="N4628" t="s">
        <v>379</v>
      </c>
      <c r="O4628" t="s">
        <v>82</v>
      </c>
      <c r="P4628" t="str">
        <f>"4170051979                    "</f>
        <v xml:space="preserve">4170051979                    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22.6</v>
      </c>
      <c r="AR4628">
        <v>0</v>
      </c>
      <c r="AS4628">
        <v>0</v>
      </c>
      <c r="AT4628">
        <v>0</v>
      </c>
      <c r="AU4628">
        <v>0</v>
      </c>
      <c r="AV4628">
        <v>0</v>
      </c>
      <c r="AW4628">
        <v>0</v>
      </c>
      <c r="AX4628">
        <v>0</v>
      </c>
      <c r="AY4628">
        <v>0</v>
      </c>
      <c r="AZ4628">
        <v>0</v>
      </c>
      <c r="BA4628">
        <v>0</v>
      </c>
      <c r="BB4628">
        <v>0</v>
      </c>
      <c r="BC4628">
        <v>0</v>
      </c>
      <c r="BD4628">
        <v>0</v>
      </c>
      <c r="BE4628">
        <v>0</v>
      </c>
      <c r="BF4628">
        <v>0</v>
      </c>
      <c r="BG4628">
        <v>0</v>
      </c>
      <c r="BH4628">
        <v>1</v>
      </c>
      <c r="BI4628">
        <v>1</v>
      </c>
      <c r="BJ4628">
        <v>0.2</v>
      </c>
      <c r="BK4628">
        <v>1</v>
      </c>
      <c r="BL4628">
        <v>71.2</v>
      </c>
      <c r="BM4628">
        <v>10.68</v>
      </c>
      <c r="BN4628">
        <v>81.88</v>
      </c>
      <c r="BO4628">
        <v>81.88</v>
      </c>
      <c r="BQ4628" t="s">
        <v>380</v>
      </c>
      <c r="BR4628" t="s">
        <v>84</v>
      </c>
      <c r="BS4628" s="3">
        <v>45868</v>
      </c>
      <c r="BT4628" s="4">
        <v>0.41666666666666669</v>
      </c>
      <c r="BU4628" t="s">
        <v>3921</v>
      </c>
      <c r="BV4628" t="s">
        <v>98</v>
      </c>
      <c r="BY4628">
        <v>1200</v>
      </c>
      <c r="CC4628" t="s">
        <v>136</v>
      </c>
      <c r="CD4628">
        <v>3212</v>
      </c>
      <c r="CE4628" t="s">
        <v>121</v>
      </c>
      <c r="CF4628" s="3">
        <v>45868</v>
      </c>
      <c r="CI4628">
        <v>2</v>
      </c>
      <c r="CJ4628">
        <v>1</v>
      </c>
      <c r="CK4628">
        <v>21</v>
      </c>
      <c r="CL4628" t="s">
        <v>86</v>
      </c>
    </row>
    <row r="4629" spans="1:90" x14ac:dyDescent="0.3">
      <c r="A4629" t="s">
        <v>72</v>
      </c>
      <c r="B4629" t="s">
        <v>73</v>
      </c>
      <c r="C4629" t="s">
        <v>74</v>
      </c>
      <c r="E4629" t="str">
        <f>"080066872980"</f>
        <v>080066872980</v>
      </c>
      <c r="F4629" s="3">
        <v>45867</v>
      </c>
      <c r="G4629">
        <v>202604</v>
      </c>
      <c r="H4629" t="s">
        <v>75</v>
      </c>
      <c r="I4629" t="s">
        <v>76</v>
      </c>
      <c r="J4629" t="s">
        <v>77</v>
      </c>
      <c r="K4629" t="s">
        <v>78</v>
      </c>
      <c r="L4629" t="s">
        <v>135</v>
      </c>
      <c r="M4629" t="s">
        <v>136</v>
      </c>
      <c r="N4629" t="s">
        <v>416</v>
      </c>
      <c r="O4629" t="s">
        <v>82</v>
      </c>
      <c r="P4629" t="str">
        <f>"4170051972                    "</f>
        <v xml:space="preserve">4170051972                    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>
        <v>22.6</v>
      </c>
      <c r="AR4629">
        <v>0</v>
      </c>
      <c r="AS4629">
        <v>0</v>
      </c>
      <c r="AT4629">
        <v>0</v>
      </c>
      <c r="AU4629">
        <v>0</v>
      </c>
      <c r="AV4629">
        <v>0</v>
      </c>
      <c r="AW4629">
        <v>0</v>
      </c>
      <c r="AX4629">
        <v>0</v>
      </c>
      <c r="AY4629">
        <v>0</v>
      </c>
      <c r="AZ4629">
        <v>0</v>
      </c>
      <c r="BA4629">
        <v>0</v>
      </c>
      <c r="BB4629">
        <v>0</v>
      </c>
      <c r="BC4629">
        <v>0</v>
      </c>
      <c r="BD4629">
        <v>0</v>
      </c>
      <c r="BE4629">
        <v>0</v>
      </c>
      <c r="BF4629">
        <v>0</v>
      </c>
      <c r="BG4629">
        <v>0</v>
      </c>
      <c r="BH4629">
        <v>1</v>
      </c>
      <c r="BI4629">
        <v>1</v>
      </c>
      <c r="BJ4629">
        <v>0.2</v>
      </c>
      <c r="BK4629">
        <v>1</v>
      </c>
      <c r="BL4629">
        <v>71.2</v>
      </c>
      <c r="BM4629">
        <v>10.68</v>
      </c>
      <c r="BN4629">
        <v>81.88</v>
      </c>
      <c r="BO4629">
        <v>81.88</v>
      </c>
      <c r="BQ4629" t="s">
        <v>417</v>
      </c>
      <c r="BR4629" t="s">
        <v>84</v>
      </c>
      <c r="BS4629" t="s">
        <v>587</v>
      </c>
      <c r="BY4629">
        <v>1200</v>
      </c>
      <c r="CC4629" t="s">
        <v>136</v>
      </c>
      <c r="CD4629">
        <v>3201</v>
      </c>
      <c r="CE4629" t="s">
        <v>121</v>
      </c>
      <c r="CF4629" s="3">
        <v>45869</v>
      </c>
      <c r="CI4629">
        <v>1</v>
      </c>
      <c r="CJ4629" t="s">
        <v>587</v>
      </c>
      <c r="CK4629">
        <v>21</v>
      </c>
      <c r="CL4629" t="s">
        <v>86</v>
      </c>
    </row>
    <row r="4630" spans="1:90" x14ac:dyDescent="0.3">
      <c r="A4630" t="s">
        <v>72</v>
      </c>
      <c r="B4630" t="s">
        <v>73</v>
      </c>
      <c r="C4630" t="s">
        <v>74</v>
      </c>
      <c r="E4630" t="str">
        <f>"080066873026"</f>
        <v>080066873026</v>
      </c>
      <c r="F4630" s="3">
        <v>45867</v>
      </c>
      <c r="G4630">
        <v>202604</v>
      </c>
      <c r="H4630" t="s">
        <v>75</v>
      </c>
      <c r="I4630" t="s">
        <v>76</v>
      </c>
      <c r="J4630" t="s">
        <v>77</v>
      </c>
      <c r="K4630" t="s">
        <v>78</v>
      </c>
      <c r="L4630" t="s">
        <v>363</v>
      </c>
      <c r="M4630" t="s">
        <v>364</v>
      </c>
      <c r="N4630" t="s">
        <v>365</v>
      </c>
      <c r="O4630" t="s">
        <v>82</v>
      </c>
      <c r="P4630" t="str">
        <f>"4170051957                    "</f>
        <v xml:space="preserve">4170051957                    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43.78</v>
      </c>
      <c r="AR4630">
        <v>0</v>
      </c>
      <c r="AS4630">
        <v>0</v>
      </c>
      <c r="AT4630">
        <v>0</v>
      </c>
      <c r="AU4630">
        <v>0</v>
      </c>
      <c r="AV4630">
        <v>0</v>
      </c>
      <c r="AW4630">
        <v>0</v>
      </c>
      <c r="AX4630">
        <v>0</v>
      </c>
      <c r="AY4630">
        <v>0</v>
      </c>
      <c r="AZ4630">
        <v>0</v>
      </c>
      <c r="BA4630">
        <v>0</v>
      </c>
      <c r="BB4630">
        <v>0</v>
      </c>
      <c r="BC4630">
        <v>0</v>
      </c>
      <c r="BD4630">
        <v>0</v>
      </c>
      <c r="BE4630">
        <v>0</v>
      </c>
      <c r="BF4630">
        <v>0</v>
      </c>
      <c r="BG4630">
        <v>0</v>
      </c>
      <c r="BH4630">
        <v>1</v>
      </c>
      <c r="BI4630">
        <v>1</v>
      </c>
      <c r="BJ4630">
        <v>0.2</v>
      </c>
      <c r="BK4630">
        <v>1</v>
      </c>
      <c r="BL4630">
        <v>137.94</v>
      </c>
      <c r="BM4630">
        <v>20.69</v>
      </c>
      <c r="BN4630">
        <v>158.63</v>
      </c>
      <c r="BO4630">
        <v>158.63</v>
      </c>
      <c r="BQ4630" t="s">
        <v>366</v>
      </c>
      <c r="BR4630" t="s">
        <v>84</v>
      </c>
      <c r="BS4630" s="3">
        <v>45868</v>
      </c>
      <c r="BT4630" s="4">
        <v>0.4513888888888889</v>
      </c>
      <c r="BU4630" t="s">
        <v>916</v>
      </c>
      <c r="BV4630" t="s">
        <v>98</v>
      </c>
      <c r="BY4630">
        <v>1200</v>
      </c>
      <c r="CA4630" t="s">
        <v>2129</v>
      </c>
      <c r="CC4630" t="s">
        <v>364</v>
      </c>
      <c r="CD4630">
        <v>7299</v>
      </c>
      <c r="CE4630" t="s">
        <v>121</v>
      </c>
      <c r="CF4630" s="3">
        <v>45869</v>
      </c>
      <c r="CI4630">
        <v>1</v>
      </c>
      <c r="CJ4630">
        <v>1</v>
      </c>
      <c r="CK4630">
        <v>23</v>
      </c>
      <c r="CL4630" t="s">
        <v>86</v>
      </c>
    </row>
    <row r="4631" spans="1:90" x14ac:dyDescent="0.3">
      <c r="A4631" t="s">
        <v>72</v>
      </c>
      <c r="B4631" t="s">
        <v>73</v>
      </c>
      <c r="C4631" t="s">
        <v>74</v>
      </c>
      <c r="E4631" t="str">
        <f>"080066873057"</f>
        <v>080066873057</v>
      </c>
      <c r="F4631" s="3">
        <v>45867</v>
      </c>
      <c r="G4631">
        <v>202604</v>
      </c>
      <c r="H4631" t="s">
        <v>75</v>
      </c>
      <c r="I4631" t="s">
        <v>76</v>
      </c>
      <c r="J4631" t="s">
        <v>77</v>
      </c>
      <c r="K4631" t="s">
        <v>78</v>
      </c>
      <c r="L4631" t="s">
        <v>221</v>
      </c>
      <c r="M4631" t="s">
        <v>222</v>
      </c>
      <c r="N4631" t="s">
        <v>223</v>
      </c>
      <c r="O4631" t="s">
        <v>82</v>
      </c>
      <c r="P4631" t="str">
        <f>"4170051942                    "</f>
        <v xml:space="preserve">4170051942                    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43.78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  <c r="BE4631">
        <v>0</v>
      </c>
      <c r="BF4631">
        <v>0</v>
      </c>
      <c r="BG4631">
        <v>0</v>
      </c>
      <c r="BH4631">
        <v>1</v>
      </c>
      <c r="BI4631">
        <v>1</v>
      </c>
      <c r="BJ4631">
        <v>0.2</v>
      </c>
      <c r="BK4631">
        <v>1</v>
      </c>
      <c r="BL4631">
        <v>137.94</v>
      </c>
      <c r="BM4631">
        <v>20.69</v>
      </c>
      <c r="BN4631">
        <v>158.63</v>
      </c>
      <c r="BO4631">
        <v>158.63</v>
      </c>
      <c r="BQ4631" t="s">
        <v>224</v>
      </c>
      <c r="BR4631" t="s">
        <v>84</v>
      </c>
      <c r="BS4631" s="3">
        <v>45868</v>
      </c>
      <c r="BT4631" s="4">
        <v>0.3125</v>
      </c>
      <c r="BU4631" t="s">
        <v>1707</v>
      </c>
      <c r="BV4631" t="s">
        <v>98</v>
      </c>
      <c r="BY4631">
        <v>1200</v>
      </c>
      <c r="CC4631" t="s">
        <v>222</v>
      </c>
      <c r="CD4631">
        <v>2740</v>
      </c>
      <c r="CE4631" t="s">
        <v>121</v>
      </c>
      <c r="CF4631" s="3">
        <v>45869</v>
      </c>
      <c r="CI4631">
        <v>1</v>
      </c>
      <c r="CJ4631">
        <v>1</v>
      </c>
      <c r="CK4631">
        <v>23</v>
      </c>
      <c r="CL4631" t="s">
        <v>86</v>
      </c>
    </row>
    <row r="4632" spans="1:90" x14ac:dyDescent="0.3">
      <c r="A4632" t="s">
        <v>72</v>
      </c>
      <c r="B4632" t="s">
        <v>73</v>
      </c>
      <c r="C4632" t="s">
        <v>74</v>
      </c>
      <c r="E4632" t="str">
        <f>"080066873084"</f>
        <v>080066873084</v>
      </c>
      <c r="F4632" s="3">
        <v>45867</v>
      </c>
      <c r="G4632">
        <v>202604</v>
      </c>
      <c r="H4632" t="s">
        <v>75</v>
      </c>
      <c r="I4632" t="s">
        <v>76</v>
      </c>
      <c r="J4632" t="s">
        <v>77</v>
      </c>
      <c r="K4632" t="s">
        <v>78</v>
      </c>
      <c r="L4632" t="s">
        <v>168</v>
      </c>
      <c r="M4632" t="s">
        <v>169</v>
      </c>
      <c r="N4632" t="s">
        <v>420</v>
      </c>
      <c r="O4632" t="s">
        <v>82</v>
      </c>
      <c r="P4632" t="str">
        <f>"4170051975                    "</f>
        <v xml:space="preserve">4170051975                    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22.6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  <c r="AZ4632">
        <v>0</v>
      </c>
      <c r="BA4632">
        <v>0</v>
      </c>
      <c r="BB4632">
        <v>0</v>
      </c>
      <c r="BC4632">
        <v>0</v>
      </c>
      <c r="BD4632">
        <v>0</v>
      </c>
      <c r="BE4632">
        <v>0</v>
      </c>
      <c r="BF4632">
        <v>0</v>
      </c>
      <c r="BG4632">
        <v>0</v>
      </c>
      <c r="BH4632">
        <v>1</v>
      </c>
      <c r="BI4632">
        <v>1</v>
      </c>
      <c r="BJ4632">
        <v>0.2</v>
      </c>
      <c r="BK4632">
        <v>1</v>
      </c>
      <c r="BL4632">
        <v>71.2</v>
      </c>
      <c r="BM4632">
        <v>10.68</v>
      </c>
      <c r="BN4632">
        <v>81.88</v>
      </c>
      <c r="BO4632">
        <v>81.88</v>
      </c>
      <c r="BQ4632" t="s">
        <v>421</v>
      </c>
      <c r="BR4632" t="s">
        <v>84</v>
      </c>
      <c r="BS4632" s="3">
        <v>45868</v>
      </c>
      <c r="BT4632" s="4">
        <v>0.41736111111111113</v>
      </c>
      <c r="BU4632" t="s">
        <v>1121</v>
      </c>
      <c r="BV4632" t="s">
        <v>98</v>
      </c>
      <c r="BY4632">
        <v>1200</v>
      </c>
      <c r="CA4632" t="s">
        <v>423</v>
      </c>
      <c r="CC4632" t="s">
        <v>169</v>
      </c>
      <c r="CD4632">
        <v>6001</v>
      </c>
      <c r="CE4632" t="s">
        <v>121</v>
      </c>
      <c r="CF4632" s="3">
        <v>45868</v>
      </c>
      <c r="CI4632">
        <v>1</v>
      </c>
      <c r="CJ4632">
        <v>1</v>
      </c>
      <c r="CK4632">
        <v>21</v>
      </c>
      <c r="CL4632" t="s">
        <v>86</v>
      </c>
    </row>
    <row r="4633" spans="1:90" x14ac:dyDescent="0.3">
      <c r="A4633" t="s">
        <v>72</v>
      </c>
      <c r="B4633" t="s">
        <v>73</v>
      </c>
      <c r="C4633" t="s">
        <v>74</v>
      </c>
      <c r="E4633" t="str">
        <f>"080066873110"</f>
        <v>080066873110</v>
      </c>
      <c r="F4633" s="3">
        <v>45867</v>
      </c>
      <c r="G4633">
        <v>202604</v>
      </c>
      <c r="H4633" t="s">
        <v>75</v>
      </c>
      <c r="I4633" t="s">
        <v>76</v>
      </c>
      <c r="J4633" t="s">
        <v>77</v>
      </c>
      <c r="K4633" t="s">
        <v>78</v>
      </c>
      <c r="L4633" t="s">
        <v>75</v>
      </c>
      <c r="M4633" t="s">
        <v>76</v>
      </c>
      <c r="N4633" t="s">
        <v>562</v>
      </c>
      <c r="O4633" t="s">
        <v>82</v>
      </c>
      <c r="P4633" t="str">
        <f>"4170051930                    "</f>
        <v xml:space="preserve">4170051930                    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17.649999999999999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0</v>
      </c>
      <c r="AX4633">
        <v>0</v>
      </c>
      <c r="AY4633">
        <v>0</v>
      </c>
      <c r="AZ4633">
        <v>0</v>
      </c>
      <c r="BA4633">
        <v>0</v>
      </c>
      <c r="BB4633">
        <v>0</v>
      </c>
      <c r="BC4633">
        <v>0</v>
      </c>
      <c r="BD4633">
        <v>0</v>
      </c>
      <c r="BE4633">
        <v>0</v>
      </c>
      <c r="BF4633">
        <v>0</v>
      </c>
      <c r="BG4633">
        <v>0</v>
      </c>
      <c r="BH4633">
        <v>1</v>
      </c>
      <c r="BI4633">
        <v>1</v>
      </c>
      <c r="BJ4633">
        <v>0.2</v>
      </c>
      <c r="BK4633">
        <v>1</v>
      </c>
      <c r="BL4633">
        <v>55.61</v>
      </c>
      <c r="BM4633">
        <v>8.34</v>
      </c>
      <c r="BN4633">
        <v>63.95</v>
      </c>
      <c r="BO4633">
        <v>63.95</v>
      </c>
      <c r="BQ4633" t="s">
        <v>563</v>
      </c>
      <c r="BR4633" t="s">
        <v>84</v>
      </c>
      <c r="BS4633" s="3">
        <v>45868</v>
      </c>
      <c r="BT4633" s="4">
        <v>0.4375</v>
      </c>
      <c r="BU4633" t="s">
        <v>2155</v>
      </c>
      <c r="BV4633" t="s">
        <v>98</v>
      </c>
      <c r="BY4633">
        <v>1200</v>
      </c>
      <c r="CA4633" t="s">
        <v>565</v>
      </c>
      <c r="CC4633" t="s">
        <v>76</v>
      </c>
      <c r="CD4633">
        <v>1619</v>
      </c>
      <c r="CE4633" t="s">
        <v>121</v>
      </c>
      <c r="CF4633" s="3">
        <v>45869</v>
      </c>
      <c r="CI4633">
        <v>1</v>
      </c>
      <c r="CJ4633">
        <v>1</v>
      </c>
      <c r="CK4633">
        <v>22</v>
      </c>
      <c r="CL4633" t="s">
        <v>86</v>
      </c>
    </row>
    <row r="4634" spans="1:90" x14ac:dyDescent="0.3">
      <c r="A4634" t="s">
        <v>72</v>
      </c>
      <c r="B4634" t="s">
        <v>73</v>
      </c>
      <c r="C4634" t="s">
        <v>74</v>
      </c>
      <c r="E4634" t="str">
        <f>"080066688635"</f>
        <v>080066688635</v>
      </c>
      <c r="F4634" s="3">
        <v>45859</v>
      </c>
      <c r="G4634">
        <v>202604</v>
      </c>
      <c r="H4634" t="s">
        <v>75</v>
      </c>
      <c r="I4634" t="s">
        <v>76</v>
      </c>
      <c r="J4634" t="s">
        <v>101</v>
      </c>
      <c r="K4634" t="s">
        <v>78</v>
      </c>
      <c r="L4634" t="s">
        <v>1370</v>
      </c>
      <c r="M4634" t="s">
        <v>1371</v>
      </c>
      <c r="N4634" t="s">
        <v>2067</v>
      </c>
      <c r="O4634" t="s">
        <v>95</v>
      </c>
      <c r="P4634" t="str">
        <f>"4170049506                    "</f>
        <v xml:space="preserve">4170049506                    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61.64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  <c r="AZ4634">
        <v>0</v>
      </c>
      <c r="BA4634">
        <v>0</v>
      </c>
      <c r="BB4634">
        <v>0</v>
      </c>
      <c r="BC4634">
        <v>0</v>
      </c>
      <c r="BD4634">
        <v>0</v>
      </c>
      <c r="BE4634">
        <v>0</v>
      </c>
      <c r="BF4634">
        <v>0</v>
      </c>
      <c r="BG4634">
        <v>0</v>
      </c>
      <c r="BH4634">
        <v>1</v>
      </c>
      <c r="BI4634">
        <v>2</v>
      </c>
      <c r="BJ4634">
        <v>3.1</v>
      </c>
      <c r="BK4634">
        <v>4</v>
      </c>
      <c r="BL4634">
        <v>200.06</v>
      </c>
      <c r="BM4634">
        <v>30.01</v>
      </c>
      <c r="BN4634">
        <v>230.07</v>
      </c>
      <c r="BO4634">
        <v>230.07</v>
      </c>
      <c r="BQ4634" t="s">
        <v>2068</v>
      </c>
      <c r="BR4634" t="s">
        <v>106</v>
      </c>
      <c r="BS4634" s="3">
        <v>45860</v>
      </c>
      <c r="BT4634" s="4">
        <v>0.42430555555555555</v>
      </c>
      <c r="BU4634" t="s">
        <v>3922</v>
      </c>
      <c r="BV4634" t="s">
        <v>98</v>
      </c>
      <c r="BY4634">
        <v>15360</v>
      </c>
      <c r="BZ4634" t="s">
        <v>108</v>
      </c>
      <c r="CA4634" t="s">
        <v>1375</v>
      </c>
      <c r="CC4634" t="s">
        <v>1371</v>
      </c>
      <c r="CD4634" s="5" t="s">
        <v>1376</v>
      </c>
      <c r="CE4634" t="s">
        <v>117</v>
      </c>
      <c r="CF4634" s="3">
        <v>45861</v>
      </c>
      <c r="CI4634">
        <v>1</v>
      </c>
      <c r="CJ4634">
        <v>1</v>
      </c>
      <c r="CK4634">
        <v>43</v>
      </c>
      <c r="CL4634" t="s">
        <v>86</v>
      </c>
    </row>
    <row r="4635" spans="1:90" x14ac:dyDescent="0.3">
      <c r="A4635" t="s">
        <v>72</v>
      </c>
      <c r="B4635" t="s">
        <v>73</v>
      </c>
      <c r="C4635" t="s">
        <v>74</v>
      </c>
      <c r="E4635" t="str">
        <f>"080066689096"</f>
        <v>080066689096</v>
      </c>
      <c r="F4635" s="3">
        <v>45859</v>
      </c>
      <c r="G4635">
        <v>202604</v>
      </c>
      <c r="H4635" t="s">
        <v>75</v>
      </c>
      <c r="I4635" t="s">
        <v>76</v>
      </c>
      <c r="J4635" t="s">
        <v>101</v>
      </c>
      <c r="K4635" t="s">
        <v>78</v>
      </c>
      <c r="L4635" t="s">
        <v>1677</v>
      </c>
      <c r="M4635" t="s">
        <v>1678</v>
      </c>
      <c r="N4635" t="s">
        <v>3606</v>
      </c>
      <c r="O4635" t="s">
        <v>95</v>
      </c>
      <c r="P4635" t="str">
        <f>"4170049427                    "</f>
        <v xml:space="preserve">4170049427                    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61.64</v>
      </c>
      <c r="AR4635">
        <v>0</v>
      </c>
      <c r="AS4635">
        <v>0</v>
      </c>
      <c r="AT4635">
        <v>0</v>
      </c>
      <c r="AU4635">
        <v>0</v>
      </c>
      <c r="AV4635">
        <v>0</v>
      </c>
      <c r="AW4635">
        <v>0</v>
      </c>
      <c r="AX4635">
        <v>0</v>
      </c>
      <c r="AY4635">
        <v>0</v>
      </c>
      <c r="AZ4635">
        <v>0</v>
      </c>
      <c r="BA4635">
        <v>0</v>
      </c>
      <c r="BB4635">
        <v>0</v>
      </c>
      <c r="BC4635">
        <v>0</v>
      </c>
      <c r="BD4635">
        <v>0</v>
      </c>
      <c r="BE4635">
        <v>0</v>
      </c>
      <c r="BF4635">
        <v>0</v>
      </c>
      <c r="BG4635">
        <v>0</v>
      </c>
      <c r="BH4635">
        <v>1</v>
      </c>
      <c r="BI4635">
        <v>2</v>
      </c>
      <c r="BJ4635">
        <v>3.8</v>
      </c>
      <c r="BK4635">
        <v>4</v>
      </c>
      <c r="BL4635">
        <v>200.06</v>
      </c>
      <c r="BM4635">
        <v>30.01</v>
      </c>
      <c r="BN4635">
        <v>230.07</v>
      </c>
      <c r="BO4635">
        <v>230.07</v>
      </c>
      <c r="BQ4635" t="s">
        <v>3607</v>
      </c>
      <c r="BR4635" t="s">
        <v>106</v>
      </c>
      <c r="BS4635" s="3">
        <v>45860</v>
      </c>
      <c r="BT4635" s="4">
        <v>0.33333333333333331</v>
      </c>
      <c r="BU4635" t="s">
        <v>3923</v>
      </c>
      <c r="BV4635" t="s">
        <v>98</v>
      </c>
      <c r="BY4635">
        <v>19040</v>
      </c>
      <c r="BZ4635" t="s">
        <v>108</v>
      </c>
      <c r="CA4635" t="s">
        <v>1682</v>
      </c>
      <c r="CC4635" t="s">
        <v>1678</v>
      </c>
      <c r="CD4635">
        <v>1035</v>
      </c>
      <c r="CE4635" t="s">
        <v>110</v>
      </c>
      <c r="CF4635" s="3">
        <v>45860</v>
      </c>
      <c r="CI4635">
        <v>1</v>
      </c>
      <c r="CJ4635">
        <v>1</v>
      </c>
      <c r="CK4635">
        <v>43</v>
      </c>
      <c r="CL4635" t="s">
        <v>86</v>
      </c>
    </row>
    <row r="4636" spans="1:90" x14ac:dyDescent="0.3">
      <c r="A4636" t="s">
        <v>72</v>
      </c>
      <c r="B4636" t="s">
        <v>73</v>
      </c>
      <c r="C4636" t="s">
        <v>74</v>
      </c>
      <c r="E4636" t="str">
        <f>"080066694493"</f>
        <v>080066694493</v>
      </c>
      <c r="F4636" s="3">
        <v>45859</v>
      </c>
      <c r="G4636">
        <v>202604</v>
      </c>
      <c r="H4636" t="s">
        <v>75</v>
      </c>
      <c r="I4636" t="s">
        <v>76</v>
      </c>
      <c r="J4636" t="s">
        <v>101</v>
      </c>
      <c r="K4636" t="s">
        <v>78</v>
      </c>
      <c r="L4636" t="s">
        <v>1370</v>
      </c>
      <c r="M4636" t="s">
        <v>1371</v>
      </c>
      <c r="N4636" t="s">
        <v>2067</v>
      </c>
      <c r="O4636" t="s">
        <v>95</v>
      </c>
      <c r="P4636" t="str">
        <f>"4170049709                    "</f>
        <v xml:space="preserve">4170049709                    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61.64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0</v>
      </c>
      <c r="BB4636">
        <v>0</v>
      </c>
      <c r="BC4636">
        <v>0</v>
      </c>
      <c r="BD4636">
        <v>0</v>
      </c>
      <c r="BE4636">
        <v>0</v>
      </c>
      <c r="BF4636">
        <v>0</v>
      </c>
      <c r="BG4636">
        <v>0</v>
      </c>
      <c r="BH4636">
        <v>1</v>
      </c>
      <c r="BI4636">
        <v>4</v>
      </c>
      <c r="BJ4636">
        <v>2.2999999999999998</v>
      </c>
      <c r="BK4636">
        <v>4</v>
      </c>
      <c r="BL4636">
        <v>200.06</v>
      </c>
      <c r="BM4636">
        <v>30.01</v>
      </c>
      <c r="BN4636">
        <v>230.07</v>
      </c>
      <c r="BO4636">
        <v>230.07</v>
      </c>
      <c r="BQ4636" t="s">
        <v>2068</v>
      </c>
      <c r="BR4636" t="s">
        <v>106</v>
      </c>
      <c r="BS4636" s="3">
        <v>45860</v>
      </c>
      <c r="BT4636" s="4">
        <v>0.41736111111111113</v>
      </c>
      <c r="BU4636" t="s">
        <v>3924</v>
      </c>
      <c r="BV4636" t="s">
        <v>98</v>
      </c>
      <c r="BY4636">
        <v>11704</v>
      </c>
      <c r="BZ4636" t="s">
        <v>108</v>
      </c>
      <c r="CC4636" t="s">
        <v>1371</v>
      </c>
      <c r="CD4636" s="5" t="s">
        <v>1376</v>
      </c>
      <c r="CE4636" t="s">
        <v>117</v>
      </c>
      <c r="CF4636" s="3">
        <v>45861</v>
      </c>
      <c r="CI4636">
        <v>1</v>
      </c>
      <c r="CJ4636">
        <v>1</v>
      </c>
      <c r="CK4636">
        <v>43</v>
      </c>
      <c r="CL4636" t="s">
        <v>86</v>
      </c>
    </row>
    <row r="4637" spans="1:90" x14ac:dyDescent="0.3">
      <c r="A4637" t="s">
        <v>72</v>
      </c>
      <c r="B4637" t="s">
        <v>73</v>
      </c>
      <c r="C4637" t="s">
        <v>74</v>
      </c>
      <c r="E4637" t="str">
        <f>"080066711762"</f>
        <v>080066711762</v>
      </c>
      <c r="F4637" s="3">
        <v>45860</v>
      </c>
      <c r="G4637">
        <v>202604</v>
      </c>
      <c r="H4637" t="s">
        <v>75</v>
      </c>
      <c r="I4637" t="s">
        <v>76</v>
      </c>
      <c r="J4637" t="s">
        <v>101</v>
      </c>
      <c r="K4637" t="s">
        <v>78</v>
      </c>
      <c r="L4637" t="s">
        <v>1677</v>
      </c>
      <c r="M4637" t="s">
        <v>1678</v>
      </c>
      <c r="N4637" t="s">
        <v>3606</v>
      </c>
      <c r="O4637" t="s">
        <v>95</v>
      </c>
      <c r="P4637" t="str">
        <f>"4170049800                    "</f>
        <v xml:space="preserve">4170049800                    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61.64</v>
      </c>
      <c r="AR4637">
        <v>0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0</v>
      </c>
      <c r="BA4637">
        <v>0</v>
      </c>
      <c r="BB4637">
        <v>0</v>
      </c>
      <c r="BC4637">
        <v>0</v>
      </c>
      <c r="BD4637">
        <v>0</v>
      </c>
      <c r="BE4637">
        <v>0</v>
      </c>
      <c r="BF4637">
        <v>0</v>
      </c>
      <c r="BG4637">
        <v>0</v>
      </c>
      <c r="BH4637">
        <v>1</v>
      </c>
      <c r="BI4637">
        <v>7</v>
      </c>
      <c r="BJ4637">
        <v>1.7</v>
      </c>
      <c r="BK4637">
        <v>7</v>
      </c>
      <c r="BL4637">
        <v>200.06</v>
      </c>
      <c r="BM4637">
        <v>30.01</v>
      </c>
      <c r="BN4637">
        <v>230.07</v>
      </c>
      <c r="BO4637">
        <v>230.07</v>
      </c>
      <c r="BQ4637" t="s">
        <v>3607</v>
      </c>
      <c r="BR4637" t="s">
        <v>106</v>
      </c>
      <c r="BS4637" s="3">
        <v>45861</v>
      </c>
      <c r="BT4637" s="4">
        <v>0.45208333333333334</v>
      </c>
      <c r="BU4637" t="s">
        <v>3608</v>
      </c>
      <c r="BV4637" t="s">
        <v>98</v>
      </c>
      <c r="BY4637">
        <v>8512</v>
      </c>
      <c r="BZ4637" t="s">
        <v>108</v>
      </c>
      <c r="CA4637" t="s">
        <v>3609</v>
      </c>
      <c r="CC4637" t="s">
        <v>1678</v>
      </c>
      <c r="CD4637">
        <v>1035</v>
      </c>
      <c r="CE4637" t="s">
        <v>117</v>
      </c>
      <c r="CF4637" s="3">
        <v>45861</v>
      </c>
      <c r="CI4637">
        <v>1</v>
      </c>
      <c r="CJ4637">
        <v>1</v>
      </c>
      <c r="CK4637">
        <v>43</v>
      </c>
      <c r="CL4637" t="s">
        <v>86</v>
      </c>
    </row>
    <row r="4638" spans="1:90" x14ac:dyDescent="0.3">
      <c r="A4638" t="s">
        <v>72</v>
      </c>
      <c r="B4638" t="s">
        <v>73</v>
      </c>
      <c r="C4638" t="s">
        <v>74</v>
      </c>
      <c r="E4638" t="str">
        <f>"080066718477"</f>
        <v>080066718477</v>
      </c>
      <c r="F4638" s="3">
        <v>45860</v>
      </c>
      <c r="G4638">
        <v>202604</v>
      </c>
      <c r="H4638" t="s">
        <v>75</v>
      </c>
      <c r="I4638" t="s">
        <v>76</v>
      </c>
      <c r="J4638" t="s">
        <v>101</v>
      </c>
      <c r="K4638" t="s">
        <v>78</v>
      </c>
      <c r="L4638" t="s">
        <v>1370</v>
      </c>
      <c r="M4638" t="s">
        <v>1371</v>
      </c>
      <c r="N4638" t="s">
        <v>3925</v>
      </c>
      <c r="O4638" t="s">
        <v>95</v>
      </c>
      <c r="P4638" t="str">
        <f>"4170050142                    "</f>
        <v xml:space="preserve">4170050142                    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61.64</v>
      </c>
      <c r="AR4638">
        <v>0</v>
      </c>
      <c r="AS4638">
        <v>0</v>
      </c>
      <c r="AT4638">
        <v>0</v>
      </c>
      <c r="AU4638">
        <v>0</v>
      </c>
      <c r="AV4638">
        <v>0</v>
      </c>
      <c r="AW4638">
        <v>0</v>
      </c>
      <c r="AX4638">
        <v>0</v>
      </c>
      <c r="AY4638">
        <v>0</v>
      </c>
      <c r="AZ4638">
        <v>0</v>
      </c>
      <c r="BA4638">
        <v>0</v>
      </c>
      <c r="BB4638">
        <v>0</v>
      </c>
      <c r="BC4638">
        <v>0</v>
      </c>
      <c r="BD4638">
        <v>0</v>
      </c>
      <c r="BE4638">
        <v>0</v>
      </c>
      <c r="BF4638">
        <v>0</v>
      </c>
      <c r="BG4638">
        <v>0</v>
      </c>
      <c r="BH4638">
        <v>2</v>
      </c>
      <c r="BI4638">
        <v>8</v>
      </c>
      <c r="BJ4638">
        <v>7.8</v>
      </c>
      <c r="BK4638">
        <v>8</v>
      </c>
      <c r="BL4638">
        <v>200.06</v>
      </c>
      <c r="BM4638">
        <v>30.01</v>
      </c>
      <c r="BN4638">
        <v>230.07</v>
      </c>
      <c r="BO4638">
        <v>230.07</v>
      </c>
      <c r="BQ4638" t="s">
        <v>3926</v>
      </c>
      <c r="BR4638" t="s">
        <v>106</v>
      </c>
      <c r="BS4638" s="3">
        <v>45861</v>
      </c>
      <c r="BT4638" s="4">
        <v>0.50069444444444444</v>
      </c>
      <c r="BU4638" t="s">
        <v>3927</v>
      </c>
      <c r="BV4638" t="s">
        <v>98</v>
      </c>
      <c r="BY4638">
        <v>19604</v>
      </c>
      <c r="BZ4638" t="s">
        <v>108</v>
      </c>
      <c r="CC4638" t="s">
        <v>1371</v>
      </c>
      <c r="CD4638" s="5" t="s">
        <v>1376</v>
      </c>
      <c r="CE4638" t="s">
        <v>110</v>
      </c>
      <c r="CF4638" s="3">
        <v>45862</v>
      </c>
      <c r="CI4638">
        <v>1</v>
      </c>
      <c r="CJ4638">
        <v>1</v>
      </c>
      <c r="CK4638">
        <v>43</v>
      </c>
      <c r="CL4638" t="s">
        <v>86</v>
      </c>
    </row>
    <row r="4639" spans="1:90" x14ac:dyDescent="0.3">
      <c r="A4639" t="s">
        <v>72</v>
      </c>
      <c r="B4639" t="s">
        <v>73</v>
      </c>
      <c r="C4639" t="s">
        <v>74</v>
      </c>
      <c r="E4639" t="str">
        <f>"080066719507"</f>
        <v>080066719507</v>
      </c>
      <c r="F4639" s="3">
        <v>45860</v>
      </c>
      <c r="G4639">
        <v>202604</v>
      </c>
      <c r="H4639" t="s">
        <v>75</v>
      </c>
      <c r="I4639" t="s">
        <v>76</v>
      </c>
      <c r="J4639" t="s">
        <v>101</v>
      </c>
      <c r="K4639" t="s">
        <v>78</v>
      </c>
      <c r="L4639" t="s">
        <v>128</v>
      </c>
      <c r="M4639" t="s">
        <v>129</v>
      </c>
      <c r="N4639" t="s">
        <v>1383</v>
      </c>
      <c r="O4639" t="s">
        <v>95</v>
      </c>
      <c r="P4639" t="str">
        <f>"4170050281                    "</f>
        <v xml:space="preserve">4170050281                    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61.64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AZ4639">
        <v>0</v>
      </c>
      <c r="BA4639">
        <v>0</v>
      </c>
      <c r="BB4639">
        <v>0</v>
      </c>
      <c r="BC4639">
        <v>0</v>
      </c>
      <c r="BD4639">
        <v>0</v>
      </c>
      <c r="BE4639">
        <v>0</v>
      </c>
      <c r="BF4639">
        <v>0</v>
      </c>
      <c r="BG4639">
        <v>0</v>
      </c>
      <c r="BH4639">
        <v>1</v>
      </c>
      <c r="BI4639">
        <v>13</v>
      </c>
      <c r="BJ4639">
        <v>9.1999999999999993</v>
      </c>
      <c r="BK4639">
        <v>13</v>
      </c>
      <c r="BL4639">
        <v>200.06</v>
      </c>
      <c r="BM4639">
        <v>30.01</v>
      </c>
      <c r="BN4639">
        <v>230.07</v>
      </c>
      <c r="BO4639">
        <v>230.07</v>
      </c>
      <c r="BQ4639" t="s">
        <v>3928</v>
      </c>
      <c r="BR4639" t="s">
        <v>106</v>
      </c>
      <c r="BS4639" s="3">
        <v>45861</v>
      </c>
      <c r="BT4639" s="4">
        <v>0.38055555555555554</v>
      </c>
      <c r="BU4639" t="s">
        <v>2264</v>
      </c>
      <c r="BV4639" t="s">
        <v>98</v>
      </c>
      <c r="BY4639">
        <v>46080</v>
      </c>
      <c r="BZ4639" t="s">
        <v>108</v>
      </c>
      <c r="CA4639" t="s">
        <v>133</v>
      </c>
      <c r="CC4639" t="s">
        <v>129</v>
      </c>
      <c r="CD4639" s="5" t="s">
        <v>3929</v>
      </c>
      <c r="CE4639" t="s">
        <v>110</v>
      </c>
      <c r="CF4639" s="3">
        <v>45862</v>
      </c>
      <c r="CI4639">
        <v>1</v>
      </c>
      <c r="CJ4639">
        <v>1</v>
      </c>
      <c r="CK4639">
        <v>43</v>
      </c>
      <c r="CL4639" t="s">
        <v>86</v>
      </c>
    </row>
    <row r="4640" spans="1:90" x14ac:dyDescent="0.3">
      <c r="A4640" t="s">
        <v>72</v>
      </c>
      <c r="B4640" t="s">
        <v>73</v>
      </c>
      <c r="C4640" t="s">
        <v>74</v>
      </c>
      <c r="E4640" t="str">
        <f>"080066720371"</f>
        <v>080066720371</v>
      </c>
      <c r="F4640" s="3">
        <v>45860</v>
      </c>
      <c r="G4640">
        <v>202604</v>
      </c>
      <c r="H4640" t="s">
        <v>75</v>
      </c>
      <c r="I4640" t="s">
        <v>76</v>
      </c>
      <c r="J4640" t="s">
        <v>101</v>
      </c>
      <c r="K4640" t="s">
        <v>78</v>
      </c>
      <c r="L4640" t="s">
        <v>854</v>
      </c>
      <c r="M4640" t="s">
        <v>855</v>
      </c>
      <c r="N4640" t="s">
        <v>429</v>
      </c>
      <c r="O4640" t="s">
        <v>95</v>
      </c>
      <c r="P4640" t="str">
        <f>"4170050222                    "</f>
        <v xml:space="preserve">4170050222                    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61.64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AZ4640">
        <v>0</v>
      </c>
      <c r="BA4640">
        <v>0</v>
      </c>
      <c r="BB4640">
        <v>0</v>
      </c>
      <c r="BC4640">
        <v>0</v>
      </c>
      <c r="BD4640">
        <v>0</v>
      </c>
      <c r="BE4640">
        <v>0</v>
      </c>
      <c r="BF4640">
        <v>0</v>
      </c>
      <c r="BG4640">
        <v>0</v>
      </c>
      <c r="BH4640">
        <v>1</v>
      </c>
      <c r="BI4640">
        <v>10</v>
      </c>
      <c r="BJ4640">
        <v>2.4</v>
      </c>
      <c r="BK4640">
        <v>10</v>
      </c>
      <c r="BL4640">
        <v>200.06</v>
      </c>
      <c r="BM4640">
        <v>30.01</v>
      </c>
      <c r="BN4640">
        <v>230.07</v>
      </c>
      <c r="BO4640">
        <v>230.07</v>
      </c>
      <c r="BQ4640" t="s">
        <v>3930</v>
      </c>
      <c r="BR4640" t="s">
        <v>106</v>
      </c>
      <c r="BS4640" s="3">
        <v>45861</v>
      </c>
      <c r="BT4640" s="4">
        <v>0.4826388888888889</v>
      </c>
      <c r="BU4640" t="s">
        <v>3148</v>
      </c>
      <c r="BV4640" t="s">
        <v>98</v>
      </c>
      <c r="BY4640">
        <v>12000</v>
      </c>
      <c r="BZ4640" t="s">
        <v>108</v>
      </c>
      <c r="CA4640" t="s">
        <v>2137</v>
      </c>
      <c r="CC4640" t="s">
        <v>855</v>
      </c>
      <c r="CD4640" s="5" t="s">
        <v>993</v>
      </c>
      <c r="CE4640" t="s">
        <v>239</v>
      </c>
      <c r="CF4640" s="3">
        <v>45861</v>
      </c>
      <c r="CI4640">
        <v>1</v>
      </c>
      <c r="CJ4640">
        <v>1</v>
      </c>
      <c r="CK4640">
        <v>43</v>
      </c>
      <c r="CL4640" t="s">
        <v>86</v>
      </c>
    </row>
    <row r="4641" spans="1:90" x14ac:dyDescent="0.3">
      <c r="A4641" t="s">
        <v>72</v>
      </c>
      <c r="B4641" t="s">
        <v>73</v>
      </c>
      <c r="C4641" t="s">
        <v>74</v>
      </c>
      <c r="E4641" t="str">
        <f>"080066750735"</f>
        <v>080066750735</v>
      </c>
      <c r="F4641" s="3">
        <v>45861</v>
      </c>
      <c r="G4641">
        <v>202604</v>
      </c>
      <c r="H4641" t="s">
        <v>75</v>
      </c>
      <c r="I4641" t="s">
        <v>76</v>
      </c>
      <c r="J4641" t="s">
        <v>101</v>
      </c>
      <c r="K4641" t="s">
        <v>78</v>
      </c>
      <c r="L4641" t="s">
        <v>1370</v>
      </c>
      <c r="M4641" t="s">
        <v>1371</v>
      </c>
      <c r="N4641" t="s">
        <v>1372</v>
      </c>
      <c r="O4641" t="s">
        <v>95</v>
      </c>
      <c r="P4641" t="str">
        <f>"4170050571                    "</f>
        <v xml:space="preserve">4170050571                    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61.64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0</v>
      </c>
      <c r="BA4641">
        <v>0</v>
      </c>
      <c r="BB4641">
        <v>0</v>
      </c>
      <c r="BC4641">
        <v>0</v>
      </c>
      <c r="BD4641">
        <v>0</v>
      </c>
      <c r="BE4641">
        <v>0</v>
      </c>
      <c r="BF4641">
        <v>0</v>
      </c>
      <c r="BG4641">
        <v>0</v>
      </c>
      <c r="BH4641">
        <v>1</v>
      </c>
      <c r="BI4641">
        <v>10</v>
      </c>
      <c r="BJ4641">
        <v>9.1</v>
      </c>
      <c r="BK4641">
        <v>10</v>
      </c>
      <c r="BL4641">
        <v>200.06</v>
      </c>
      <c r="BM4641">
        <v>30.01</v>
      </c>
      <c r="BN4641">
        <v>230.07</v>
      </c>
      <c r="BO4641">
        <v>230.07</v>
      </c>
      <c r="BQ4641" t="s">
        <v>3931</v>
      </c>
      <c r="BR4641" t="s">
        <v>106</v>
      </c>
      <c r="BS4641" s="3">
        <v>45862</v>
      </c>
      <c r="BT4641" s="4">
        <v>0.41736111111111113</v>
      </c>
      <c r="BU4641" t="s">
        <v>3932</v>
      </c>
      <c r="BV4641" t="s">
        <v>98</v>
      </c>
      <c r="BY4641">
        <v>45375</v>
      </c>
      <c r="BZ4641" t="s">
        <v>108</v>
      </c>
      <c r="CA4641" t="s">
        <v>1375</v>
      </c>
      <c r="CC4641" t="s">
        <v>1371</v>
      </c>
      <c r="CD4641" s="5" t="s">
        <v>1376</v>
      </c>
      <c r="CE4641" t="s">
        <v>1377</v>
      </c>
      <c r="CF4641" s="3">
        <v>45863</v>
      </c>
      <c r="CI4641">
        <v>1</v>
      </c>
      <c r="CJ4641">
        <v>1</v>
      </c>
      <c r="CK4641">
        <v>43</v>
      </c>
      <c r="CL4641" t="s">
        <v>86</v>
      </c>
    </row>
    <row r="4642" spans="1:90" x14ac:dyDescent="0.3">
      <c r="A4642" t="s">
        <v>72</v>
      </c>
      <c r="B4642" t="s">
        <v>73</v>
      </c>
      <c r="C4642" t="s">
        <v>74</v>
      </c>
      <c r="E4642" t="str">
        <f>"080066754196"</f>
        <v>080066754196</v>
      </c>
      <c r="F4642" s="3">
        <v>45861</v>
      </c>
      <c r="G4642">
        <v>202604</v>
      </c>
      <c r="H4642" t="s">
        <v>75</v>
      </c>
      <c r="I4642" t="s">
        <v>76</v>
      </c>
      <c r="J4642" t="s">
        <v>101</v>
      </c>
      <c r="K4642" t="s">
        <v>78</v>
      </c>
      <c r="L4642" t="s">
        <v>1768</v>
      </c>
      <c r="M4642" t="s">
        <v>1769</v>
      </c>
      <c r="N4642" t="s">
        <v>1770</v>
      </c>
      <c r="O4642" t="s">
        <v>95</v>
      </c>
      <c r="P4642" t="str">
        <f>"4170050384                    "</f>
        <v xml:space="preserve">4170050384                    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61.64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AZ4642">
        <v>0</v>
      </c>
      <c r="BA4642">
        <v>0</v>
      </c>
      <c r="BB4642">
        <v>0</v>
      </c>
      <c r="BC4642">
        <v>0</v>
      </c>
      <c r="BD4642">
        <v>0</v>
      </c>
      <c r="BE4642">
        <v>0</v>
      </c>
      <c r="BF4642">
        <v>0</v>
      </c>
      <c r="BG4642">
        <v>0</v>
      </c>
      <c r="BH4642">
        <v>1</v>
      </c>
      <c r="BI4642">
        <v>3</v>
      </c>
      <c r="BJ4642">
        <v>3.8</v>
      </c>
      <c r="BK4642">
        <v>4</v>
      </c>
      <c r="BL4642">
        <v>200.06</v>
      </c>
      <c r="BM4642">
        <v>30.01</v>
      </c>
      <c r="BN4642">
        <v>230.07</v>
      </c>
      <c r="BO4642">
        <v>230.07</v>
      </c>
      <c r="BQ4642" t="s">
        <v>3104</v>
      </c>
      <c r="BR4642" t="s">
        <v>106</v>
      </c>
      <c r="BS4642" s="3">
        <v>45862</v>
      </c>
      <c r="BT4642" s="4">
        <v>0.43402777777777779</v>
      </c>
      <c r="BU4642" t="s">
        <v>3933</v>
      </c>
      <c r="BV4642" t="s">
        <v>98</v>
      </c>
      <c r="BY4642">
        <v>19227</v>
      </c>
      <c r="BZ4642" t="s">
        <v>108</v>
      </c>
      <c r="CA4642" t="s">
        <v>1773</v>
      </c>
      <c r="CC4642" t="s">
        <v>1769</v>
      </c>
      <c r="CD4642">
        <v>2302</v>
      </c>
      <c r="CE4642" t="s">
        <v>117</v>
      </c>
      <c r="CF4642" s="3">
        <v>45862</v>
      </c>
      <c r="CI4642">
        <v>1</v>
      </c>
      <c r="CJ4642">
        <v>1</v>
      </c>
      <c r="CK4642">
        <v>43</v>
      </c>
      <c r="CL4642" t="s">
        <v>86</v>
      </c>
    </row>
    <row r="4643" spans="1:90" x14ac:dyDescent="0.3">
      <c r="A4643" t="s">
        <v>72</v>
      </c>
      <c r="B4643" t="s">
        <v>73</v>
      </c>
      <c r="C4643" t="s">
        <v>74</v>
      </c>
      <c r="E4643" t="str">
        <f>"080066755395"</f>
        <v>080066755395</v>
      </c>
      <c r="F4643" s="3">
        <v>45861</v>
      </c>
      <c r="G4643">
        <v>202604</v>
      </c>
      <c r="H4643" t="s">
        <v>75</v>
      </c>
      <c r="I4643" t="s">
        <v>76</v>
      </c>
      <c r="J4643" t="s">
        <v>101</v>
      </c>
      <c r="K4643" t="s">
        <v>78</v>
      </c>
      <c r="L4643" t="s">
        <v>252</v>
      </c>
      <c r="M4643" t="s">
        <v>253</v>
      </c>
      <c r="N4643" t="s">
        <v>254</v>
      </c>
      <c r="O4643" t="s">
        <v>95</v>
      </c>
      <c r="P4643" t="str">
        <f>"4170050368                    "</f>
        <v xml:space="preserve">4170050368                    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61.64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AZ4643">
        <v>0</v>
      </c>
      <c r="BA4643">
        <v>0</v>
      </c>
      <c r="BB4643">
        <v>0</v>
      </c>
      <c r="BC4643">
        <v>0</v>
      </c>
      <c r="BD4643">
        <v>0</v>
      </c>
      <c r="BE4643">
        <v>0</v>
      </c>
      <c r="BF4643">
        <v>0</v>
      </c>
      <c r="BG4643">
        <v>0</v>
      </c>
      <c r="BH4643">
        <v>1</v>
      </c>
      <c r="BI4643">
        <v>2</v>
      </c>
      <c r="BJ4643">
        <v>3.1</v>
      </c>
      <c r="BK4643">
        <v>4</v>
      </c>
      <c r="BL4643">
        <v>200.06</v>
      </c>
      <c r="BM4643">
        <v>30.01</v>
      </c>
      <c r="BN4643">
        <v>230.07</v>
      </c>
      <c r="BO4643">
        <v>230.07</v>
      </c>
      <c r="BQ4643" t="s">
        <v>3105</v>
      </c>
      <c r="BR4643" t="s">
        <v>106</v>
      </c>
      <c r="BS4643" s="3">
        <v>45862</v>
      </c>
      <c r="BT4643" s="4">
        <v>0.35138888888888886</v>
      </c>
      <c r="BU4643" t="s">
        <v>2512</v>
      </c>
      <c r="BV4643" t="s">
        <v>98</v>
      </c>
      <c r="BY4643">
        <v>15708</v>
      </c>
      <c r="BZ4643" t="s">
        <v>108</v>
      </c>
      <c r="CA4643" t="s">
        <v>328</v>
      </c>
      <c r="CC4643" t="s">
        <v>253</v>
      </c>
      <c r="CD4643">
        <v>1947</v>
      </c>
      <c r="CE4643" t="s">
        <v>110</v>
      </c>
      <c r="CF4643" s="3">
        <v>45863</v>
      </c>
      <c r="CI4643">
        <v>1</v>
      </c>
      <c r="CJ4643">
        <v>1</v>
      </c>
      <c r="CK4643">
        <v>43</v>
      </c>
      <c r="CL4643" t="s">
        <v>86</v>
      </c>
    </row>
    <row r="4644" spans="1:90" x14ac:dyDescent="0.3">
      <c r="A4644" t="s">
        <v>72</v>
      </c>
      <c r="B4644" t="s">
        <v>73</v>
      </c>
      <c r="C4644" t="s">
        <v>74</v>
      </c>
      <c r="E4644" t="str">
        <f>"080066755486"</f>
        <v>080066755486</v>
      </c>
      <c r="F4644" s="3">
        <v>45861</v>
      </c>
      <c r="G4644">
        <v>202604</v>
      </c>
      <c r="H4644" t="s">
        <v>75</v>
      </c>
      <c r="I4644" t="s">
        <v>76</v>
      </c>
      <c r="J4644" t="s">
        <v>101</v>
      </c>
      <c r="K4644" t="s">
        <v>78</v>
      </c>
      <c r="L4644" t="s">
        <v>566</v>
      </c>
      <c r="M4644" t="s">
        <v>567</v>
      </c>
      <c r="N4644" t="s">
        <v>568</v>
      </c>
      <c r="O4644" t="s">
        <v>95</v>
      </c>
      <c r="P4644" t="str">
        <f>"4170050599                    "</f>
        <v xml:space="preserve">4170050599                    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48.26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0</v>
      </c>
      <c r="BA4644">
        <v>0</v>
      </c>
      <c r="BB4644">
        <v>0</v>
      </c>
      <c r="BC4644">
        <v>0</v>
      </c>
      <c r="BD4644">
        <v>0</v>
      </c>
      <c r="BE4644">
        <v>0</v>
      </c>
      <c r="BF4644">
        <v>0</v>
      </c>
      <c r="BG4644">
        <v>0</v>
      </c>
      <c r="BH4644">
        <v>1</v>
      </c>
      <c r="BI4644">
        <v>6</v>
      </c>
      <c r="BJ4644">
        <v>3.8</v>
      </c>
      <c r="BK4644">
        <v>6</v>
      </c>
      <c r="BL4644">
        <v>157.91999999999999</v>
      </c>
      <c r="BM4644">
        <v>23.69</v>
      </c>
      <c r="BN4644">
        <v>181.61</v>
      </c>
      <c r="BO4644">
        <v>181.61</v>
      </c>
      <c r="BQ4644" t="s">
        <v>3111</v>
      </c>
      <c r="BR4644" t="s">
        <v>106</v>
      </c>
      <c r="BS4644" s="3">
        <v>45862</v>
      </c>
      <c r="BT4644" s="4">
        <v>0.28958333333333336</v>
      </c>
      <c r="BU4644" t="s">
        <v>3213</v>
      </c>
      <c r="BV4644" t="s">
        <v>98</v>
      </c>
      <c r="BY4644">
        <v>18816</v>
      </c>
      <c r="BZ4644" t="s">
        <v>108</v>
      </c>
      <c r="CA4644" t="s">
        <v>571</v>
      </c>
      <c r="CC4644" t="s">
        <v>567</v>
      </c>
      <c r="CD4644">
        <v>2210</v>
      </c>
      <c r="CE4644" t="s">
        <v>110</v>
      </c>
      <c r="CF4644" s="3">
        <v>45862</v>
      </c>
      <c r="CI4644">
        <v>1</v>
      </c>
      <c r="CJ4644">
        <v>1</v>
      </c>
      <c r="CK4644">
        <v>44</v>
      </c>
      <c r="CL4644" t="s">
        <v>86</v>
      </c>
    </row>
    <row r="4645" spans="1:90" x14ac:dyDescent="0.3">
      <c r="A4645" t="s">
        <v>72</v>
      </c>
      <c r="B4645" t="s">
        <v>73</v>
      </c>
      <c r="C4645" t="s">
        <v>74</v>
      </c>
      <c r="E4645" t="str">
        <f>"080066766785"</f>
        <v>080066766785</v>
      </c>
      <c r="F4645" s="3">
        <v>45862</v>
      </c>
      <c r="G4645">
        <v>202604</v>
      </c>
      <c r="H4645" t="s">
        <v>75</v>
      </c>
      <c r="I4645" t="s">
        <v>76</v>
      </c>
      <c r="J4645" t="s">
        <v>101</v>
      </c>
      <c r="K4645" t="s">
        <v>78</v>
      </c>
      <c r="L4645" t="s">
        <v>252</v>
      </c>
      <c r="M4645" t="s">
        <v>253</v>
      </c>
      <c r="N4645" t="s">
        <v>254</v>
      </c>
      <c r="O4645" t="s">
        <v>95</v>
      </c>
      <c r="P4645" t="str">
        <f>"4170050834                    "</f>
        <v xml:space="preserve">4170050834                    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61.64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AZ4645">
        <v>0</v>
      </c>
      <c r="BA4645">
        <v>0</v>
      </c>
      <c r="BB4645">
        <v>0</v>
      </c>
      <c r="BC4645">
        <v>0</v>
      </c>
      <c r="BD4645">
        <v>0</v>
      </c>
      <c r="BE4645">
        <v>0</v>
      </c>
      <c r="BF4645">
        <v>0</v>
      </c>
      <c r="BG4645">
        <v>0</v>
      </c>
      <c r="BH4645">
        <v>1</v>
      </c>
      <c r="BI4645">
        <v>5</v>
      </c>
      <c r="BJ4645">
        <v>8.3000000000000007</v>
      </c>
      <c r="BK4645">
        <v>9</v>
      </c>
      <c r="BL4645">
        <v>200.06</v>
      </c>
      <c r="BM4645">
        <v>30.01</v>
      </c>
      <c r="BN4645">
        <v>230.07</v>
      </c>
      <c r="BO4645">
        <v>230.07</v>
      </c>
      <c r="BQ4645" t="s">
        <v>3105</v>
      </c>
      <c r="BR4645" t="s">
        <v>106</v>
      </c>
      <c r="BS4645" s="3">
        <v>45863</v>
      </c>
      <c r="BT4645" s="4">
        <v>0.35833333333333334</v>
      </c>
      <c r="BU4645" t="s">
        <v>2874</v>
      </c>
      <c r="BV4645" t="s">
        <v>98</v>
      </c>
      <c r="BY4645">
        <v>41616</v>
      </c>
      <c r="BZ4645" t="s">
        <v>108</v>
      </c>
      <c r="CA4645" t="s">
        <v>265</v>
      </c>
      <c r="CC4645" t="s">
        <v>253</v>
      </c>
      <c r="CD4645">
        <v>1947</v>
      </c>
      <c r="CE4645" t="s">
        <v>110</v>
      </c>
      <c r="CF4645" s="3">
        <v>45863</v>
      </c>
      <c r="CI4645">
        <v>1</v>
      </c>
      <c r="CJ4645">
        <v>1</v>
      </c>
      <c r="CK4645">
        <v>43</v>
      </c>
      <c r="CL4645" t="s">
        <v>86</v>
      </c>
    </row>
    <row r="4646" spans="1:90" x14ac:dyDescent="0.3">
      <c r="A4646" t="s">
        <v>72</v>
      </c>
      <c r="B4646" t="s">
        <v>73</v>
      </c>
      <c r="C4646" t="s">
        <v>74</v>
      </c>
      <c r="E4646" t="str">
        <f>"080066767543"</f>
        <v>080066767543</v>
      </c>
      <c r="F4646" s="3">
        <v>45862</v>
      </c>
      <c r="G4646">
        <v>202604</v>
      </c>
      <c r="H4646" t="s">
        <v>75</v>
      </c>
      <c r="I4646" t="s">
        <v>76</v>
      </c>
      <c r="J4646" t="s">
        <v>101</v>
      </c>
      <c r="K4646" t="s">
        <v>78</v>
      </c>
      <c r="L4646" t="s">
        <v>260</v>
      </c>
      <c r="M4646" t="s">
        <v>261</v>
      </c>
      <c r="N4646" t="s">
        <v>3934</v>
      </c>
      <c r="O4646" t="s">
        <v>95</v>
      </c>
      <c r="P4646" t="str">
        <f>"4170050786                    "</f>
        <v xml:space="preserve">4170050786                    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61.64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AZ4646">
        <v>0</v>
      </c>
      <c r="BA4646">
        <v>0</v>
      </c>
      <c r="BB4646">
        <v>0</v>
      </c>
      <c r="BC4646">
        <v>0</v>
      </c>
      <c r="BD4646">
        <v>0</v>
      </c>
      <c r="BE4646">
        <v>0</v>
      </c>
      <c r="BF4646">
        <v>0</v>
      </c>
      <c r="BG4646">
        <v>0</v>
      </c>
      <c r="BH4646">
        <v>1</v>
      </c>
      <c r="BI4646">
        <v>2</v>
      </c>
      <c r="BJ4646">
        <v>3.4</v>
      </c>
      <c r="BK4646">
        <v>4</v>
      </c>
      <c r="BL4646">
        <v>200.06</v>
      </c>
      <c r="BM4646">
        <v>30.01</v>
      </c>
      <c r="BN4646">
        <v>230.07</v>
      </c>
      <c r="BO4646">
        <v>230.07</v>
      </c>
      <c r="BQ4646" t="s">
        <v>3935</v>
      </c>
      <c r="BR4646" t="s">
        <v>106</v>
      </c>
      <c r="BS4646" s="3">
        <v>45863</v>
      </c>
      <c r="BT4646" s="4">
        <v>0.4375</v>
      </c>
      <c r="BU4646" t="s">
        <v>3936</v>
      </c>
      <c r="BV4646" t="s">
        <v>98</v>
      </c>
      <c r="BY4646">
        <v>16965</v>
      </c>
      <c r="BZ4646" t="s">
        <v>108</v>
      </c>
      <c r="CA4646" t="s">
        <v>265</v>
      </c>
      <c r="CC4646" t="s">
        <v>261</v>
      </c>
      <c r="CD4646">
        <v>1939</v>
      </c>
      <c r="CE4646" t="s">
        <v>110</v>
      </c>
      <c r="CF4646" s="3">
        <v>45863</v>
      </c>
      <c r="CI4646">
        <v>1</v>
      </c>
      <c r="CJ4646">
        <v>1</v>
      </c>
      <c r="CK4646">
        <v>43</v>
      </c>
      <c r="CL4646" t="s">
        <v>86</v>
      </c>
    </row>
    <row r="4647" spans="1:90" x14ac:dyDescent="0.3">
      <c r="A4647" t="s">
        <v>72</v>
      </c>
      <c r="B4647" t="s">
        <v>73</v>
      </c>
      <c r="C4647" t="s">
        <v>74</v>
      </c>
      <c r="E4647" t="str">
        <f>"080066769295"</f>
        <v>080066769295</v>
      </c>
      <c r="F4647" s="3">
        <v>45862</v>
      </c>
      <c r="G4647">
        <v>202604</v>
      </c>
      <c r="H4647" t="s">
        <v>75</v>
      </c>
      <c r="I4647" t="s">
        <v>76</v>
      </c>
      <c r="J4647" t="s">
        <v>101</v>
      </c>
      <c r="K4647" t="s">
        <v>78</v>
      </c>
      <c r="L4647" t="s">
        <v>821</v>
      </c>
      <c r="M4647" t="s">
        <v>822</v>
      </c>
      <c r="N4647" t="s">
        <v>823</v>
      </c>
      <c r="O4647" t="s">
        <v>95</v>
      </c>
      <c r="P4647" t="str">
        <f>"4170050941                    "</f>
        <v xml:space="preserve">4170050941                    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48.26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0</v>
      </c>
      <c r="AX4647">
        <v>0</v>
      </c>
      <c r="AY4647">
        <v>0</v>
      </c>
      <c r="AZ4647">
        <v>0</v>
      </c>
      <c r="BA4647">
        <v>0</v>
      </c>
      <c r="BB4647">
        <v>0</v>
      </c>
      <c r="BC4647">
        <v>0</v>
      </c>
      <c r="BD4647">
        <v>0</v>
      </c>
      <c r="BE4647">
        <v>0</v>
      </c>
      <c r="BF4647">
        <v>0</v>
      </c>
      <c r="BG4647">
        <v>0</v>
      </c>
      <c r="BH4647">
        <v>1</v>
      </c>
      <c r="BI4647">
        <v>12</v>
      </c>
      <c r="BJ4647">
        <v>7.5</v>
      </c>
      <c r="BK4647">
        <v>12</v>
      </c>
      <c r="BL4647">
        <v>157.91999999999999</v>
      </c>
      <c r="BM4647">
        <v>23.69</v>
      </c>
      <c r="BN4647">
        <v>181.61</v>
      </c>
      <c r="BO4647">
        <v>181.61</v>
      </c>
      <c r="BQ4647" t="s">
        <v>824</v>
      </c>
      <c r="BR4647" t="s">
        <v>106</v>
      </c>
      <c r="BS4647" s="3">
        <v>45863</v>
      </c>
      <c r="BT4647" s="4">
        <v>0.4465277777777778</v>
      </c>
      <c r="BU4647" t="s">
        <v>3937</v>
      </c>
      <c r="BV4647" t="s">
        <v>98</v>
      </c>
      <c r="BY4647">
        <v>37488</v>
      </c>
      <c r="BZ4647" t="s">
        <v>108</v>
      </c>
      <c r="CA4647" t="s">
        <v>2234</v>
      </c>
      <c r="CC4647" t="s">
        <v>822</v>
      </c>
      <c r="CD4647">
        <v>1760</v>
      </c>
      <c r="CE4647" t="s">
        <v>117</v>
      </c>
      <c r="CF4647" s="3">
        <v>45863</v>
      </c>
      <c r="CI4647">
        <v>1</v>
      </c>
      <c r="CJ4647">
        <v>1</v>
      </c>
      <c r="CK4647">
        <v>44</v>
      </c>
      <c r="CL4647" t="s">
        <v>86</v>
      </c>
    </row>
    <row r="4648" spans="1:90" x14ac:dyDescent="0.3">
      <c r="A4648" t="s">
        <v>72</v>
      </c>
      <c r="B4648" t="s">
        <v>73</v>
      </c>
      <c r="C4648" t="s">
        <v>74</v>
      </c>
      <c r="E4648" t="str">
        <f>"080066771144"</f>
        <v>080066771144</v>
      </c>
      <c r="F4648" s="3">
        <v>45862</v>
      </c>
      <c r="G4648">
        <v>202604</v>
      </c>
      <c r="H4648" t="s">
        <v>75</v>
      </c>
      <c r="I4648" t="s">
        <v>76</v>
      </c>
      <c r="J4648" t="s">
        <v>101</v>
      </c>
      <c r="K4648" t="s">
        <v>78</v>
      </c>
      <c r="L4648" t="s">
        <v>319</v>
      </c>
      <c r="M4648" t="s">
        <v>320</v>
      </c>
      <c r="N4648" t="s">
        <v>785</v>
      </c>
      <c r="O4648" t="s">
        <v>95</v>
      </c>
      <c r="P4648" t="str">
        <f>"4170050975                    "</f>
        <v xml:space="preserve">4170050975                    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61.64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AZ4648">
        <v>0</v>
      </c>
      <c r="BA4648">
        <v>0</v>
      </c>
      <c r="BB4648">
        <v>0</v>
      </c>
      <c r="BC4648">
        <v>0</v>
      </c>
      <c r="BD4648">
        <v>0</v>
      </c>
      <c r="BE4648">
        <v>0</v>
      </c>
      <c r="BF4648">
        <v>0</v>
      </c>
      <c r="BG4648">
        <v>0</v>
      </c>
      <c r="BH4648">
        <v>1</v>
      </c>
      <c r="BI4648">
        <v>4</v>
      </c>
      <c r="BJ4648">
        <v>1.3</v>
      </c>
      <c r="BK4648">
        <v>4</v>
      </c>
      <c r="BL4648">
        <v>200.06</v>
      </c>
      <c r="BM4648">
        <v>30.01</v>
      </c>
      <c r="BN4648">
        <v>230.07</v>
      </c>
      <c r="BO4648">
        <v>230.07</v>
      </c>
      <c r="BQ4648" t="s">
        <v>3938</v>
      </c>
      <c r="BR4648" t="s">
        <v>106</v>
      </c>
      <c r="BS4648" s="3">
        <v>45866</v>
      </c>
      <c r="BT4648" s="4">
        <v>0.52013888888888893</v>
      </c>
      <c r="BU4648" t="s">
        <v>3939</v>
      </c>
      <c r="BV4648" t="s">
        <v>86</v>
      </c>
      <c r="BW4648" t="s">
        <v>395</v>
      </c>
      <c r="BX4648" t="s">
        <v>2943</v>
      </c>
      <c r="BY4648">
        <v>6384</v>
      </c>
      <c r="BZ4648" t="s">
        <v>108</v>
      </c>
      <c r="CC4648" t="s">
        <v>320</v>
      </c>
      <c r="CD4648">
        <v>1028</v>
      </c>
      <c r="CE4648" t="s">
        <v>117</v>
      </c>
      <c r="CF4648" s="3">
        <v>45866</v>
      </c>
      <c r="CI4648">
        <v>1</v>
      </c>
      <c r="CJ4648">
        <v>2</v>
      </c>
      <c r="CK4648">
        <v>43</v>
      </c>
      <c r="CL4648" t="s">
        <v>86</v>
      </c>
    </row>
    <row r="4649" spans="1:90" x14ac:dyDescent="0.3">
      <c r="A4649" t="s">
        <v>72</v>
      </c>
      <c r="B4649" t="s">
        <v>73</v>
      </c>
      <c r="C4649" t="s">
        <v>74</v>
      </c>
      <c r="E4649" t="str">
        <f>"080066771230"</f>
        <v>080066771230</v>
      </c>
      <c r="F4649" s="3">
        <v>45862</v>
      </c>
      <c r="G4649">
        <v>202604</v>
      </c>
      <c r="H4649" t="s">
        <v>75</v>
      </c>
      <c r="I4649" t="s">
        <v>76</v>
      </c>
      <c r="J4649" t="s">
        <v>101</v>
      </c>
      <c r="K4649" t="s">
        <v>78</v>
      </c>
      <c r="L4649" t="s">
        <v>821</v>
      </c>
      <c r="M4649" t="s">
        <v>822</v>
      </c>
      <c r="N4649" t="s">
        <v>3053</v>
      </c>
      <c r="O4649" t="s">
        <v>95</v>
      </c>
      <c r="P4649" t="str">
        <f>"4170050981                    "</f>
        <v xml:space="preserve">4170050981                    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48.26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AZ4649">
        <v>0</v>
      </c>
      <c r="BA4649">
        <v>0</v>
      </c>
      <c r="BB4649">
        <v>0</v>
      </c>
      <c r="BC4649">
        <v>0</v>
      </c>
      <c r="BD4649">
        <v>0</v>
      </c>
      <c r="BE4649">
        <v>0</v>
      </c>
      <c r="BF4649">
        <v>0</v>
      </c>
      <c r="BG4649">
        <v>0</v>
      </c>
      <c r="BH4649">
        <v>1</v>
      </c>
      <c r="BI4649">
        <v>3</v>
      </c>
      <c r="BJ4649">
        <v>3.1</v>
      </c>
      <c r="BK4649">
        <v>4</v>
      </c>
      <c r="BL4649">
        <v>157.91999999999999</v>
      </c>
      <c r="BM4649">
        <v>23.69</v>
      </c>
      <c r="BN4649">
        <v>181.61</v>
      </c>
      <c r="BO4649">
        <v>181.61</v>
      </c>
      <c r="BQ4649" t="s">
        <v>3125</v>
      </c>
      <c r="BR4649" t="s">
        <v>106</v>
      </c>
      <c r="BS4649" s="3">
        <v>45863</v>
      </c>
      <c r="BT4649" s="4">
        <v>0.44583333333333336</v>
      </c>
      <c r="BU4649" t="s">
        <v>3937</v>
      </c>
      <c r="BV4649" t="s">
        <v>98</v>
      </c>
      <c r="BY4649">
        <v>15360</v>
      </c>
      <c r="BZ4649" t="s">
        <v>108</v>
      </c>
      <c r="CA4649" t="s">
        <v>2234</v>
      </c>
      <c r="CC4649" t="s">
        <v>822</v>
      </c>
      <c r="CD4649">
        <v>1759</v>
      </c>
      <c r="CE4649" t="s">
        <v>117</v>
      </c>
      <c r="CF4649" s="3">
        <v>45863</v>
      </c>
      <c r="CI4649">
        <v>1</v>
      </c>
      <c r="CJ4649">
        <v>1</v>
      </c>
      <c r="CK4649">
        <v>44</v>
      </c>
      <c r="CL4649" t="s">
        <v>86</v>
      </c>
    </row>
    <row r="4650" spans="1:90" x14ac:dyDescent="0.3">
      <c r="A4650" t="s">
        <v>72</v>
      </c>
      <c r="B4650" t="s">
        <v>73</v>
      </c>
      <c r="C4650" t="s">
        <v>74</v>
      </c>
      <c r="E4650" t="str">
        <f>"080066776938"</f>
        <v>080066776938</v>
      </c>
      <c r="F4650" s="3">
        <v>45862</v>
      </c>
      <c r="G4650">
        <v>202604</v>
      </c>
      <c r="H4650" t="s">
        <v>75</v>
      </c>
      <c r="I4650" t="s">
        <v>76</v>
      </c>
      <c r="J4650" t="s">
        <v>77</v>
      </c>
      <c r="K4650" t="s">
        <v>78</v>
      </c>
      <c r="L4650" t="s">
        <v>135</v>
      </c>
      <c r="M4650" t="s">
        <v>136</v>
      </c>
      <c r="N4650" t="s">
        <v>2213</v>
      </c>
      <c r="O4650" t="s">
        <v>95</v>
      </c>
      <c r="P4650" t="str">
        <f>"4170051017                    "</f>
        <v xml:space="preserve">4170051017                    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54.53</v>
      </c>
      <c r="AR4650">
        <v>0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AZ4650">
        <v>0</v>
      </c>
      <c r="BA4650">
        <v>0</v>
      </c>
      <c r="BB4650">
        <v>0</v>
      </c>
      <c r="BC4650">
        <v>0</v>
      </c>
      <c r="BD4650">
        <v>0</v>
      </c>
      <c r="BE4650">
        <v>0</v>
      </c>
      <c r="BF4650">
        <v>0</v>
      </c>
      <c r="BG4650">
        <v>0</v>
      </c>
      <c r="BH4650">
        <v>2</v>
      </c>
      <c r="BI4650">
        <v>12</v>
      </c>
      <c r="BJ4650">
        <v>20.2</v>
      </c>
      <c r="BK4650">
        <v>21</v>
      </c>
      <c r="BL4650">
        <v>177.66</v>
      </c>
      <c r="BM4650">
        <v>26.65</v>
      </c>
      <c r="BN4650">
        <v>204.31</v>
      </c>
      <c r="BO4650">
        <v>204.31</v>
      </c>
      <c r="BQ4650" t="s">
        <v>2214</v>
      </c>
      <c r="BR4650" t="s">
        <v>84</v>
      </c>
      <c r="BS4650" s="3">
        <v>45863</v>
      </c>
      <c r="BT4650" s="4">
        <v>0.41666666666666669</v>
      </c>
      <c r="BU4650" t="s">
        <v>3940</v>
      </c>
      <c r="BV4650" t="s">
        <v>98</v>
      </c>
      <c r="BY4650">
        <v>50540</v>
      </c>
      <c r="BZ4650" t="s">
        <v>108</v>
      </c>
      <c r="CA4650" t="s">
        <v>349</v>
      </c>
      <c r="CC4650" t="s">
        <v>136</v>
      </c>
      <c r="CD4650">
        <v>3200</v>
      </c>
      <c r="CE4650" t="s">
        <v>91</v>
      </c>
      <c r="CF4650" s="3">
        <v>45864</v>
      </c>
      <c r="CI4650">
        <v>2</v>
      </c>
      <c r="CJ4650">
        <v>1</v>
      </c>
      <c r="CK4650">
        <v>41</v>
      </c>
      <c r="CL4650" t="s">
        <v>86</v>
      </c>
    </row>
    <row r="4651" spans="1:90" x14ac:dyDescent="0.3">
      <c r="A4651" t="s">
        <v>72</v>
      </c>
      <c r="B4651" t="s">
        <v>73</v>
      </c>
      <c r="C4651" t="s">
        <v>74</v>
      </c>
      <c r="E4651" t="str">
        <f>"080066777657"</f>
        <v>080066777657</v>
      </c>
      <c r="F4651" s="3">
        <v>45862</v>
      </c>
      <c r="G4651">
        <v>202604</v>
      </c>
      <c r="H4651" t="s">
        <v>75</v>
      </c>
      <c r="I4651" t="s">
        <v>76</v>
      </c>
      <c r="J4651" t="s">
        <v>101</v>
      </c>
      <c r="K4651" t="s">
        <v>78</v>
      </c>
      <c r="L4651" t="s">
        <v>151</v>
      </c>
      <c r="M4651" t="s">
        <v>152</v>
      </c>
      <c r="N4651" t="s">
        <v>1484</v>
      </c>
      <c r="O4651" t="s">
        <v>95</v>
      </c>
      <c r="P4651" t="str">
        <f>"4170051036                    "</f>
        <v xml:space="preserve">4170051036                    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>
        <v>43.7</v>
      </c>
      <c r="AR4651">
        <v>0</v>
      </c>
      <c r="AS4651">
        <v>0</v>
      </c>
      <c r="AT4651">
        <v>0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  <c r="BE4651">
        <v>0</v>
      </c>
      <c r="BF4651">
        <v>0</v>
      </c>
      <c r="BG4651">
        <v>0</v>
      </c>
      <c r="BH4651">
        <v>1</v>
      </c>
      <c r="BI4651">
        <v>3</v>
      </c>
      <c r="BJ4651">
        <v>4.2</v>
      </c>
      <c r="BK4651">
        <v>5</v>
      </c>
      <c r="BL4651">
        <v>143.55000000000001</v>
      </c>
      <c r="BM4651">
        <v>21.53</v>
      </c>
      <c r="BN4651">
        <v>165.08</v>
      </c>
      <c r="BO4651">
        <v>165.08</v>
      </c>
      <c r="BQ4651" t="s">
        <v>3941</v>
      </c>
      <c r="BR4651" t="s">
        <v>106</v>
      </c>
      <c r="BS4651" s="3">
        <v>45863</v>
      </c>
      <c r="BT4651" s="4">
        <v>0.58472222222222225</v>
      </c>
      <c r="BU4651" t="s">
        <v>2195</v>
      </c>
      <c r="BV4651" t="s">
        <v>98</v>
      </c>
      <c r="BY4651">
        <v>21060</v>
      </c>
      <c r="BZ4651" t="s">
        <v>108</v>
      </c>
      <c r="CA4651" t="s">
        <v>513</v>
      </c>
      <c r="CC4651" t="s">
        <v>152</v>
      </c>
      <c r="CD4651" s="5" t="s">
        <v>1487</v>
      </c>
      <c r="CE4651" t="s">
        <v>110</v>
      </c>
      <c r="CF4651" s="3">
        <v>45863</v>
      </c>
      <c r="CI4651">
        <v>1</v>
      </c>
      <c r="CJ4651">
        <v>1</v>
      </c>
      <c r="CK4651">
        <v>41</v>
      </c>
      <c r="CL4651" t="s">
        <v>86</v>
      </c>
    </row>
    <row r="4652" spans="1:90" x14ac:dyDescent="0.3">
      <c r="A4652" t="s">
        <v>72</v>
      </c>
      <c r="B4652" t="s">
        <v>73</v>
      </c>
      <c r="C4652" t="s">
        <v>74</v>
      </c>
      <c r="E4652" t="str">
        <f>"080066793632"</f>
        <v>080066793632</v>
      </c>
      <c r="F4652" s="3">
        <v>45863</v>
      </c>
      <c r="G4652">
        <v>202604</v>
      </c>
      <c r="H4652" t="s">
        <v>75</v>
      </c>
      <c r="I4652" t="s">
        <v>76</v>
      </c>
      <c r="J4652" t="s">
        <v>101</v>
      </c>
      <c r="K4652" t="s">
        <v>78</v>
      </c>
      <c r="L4652" t="s">
        <v>1370</v>
      </c>
      <c r="M4652" t="s">
        <v>1371</v>
      </c>
      <c r="N4652" t="s">
        <v>2067</v>
      </c>
      <c r="O4652" t="s">
        <v>95</v>
      </c>
      <c r="P4652" t="str">
        <f>"4170050730                    "</f>
        <v xml:space="preserve">4170050730                    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>
        <v>61.64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0</v>
      </c>
      <c r="BA4652">
        <v>0</v>
      </c>
      <c r="BB4652">
        <v>0</v>
      </c>
      <c r="BC4652">
        <v>0</v>
      </c>
      <c r="BD4652">
        <v>0</v>
      </c>
      <c r="BE4652">
        <v>0</v>
      </c>
      <c r="BF4652">
        <v>0</v>
      </c>
      <c r="BG4652">
        <v>0</v>
      </c>
      <c r="BH4652">
        <v>1</v>
      </c>
      <c r="BI4652">
        <v>4</v>
      </c>
      <c r="BJ4652">
        <v>1.7</v>
      </c>
      <c r="BK4652">
        <v>4</v>
      </c>
      <c r="BL4652">
        <v>200.06</v>
      </c>
      <c r="BM4652">
        <v>30.01</v>
      </c>
      <c r="BN4652">
        <v>230.07</v>
      </c>
      <c r="BO4652">
        <v>230.07</v>
      </c>
      <c r="BQ4652" t="s">
        <v>2068</v>
      </c>
      <c r="BR4652" t="s">
        <v>106</v>
      </c>
      <c r="BS4652" s="3">
        <v>45866</v>
      </c>
      <c r="BT4652" s="4">
        <v>0.42916666666666664</v>
      </c>
      <c r="BU4652" t="s">
        <v>2069</v>
      </c>
      <c r="BV4652" t="s">
        <v>98</v>
      </c>
      <c r="BY4652">
        <v>8512</v>
      </c>
      <c r="BZ4652" t="s">
        <v>108</v>
      </c>
      <c r="CA4652" t="s">
        <v>1375</v>
      </c>
      <c r="CC4652" t="s">
        <v>1371</v>
      </c>
      <c r="CD4652" s="5" t="s">
        <v>1376</v>
      </c>
      <c r="CE4652" t="s">
        <v>117</v>
      </c>
      <c r="CF4652" s="3">
        <v>45867</v>
      </c>
      <c r="CI4652">
        <v>1</v>
      </c>
      <c r="CJ4652">
        <v>1</v>
      </c>
      <c r="CK4652">
        <v>43</v>
      </c>
      <c r="CL4652" t="s">
        <v>86</v>
      </c>
    </row>
    <row r="4653" spans="1:90" x14ac:dyDescent="0.3">
      <c r="A4653" t="s">
        <v>72</v>
      </c>
      <c r="B4653" t="s">
        <v>73</v>
      </c>
      <c r="C4653" t="s">
        <v>74</v>
      </c>
      <c r="E4653" t="str">
        <f>"080066793943"</f>
        <v>080066793943</v>
      </c>
      <c r="F4653" s="3">
        <v>45863</v>
      </c>
      <c r="G4653">
        <v>202604</v>
      </c>
      <c r="H4653" t="s">
        <v>75</v>
      </c>
      <c r="I4653" t="s">
        <v>76</v>
      </c>
      <c r="J4653" t="s">
        <v>101</v>
      </c>
      <c r="K4653" t="s">
        <v>78</v>
      </c>
      <c r="L4653" t="s">
        <v>1768</v>
      </c>
      <c r="M4653" t="s">
        <v>1769</v>
      </c>
      <c r="N4653" t="s">
        <v>1770</v>
      </c>
      <c r="O4653" t="s">
        <v>95</v>
      </c>
      <c r="P4653" t="str">
        <f>"4170051079                    "</f>
        <v xml:space="preserve">4170051079                    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61.64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0</v>
      </c>
      <c r="BA4653">
        <v>0</v>
      </c>
      <c r="BB4653">
        <v>0</v>
      </c>
      <c r="BC4653">
        <v>0</v>
      </c>
      <c r="BD4653">
        <v>0</v>
      </c>
      <c r="BE4653">
        <v>0</v>
      </c>
      <c r="BF4653">
        <v>0</v>
      </c>
      <c r="BG4653">
        <v>0</v>
      </c>
      <c r="BH4653">
        <v>1</v>
      </c>
      <c r="BI4653">
        <v>9</v>
      </c>
      <c r="BJ4653">
        <v>6.1</v>
      </c>
      <c r="BK4653">
        <v>9</v>
      </c>
      <c r="BL4653">
        <v>200.06</v>
      </c>
      <c r="BM4653">
        <v>30.01</v>
      </c>
      <c r="BN4653">
        <v>230.07</v>
      </c>
      <c r="BO4653">
        <v>230.07</v>
      </c>
      <c r="BQ4653" t="s">
        <v>3104</v>
      </c>
      <c r="BR4653" t="s">
        <v>106</v>
      </c>
      <c r="BS4653" s="3">
        <v>45866</v>
      </c>
      <c r="BT4653" s="4">
        <v>0.43402777777777779</v>
      </c>
      <c r="BU4653" t="s">
        <v>3942</v>
      </c>
      <c r="BV4653" t="s">
        <v>98</v>
      </c>
      <c r="BY4653">
        <v>30682</v>
      </c>
      <c r="BZ4653" t="s">
        <v>108</v>
      </c>
      <c r="CA4653" t="s">
        <v>1773</v>
      </c>
      <c r="CC4653" t="s">
        <v>1769</v>
      </c>
      <c r="CD4653">
        <v>2302</v>
      </c>
      <c r="CE4653" t="s">
        <v>117</v>
      </c>
      <c r="CF4653" s="3">
        <v>45866</v>
      </c>
      <c r="CI4653">
        <v>1</v>
      </c>
      <c r="CJ4653">
        <v>1</v>
      </c>
      <c r="CK4653">
        <v>43</v>
      </c>
      <c r="CL4653" t="s">
        <v>86</v>
      </c>
    </row>
    <row r="4654" spans="1:90" x14ac:dyDescent="0.3">
      <c r="A4654" t="s">
        <v>72</v>
      </c>
      <c r="B4654" t="s">
        <v>73</v>
      </c>
      <c r="C4654" t="s">
        <v>74</v>
      </c>
      <c r="E4654" t="str">
        <f>"080066794080"</f>
        <v>080066794080</v>
      </c>
      <c r="F4654" s="3">
        <v>45863</v>
      </c>
      <c r="G4654">
        <v>202604</v>
      </c>
      <c r="H4654" t="s">
        <v>75</v>
      </c>
      <c r="I4654" t="s">
        <v>76</v>
      </c>
      <c r="J4654" t="s">
        <v>101</v>
      </c>
      <c r="K4654" t="s">
        <v>78</v>
      </c>
      <c r="L4654" t="s">
        <v>1768</v>
      </c>
      <c r="M4654" t="s">
        <v>1769</v>
      </c>
      <c r="N4654" t="s">
        <v>1770</v>
      </c>
      <c r="O4654" t="s">
        <v>95</v>
      </c>
      <c r="P4654" t="str">
        <f>"4170051147                    "</f>
        <v xml:space="preserve">4170051147                    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61.64</v>
      </c>
      <c r="AR4654">
        <v>0</v>
      </c>
      <c r="AS4654">
        <v>0</v>
      </c>
      <c r="AT4654">
        <v>0</v>
      </c>
      <c r="AU4654">
        <v>0</v>
      </c>
      <c r="AV4654">
        <v>0</v>
      </c>
      <c r="AW4654">
        <v>0</v>
      </c>
      <c r="AX4654">
        <v>0</v>
      </c>
      <c r="AY4654">
        <v>0</v>
      </c>
      <c r="AZ4654">
        <v>0</v>
      </c>
      <c r="BA4654">
        <v>0</v>
      </c>
      <c r="BB4654">
        <v>0</v>
      </c>
      <c r="BC4654">
        <v>0</v>
      </c>
      <c r="BD4654">
        <v>0</v>
      </c>
      <c r="BE4654">
        <v>0</v>
      </c>
      <c r="BF4654">
        <v>0</v>
      </c>
      <c r="BG4654">
        <v>0</v>
      </c>
      <c r="BH4654">
        <v>1</v>
      </c>
      <c r="BI4654">
        <v>5</v>
      </c>
      <c r="BJ4654">
        <v>1.1000000000000001</v>
      </c>
      <c r="BK4654">
        <v>5</v>
      </c>
      <c r="BL4654">
        <v>200.06</v>
      </c>
      <c r="BM4654">
        <v>30.01</v>
      </c>
      <c r="BN4654">
        <v>230.07</v>
      </c>
      <c r="BO4654">
        <v>230.07</v>
      </c>
      <c r="BQ4654" t="s">
        <v>3104</v>
      </c>
      <c r="BR4654" t="s">
        <v>106</v>
      </c>
      <c r="BS4654" s="3">
        <v>45866</v>
      </c>
      <c r="BT4654" s="4">
        <v>0.43402777777777779</v>
      </c>
      <c r="BU4654" t="s">
        <v>3942</v>
      </c>
      <c r="BV4654" t="s">
        <v>98</v>
      </c>
      <c r="BY4654">
        <v>5320</v>
      </c>
      <c r="BZ4654" t="s">
        <v>108</v>
      </c>
      <c r="CA4654" t="s">
        <v>1773</v>
      </c>
      <c r="CC4654" t="s">
        <v>1769</v>
      </c>
      <c r="CD4654">
        <v>2302</v>
      </c>
      <c r="CE4654" t="s">
        <v>117</v>
      </c>
      <c r="CF4654" s="3">
        <v>45866</v>
      </c>
      <c r="CI4654">
        <v>1</v>
      </c>
      <c r="CJ4654">
        <v>1</v>
      </c>
      <c r="CK4654">
        <v>43</v>
      </c>
      <c r="CL4654" t="s">
        <v>86</v>
      </c>
    </row>
    <row r="4655" spans="1:90" x14ac:dyDescent="0.3">
      <c r="A4655" t="s">
        <v>72</v>
      </c>
      <c r="B4655" t="s">
        <v>73</v>
      </c>
      <c r="C4655" t="s">
        <v>74</v>
      </c>
      <c r="E4655" t="str">
        <f>"080066797930"</f>
        <v>080066797930</v>
      </c>
      <c r="F4655" s="3">
        <v>45863</v>
      </c>
      <c r="G4655">
        <v>202604</v>
      </c>
      <c r="H4655" t="s">
        <v>75</v>
      </c>
      <c r="I4655" t="s">
        <v>76</v>
      </c>
      <c r="J4655" t="s">
        <v>101</v>
      </c>
      <c r="K4655" t="s">
        <v>78</v>
      </c>
      <c r="L4655" t="s">
        <v>1370</v>
      </c>
      <c r="M4655" t="s">
        <v>1371</v>
      </c>
      <c r="N4655" t="s">
        <v>2067</v>
      </c>
      <c r="O4655" t="s">
        <v>95</v>
      </c>
      <c r="P4655" t="str">
        <f>"4170051117                    "</f>
        <v xml:space="preserve">4170051117                    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61.64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0</v>
      </c>
      <c r="BA4655">
        <v>0</v>
      </c>
      <c r="BB4655">
        <v>0</v>
      </c>
      <c r="BC4655">
        <v>0</v>
      </c>
      <c r="BD4655">
        <v>0</v>
      </c>
      <c r="BE4655">
        <v>0</v>
      </c>
      <c r="BF4655">
        <v>0</v>
      </c>
      <c r="BG4655">
        <v>0</v>
      </c>
      <c r="BH4655">
        <v>1</v>
      </c>
      <c r="BI4655">
        <v>4</v>
      </c>
      <c r="BJ4655">
        <v>1.7</v>
      </c>
      <c r="BK4655">
        <v>4</v>
      </c>
      <c r="BL4655">
        <v>200.06</v>
      </c>
      <c r="BM4655">
        <v>30.01</v>
      </c>
      <c r="BN4655">
        <v>230.07</v>
      </c>
      <c r="BO4655">
        <v>230.07</v>
      </c>
      <c r="BQ4655" t="s">
        <v>2068</v>
      </c>
      <c r="BR4655" t="s">
        <v>106</v>
      </c>
      <c r="BS4655" s="3">
        <v>45866</v>
      </c>
      <c r="BT4655" s="4">
        <v>0.42916666666666664</v>
      </c>
      <c r="BU4655" t="s">
        <v>2069</v>
      </c>
      <c r="BV4655" t="s">
        <v>98</v>
      </c>
      <c r="BY4655">
        <v>8624</v>
      </c>
      <c r="BZ4655" t="s">
        <v>108</v>
      </c>
      <c r="CA4655" t="s">
        <v>1375</v>
      </c>
      <c r="CC4655" t="s">
        <v>1371</v>
      </c>
      <c r="CD4655" s="5" t="s">
        <v>1376</v>
      </c>
      <c r="CE4655" t="s">
        <v>110</v>
      </c>
      <c r="CF4655" s="3">
        <v>45867</v>
      </c>
      <c r="CI4655">
        <v>1</v>
      </c>
      <c r="CJ4655">
        <v>1</v>
      </c>
      <c r="CK4655">
        <v>43</v>
      </c>
      <c r="CL4655" t="s">
        <v>86</v>
      </c>
    </row>
    <row r="4656" spans="1:90" x14ac:dyDescent="0.3">
      <c r="A4656" t="s">
        <v>72</v>
      </c>
      <c r="B4656" t="s">
        <v>73</v>
      </c>
      <c r="C4656" t="s">
        <v>74</v>
      </c>
      <c r="E4656" t="str">
        <f>"080066800640"</f>
        <v>080066800640</v>
      </c>
      <c r="F4656" s="3">
        <v>45863</v>
      </c>
      <c r="G4656">
        <v>202604</v>
      </c>
      <c r="H4656" t="s">
        <v>75</v>
      </c>
      <c r="I4656" t="s">
        <v>76</v>
      </c>
      <c r="J4656" t="s">
        <v>101</v>
      </c>
      <c r="K4656" t="s">
        <v>78</v>
      </c>
      <c r="L4656" t="s">
        <v>252</v>
      </c>
      <c r="M4656" t="s">
        <v>253</v>
      </c>
      <c r="N4656" t="s">
        <v>254</v>
      </c>
      <c r="O4656" t="s">
        <v>95</v>
      </c>
      <c r="P4656" t="str">
        <f>"4170051347                    "</f>
        <v xml:space="preserve">4170051347                    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61.64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0</v>
      </c>
      <c r="BA4656">
        <v>0</v>
      </c>
      <c r="BB4656">
        <v>0</v>
      </c>
      <c r="BC4656">
        <v>0</v>
      </c>
      <c r="BD4656">
        <v>0</v>
      </c>
      <c r="BE4656">
        <v>0</v>
      </c>
      <c r="BF4656">
        <v>0</v>
      </c>
      <c r="BG4656">
        <v>0</v>
      </c>
      <c r="BH4656">
        <v>1</v>
      </c>
      <c r="BI4656">
        <v>4</v>
      </c>
      <c r="BJ4656">
        <v>1.1000000000000001</v>
      </c>
      <c r="BK4656">
        <v>4</v>
      </c>
      <c r="BL4656">
        <v>200.06</v>
      </c>
      <c r="BM4656">
        <v>30.01</v>
      </c>
      <c r="BN4656">
        <v>230.07</v>
      </c>
      <c r="BO4656">
        <v>230.07</v>
      </c>
      <c r="BQ4656" t="s">
        <v>3105</v>
      </c>
      <c r="BR4656" t="s">
        <v>106</v>
      </c>
      <c r="BS4656" s="3">
        <v>45866</v>
      </c>
      <c r="BT4656" s="4">
        <v>0.35902777777777778</v>
      </c>
      <c r="BU4656" t="s">
        <v>2874</v>
      </c>
      <c r="BV4656" t="s">
        <v>98</v>
      </c>
      <c r="BY4656">
        <v>5320</v>
      </c>
      <c r="BZ4656" t="s">
        <v>108</v>
      </c>
      <c r="CA4656" t="s">
        <v>265</v>
      </c>
      <c r="CC4656" t="s">
        <v>253</v>
      </c>
      <c r="CD4656">
        <v>1947</v>
      </c>
      <c r="CE4656" t="s">
        <v>117</v>
      </c>
      <c r="CF4656" s="3">
        <v>45866</v>
      </c>
      <c r="CI4656">
        <v>1</v>
      </c>
      <c r="CJ4656">
        <v>1</v>
      </c>
      <c r="CK4656">
        <v>43</v>
      </c>
      <c r="CL4656" t="s">
        <v>86</v>
      </c>
    </row>
    <row r="4657" spans="1:90" x14ac:dyDescent="0.3">
      <c r="A4657" t="s">
        <v>72</v>
      </c>
      <c r="B4657" t="s">
        <v>73</v>
      </c>
      <c r="C4657" t="s">
        <v>74</v>
      </c>
      <c r="E4657" t="str">
        <f>"080066831731"</f>
        <v>080066831731</v>
      </c>
      <c r="F4657" s="3">
        <v>45866</v>
      </c>
      <c r="G4657">
        <v>202604</v>
      </c>
      <c r="H4657" t="s">
        <v>75</v>
      </c>
      <c r="I4657" t="s">
        <v>76</v>
      </c>
      <c r="J4657" t="s">
        <v>101</v>
      </c>
      <c r="K4657" t="s">
        <v>78</v>
      </c>
      <c r="L4657" t="s">
        <v>1370</v>
      </c>
      <c r="M4657" t="s">
        <v>1371</v>
      </c>
      <c r="N4657" t="s">
        <v>2067</v>
      </c>
      <c r="O4657" t="s">
        <v>95</v>
      </c>
      <c r="P4657" t="str">
        <f>"4170051414                    "</f>
        <v xml:space="preserve">4170051414                    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61.64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0</v>
      </c>
      <c r="BA4657">
        <v>0</v>
      </c>
      <c r="BB4657">
        <v>0</v>
      </c>
      <c r="BC4657">
        <v>0</v>
      </c>
      <c r="BD4657">
        <v>0</v>
      </c>
      <c r="BE4657">
        <v>0</v>
      </c>
      <c r="BF4657">
        <v>0</v>
      </c>
      <c r="BG4657">
        <v>0</v>
      </c>
      <c r="BH4657">
        <v>1</v>
      </c>
      <c r="BI4657">
        <v>3</v>
      </c>
      <c r="BJ4657">
        <v>4.0999999999999996</v>
      </c>
      <c r="BK4657">
        <v>5</v>
      </c>
      <c r="BL4657">
        <v>200.06</v>
      </c>
      <c r="BM4657">
        <v>30.01</v>
      </c>
      <c r="BN4657">
        <v>230.07</v>
      </c>
      <c r="BO4657">
        <v>230.07</v>
      </c>
      <c r="BQ4657" t="s">
        <v>2068</v>
      </c>
      <c r="BR4657" t="s">
        <v>106</v>
      </c>
      <c r="BS4657" s="3">
        <v>45867</v>
      </c>
      <c r="BT4657" s="4">
        <v>0.52083333333333337</v>
      </c>
      <c r="BU4657" t="s">
        <v>3943</v>
      </c>
      <c r="BV4657" t="s">
        <v>98</v>
      </c>
      <c r="BY4657">
        <v>20358</v>
      </c>
      <c r="BZ4657" t="s">
        <v>108</v>
      </c>
      <c r="CA4657" t="s">
        <v>3756</v>
      </c>
      <c r="CC4657" t="s">
        <v>1371</v>
      </c>
      <c r="CD4657" s="5" t="s">
        <v>1376</v>
      </c>
      <c r="CE4657" t="s">
        <v>117</v>
      </c>
      <c r="CF4657" s="3">
        <v>45868</v>
      </c>
      <c r="CI4657">
        <v>1</v>
      </c>
      <c r="CJ4657">
        <v>1</v>
      </c>
      <c r="CK4657">
        <v>43</v>
      </c>
      <c r="CL4657" t="s">
        <v>86</v>
      </c>
    </row>
    <row r="4658" spans="1:90" x14ac:dyDescent="0.3">
      <c r="A4658" t="s">
        <v>72</v>
      </c>
      <c r="B4658" t="s">
        <v>73</v>
      </c>
      <c r="C4658" t="s">
        <v>74</v>
      </c>
      <c r="E4658" t="str">
        <f>"080066832779"</f>
        <v>080066832779</v>
      </c>
      <c r="F4658" s="3">
        <v>45866</v>
      </c>
      <c r="G4658">
        <v>202604</v>
      </c>
      <c r="H4658" t="s">
        <v>75</v>
      </c>
      <c r="I4658" t="s">
        <v>76</v>
      </c>
      <c r="J4658" t="s">
        <v>101</v>
      </c>
      <c r="K4658" t="s">
        <v>78</v>
      </c>
      <c r="L4658" t="s">
        <v>1768</v>
      </c>
      <c r="M4658" t="s">
        <v>1769</v>
      </c>
      <c r="N4658" t="s">
        <v>1770</v>
      </c>
      <c r="O4658" t="s">
        <v>95</v>
      </c>
      <c r="P4658" t="str">
        <f>"4170051582                    "</f>
        <v xml:space="preserve">4170051582                    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61.64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0</v>
      </c>
      <c r="BA4658">
        <v>0</v>
      </c>
      <c r="BB4658">
        <v>0</v>
      </c>
      <c r="BC4658">
        <v>0</v>
      </c>
      <c r="BD4658">
        <v>0</v>
      </c>
      <c r="BE4658">
        <v>0</v>
      </c>
      <c r="BF4658">
        <v>0</v>
      </c>
      <c r="BG4658">
        <v>0</v>
      </c>
      <c r="BH4658">
        <v>1</v>
      </c>
      <c r="BI4658">
        <v>7</v>
      </c>
      <c r="BJ4658">
        <v>3.4</v>
      </c>
      <c r="BK4658">
        <v>7</v>
      </c>
      <c r="BL4658">
        <v>200.06</v>
      </c>
      <c r="BM4658">
        <v>30.01</v>
      </c>
      <c r="BN4658">
        <v>230.07</v>
      </c>
      <c r="BO4658">
        <v>230.07</v>
      </c>
      <c r="BQ4658" t="s">
        <v>3104</v>
      </c>
      <c r="BR4658" t="s">
        <v>106</v>
      </c>
      <c r="BS4658" s="3">
        <v>45867</v>
      </c>
      <c r="BT4658" s="4">
        <v>0.43402777777777779</v>
      </c>
      <c r="BU4658" t="s">
        <v>1772</v>
      </c>
      <c r="BV4658" t="s">
        <v>98</v>
      </c>
      <c r="BY4658">
        <v>16965</v>
      </c>
      <c r="BZ4658" t="s">
        <v>108</v>
      </c>
      <c r="CA4658" t="s">
        <v>1773</v>
      </c>
      <c r="CC4658" t="s">
        <v>1769</v>
      </c>
      <c r="CD4658">
        <v>2302</v>
      </c>
      <c r="CE4658" t="s">
        <v>110</v>
      </c>
      <c r="CF4658" s="3">
        <v>45867</v>
      </c>
      <c r="CI4658">
        <v>1</v>
      </c>
      <c r="CJ4658">
        <v>1</v>
      </c>
      <c r="CK4658">
        <v>43</v>
      </c>
      <c r="CL4658" t="s">
        <v>86</v>
      </c>
    </row>
    <row r="4659" spans="1:90" x14ac:dyDescent="0.3">
      <c r="A4659" t="s">
        <v>72</v>
      </c>
      <c r="B4659" t="s">
        <v>73</v>
      </c>
      <c r="C4659" t="s">
        <v>74</v>
      </c>
      <c r="E4659" t="str">
        <f>"080066832869"</f>
        <v>080066832869</v>
      </c>
      <c r="F4659" s="3">
        <v>45866</v>
      </c>
      <c r="G4659">
        <v>202604</v>
      </c>
      <c r="H4659" t="s">
        <v>75</v>
      </c>
      <c r="I4659" t="s">
        <v>76</v>
      </c>
      <c r="J4659" t="s">
        <v>101</v>
      </c>
      <c r="K4659" t="s">
        <v>78</v>
      </c>
      <c r="L4659" t="s">
        <v>808</v>
      </c>
      <c r="M4659" t="s">
        <v>808</v>
      </c>
      <c r="N4659" t="s">
        <v>1195</v>
      </c>
      <c r="O4659" t="s">
        <v>95</v>
      </c>
      <c r="P4659" t="str">
        <f>"4170051411                    "</f>
        <v xml:space="preserve">4170051411                    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48.26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>
        <v>0</v>
      </c>
      <c r="BC4659">
        <v>0</v>
      </c>
      <c r="BD4659">
        <v>0</v>
      </c>
      <c r="BE4659">
        <v>0</v>
      </c>
      <c r="BF4659">
        <v>0</v>
      </c>
      <c r="BG4659">
        <v>0</v>
      </c>
      <c r="BH4659">
        <v>1</v>
      </c>
      <c r="BI4659">
        <v>1</v>
      </c>
      <c r="BJ4659">
        <v>3.2</v>
      </c>
      <c r="BK4659">
        <v>4</v>
      </c>
      <c r="BL4659">
        <v>157.91999999999999</v>
      </c>
      <c r="BM4659">
        <v>23.69</v>
      </c>
      <c r="BN4659">
        <v>181.61</v>
      </c>
      <c r="BO4659">
        <v>181.61</v>
      </c>
      <c r="BQ4659" t="s">
        <v>3944</v>
      </c>
      <c r="BR4659" t="s">
        <v>106</v>
      </c>
      <c r="BS4659" s="3">
        <v>45868</v>
      </c>
      <c r="BT4659" s="4">
        <v>0.60416666666666663</v>
      </c>
      <c r="BU4659" t="s">
        <v>1197</v>
      </c>
      <c r="BV4659" t="s">
        <v>86</v>
      </c>
      <c r="BY4659">
        <v>16128</v>
      </c>
      <c r="BZ4659" t="s">
        <v>108</v>
      </c>
      <c r="CC4659" t="s">
        <v>808</v>
      </c>
      <c r="CD4659">
        <v>1490</v>
      </c>
      <c r="CE4659" t="s">
        <v>117</v>
      </c>
      <c r="CF4659" s="3">
        <v>45869</v>
      </c>
      <c r="CI4659">
        <v>1</v>
      </c>
      <c r="CJ4659">
        <v>2</v>
      </c>
      <c r="CK4659">
        <v>44</v>
      </c>
      <c r="CL4659" t="s">
        <v>86</v>
      </c>
    </row>
    <row r="4660" spans="1:90" x14ac:dyDescent="0.3">
      <c r="A4660" t="s">
        <v>72</v>
      </c>
      <c r="B4660" t="s">
        <v>73</v>
      </c>
      <c r="C4660" t="s">
        <v>74</v>
      </c>
      <c r="E4660" t="str">
        <f>"080066837022"</f>
        <v>080066837022</v>
      </c>
      <c r="F4660" s="3">
        <v>45866</v>
      </c>
      <c r="G4660">
        <v>202604</v>
      </c>
      <c r="H4660" t="s">
        <v>75</v>
      </c>
      <c r="I4660" t="s">
        <v>76</v>
      </c>
      <c r="J4660" t="s">
        <v>101</v>
      </c>
      <c r="K4660" t="s">
        <v>78</v>
      </c>
      <c r="L4660" t="s">
        <v>151</v>
      </c>
      <c r="M4660" t="s">
        <v>152</v>
      </c>
      <c r="N4660" t="s">
        <v>153</v>
      </c>
      <c r="O4660" t="s">
        <v>95</v>
      </c>
      <c r="P4660" t="str">
        <f>"4170051571                    "</f>
        <v xml:space="preserve">4170051571                    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43.7</v>
      </c>
      <c r="AR4660">
        <v>0</v>
      </c>
      <c r="AS4660">
        <v>0</v>
      </c>
      <c r="AT4660">
        <v>0</v>
      </c>
      <c r="AU4660">
        <v>0</v>
      </c>
      <c r="AV4660">
        <v>0</v>
      </c>
      <c r="AW4660">
        <v>0</v>
      </c>
      <c r="AX4660">
        <v>0</v>
      </c>
      <c r="AY4660">
        <v>0</v>
      </c>
      <c r="AZ4660">
        <v>0</v>
      </c>
      <c r="BA4660">
        <v>0</v>
      </c>
      <c r="BB4660">
        <v>0</v>
      </c>
      <c r="BC4660">
        <v>0</v>
      </c>
      <c r="BD4660">
        <v>0</v>
      </c>
      <c r="BE4660">
        <v>0</v>
      </c>
      <c r="BF4660">
        <v>0</v>
      </c>
      <c r="BG4660">
        <v>0</v>
      </c>
      <c r="BH4660">
        <v>1</v>
      </c>
      <c r="BI4660">
        <v>6</v>
      </c>
      <c r="BJ4660">
        <v>3.4</v>
      </c>
      <c r="BK4660">
        <v>6</v>
      </c>
      <c r="BL4660">
        <v>143.55000000000001</v>
      </c>
      <c r="BM4660">
        <v>21.53</v>
      </c>
      <c r="BN4660">
        <v>165.08</v>
      </c>
      <c r="BO4660">
        <v>165.08</v>
      </c>
      <c r="BQ4660" t="s">
        <v>3945</v>
      </c>
      <c r="BR4660" t="s">
        <v>106</v>
      </c>
      <c r="BS4660" s="3">
        <v>45867</v>
      </c>
      <c r="BT4660" s="4">
        <v>0.34722222222222221</v>
      </c>
      <c r="BU4660" t="s">
        <v>155</v>
      </c>
      <c r="BV4660" t="s">
        <v>98</v>
      </c>
      <c r="BY4660">
        <v>16965</v>
      </c>
      <c r="BZ4660" t="s">
        <v>108</v>
      </c>
      <c r="CA4660" t="s">
        <v>156</v>
      </c>
      <c r="CC4660" t="s">
        <v>152</v>
      </c>
      <c r="CD4660" s="5" t="s">
        <v>157</v>
      </c>
      <c r="CE4660" t="s">
        <v>117</v>
      </c>
      <c r="CF4660" s="3">
        <v>45867</v>
      </c>
      <c r="CI4660">
        <v>1</v>
      </c>
      <c r="CJ4660">
        <v>1</v>
      </c>
      <c r="CK4660">
        <v>41</v>
      </c>
      <c r="CL4660" t="s">
        <v>86</v>
      </c>
    </row>
    <row r="4661" spans="1:90" x14ac:dyDescent="0.3">
      <c r="A4661" t="s">
        <v>72</v>
      </c>
      <c r="B4661" t="s">
        <v>73</v>
      </c>
      <c r="C4661" t="s">
        <v>74</v>
      </c>
      <c r="E4661" t="str">
        <f>"080066843613"</f>
        <v>080066843613</v>
      </c>
      <c r="F4661" s="3">
        <v>45866</v>
      </c>
      <c r="G4661">
        <v>202604</v>
      </c>
      <c r="H4661" t="s">
        <v>75</v>
      </c>
      <c r="I4661" t="s">
        <v>76</v>
      </c>
      <c r="J4661" t="s">
        <v>101</v>
      </c>
      <c r="K4661" t="s">
        <v>78</v>
      </c>
      <c r="L4661" t="s">
        <v>854</v>
      </c>
      <c r="M4661" t="s">
        <v>855</v>
      </c>
      <c r="N4661" t="s">
        <v>1986</v>
      </c>
      <c r="O4661" t="s">
        <v>95</v>
      </c>
      <c r="P4661" t="str">
        <f>"4170051635                    "</f>
        <v xml:space="preserve">4170051635                    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61.64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0</v>
      </c>
      <c r="BA4661">
        <v>0</v>
      </c>
      <c r="BB4661">
        <v>0</v>
      </c>
      <c r="BC4661">
        <v>0</v>
      </c>
      <c r="BD4661">
        <v>0</v>
      </c>
      <c r="BE4661">
        <v>0</v>
      </c>
      <c r="BF4661">
        <v>0</v>
      </c>
      <c r="BG4661">
        <v>0</v>
      </c>
      <c r="BH4661">
        <v>1</v>
      </c>
      <c r="BI4661">
        <v>2</v>
      </c>
      <c r="BJ4661">
        <v>6.2</v>
      </c>
      <c r="BK4661">
        <v>7</v>
      </c>
      <c r="BL4661">
        <v>200.06</v>
      </c>
      <c r="BM4661">
        <v>30.01</v>
      </c>
      <c r="BN4661">
        <v>230.07</v>
      </c>
      <c r="BO4661">
        <v>230.07</v>
      </c>
      <c r="BQ4661" t="s">
        <v>3946</v>
      </c>
      <c r="BR4661" t="s">
        <v>106</v>
      </c>
      <c r="BS4661" s="3">
        <v>45867</v>
      </c>
      <c r="BT4661" s="4">
        <v>0.5756944444444444</v>
      </c>
      <c r="BU4661" t="s">
        <v>1988</v>
      </c>
      <c r="BV4661" t="s">
        <v>98</v>
      </c>
      <c r="BY4661">
        <v>30940</v>
      </c>
      <c r="BZ4661" t="s">
        <v>108</v>
      </c>
      <c r="CA4661" t="s">
        <v>992</v>
      </c>
      <c r="CC4661" t="s">
        <v>855</v>
      </c>
      <c r="CD4661" s="5" t="s">
        <v>1989</v>
      </c>
      <c r="CE4661" t="s">
        <v>110</v>
      </c>
      <c r="CF4661" s="3">
        <v>45867</v>
      </c>
      <c r="CI4661">
        <v>1</v>
      </c>
      <c r="CJ4661">
        <v>1</v>
      </c>
      <c r="CK4661">
        <v>43</v>
      </c>
      <c r="CL4661" t="s">
        <v>86</v>
      </c>
    </row>
    <row r="4662" spans="1:90" x14ac:dyDescent="0.3">
      <c r="A4662" t="s">
        <v>72</v>
      </c>
      <c r="B4662" t="s">
        <v>73</v>
      </c>
      <c r="C4662" t="s">
        <v>74</v>
      </c>
      <c r="E4662" t="str">
        <f>"080066863078"</f>
        <v>080066863078</v>
      </c>
      <c r="F4662" s="3">
        <v>45867</v>
      </c>
      <c r="G4662">
        <v>202604</v>
      </c>
      <c r="H4662" t="s">
        <v>75</v>
      </c>
      <c r="I4662" t="s">
        <v>76</v>
      </c>
      <c r="J4662" t="s">
        <v>101</v>
      </c>
      <c r="K4662" t="s">
        <v>78</v>
      </c>
      <c r="L4662" t="s">
        <v>319</v>
      </c>
      <c r="M4662" t="s">
        <v>320</v>
      </c>
      <c r="N4662" t="s">
        <v>785</v>
      </c>
      <c r="O4662" t="s">
        <v>95</v>
      </c>
      <c r="P4662" t="str">
        <f>"4170051622                    "</f>
        <v xml:space="preserve">4170051622                    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61.64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AZ4662">
        <v>0</v>
      </c>
      <c r="BA4662">
        <v>0</v>
      </c>
      <c r="BB4662">
        <v>0</v>
      </c>
      <c r="BC4662">
        <v>0</v>
      </c>
      <c r="BD4662">
        <v>0</v>
      </c>
      <c r="BE4662">
        <v>0</v>
      </c>
      <c r="BF4662">
        <v>0</v>
      </c>
      <c r="BG4662">
        <v>0</v>
      </c>
      <c r="BH4662">
        <v>1</v>
      </c>
      <c r="BI4662">
        <v>9</v>
      </c>
      <c r="BJ4662">
        <v>4.8</v>
      </c>
      <c r="BK4662">
        <v>9</v>
      </c>
      <c r="BL4662">
        <v>200.06</v>
      </c>
      <c r="BM4662">
        <v>30.01</v>
      </c>
      <c r="BN4662">
        <v>230.07</v>
      </c>
      <c r="BO4662">
        <v>230.07</v>
      </c>
      <c r="BQ4662" t="s">
        <v>3938</v>
      </c>
      <c r="BR4662" t="s">
        <v>106</v>
      </c>
      <c r="BS4662" s="3">
        <v>45868</v>
      </c>
      <c r="BT4662" s="4">
        <v>0.54652777777777772</v>
      </c>
      <c r="BU4662" t="s">
        <v>3766</v>
      </c>
      <c r="BV4662" t="s">
        <v>98</v>
      </c>
      <c r="BY4662">
        <v>23808</v>
      </c>
      <c r="BZ4662" t="s">
        <v>108</v>
      </c>
      <c r="CA4662" t="s">
        <v>1590</v>
      </c>
      <c r="CC4662" t="s">
        <v>320</v>
      </c>
      <c r="CD4662">
        <v>1028</v>
      </c>
      <c r="CE4662" t="s">
        <v>110</v>
      </c>
      <c r="CF4662" s="3">
        <v>45868</v>
      </c>
      <c r="CI4662">
        <v>1</v>
      </c>
      <c r="CJ4662">
        <v>1</v>
      </c>
      <c r="CK4662">
        <v>43</v>
      </c>
      <c r="CL4662" t="s">
        <v>86</v>
      </c>
    </row>
    <row r="4663" spans="1:90" x14ac:dyDescent="0.3">
      <c r="A4663" t="s">
        <v>72</v>
      </c>
      <c r="B4663" t="s">
        <v>73</v>
      </c>
      <c r="C4663" t="s">
        <v>74</v>
      </c>
      <c r="E4663" t="str">
        <f>"080066863677"</f>
        <v>080066863677</v>
      </c>
      <c r="F4663" s="3">
        <v>45867</v>
      </c>
      <c r="G4663">
        <v>202604</v>
      </c>
      <c r="H4663" t="s">
        <v>75</v>
      </c>
      <c r="I4663" t="s">
        <v>76</v>
      </c>
      <c r="J4663" t="s">
        <v>101</v>
      </c>
      <c r="K4663" t="s">
        <v>78</v>
      </c>
      <c r="L4663" t="s">
        <v>1370</v>
      </c>
      <c r="M4663" t="s">
        <v>1371</v>
      </c>
      <c r="N4663" t="s">
        <v>2067</v>
      </c>
      <c r="O4663" t="s">
        <v>95</v>
      </c>
      <c r="P4663" t="str">
        <f>"4170051693                    "</f>
        <v xml:space="preserve">4170051693                    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61.64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0</v>
      </c>
      <c r="BB4663">
        <v>0</v>
      </c>
      <c r="BC4663">
        <v>0</v>
      </c>
      <c r="BD4663">
        <v>0</v>
      </c>
      <c r="BE4663">
        <v>0</v>
      </c>
      <c r="BF4663">
        <v>0</v>
      </c>
      <c r="BG4663">
        <v>0</v>
      </c>
      <c r="BH4663">
        <v>1</v>
      </c>
      <c r="BI4663">
        <v>3</v>
      </c>
      <c r="BJ4663">
        <v>3.1</v>
      </c>
      <c r="BK4663">
        <v>4</v>
      </c>
      <c r="BL4663">
        <v>200.06</v>
      </c>
      <c r="BM4663">
        <v>30.01</v>
      </c>
      <c r="BN4663">
        <v>230.07</v>
      </c>
      <c r="BO4663">
        <v>230.07</v>
      </c>
      <c r="BQ4663" t="s">
        <v>2068</v>
      </c>
      <c r="BR4663" t="s">
        <v>106</v>
      </c>
      <c r="BS4663" s="3">
        <v>45868</v>
      </c>
      <c r="BT4663" s="4">
        <v>0.48819444444444443</v>
      </c>
      <c r="BU4663" t="s">
        <v>2069</v>
      </c>
      <c r="BV4663" t="s">
        <v>98</v>
      </c>
      <c r="BY4663">
        <v>15360</v>
      </c>
      <c r="BZ4663" t="s">
        <v>108</v>
      </c>
      <c r="CA4663" t="s">
        <v>1375</v>
      </c>
      <c r="CC4663" t="s">
        <v>1371</v>
      </c>
      <c r="CD4663" s="5" t="s">
        <v>1376</v>
      </c>
      <c r="CE4663" t="s">
        <v>110</v>
      </c>
      <c r="CF4663" s="3">
        <v>45869</v>
      </c>
      <c r="CI4663">
        <v>1</v>
      </c>
      <c r="CJ4663">
        <v>1</v>
      </c>
      <c r="CK4663">
        <v>43</v>
      </c>
      <c r="CL4663" t="s">
        <v>86</v>
      </c>
    </row>
    <row r="4664" spans="1:90" x14ac:dyDescent="0.3">
      <c r="A4664" t="s">
        <v>72</v>
      </c>
      <c r="B4664" t="s">
        <v>73</v>
      </c>
      <c r="C4664" t="s">
        <v>74</v>
      </c>
      <c r="E4664" t="str">
        <f>"080066872561"</f>
        <v>080066872561</v>
      </c>
      <c r="F4664" s="3">
        <v>45867</v>
      </c>
      <c r="G4664">
        <v>202604</v>
      </c>
      <c r="H4664" t="s">
        <v>75</v>
      </c>
      <c r="I4664" t="s">
        <v>76</v>
      </c>
      <c r="J4664" t="s">
        <v>101</v>
      </c>
      <c r="K4664" t="s">
        <v>78</v>
      </c>
      <c r="L4664" t="s">
        <v>102</v>
      </c>
      <c r="M4664" t="s">
        <v>103</v>
      </c>
      <c r="N4664" t="s">
        <v>2293</v>
      </c>
      <c r="O4664" t="s">
        <v>95</v>
      </c>
      <c r="P4664" t="str">
        <f>"4170051709                    "</f>
        <v xml:space="preserve">4170051709                    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48.26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0</v>
      </c>
      <c r="BA4664">
        <v>0</v>
      </c>
      <c r="BB4664">
        <v>0</v>
      </c>
      <c r="BC4664">
        <v>0</v>
      </c>
      <c r="BD4664">
        <v>0</v>
      </c>
      <c r="BE4664">
        <v>0</v>
      </c>
      <c r="BF4664">
        <v>0</v>
      </c>
      <c r="BG4664">
        <v>0</v>
      </c>
      <c r="BH4664">
        <v>1</v>
      </c>
      <c r="BI4664">
        <v>14</v>
      </c>
      <c r="BJ4664">
        <v>6.2</v>
      </c>
      <c r="BK4664">
        <v>14</v>
      </c>
      <c r="BL4664">
        <v>157.91999999999999</v>
      </c>
      <c r="BM4664">
        <v>23.69</v>
      </c>
      <c r="BN4664">
        <v>181.61</v>
      </c>
      <c r="BO4664">
        <v>181.61</v>
      </c>
      <c r="BQ4664" t="s">
        <v>3110</v>
      </c>
      <c r="BR4664" t="s">
        <v>106</v>
      </c>
      <c r="BS4664" s="3">
        <v>45868</v>
      </c>
      <c r="BT4664" s="4">
        <v>0.42083333333333334</v>
      </c>
      <c r="BU4664" t="s">
        <v>2295</v>
      </c>
      <c r="BV4664" t="s">
        <v>98</v>
      </c>
      <c r="BY4664">
        <v>31248</v>
      </c>
      <c r="BZ4664" t="s">
        <v>108</v>
      </c>
      <c r="CA4664" t="s">
        <v>2296</v>
      </c>
      <c r="CC4664" t="s">
        <v>103</v>
      </c>
      <c r="CD4664">
        <v>1739</v>
      </c>
      <c r="CE4664" t="s">
        <v>110</v>
      </c>
      <c r="CF4664" s="3">
        <v>45868</v>
      </c>
      <c r="CI4664">
        <v>1</v>
      </c>
      <c r="CJ4664">
        <v>1</v>
      </c>
      <c r="CK4664">
        <v>44</v>
      </c>
      <c r="CL4664" t="s">
        <v>86</v>
      </c>
    </row>
    <row r="4665" spans="1:90" x14ac:dyDescent="0.3">
      <c r="A4665" t="s">
        <v>72</v>
      </c>
      <c r="B4665" t="s">
        <v>73</v>
      </c>
      <c r="C4665" t="s">
        <v>74</v>
      </c>
      <c r="E4665" t="str">
        <f>"080066884831"</f>
        <v>080066884831</v>
      </c>
      <c r="F4665" s="3">
        <v>45868</v>
      </c>
      <c r="G4665">
        <v>202604</v>
      </c>
      <c r="H4665" t="s">
        <v>75</v>
      </c>
      <c r="I4665" t="s">
        <v>76</v>
      </c>
      <c r="J4665" t="s">
        <v>77</v>
      </c>
      <c r="K4665" t="s">
        <v>78</v>
      </c>
      <c r="L4665" t="s">
        <v>79</v>
      </c>
      <c r="M4665" t="s">
        <v>80</v>
      </c>
      <c r="N4665" t="s">
        <v>188</v>
      </c>
      <c r="O4665" t="s">
        <v>82</v>
      </c>
      <c r="P4665" t="str">
        <f>"4170051736                    "</f>
        <v xml:space="preserve">4170051736                    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22.6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  <c r="BE4665">
        <v>0</v>
      </c>
      <c r="BF4665">
        <v>0</v>
      </c>
      <c r="BG4665">
        <v>0</v>
      </c>
      <c r="BH4665">
        <v>1</v>
      </c>
      <c r="BI4665">
        <v>1</v>
      </c>
      <c r="BJ4665">
        <v>0.9</v>
      </c>
      <c r="BK4665">
        <v>1</v>
      </c>
      <c r="BL4665">
        <v>71.2</v>
      </c>
      <c r="BM4665">
        <v>10.68</v>
      </c>
      <c r="BN4665">
        <v>81.88</v>
      </c>
      <c r="BO4665">
        <v>81.88</v>
      </c>
      <c r="BQ4665" t="s">
        <v>189</v>
      </c>
      <c r="BR4665" t="s">
        <v>84</v>
      </c>
      <c r="BS4665" s="3">
        <v>45869</v>
      </c>
      <c r="BT4665" s="4">
        <v>0.42916666666666664</v>
      </c>
      <c r="BU4665" t="s">
        <v>1362</v>
      </c>
      <c r="BV4665" t="s">
        <v>98</v>
      </c>
      <c r="BY4665">
        <v>4275</v>
      </c>
      <c r="CC4665" t="s">
        <v>80</v>
      </c>
      <c r="CD4665">
        <v>7441</v>
      </c>
      <c r="CE4665" t="s">
        <v>259</v>
      </c>
      <c r="CI4665">
        <v>1</v>
      </c>
      <c r="CJ4665">
        <v>1</v>
      </c>
      <c r="CK4665">
        <v>21</v>
      </c>
      <c r="CL4665" t="s">
        <v>86</v>
      </c>
    </row>
    <row r="4666" spans="1:90" x14ac:dyDescent="0.3">
      <c r="A4666" t="s">
        <v>72</v>
      </c>
      <c r="B4666" t="s">
        <v>73</v>
      </c>
      <c r="C4666" t="s">
        <v>74</v>
      </c>
      <c r="E4666" t="str">
        <f>"080066884850"</f>
        <v>080066884850</v>
      </c>
      <c r="F4666" s="3">
        <v>45868</v>
      </c>
      <c r="G4666">
        <v>202604</v>
      </c>
      <c r="H4666" t="s">
        <v>75</v>
      </c>
      <c r="I4666" t="s">
        <v>76</v>
      </c>
      <c r="J4666" t="s">
        <v>77</v>
      </c>
      <c r="K4666" t="s">
        <v>78</v>
      </c>
      <c r="L4666" t="s">
        <v>363</v>
      </c>
      <c r="M4666" t="s">
        <v>364</v>
      </c>
      <c r="N4666" t="s">
        <v>365</v>
      </c>
      <c r="O4666" t="s">
        <v>82</v>
      </c>
      <c r="P4666" t="str">
        <f>"4170051902                    "</f>
        <v xml:space="preserve">4170051902                    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43.78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AZ4666">
        <v>0</v>
      </c>
      <c r="BA4666">
        <v>0</v>
      </c>
      <c r="BB4666">
        <v>0</v>
      </c>
      <c r="BC4666">
        <v>0</v>
      </c>
      <c r="BD4666">
        <v>0</v>
      </c>
      <c r="BE4666">
        <v>0</v>
      </c>
      <c r="BF4666">
        <v>0</v>
      </c>
      <c r="BG4666">
        <v>0</v>
      </c>
      <c r="BH4666">
        <v>1</v>
      </c>
      <c r="BI4666">
        <v>1</v>
      </c>
      <c r="BJ4666">
        <v>0.2</v>
      </c>
      <c r="BK4666">
        <v>1</v>
      </c>
      <c r="BL4666">
        <v>137.94</v>
      </c>
      <c r="BM4666">
        <v>20.69</v>
      </c>
      <c r="BN4666">
        <v>158.63</v>
      </c>
      <c r="BO4666">
        <v>158.63</v>
      </c>
      <c r="BQ4666" t="s">
        <v>1118</v>
      </c>
      <c r="BR4666" t="s">
        <v>84</v>
      </c>
      <c r="BS4666" t="s">
        <v>587</v>
      </c>
      <c r="BY4666">
        <v>1200</v>
      </c>
      <c r="CC4666" t="s">
        <v>364</v>
      </c>
      <c r="CD4666">
        <v>7300</v>
      </c>
      <c r="CE4666" t="s">
        <v>121</v>
      </c>
      <c r="CI4666">
        <v>1</v>
      </c>
      <c r="CJ4666" t="s">
        <v>587</v>
      </c>
      <c r="CK4666">
        <v>23</v>
      </c>
      <c r="CL4666" t="s">
        <v>86</v>
      </c>
    </row>
    <row r="4667" spans="1:90" x14ac:dyDescent="0.3">
      <c r="A4667" t="s">
        <v>72</v>
      </c>
      <c r="B4667" t="s">
        <v>73</v>
      </c>
      <c r="C4667" t="s">
        <v>74</v>
      </c>
      <c r="E4667" t="str">
        <f>"080066884874"</f>
        <v>080066884874</v>
      </c>
      <c r="F4667" s="3">
        <v>45868</v>
      </c>
      <c r="G4667">
        <v>202604</v>
      </c>
      <c r="H4667" t="s">
        <v>75</v>
      </c>
      <c r="I4667" t="s">
        <v>76</v>
      </c>
      <c r="J4667" t="s">
        <v>77</v>
      </c>
      <c r="K4667" t="s">
        <v>78</v>
      </c>
      <c r="L4667" t="s">
        <v>151</v>
      </c>
      <c r="M4667" t="s">
        <v>152</v>
      </c>
      <c r="N4667" t="s">
        <v>1759</v>
      </c>
      <c r="O4667" t="s">
        <v>82</v>
      </c>
      <c r="P4667" t="str">
        <f>"4170051953                    "</f>
        <v xml:space="preserve">4170051953                    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39.53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AZ4667">
        <v>0</v>
      </c>
      <c r="BA4667">
        <v>0</v>
      </c>
      <c r="BB4667">
        <v>0</v>
      </c>
      <c r="BC4667">
        <v>0</v>
      </c>
      <c r="BD4667">
        <v>0</v>
      </c>
      <c r="BE4667">
        <v>0</v>
      </c>
      <c r="BF4667">
        <v>0</v>
      </c>
      <c r="BG4667">
        <v>0</v>
      </c>
      <c r="BH4667">
        <v>1</v>
      </c>
      <c r="BI4667">
        <v>3</v>
      </c>
      <c r="BJ4667">
        <v>3.4</v>
      </c>
      <c r="BK4667">
        <v>3.5</v>
      </c>
      <c r="BL4667">
        <v>124.55</v>
      </c>
      <c r="BM4667">
        <v>18.68</v>
      </c>
      <c r="BN4667">
        <v>143.22999999999999</v>
      </c>
      <c r="BO4667">
        <v>143.22999999999999</v>
      </c>
      <c r="BQ4667" t="s">
        <v>1760</v>
      </c>
      <c r="BR4667" t="s">
        <v>84</v>
      </c>
      <c r="BS4667" s="3">
        <v>45869</v>
      </c>
      <c r="BT4667" s="4">
        <v>0.3576388888888889</v>
      </c>
      <c r="BU4667" t="s">
        <v>2393</v>
      </c>
      <c r="BV4667" t="s">
        <v>98</v>
      </c>
      <c r="BY4667">
        <v>16965</v>
      </c>
      <c r="CA4667" t="s">
        <v>3384</v>
      </c>
      <c r="CC4667" t="s">
        <v>152</v>
      </c>
      <c r="CD4667" s="5" t="s">
        <v>684</v>
      </c>
      <c r="CE4667" t="s">
        <v>145</v>
      </c>
      <c r="CF4667" s="3">
        <v>45869</v>
      </c>
      <c r="CI4667">
        <v>1</v>
      </c>
      <c r="CJ4667">
        <v>1</v>
      </c>
      <c r="CK4667">
        <v>21</v>
      </c>
      <c r="CL4667" t="s">
        <v>86</v>
      </c>
    </row>
    <row r="4668" spans="1:90" x14ac:dyDescent="0.3">
      <c r="A4668" t="s">
        <v>72</v>
      </c>
      <c r="B4668" t="s">
        <v>73</v>
      </c>
      <c r="C4668" t="s">
        <v>74</v>
      </c>
      <c r="E4668" t="str">
        <f>"080066884920"</f>
        <v>080066884920</v>
      </c>
      <c r="F4668" s="3">
        <v>45868</v>
      </c>
      <c r="G4668">
        <v>202604</v>
      </c>
      <c r="H4668" t="s">
        <v>75</v>
      </c>
      <c r="I4668" t="s">
        <v>76</v>
      </c>
      <c r="J4668" t="s">
        <v>77</v>
      </c>
      <c r="K4668" t="s">
        <v>78</v>
      </c>
      <c r="L4668" t="s">
        <v>92</v>
      </c>
      <c r="M4668" t="s">
        <v>93</v>
      </c>
      <c r="N4668" t="s">
        <v>723</v>
      </c>
      <c r="O4668" t="s">
        <v>95</v>
      </c>
      <c r="P4668" t="str">
        <f>"4170051895                    "</f>
        <v xml:space="preserve">4170051895                    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77.98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  <c r="BE4668">
        <v>0</v>
      </c>
      <c r="BF4668">
        <v>0</v>
      </c>
      <c r="BG4668">
        <v>0</v>
      </c>
      <c r="BH4668">
        <v>2</v>
      </c>
      <c r="BI4668">
        <v>34</v>
      </c>
      <c r="BJ4668">
        <v>17.5</v>
      </c>
      <c r="BK4668">
        <v>34</v>
      </c>
      <c r="BL4668">
        <v>251.55</v>
      </c>
      <c r="BM4668">
        <v>37.729999999999997</v>
      </c>
      <c r="BN4668">
        <v>289.27999999999997</v>
      </c>
      <c r="BO4668">
        <v>289.27999999999997</v>
      </c>
      <c r="BQ4668" t="s">
        <v>724</v>
      </c>
      <c r="BR4668" t="s">
        <v>84</v>
      </c>
      <c r="BS4668" t="s">
        <v>587</v>
      </c>
      <c r="BY4668">
        <v>43740</v>
      </c>
      <c r="CC4668" t="s">
        <v>93</v>
      </c>
      <c r="CD4668">
        <v>4000</v>
      </c>
      <c r="CE4668" t="s">
        <v>2742</v>
      </c>
      <c r="CI4668">
        <v>1</v>
      </c>
      <c r="CJ4668" t="s">
        <v>587</v>
      </c>
      <c r="CK4668">
        <v>41</v>
      </c>
      <c r="CL4668" t="s">
        <v>86</v>
      </c>
    </row>
    <row r="4669" spans="1:90" x14ac:dyDescent="0.3">
      <c r="A4669" t="s">
        <v>72</v>
      </c>
      <c r="B4669" t="s">
        <v>73</v>
      </c>
      <c r="C4669" t="s">
        <v>74</v>
      </c>
      <c r="E4669" t="str">
        <f>"080066885203"</f>
        <v>080066885203</v>
      </c>
      <c r="F4669" s="3">
        <v>45868</v>
      </c>
      <c r="G4669">
        <v>202604</v>
      </c>
      <c r="H4669" t="s">
        <v>75</v>
      </c>
      <c r="I4669" t="s">
        <v>76</v>
      </c>
      <c r="J4669" t="s">
        <v>77</v>
      </c>
      <c r="K4669" t="s">
        <v>78</v>
      </c>
      <c r="L4669" t="s">
        <v>92</v>
      </c>
      <c r="M4669" t="s">
        <v>93</v>
      </c>
      <c r="N4669" t="s">
        <v>291</v>
      </c>
      <c r="O4669" t="s">
        <v>82</v>
      </c>
      <c r="P4669" t="str">
        <f>"4170051969                    "</f>
        <v xml:space="preserve">4170051969                    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45.18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0</v>
      </c>
      <c r="BA4669">
        <v>0</v>
      </c>
      <c r="BB4669">
        <v>0</v>
      </c>
      <c r="BC4669">
        <v>0</v>
      </c>
      <c r="BD4669">
        <v>0</v>
      </c>
      <c r="BE4669">
        <v>0</v>
      </c>
      <c r="BF4669">
        <v>0</v>
      </c>
      <c r="BG4669">
        <v>0</v>
      </c>
      <c r="BH4669">
        <v>1</v>
      </c>
      <c r="BI4669">
        <v>2</v>
      </c>
      <c r="BJ4669">
        <v>3.7</v>
      </c>
      <c r="BK4669">
        <v>4</v>
      </c>
      <c r="BL4669">
        <v>142.34</v>
      </c>
      <c r="BM4669">
        <v>21.35</v>
      </c>
      <c r="BN4669">
        <v>163.69</v>
      </c>
      <c r="BO4669">
        <v>163.69</v>
      </c>
      <c r="BQ4669" t="s">
        <v>292</v>
      </c>
      <c r="BR4669" t="s">
        <v>84</v>
      </c>
      <c r="BS4669" s="3">
        <v>45869</v>
      </c>
      <c r="BT4669" s="4">
        <v>0.34027777777777779</v>
      </c>
      <c r="BU4669" t="s">
        <v>847</v>
      </c>
      <c r="BV4669" t="s">
        <v>98</v>
      </c>
      <c r="BY4669">
        <v>18424</v>
      </c>
      <c r="CA4669" t="s">
        <v>294</v>
      </c>
      <c r="CC4669" t="s">
        <v>93</v>
      </c>
      <c r="CD4669">
        <v>4051</v>
      </c>
      <c r="CE4669" t="s">
        <v>91</v>
      </c>
      <c r="CI4669">
        <v>1</v>
      </c>
      <c r="CJ4669">
        <v>1</v>
      </c>
      <c r="CK4669">
        <v>21</v>
      </c>
      <c r="CL4669" t="s">
        <v>86</v>
      </c>
    </row>
    <row r="4670" spans="1:90" x14ac:dyDescent="0.3">
      <c r="A4670" t="s">
        <v>72</v>
      </c>
      <c r="B4670" t="s">
        <v>73</v>
      </c>
      <c r="C4670" t="s">
        <v>74</v>
      </c>
      <c r="E4670" t="str">
        <f>"080066885695"</f>
        <v>080066885695</v>
      </c>
      <c r="F4670" s="3">
        <v>45868</v>
      </c>
      <c r="G4670">
        <v>202604</v>
      </c>
      <c r="H4670" t="s">
        <v>75</v>
      </c>
      <c r="I4670" t="s">
        <v>76</v>
      </c>
      <c r="J4670" t="s">
        <v>77</v>
      </c>
      <c r="K4670" t="s">
        <v>78</v>
      </c>
      <c r="L4670" t="s">
        <v>79</v>
      </c>
      <c r="M4670" t="s">
        <v>80</v>
      </c>
      <c r="N4670" t="s">
        <v>698</v>
      </c>
      <c r="O4670" t="s">
        <v>82</v>
      </c>
      <c r="P4670" t="str">
        <f>"4170051797                    "</f>
        <v xml:space="preserve">4170051797                    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>
        <v>101.63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AZ4670">
        <v>0</v>
      </c>
      <c r="BA4670">
        <v>0</v>
      </c>
      <c r="BB4670">
        <v>0</v>
      </c>
      <c r="BC4670">
        <v>0</v>
      </c>
      <c r="BD4670">
        <v>0</v>
      </c>
      <c r="BE4670">
        <v>0</v>
      </c>
      <c r="BF4670">
        <v>0</v>
      </c>
      <c r="BG4670">
        <v>0</v>
      </c>
      <c r="BH4670">
        <v>1</v>
      </c>
      <c r="BI4670">
        <v>9</v>
      </c>
      <c r="BJ4670">
        <v>4.7</v>
      </c>
      <c r="BK4670">
        <v>9</v>
      </c>
      <c r="BL4670">
        <v>320.19</v>
      </c>
      <c r="BM4670">
        <v>48.03</v>
      </c>
      <c r="BN4670">
        <v>368.22</v>
      </c>
      <c r="BO4670">
        <v>368.22</v>
      </c>
      <c r="BQ4670" t="s">
        <v>699</v>
      </c>
      <c r="BR4670" t="s">
        <v>84</v>
      </c>
      <c r="BS4670" s="3">
        <v>45869</v>
      </c>
      <c r="BT4670" s="4">
        <v>0.38055555555555554</v>
      </c>
      <c r="BU4670" t="s">
        <v>700</v>
      </c>
      <c r="BV4670" t="s">
        <v>98</v>
      </c>
      <c r="BY4670">
        <v>23520</v>
      </c>
      <c r="CA4670" t="s">
        <v>289</v>
      </c>
      <c r="CC4670" t="s">
        <v>80</v>
      </c>
      <c r="CD4670">
        <v>7561</v>
      </c>
      <c r="CE4670" t="s">
        <v>91</v>
      </c>
      <c r="CI4670">
        <v>1</v>
      </c>
      <c r="CJ4670">
        <v>1</v>
      </c>
      <c r="CK4670">
        <v>21</v>
      </c>
      <c r="CL4670" t="s">
        <v>86</v>
      </c>
    </row>
    <row r="4671" spans="1:90" x14ac:dyDescent="0.3">
      <c r="A4671" t="s">
        <v>72</v>
      </c>
      <c r="B4671" t="s">
        <v>73</v>
      </c>
      <c r="C4671" t="s">
        <v>74</v>
      </c>
      <c r="E4671" t="str">
        <f>"080066887245"</f>
        <v>080066887245</v>
      </c>
      <c r="F4671" s="3">
        <v>45868</v>
      </c>
      <c r="G4671">
        <v>202604</v>
      </c>
      <c r="H4671" t="s">
        <v>75</v>
      </c>
      <c r="I4671" t="s">
        <v>76</v>
      </c>
      <c r="J4671" t="s">
        <v>77</v>
      </c>
      <c r="K4671" t="s">
        <v>78</v>
      </c>
      <c r="L4671" t="s">
        <v>92</v>
      </c>
      <c r="M4671" t="s">
        <v>93</v>
      </c>
      <c r="N4671" t="s">
        <v>339</v>
      </c>
      <c r="O4671" t="s">
        <v>82</v>
      </c>
      <c r="P4671" t="str">
        <f>"4170051677                    "</f>
        <v xml:space="preserve">4170051677                    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22.6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AZ4671">
        <v>0</v>
      </c>
      <c r="BA4671">
        <v>0</v>
      </c>
      <c r="BB4671">
        <v>0</v>
      </c>
      <c r="BC4671">
        <v>0</v>
      </c>
      <c r="BD4671">
        <v>0</v>
      </c>
      <c r="BE4671">
        <v>0</v>
      </c>
      <c r="BF4671">
        <v>0</v>
      </c>
      <c r="BG4671">
        <v>0</v>
      </c>
      <c r="BH4671">
        <v>1</v>
      </c>
      <c r="BI4671">
        <v>1</v>
      </c>
      <c r="BJ4671">
        <v>0.9</v>
      </c>
      <c r="BK4671">
        <v>1</v>
      </c>
      <c r="BL4671">
        <v>71.2</v>
      </c>
      <c r="BM4671">
        <v>10.68</v>
      </c>
      <c r="BN4671">
        <v>81.88</v>
      </c>
      <c r="BO4671">
        <v>81.88</v>
      </c>
      <c r="BQ4671" t="s">
        <v>340</v>
      </c>
      <c r="BR4671" t="s">
        <v>84</v>
      </c>
      <c r="BS4671" t="s">
        <v>587</v>
      </c>
      <c r="BY4671">
        <v>4256</v>
      </c>
      <c r="CC4671" t="s">
        <v>93</v>
      </c>
      <c r="CD4671">
        <v>4052</v>
      </c>
      <c r="CE4671" t="s">
        <v>259</v>
      </c>
      <c r="CI4671">
        <v>1</v>
      </c>
      <c r="CJ4671" t="s">
        <v>587</v>
      </c>
      <c r="CK4671">
        <v>21</v>
      </c>
      <c r="CL4671" t="s">
        <v>86</v>
      </c>
    </row>
    <row r="4672" spans="1:90" x14ac:dyDescent="0.3">
      <c r="A4672" t="s">
        <v>72</v>
      </c>
      <c r="B4672" t="s">
        <v>73</v>
      </c>
      <c r="C4672" t="s">
        <v>74</v>
      </c>
      <c r="E4672" t="str">
        <f>"080066888876"</f>
        <v>080066888876</v>
      </c>
      <c r="F4672" s="3">
        <v>45868</v>
      </c>
      <c r="G4672">
        <v>202604</v>
      </c>
      <c r="H4672" t="s">
        <v>75</v>
      </c>
      <c r="I4672" t="s">
        <v>76</v>
      </c>
      <c r="J4672" t="s">
        <v>77</v>
      </c>
      <c r="K4672" t="s">
        <v>78</v>
      </c>
      <c r="L4672" t="s">
        <v>135</v>
      </c>
      <c r="M4672" t="s">
        <v>136</v>
      </c>
      <c r="N4672" t="s">
        <v>416</v>
      </c>
      <c r="O4672" t="s">
        <v>82</v>
      </c>
      <c r="P4672" t="str">
        <f>"4170051828                    "</f>
        <v xml:space="preserve">4170051828                    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>
        <v>22.6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  <c r="BA4672">
        <v>0</v>
      </c>
      <c r="BB4672">
        <v>0</v>
      </c>
      <c r="BC4672">
        <v>0</v>
      </c>
      <c r="BD4672">
        <v>0</v>
      </c>
      <c r="BE4672">
        <v>0</v>
      </c>
      <c r="BF4672">
        <v>0</v>
      </c>
      <c r="BG4672">
        <v>0</v>
      </c>
      <c r="BH4672">
        <v>1</v>
      </c>
      <c r="BI4672">
        <v>1</v>
      </c>
      <c r="BJ4672">
        <v>0.2</v>
      </c>
      <c r="BK4672">
        <v>1</v>
      </c>
      <c r="BL4672">
        <v>71.2</v>
      </c>
      <c r="BM4672">
        <v>10.68</v>
      </c>
      <c r="BN4672">
        <v>81.88</v>
      </c>
      <c r="BO4672">
        <v>81.88</v>
      </c>
      <c r="BQ4672" t="s">
        <v>417</v>
      </c>
      <c r="BR4672" t="s">
        <v>84</v>
      </c>
      <c r="BS4672" t="s">
        <v>587</v>
      </c>
      <c r="BY4672">
        <v>1200</v>
      </c>
      <c r="CC4672" t="s">
        <v>136</v>
      </c>
      <c r="CD4672">
        <v>3201</v>
      </c>
      <c r="CE4672" t="s">
        <v>258</v>
      </c>
      <c r="CI4672">
        <v>1</v>
      </c>
      <c r="CJ4672" t="s">
        <v>587</v>
      </c>
      <c r="CK4672">
        <v>21</v>
      </c>
      <c r="CL4672" t="s">
        <v>86</v>
      </c>
    </row>
    <row r="4673" spans="1:90" x14ac:dyDescent="0.3">
      <c r="A4673" t="s">
        <v>72</v>
      </c>
      <c r="B4673" t="s">
        <v>73</v>
      </c>
      <c r="C4673" t="s">
        <v>74</v>
      </c>
      <c r="E4673" t="str">
        <f>"080066888946"</f>
        <v>080066888946</v>
      </c>
      <c r="F4673" s="3">
        <v>45868</v>
      </c>
      <c r="G4673">
        <v>202604</v>
      </c>
      <c r="H4673" t="s">
        <v>75</v>
      </c>
      <c r="I4673" t="s">
        <v>76</v>
      </c>
      <c r="J4673" t="s">
        <v>77</v>
      </c>
      <c r="K4673" t="s">
        <v>78</v>
      </c>
      <c r="L4673" t="s">
        <v>151</v>
      </c>
      <c r="M4673" t="s">
        <v>152</v>
      </c>
      <c r="N4673" t="s">
        <v>3947</v>
      </c>
      <c r="O4673" t="s">
        <v>82</v>
      </c>
      <c r="P4673" t="str">
        <f>"4170051941                    "</f>
        <v xml:space="preserve">4170051941                    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>
        <v>22.6</v>
      </c>
      <c r="AR4673">
        <v>0</v>
      </c>
      <c r="AS4673">
        <v>0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AZ4673">
        <v>0</v>
      </c>
      <c r="BA4673">
        <v>0</v>
      </c>
      <c r="BB4673">
        <v>0</v>
      </c>
      <c r="BC4673">
        <v>0</v>
      </c>
      <c r="BD4673">
        <v>0</v>
      </c>
      <c r="BE4673">
        <v>0</v>
      </c>
      <c r="BF4673">
        <v>0</v>
      </c>
      <c r="BG4673">
        <v>0</v>
      </c>
      <c r="BH4673">
        <v>1</v>
      </c>
      <c r="BI4673">
        <v>1</v>
      </c>
      <c r="BJ4673">
        <v>0.2</v>
      </c>
      <c r="BK4673">
        <v>1</v>
      </c>
      <c r="BL4673">
        <v>71.2</v>
      </c>
      <c r="BM4673">
        <v>10.68</v>
      </c>
      <c r="BN4673">
        <v>81.88</v>
      </c>
      <c r="BO4673">
        <v>81.88</v>
      </c>
      <c r="BQ4673" t="s">
        <v>3948</v>
      </c>
      <c r="BR4673" t="s">
        <v>84</v>
      </c>
      <c r="BS4673" s="3">
        <v>45869</v>
      </c>
      <c r="BT4673" s="4">
        <v>0.39791666666666664</v>
      </c>
      <c r="BU4673" t="s">
        <v>3949</v>
      </c>
      <c r="BV4673" t="s">
        <v>98</v>
      </c>
      <c r="BY4673">
        <v>1200</v>
      </c>
      <c r="CA4673" t="s">
        <v>3706</v>
      </c>
      <c r="CC4673" t="s">
        <v>152</v>
      </c>
      <c r="CD4673" s="5" t="s">
        <v>717</v>
      </c>
      <c r="CE4673" t="s">
        <v>121</v>
      </c>
      <c r="CI4673">
        <v>1</v>
      </c>
      <c r="CJ4673">
        <v>1</v>
      </c>
      <c r="CK4673">
        <v>21</v>
      </c>
      <c r="CL4673" t="s">
        <v>86</v>
      </c>
    </row>
    <row r="4674" spans="1:90" x14ac:dyDescent="0.3">
      <c r="A4674" t="s">
        <v>72</v>
      </c>
      <c r="B4674" t="s">
        <v>73</v>
      </c>
      <c r="C4674" t="s">
        <v>74</v>
      </c>
      <c r="E4674" t="str">
        <f>"080066889004"</f>
        <v>080066889004</v>
      </c>
      <c r="F4674" s="3">
        <v>45868</v>
      </c>
      <c r="G4674">
        <v>202604</v>
      </c>
      <c r="H4674" t="s">
        <v>75</v>
      </c>
      <c r="I4674" t="s">
        <v>76</v>
      </c>
      <c r="J4674" t="s">
        <v>77</v>
      </c>
      <c r="K4674" t="s">
        <v>78</v>
      </c>
      <c r="L4674" t="s">
        <v>197</v>
      </c>
      <c r="M4674" t="s">
        <v>198</v>
      </c>
      <c r="N4674" t="s">
        <v>3950</v>
      </c>
      <c r="O4674" t="s">
        <v>82</v>
      </c>
      <c r="P4674" t="str">
        <f>"4170051968                    "</f>
        <v xml:space="preserve">4170051968                    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17.649999999999999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AZ4674">
        <v>0</v>
      </c>
      <c r="BA4674">
        <v>0</v>
      </c>
      <c r="BB4674">
        <v>0</v>
      </c>
      <c r="BC4674">
        <v>0</v>
      </c>
      <c r="BD4674">
        <v>0</v>
      </c>
      <c r="BE4674">
        <v>0</v>
      </c>
      <c r="BF4674">
        <v>0</v>
      </c>
      <c r="BG4674">
        <v>0</v>
      </c>
      <c r="BH4674">
        <v>1</v>
      </c>
      <c r="BI4674">
        <v>1</v>
      </c>
      <c r="BJ4674">
        <v>0.2</v>
      </c>
      <c r="BK4674">
        <v>1</v>
      </c>
      <c r="BL4674">
        <v>55.61</v>
      </c>
      <c r="BM4674">
        <v>8.34</v>
      </c>
      <c r="BN4674">
        <v>63.95</v>
      </c>
      <c r="BO4674">
        <v>63.95</v>
      </c>
      <c r="BQ4674" t="s">
        <v>3951</v>
      </c>
      <c r="BR4674" t="s">
        <v>84</v>
      </c>
      <c r="BS4674" s="3">
        <v>45869</v>
      </c>
      <c r="BT4674" s="4">
        <v>0.35138888888888886</v>
      </c>
      <c r="BU4674" t="s">
        <v>975</v>
      </c>
      <c r="BV4674" t="s">
        <v>98</v>
      </c>
      <c r="BY4674">
        <v>1200</v>
      </c>
      <c r="CA4674" t="s">
        <v>318</v>
      </c>
      <c r="CC4674" t="s">
        <v>198</v>
      </c>
      <c r="CD4674">
        <v>1422</v>
      </c>
      <c r="CE4674" t="s">
        <v>121</v>
      </c>
      <c r="CI4674">
        <v>1</v>
      </c>
      <c r="CJ4674">
        <v>1</v>
      </c>
      <c r="CK4674">
        <v>22</v>
      </c>
      <c r="CL4674" t="s">
        <v>86</v>
      </c>
    </row>
    <row r="4675" spans="1:90" x14ac:dyDescent="0.3">
      <c r="A4675" t="s">
        <v>72</v>
      </c>
      <c r="B4675" t="s">
        <v>73</v>
      </c>
      <c r="C4675" t="s">
        <v>74</v>
      </c>
      <c r="E4675" t="str">
        <f>"080066889028"</f>
        <v>080066889028</v>
      </c>
      <c r="F4675" s="3">
        <v>45868</v>
      </c>
      <c r="G4675">
        <v>202604</v>
      </c>
      <c r="H4675" t="s">
        <v>75</v>
      </c>
      <c r="I4675" t="s">
        <v>76</v>
      </c>
      <c r="J4675" t="s">
        <v>77</v>
      </c>
      <c r="K4675" t="s">
        <v>78</v>
      </c>
      <c r="L4675" t="s">
        <v>111</v>
      </c>
      <c r="M4675" t="s">
        <v>112</v>
      </c>
      <c r="N4675" t="s">
        <v>113</v>
      </c>
      <c r="O4675" t="s">
        <v>82</v>
      </c>
      <c r="P4675" t="str">
        <f>"4170051971                    "</f>
        <v xml:space="preserve">4170051971                    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43.78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AZ4675">
        <v>0</v>
      </c>
      <c r="BA4675">
        <v>0</v>
      </c>
      <c r="BB4675">
        <v>0</v>
      </c>
      <c r="BC4675">
        <v>0</v>
      </c>
      <c r="BD4675">
        <v>0</v>
      </c>
      <c r="BE4675">
        <v>0</v>
      </c>
      <c r="BF4675">
        <v>0</v>
      </c>
      <c r="BG4675">
        <v>0</v>
      </c>
      <c r="BH4675">
        <v>1</v>
      </c>
      <c r="BI4675">
        <v>1</v>
      </c>
      <c r="BJ4675">
        <v>0.2</v>
      </c>
      <c r="BK4675">
        <v>1</v>
      </c>
      <c r="BL4675">
        <v>137.94</v>
      </c>
      <c r="BM4675">
        <v>20.69</v>
      </c>
      <c r="BN4675">
        <v>158.63</v>
      </c>
      <c r="BO4675">
        <v>158.63</v>
      </c>
      <c r="BQ4675" t="s">
        <v>537</v>
      </c>
      <c r="BR4675" t="s">
        <v>84</v>
      </c>
      <c r="BS4675" t="s">
        <v>587</v>
      </c>
      <c r="BY4675">
        <v>1200</v>
      </c>
      <c r="CC4675" t="s">
        <v>112</v>
      </c>
      <c r="CD4675">
        <v>1871</v>
      </c>
      <c r="CE4675" t="s">
        <v>121</v>
      </c>
      <c r="CI4675">
        <v>1</v>
      </c>
      <c r="CJ4675" t="s">
        <v>587</v>
      </c>
      <c r="CK4675">
        <v>23</v>
      </c>
      <c r="CL4675" t="s">
        <v>86</v>
      </c>
    </row>
    <row r="4676" spans="1:90" x14ac:dyDescent="0.3">
      <c r="A4676" t="s">
        <v>72</v>
      </c>
      <c r="B4676" t="s">
        <v>73</v>
      </c>
      <c r="C4676" t="s">
        <v>74</v>
      </c>
      <c r="E4676" t="str">
        <f>"080066889059"</f>
        <v>080066889059</v>
      </c>
      <c r="F4676" s="3">
        <v>45868</v>
      </c>
      <c r="G4676">
        <v>202604</v>
      </c>
      <c r="H4676" t="s">
        <v>75</v>
      </c>
      <c r="I4676" t="s">
        <v>76</v>
      </c>
      <c r="J4676" t="s">
        <v>77</v>
      </c>
      <c r="K4676" t="s">
        <v>78</v>
      </c>
      <c r="L4676" t="s">
        <v>146</v>
      </c>
      <c r="M4676" t="s">
        <v>146</v>
      </c>
      <c r="N4676" t="s">
        <v>986</v>
      </c>
      <c r="O4676" t="s">
        <v>82</v>
      </c>
      <c r="P4676" t="str">
        <f>"4170051924                    "</f>
        <v xml:space="preserve">4170051924                    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43.78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0</v>
      </c>
      <c r="BB4676">
        <v>0</v>
      </c>
      <c r="BC4676">
        <v>0</v>
      </c>
      <c r="BD4676">
        <v>0</v>
      </c>
      <c r="BE4676">
        <v>0</v>
      </c>
      <c r="BF4676">
        <v>0</v>
      </c>
      <c r="BG4676">
        <v>0</v>
      </c>
      <c r="BH4676">
        <v>1</v>
      </c>
      <c r="BI4676">
        <v>1</v>
      </c>
      <c r="BJ4676">
        <v>0.2</v>
      </c>
      <c r="BK4676">
        <v>1</v>
      </c>
      <c r="BL4676">
        <v>137.94</v>
      </c>
      <c r="BM4676">
        <v>20.69</v>
      </c>
      <c r="BN4676">
        <v>158.63</v>
      </c>
      <c r="BO4676">
        <v>158.63</v>
      </c>
      <c r="BQ4676" t="s">
        <v>987</v>
      </c>
      <c r="BR4676" t="s">
        <v>84</v>
      </c>
      <c r="BS4676" s="3">
        <v>45869</v>
      </c>
      <c r="BT4676" s="4">
        <v>0.53611111111111109</v>
      </c>
      <c r="BU4676" t="s">
        <v>635</v>
      </c>
      <c r="BV4676" t="s">
        <v>98</v>
      </c>
      <c r="BY4676">
        <v>1200</v>
      </c>
      <c r="CA4676" t="s">
        <v>150</v>
      </c>
      <c r="CC4676" t="s">
        <v>146</v>
      </c>
      <c r="CD4676">
        <v>7646</v>
      </c>
      <c r="CE4676" t="s">
        <v>121</v>
      </c>
      <c r="CI4676">
        <v>1</v>
      </c>
      <c r="CJ4676">
        <v>1</v>
      </c>
      <c r="CK4676">
        <v>23</v>
      </c>
      <c r="CL4676" t="s">
        <v>86</v>
      </c>
    </row>
    <row r="4677" spans="1:90" x14ac:dyDescent="0.3">
      <c r="A4677" t="s">
        <v>72</v>
      </c>
      <c r="B4677" t="s">
        <v>73</v>
      </c>
      <c r="C4677" t="s">
        <v>74</v>
      </c>
      <c r="E4677" t="str">
        <f>"080066889096"</f>
        <v>080066889096</v>
      </c>
      <c r="F4677" s="3">
        <v>45868</v>
      </c>
      <c r="G4677">
        <v>202604</v>
      </c>
      <c r="H4677" t="s">
        <v>75</v>
      </c>
      <c r="I4677" t="s">
        <v>76</v>
      </c>
      <c r="J4677" t="s">
        <v>77</v>
      </c>
      <c r="K4677" t="s">
        <v>78</v>
      </c>
      <c r="L4677" t="s">
        <v>92</v>
      </c>
      <c r="M4677" t="s">
        <v>93</v>
      </c>
      <c r="N4677" t="s">
        <v>291</v>
      </c>
      <c r="O4677" t="s">
        <v>82</v>
      </c>
      <c r="P4677" t="str">
        <f>"4170051965                    "</f>
        <v xml:space="preserve">4170051965                    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>
        <v>22.6</v>
      </c>
      <c r="AR4677">
        <v>0</v>
      </c>
      <c r="AS4677">
        <v>0</v>
      </c>
      <c r="AT4677">
        <v>0</v>
      </c>
      <c r="AU4677">
        <v>0</v>
      </c>
      <c r="AV4677">
        <v>0</v>
      </c>
      <c r="AW4677">
        <v>0</v>
      </c>
      <c r="AX4677">
        <v>0</v>
      </c>
      <c r="AY4677">
        <v>0</v>
      </c>
      <c r="AZ4677">
        <v>0</v>
      </c>
      <c r="BA4677">
        <v>0</v>
      </c>
      <c r="BB4677">
        <v>0</v>
      </c>
      <c r="BC4677">
        <v>0</v>
      </c>
      <c r="BD4677">
        <v>0</v>
      </c>
      <c r="BE4677">
        <v>0</v>
      </c>
      <c r="BF4677">
        <v>0</v>
      </c>
      <c r="BG4677">
        <v>0</v>
      </c>
      <c r="BH4677">
        <v>1</v>
      </c>
      <c r="BI4677">
        <v>1</v>
      </c>
      <c r="BJ4677">
        <v>0.2</v>
      </c>
      <c r="BK4677">
        <v>1</v>
      </c>
      <c r="BL4677">
        <v>71.2</v>
      </c>
      <c r="BM4677">
        <v>10.68</v>
      </c>
      <c r="BN4677">
        <v>81.88</v>
      </c>
      <c r="BO4677">
        <v>81.88</v>
      </c>
      <c r="BQ4677" t="s">
        <v>292</v>
      </c>
      <c r="BR4677" t="s">
        <v>84</v>
      </c>
      <c r="BS4677" s="3">
        <v>45869</v>
      </c>
      <c r="BT4677" s="4">
        <v>0.34027777777777779</v>
      </c>
      <c r="BU4677" t="s">
        <v>847</v>
      </c>
      <c r="BV4677" t="s">
        <v>98</v>
      </c>
      <c r="BY4677">
        <v>1200</v>
      </c>
      <c r="CA4677" t="s">
        <v>294</v>
      </c>
      <c r="CC4677" t="s">
        <v>93</v>
      </c>
      <c r="CD4677">
        <v>4051</v>
      </c>
      <c r="CE4677" t="s">
        <v>121</v>
      </c>
      <c r="CI4677">
        <v>1</v>
      </c>
      <c r="CJ4677">
        <v>1</v>
      </c>
      <c r="CK4677">
        <v>21</v>
      </c>
      <c r="CL4677" t="s">
        <v>86</v>
      </c>
    </row>
    <row r="4678" spans="1:90" x14ac:dyDescent="0.3">
      <c r="A4678" t="s">
        <v>72</v>
      </c>
      <c r="B4678" t="s">
        <v>73</v>
      </c>
      <c r="C4678" t="s">
        <v>74</v>
      </c>
      <c r="E4678" t="str">
        <f>"080066889125"</f>
        <v>080066889125</v>
      </c>
      <c r="F4678" s="3">
        <v>45868</v>
      </c>
      <c r="G4678">
        <v>202604</v>
      </c>
      <c r="H4678" t="s">
        <v>75</v>
      </c>
      <c r="I4678" t="s">
        <v>76</v>
      </c>
      <c r="J4678" t="s">
        <v>77</v>
      </c>
      <c r="K4678" t="s">
        <v>78</v>
      </c>
      <c r="L4678" t="s">
        <v>135</v>
      </c>
      <c r="M4678" t="s">
        <v>136</v>
      </c>
      <c r="N4678" t="s">
        <v>416</v>
      </c>
      <c r="O4678" t="s">
        <v>82</v>
      </c>
      <c r="P4678" t="str">
        <f>"4170051843                    "</f>
        <v xml:space="preserve">4170051843                    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22.6</v>
      </c>
      <c r="AR4678">
        <v>0</v>
      </c>
      <c r="AS4678">
        <v>0</v>
      </c>
      <c r="AT4678">
        <v>0</v>
      </c>
      <c r="AU4678">
        <v>0</v>
      </c>
      <c r="AV4678">
        <v>0</v>
      </c>
      <c r="AW4678">
        <v>0</v>
      </c>
      <c r="AX4678">
        <v>0</v>
      </c>
      <c r="AY4678">
        <v>0</v>
      </c>
      <c r="AZ4678">
        <v>0</v>
      </c>
      <c r="BA4678">
        <v>0</v>
      </c>
      <c r="BB4678">
        <v>0</v>
      </c>
      <c r="BC4678">
        <v>0</v>
      </c>
      <c r="BD4678">
        <v>0</v>
      </c>
      <c r="BE4678">
        <v>0</v>
      </c>
      <c r="BF4678">
        <v>0</v>
      </c>
      <c r="BG4678">
        <v>0</v>
      </c>
      <c r="BH4678">
        <v>1</v>
      </c>
      <c r="BI4678">
        <v>1</v>
      </c>
      <c r="BJ4678">
        <v>0.2</v>
      </c>
      <c r="BK4678">
        <v>1</v>
      </c>
      <c r="BL4678">
        <v>71.2</v>
      </c>
      <c r="BM4678">
        <v>10.68</v>
      </c>
      <c r="BN4678">
        <v>81.88</v>
      </c>
      <c r="BO4678">
        <v>81.88</v>
      </c>
      <c r="BQ4678" t="s">
        <v>417</v>
      </c>
      <c r="BR4678" t="s">
        <v>84</v>
      </c>
      <c r="BS4678" t="s">
        <v>587</v>
      </c>
      <c r="BY4678">
        <v>1200</v>
      </c>
      <c r="CC4678" t="s">
        <v>136</v>
      </c>
      <c r="CD4678">
        <v>3201</v>
      </c>
      <c r="CE4678" t="s">
        <v>121</v>
      </c>
      <c r="CI4678">
        <v>1</v>
      </c>
      <c r="CJ4678" t="s">
        <v>587</v>
      </c>
      <c r="CK4678">
        <v>21</v>
      </c>
      <c r="CL4678" t="s">
        <v>86</v>
      </c>
    </row>
    <row r="4679" spans="1:90" x14ac:dyDescent="0.3">
      <c r="A4679" t="s">
        <v>72</v>
      </c>
      <c r="B4679" t="s">
        <v>73</v>
      </c>
      <c r="C4679" t="s">
        <v>74</v>
      </c>
      <c r="E4679" t="str">
        <f>"080066889149"</f>
        <v>080066889149</v>
      </c>
      <c r="F4679" s="3">
        <v>45868</v>
      </c>
      <c r="G4679">
        <v>202604</v>
      </c>
      <c r="H4679" t="s">
        <v>75</v>
      </c>
      <c r="I4679" t="s">
        <v>76</v>
      </c>
      <c r="J4679" t="s">
        <v>77</v>
      </c>
      <c r="K4679" t="s">
        <v>78</v>
      </c>
      <c r="L4679" t="s">
        <v>548</v>
      </c>
      <c r="M4679" t="s">
        <v>549</v>
      </c>
      <c r="N4679" t="s">
        <v>550</v>
      </c>
      <c r="O4679" t="s">
        <v>82</v>
      </c>
      <c r="P4679" t="str">
        <f>"4170051751                    "</f>
        <v xml:space="preserve">4170051751                    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43.78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  <c r="BE4679">
        <v>0</v>
      </c>
      <c r="BF4679">
        <v>0</v>
      </c>
      <c r="BG4679">
        <v>0</v>
      </c>
      <c r="BH4679">
        <v>1</v>
      </c>
      <c r="BI4679">
        <v>1</v>
      </c>
      <c r="BJ4679">
        <v>0.2</v>
      </c>
      <c r="BK4679">
        <v>1</v>
      </c>
      <c r="BL4679">
        <v>137.94</v>
      </c>
      <c r="BM4679">
        <v>20.69</v>
      </c>
      <c r="BN4679">
        <v>158.63</v>
      </c>
      <c r="BO4679">
        <v>158.63</v>
      </c>
      <c r="BQ4679" t="s">
        <v>551</v>
      </c>
      <c r="BR4679" t="s">
        <v>84</v>
      </c>
      <c r="BS4679" s="3">
        <v>45869</v>
      </c>
      <c r="BT4679" s="4">
        <v>0.43125000000000002</v>
      </c>
      <c r="BU4679" t="s">
        <v>3952</v>
      </c>
      <c r="BV4679" t="s">
        <v>98</v>
      </c>
      <c r="BY4679">
        <v>1200</v>
      </c>
      <c r="CA4679" t="s">
        <v>553</v>
      </c>
      <c r="CC4679" t="s">
        <v>549</v>
      </c>
      <c r="CD4679">
        <v>5257</v>
      </c>
      <c r="CE4679" t="s">
        <v>121</v>
      </c>
      <c r="CI4679">
        <v>1</v>
      </c>
      <c r="CJ4679">
        <v>1</v>
      </c>
      <c r="CK4679">
        <v>23</v>
      </c>
      <c r="CL4679" t="s">
        <v>86</v>
      </c>
    </row>
    <row r="4680" spans="1:90" x14ac:dyDescent="0.3">
      <c r="A4680" t="s">
        <v>72</v>
      </c>
      <c r="B4680" t="s">
        <v>73</v>
      </c>
      <c r="C4680" t="s">
        <v>74</v>
      </c>
      <c r="E4680" t="str">
        <f>"080066889194"</f>
        <v>080066889194</v>
      </c>
      <c r="F4680" s="3">
        <v>45868</v>
      </c>
      <c r="G4680">
        <v>202604</v>
      </c>
      <c r="H4680" t="s">
        <v>75</v>
      </c>
      <c r="I4680" t="s">
        <v>76</v>
      </c>
      <c r="J4680" t="s">
        <v>77</v>
      </c>
      <c r="K4680" t="s">
        <v>78</v>
      </c>
      <c r="L4680" t="s">
        <v>151</v>
      </c>
      <c r="M4680" t="s">
        <v>152</v>
      </c>
      <c r="N4680" t="s">
        <v>3733</v>
      </c>
      <c r="O4680" t="s">
        <v>95</v>
      </c>
      <c r="P4680" t="str">
        <f>"4170051926                    "</f>
        <v xml:space="preserve">4170051926                    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52.72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>
        <v>0</v>
      </c>
      <c r="BC4680">
        <v>0</v>
      </c>
      <c r="BD4680">
        <v>0</v>
      </c>
      <c r="BE4680">
        <v>0</v>
      </c>
      <c r="BF4680">
        <v>0</v>
      </c>
      <c r="BG4680">
        <v>0</v>
      </c>
      <c r="BH4680">
        <v>1</v>
      </c>
      <c r="BI4680">
        <v>20</v>
      </c>
      <c r="BJ4680">
        <v>8.8000000000000007</v>
      </c>
      <c r="BK4680">
        <v>20</v>
      </c>
      <c r="BL4680">
        <v>171.97</v>
      </c>
      <c r="BM4680">
        <v>25.8</v>
      </c>
      <c r="BN4680">
        <v>197.77</v>
      </c>
      <c r="BO4680">
        <v>197.77</v>
      </c>
      <c r="BQ4680" t="s">
        <v>3734</v>
      </c>
      <c r="BR4680" t="s">
        <v>84</v>
      </c>
      <c r="BS4680" t="s">
        <v>587</v>
      </c>
      <c r="BY4680">
        <v>44200</v>
      </c>
      <c r="CC4680" t="s">
        <v>152</v>
      </c>
      <c r="CD4680" s="5" t="s">
        <v>717</v>
      </c>
      <c r="CE4680" t="s">
        <v>3893</v>
      </c>
      <c r="CI4680">
        <v>1</v>
      </c>
      <c r="CJ4680" t="s">
        <v>587</v>
      </c>
      <c r="CK4680">
        <v>41</v>
      </c>
      <c r="CL4680" t="s">
        <v>86</v>
      </c>
    </row>
    <row r="4681" spans="1:90" x14ac:dyDescent="0.3">
      <c r="A4681" t="s">
        <v>72</v>
      </c>
      <c r="B4681" t="s">
        <v>73</v>
      </c>
      <c r="C4681" t="s">
        <v>74</v>
      </c>
      <c r="E4681" t="str">
        <f>"080066889290"</f>
        <v>080066889290</v>
      </c>
      <c r="F4681" s="3">
        <v>45868</v>
      </c>
      <c r="G4681">
        <v>202604</v>
      </c>
      <c r="H4681" t="s">
        <v>75</v>
      </c>
      <c r="I4681" t="s">
        <v>76</v>
      </c>
      <c r="J4681" t="s">
        <v>77</v>
      </c>
      <c r="K4681" t="s">
        <v>78</v>
      </c>
      <c r="L4681" t="s">
        <v>79</v>
      </c>
      <c r="M4681" t="s">
        <v>80</v>
      </c>
      <c r="N4681" t="s">
        <v>662</v>
      </c>
      <c r="O4681" t="s">
        <v>82</v>
      </c>
      <c r="P4681" t="str">
        <f>"4170051933                    "</f>
        <v xml:space="preserve">4170051933                    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79.05</v>
      </c>
      <c r="AR4681">
        <v>0</v>
      </c>
      <c r="AS4681">
        <v>0</v>
      </c>
      <c r="AT4681">
        <v>0</v>
      </c>
      <c r="AU4681">
        <v>0</v>
      </c>
      <c r="AV4681">
        <v>0</v>
      </c>
      <c r="AW4681">
        <v>0</v>
      </c>
      <c r="AX4681">
        <v>0</v>
      </c>
      <c r="AY4681">
        <v>0</v>
      </c>
      <c r="AZ4681">
        <v>0</v>
      </c>
      <c r="BA4681">
        <v>0</v>
      </c>
      <c r="BB4681">
        <v>0</v>
      </c>
      <c r="BC4681">
        <v>0</v>
      </c>
      <c r="BD4681">
        <v>0</v>
      </c>
      <c r="BE4681">
        <v>0</v>
      </c>
      <c r="BF4681">
        <v>0</v>
      </c>
      <c r="BG4681">
        <v>0</v>
      </c>
      <c r="BH4681">
        <v>1</v>
      </c>
      <c r="BI4681">
        <v>4</v>
      </c>
      <c r="BJ4681">
        <v>7</v>
      </c>
      <c r="BK4681">
        <v>7</v>
      </c>
      <c r="BL4681">
        <v>249.05</v>
      </c>
      <c r="BM4681">
        <v>37.36</v>
      </c>
      <c r="BN4681">
        <v>286.41000000000003</v>
      </c>
      <c r="BO4681">
        <v>286.41000000000003</v>
      </c>
      <c r="BQ4681" t="s">
        <v>663</v>
      </c>
      <c r="BR4681" t="s">
        <v>84</v>
      </c>
      <c r="BS4681" s="3">
        <v>45869</v>
      </c>
      <c r="BT4681" s="4">
        <v>0.42638888888888887</v>
      </c>
      <c r="BU4681" t="s">
        <v>3953</v>
      </c>
      <c r="BV4681" t="s">
        <v>98</v>
      </c>
      <c r="BY4681">
        <v>34800</v>
      </c>
      <c r="CA4681" t="s">
        <v>3397</v>
      </c>
      <c r="CC4681" t="s">
        <v>80</v>
      </c>
      <c r="CD4681">
        <v>7945</v>
      </c>
      <c r="CE4681" t="s">
        <v>91</v>
      </c>
      <c r="CI4681">
        <v>1</v>
      </c>
      <c r="CJ4681">
        <v>1</v>
      </c>
      <c r="CK4681">
        <v>21</v>
      </c>
      <c r="CL4681" t="s">
        <v>86</v>
      </c>
    </row>
    <row r="4682" spans="1:90" x14ac:dyDescent="0.3">
      <c r="A4682" t="s">
        <v>72</v>
      </c>
      <c r="B4682" t="s">
        <v>73</v>
      </c>
      <c r="C4682" t="s">
        <v>74</v>
      </c>
      <c r="E4682" t="str">
        <f>"080066889428"</f>
        <v>080066889428</v>
      </c>
      <c r="F4682" s="3">
        <v>45868</v>
      </c>
      <c r="G4682">
        <v>202604</v>
      </c>
      <c r="H4682" t="s">
        <v>75</v>
      </c>
      <c r="I4682" t="s">
        <v>76</v>
      </c>
      <c r="J4682" t="s">
        <v>77</v>
      </c>
      <c r="K4682" t="s">
        <v>78</v>
      </c>
      <c r="L4682" t="s">
        <v>75</v>
      </c>
      <c r="M4682" t="s">
        <v>76</v>
      </c>
      <c r="N4682" t="s">
        <v>1469</v>
      </c>
      <c r="O4682" t="s">
        <v>311</v>
      </c>
      <c r="P4682" t="str">
        <f>"4170051780                    "</f>
        <v xml:space="preserve">4170051780                    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17.66</v>
      </c>
      <c r="AR4682">
        <v>0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</v>
      </c>
      <c r="BA4682">
        <v>0</v>
      </c>
      <c r="BB4682">
        <v>0</v>
      </c>
      <c r="BC4682">
        <v>0</v>
      </c>
      <c r="BD4682">
        <v>0</v>
      </c>
      <c r="BE4682">
        <v>0</v>
      </c>
      <c r="BF4682">
        <v>0</v>
      </c>
      <c r="BG4682">
        <v>0</v>
      </c>
      <c r="BH4682">
        <v>1</v>
      </c>
      <c r="BI4682">
        <v>7</v>
      </c>
      <c r="BJ4682">
        <v>3.5</v>
      </c>
      <c r="BK4682">
        <v>7</v>
      </c>
      <c r="BL4682">
        <v>55.63</v>
      </c>
      <c r="BM4682">
        <v>8.34</v>
      </c>
      <c r="BN4682">
        <v>63.97</v>
      </c>
      <c r="BO4682">
        <v>63.97</v>
      </c>
      <c r="BQ4682" t="s">
        <v>1470</v>
      </c>
      <c r="BR4682" t="s">
        <v>84</v>
      </c>
      <c r="BS4682" s="3">
        <v>45869</v>
      </c>
      <c r="BT4682" s="4">
        <v>0.32430555555555557</v>
      </c>
      <c r="BU4682" t="s">
        <v>3954</v>
      </c>
      <c r="BV4682" t="s">
        <v>98</v>
      </c>
      <c r="BY4682">
        <v>17400</v>
      </c>
      <c r="CA4682" t="s">
        <v>471</v>
      </c>
      <c r="CC4682" t="s">
        <v>76</v>
      </c>
      <c r="CD4682">
        <v>1609</v>
      </c>
      <c r="CE4682" t="s">
        <v>145</v>
      </c>
      <c r="CI4682">
        <v>1</v>
      </c>
      <c r="CJ4682">
        <v>1</v>
      </c>
      <c r="CK4682">
        <v>32</v>
      </c>
      <c r="CL4682" t="s">
        <v>86</v>
      </c>
    </row>
    <row r="4683" spans="1:90" x14ac:dyDescent="0.3">
      <c r="A4683" t="s">
        <v>72</v>
      </c>
      <c r="B4683" t="s">
        <v>73</v>
      </c>
      <c r="C4683" t="s">
        <v>74</v>
      </c>
      <c r="E4683" t="str">
        <f>"080066889468"</f>
        <v>080066889468</v>
      </c>
      <c r="F4683" s="3">
        <v>45868</v>
      </c>
      <c r="G4683">
        <v>202604</v>
      </c>
      <c r="H4683" t="s">
        <v>75</v>
      </c>
      <c r="I4683" t="s">
        <v>76</v>
      </c>
      <c r="J4683" t="s">
        <v>77</v>
      </c>
      <c r="K4683" t="s">
        <v>78</v>
      </c>
      <c r="L4683" t="s">
        <v>168</v>
      </c>
      <c r="M4683" t="s">
        <v>169</v>
      </c>
      <c r="N4683" t="s">
        <v>202</v>
      </c>
      <c r="O4683" t="s">
        <v>82</v>
      </c>
      <c r="P4683" t="str">
        <f>"4170051931                    "</f>
        <v xml:space="preserve">4170051931                    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45.18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0</v>
      </c>
      <c r="BA4683">
        <v>0</v>
      </c>
      <c r="BB4683">
        <v>0</v>
      </c>
      <c r="BC4683">
        <v>0</v>
      </c>
      <c r="BD4683">
        <v>0</v>
      </c>
      <c r="BE4683">
        <v>0</v>
      </c>
      <c r="BF4683">
        <v>0</v>
      </c>
      <c r="BG4683">
        <v>0</v>
      </c>
      <c r="BH4683">
        <v>1</v>
      </c>
      <c r="BI4683">
        <v>4</v>
      </c>
      <c r="BJ4683">
        <v>1.7</v>
      </c>
      <c r="BK4683">
        <v>4</v>
      </c>
      <c r="BL4683">
        <v>142.34</v>
      </c>
      <c r="BM4683">
        <v>21.35</v>
      </c>
      <c r="BN4683">
        <v>163.69</v>
      </c>
      <c r="BO4683">
        <v>163.69</v>
      </c>
      <c r="BQ4683" t="s">
        <v>203</v>
      </c>
      <c r="BR4683" t="s">
        <v>84</v>
      </c>
      <c r="BS4683" s="3">
        <v>45869</v>
      </c>
      <c r="BT4683" s="4">
        <v>0.40138888888888891</v>
      </c>
      <c r="BU4683" t="s">
        <v>1127</v>
      </c>
      <c r="BV4683" t="s">
        <v>98</v>
      </c>
      <c r="BY4683">
        <v>8512</v>
      </c>
      <c r="CA4683" t="s">
        <v>3850</v>
      </c>
      <c r="CC4683" t="s">
        <v>169</v>
      </c>
      <c r="CD4683">
        <v>6001</v>
      </c>
      <c r="CE4683" t="s">
        <v>145</v>
      </c>
      <c r="CI4683">
        <v>1</v>
      </c>
      <c r="CJ4683">
        <v>1</v>
      </c>
      <c r="CK4683">
        <v>21</v>
      </c>
      <c r="CL4683" t="s">
        <v>86</v>
      </c>
    </row>
    <row r="4684" spans="1:90" x14ac:dyDescent="0.3">
      <c r="A4684" t="s">
        <v>72</v>
      </c>
      <c r="B4684" t="s">
        <v>73</v>
      </c>
      <c r="C4684" t="s">
        <v>74</v>
      </c>
      <c r="E4684" t="str">
        <f>"080066889520"</f>
        <v>080066889520</v>
      </c>
      <c r="F4684" s="3">
        <v>45868</v>
      </c>
      <c r="G4684">
        <v>202604</v>
      </c>
      <c r="H4684" t="s">
        <v>75</v>
      </c>
      <c r="I4684" t="s">
        <v>76</v>
      </c>
      <c r="J4684" t="s">
        <v>77</v>
      </c>
      <c r="K4684" t="s">
        <v>78</v>
      </c>
      <c r="L4684" t="s">
        <v>128</v>
      </c>
      <c r="M4684" t="s">
        <v>129</v>
      </c>
      <c r="N4684" t="s">
        <v>130</v>
      </c>
      <c r="O4684" t="s">
        <v>82</v>
      </c>
      <c r="P4684" t="str">
        <f>"4170051784                    "</f>
        <v xml:space="preserve">4170051784                    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43.78</v>
      </c>
      <c r="AR4684">
        <v>0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AZ4684">
        <v>0</v>
      </c>
      <c r="BA4684">
        <v>0</v>
      </c>
      <c r="BB4684">
        <v>0</v>
      </c>
      <c r="BC4684">
        <v>0</v>
      </c>
      <c r="BD4684">
        <v>0</v>
      </c>
      <c r="BE4684">
        <v>0</v>
      </c>
      <c r="BF4684">
        <v>0</v>
      </c>
      <c r="BG4684">
        <v>0</v>
      </c>
      <c r="BH4684">
        <v>1</v>
      </c>
      <c r="BI4684">
        <v>2</v>
      </c>
      <c r="BJ4684">
        <v>1.7</v>
      </c>
      <c r="BK4684">
        <v>2</v>
      </c>
      <c r="BL4684">
        <v>137.94</v>
      </c>
      <c r="BM4684">
        <v>20.69</v>
      </c>
      <c r="BN4684">
        <v>158.63</v>
      </c>
      <c r="BO4684">
        <v>158.63</v>
      </c>
      <c r="BQ4684" t="s">
        <v>131</v>
      </c>
      <c r="BR4684" t="s">
        <v>84</v>
      </c>
      <c r="BS4684" s="3">
        <v>45869</v>
      </c>
      <c r="BT4684" s="4">
        <v>0.63055555555555554</v>
      </c>
      <c r="BU4684" t="s">
        <v>132</v>
      </c>
      <c r="BV4684" t="s">
        <v>98</v>
      </c>
      <c r="BY4684">
        <v>8512</v>
      </c>
      <c r="CA4684" t="s">
        <v>133</v>
      </c>
      <c r="CC4684" t="s">
        <v>129</v>
      </c>
      <c r="CD4684" s="5" t="s">
        <v>134</v>
      </c>
      <c r="CE4684" t="s">
        <v>145</v>
      </c>
      <c r="CI4684">
        <v>1</v>
      </c>
      <c r="CJ4684">
        <v>1</v>
      </c>
      <c r="CK4684">
        <v>23</v>
      </c>
      <c r="CL4684" t="s">
        <v>86</v>
      </c>
    </row>
    <row r="4685" spans="1:90" x14ac:dyDescent="0.3">
      <c r="A4685" t="s">
        <v>72</v>
      </c>
      <c r="B4685" t="s">
        <v>73</v>
      </c>
      <c r="C4685" t="s">
        <v>74</v>
      </c>
      <c r="E4685" t="str">
        <f>"080066889720"</f>
        <v>080066889720</v>
      </c>
      <c r="F4685" s="3">
        <v>45868</v>
      </c>
      <c r="G4685">
        <v>202604</v>
      </c>
      <c r="H4685" t="s">
        <v>75</v>
      </c>
      <c r="I4685" t="s">
        <v>76</v>
      </c>
      <c r="J4685" t="s">
        <v>77</v>
      </c>
      <c r="K4685" t="s">
        <v>78</v>
      </c>
      <c r="L4685" t="s">
        <v>92</v>
      </c>
      <c r="M4685" t="s">
        <v>93</v>
      </c>
      <c r="N4685" t="s">
        <v>843</v>
      </c>
      <c r="O4685" t="s">
        <v>82</v>
      </c>
      <c r="P4685" t="str">
        <f>"4170051782                    "</f>
        <v xml:space="preserve">4170051782                    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22.6</v>
      </c>
      <c r="AR4685">
        <v>0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AZ4685">
        <v>0</v>
      </c>
      <c r="BA4685">
        <v>0</v>
      </c>
      <c r="BB4685">
        <v>0</v>
      </c>
      <c r="BC4685">
        <v>0</v>
      </c>
      <c r="BD4685">
        <v>0</v>
      </c>
      <c r="BE4685">
        <v>0</v>
      </c>
      <c r="BF4685">
        <v>0</v>
      </c>
      <c r="BG4685">
        <v>0</v>
      </c>
      <c r="BH4685">
        <v>1</v>
      </c>
      <c r="BI4685">
        <v>1</v>
      </c>
      <c r="BJ4685">
        <v>0.2</v>
      </c>
      <c r="BK4685">
        <v>1</v>
      </c>
      <c r="BL4685">
        <v>71.2</v>
      </c>
      <c r="BM4685">
        <v>10.68</v>
      </c>
      <c r="BN4685">
        <v>81.88</v>
      </c>
      <c r="BO4685">
        <v>81.88</v>
      </c>
      <c r="BQ4685" t="s">
        <v>844</v>
      </c>
      <c r="BR4685" t="s">
        <v>84</v>
      </c>
      <c r="BS4685" s="3">
        <v>45869</v>
      </c>
      <c r="BT4685" s="4">
        <v>0.36805555555555558</v>
      </c>
      <c r="BU4685" t="s">
        <v>3955</v>
      </c>
      <c r="BV4685" t="s">
        <v>98</v>
      </c>
      <c r="BY4685">
        <v>1200</v>
      </c>
      <c r="CA4685" t="s">
        <v>2430</v>
      </c>
      <c r="CC4685" t="s">
        <v>93</v>
      </c>
      <c r="CD4685">
        <v>4001</v>
      </c>
      <c r="CE4685" t="s">
        <v>121</v>
      </c>
      <c r="CI4685">
        <v>1</v>
      </c>
      <c r="CJ4685">
        <v>1</v>
      </c>
      <c r="CK4685">
        <v>21</v>
      </c>
      <c r="CL4685" t="s">
        <v>86</v>
      </c>
    </row>
    <row r="4686" spans="1:90" x14ac:dyDescent="0.3">
      <c r="A4686" t="s">
        <v>72</v>
      </c>
      <c r="B4686" t="s">
        <v>73</v>
      </c>
      <c r="C4686" t="s">
        <v>74</v>
      </c>
      <c r="E4686" t="str">
        <f>"080066889752"</f>
        <v>080066889752</v>
      </c>
      <c r="F4686" s="3">
        <v>45868</v>
      </c>
      <c r="G4686">
        <v>202604</v>
      </c>
      <c r="H4686" t="s">
        <v>75</v>
      </c>
      <c r="I4686" t="s">
        <v>76</v>
      </c>
      <c r="J4686" t="s">
        <v>77</v>
      </c>
      <c r="K4686" t="s">
        <v>78</v>
      </c>
      <c r="L4686" t="s">
        <v>305</v>
      </c>
      <c r="M4686" t="s">
        <v>306</v>
      </c>
      <c r="N4686" t="s">
        <v>1154</v>
      </c>
      <c r="O4686" t="s">
        <v>82</v>
      </c>
      <c r="P4686" t="str">
        <f>"4170051776                    "</f>
        <v xml:space="preserve">4170051776                    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22.6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AZ4686">
        <v>0</v>
      </c>
      <c r="BA4686">
        <v>0</v>
      </c>
      <c r="BB4686">
        <v>0</v>
      </c>
      <c r="BC4686">
        <v>0</v>
      </c>
      <c r="BD4686">
        <v>0</v>
      </c>
      <c r="BE4686">
        <v>0</v>
      </c>
      <c r="BF4686">
        <v>0</v>
      </c>
      <c r="BG4686">
        <v>0</v>
      </c>
      <c r="BH4686">
        <v>1</v>
      </c>
      <c r="BI4686">
        <v>1</v>
      </c>
      <c r="BJ4686">
        <v>0.2</v>
      </c>
      <c r="BK4686">
        <v>1</v>
      </c>
      <c r="BL4686">
        <v>71.2</v>
      </c>
      <c r="BM4686">
        <v>10.68</v>
      </c>
      <c r="BN4686">
        <v>81.88</v>
      </c>
      <c r="BO4686">
        <v>81.88</v>
      </c>
      <c r="BQ4686" t="s">
        <v>1155</v>
      </c>
      <c r="BR4686" t="s">
        <v>84</v>
      </c>
      <c r="BS4686" s="3">
        <v>45869</v>
      </c>
      <c r="BT4686" s="4">
        <v>0.55347222222222225</v>
      </c>
      <c r="BU4686" t="s">
        <v>2720</v>
      </c>
      <c r="BV4686" t="s">
        <v>86</v>
      </c>
      <c r="BY4686">
        <v>1200</v>
      </c>
      <c r="CA4686" t="s">
        <v>1157</v>
      </c>
      <c r="CC4686" t="s">
        <v>306</v>
      </c>
      <c r="CD4686">
        <v>5200</v>
      </c>
      <c r="CE4686" t="s">
        <v>121</v>
      </c>
      <c r="CI4686">
        <v>1</v>
      </c>
      <c r="CJ4686">
        <v>1</v>
      </c>
      <c r="CK4686">
        <v>21</v>
      </c>
      <c r="CL4686" t="s">
        <v>86</v>
      </c>
    </row>
    <row r="4687" spans="1:90" x14ac:dyDescent="0.3">
      <c r="A4687" t="s">
        <v>72</v>
      </c>
      <c r="B4687" t="s">
        <v>73</v>
      </c>
      <c r="C4687" t="s">
        <v>74</v>
      </c>
      <c r="E4687" t="str">
        <f>"080066889773"</f>
        <v>080066889773</v>
      </c>
      <c r="F4687" s="3">
        <v>45868</v>
      </c>
      <c r="G4687">
        <v>202604</v>
      </c>
      <c r="H4687" t="s">
        <v>75</v>
      </c>
      <c r="I4687" t="s">
        <v>76</v>
      </c>
      <c r="J4687" t="s">
        <v>77</v>
      </c>
      <c r="K4687" t="s">
        <v>78</v>
      </c>
      <c r="L4687" t="s">
        <v>554</v>
      </c>
      <c r="M4687" t="s">
        <v>555</v>
      </c>
      <c r="N4687" t="s">
        <v>556</v>
      </c>
      <c r="O4687" t="s">
        <v>82</v>
      </c>
      <c r="P4687" t="str">
        <f>"4170051896                    "</f>
        <v xml:space="preserve">4170051896                    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22.6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AZ4687">
        <v>0</v>
      </c>
      <c r="BA4687">
        <v>0</v>
      </c>
      <c r="BB4687">
        <v>0</v>
      </c>
      <c r="BC4687">
        <v>0</v>
      </c>
      <c r="BD4687">
        <v>0</v>
      </c>
      <c r="BE4687">
        <v>0</v>
      </c>
      <c r="BF4687">
        <v>0</v>
      </c>
      <c r="BG4687">
        <v>0</v>
      </c>
      <c r="BH4687">
        <v>1</v>
      </c>
      <c r="BI4687">
        <v>1</v>
      </c>
      <c r="BJ4687">
        <v>0.2</v>
      </c>
      <c r="BK4687">
        <v>1</v>
      </c>
      <c r="BL4687">
        <v>71.2</v>
      </c>
      <c r="BM4687">
        <v>10.68</v>
      </c>
      <c r="BN4687">
        <v>81.88</v>
      </c>
      <c r="BO4687">
        <v>81.88</v>
      </c>
      <c r="BQ4687" t="s">
        <v>557</v>
      </c>
      <c r="BR4687" t="s">
        <v>84</v>
      </c>
      <c r="BS4687" s="3">
        <v>45869</v>
      </c>
      <c r="BT4687" s="4">
        <v>0.38194444444444442</v>
      </c>
      <c r="BU4687" t="s">
        <v>558</v>
      </c>
      <c r="BV4687" t="s">
        <v>98</v>
      </c>
      <c r="BY4687">
        <v>1200</v>
      </c>
      <c r="CA4687" t="s">
        <v>559</v>
      </c>
      <c r="CC4687" t="s">
        <v>555</v>
      </c>
      <c r="CD4687" s="5" t="s">
        <v>560</v>
      </c>
      <c r="CE4687" t="s">
        <v>121</v>
      </c>
      <c r="CI4687">
        <v>1</v>
      </c>
      <c r="CJ4687">
        <v>1</v>
      </c>
      <c r="CK4687">
        <v>21</v>
      </c>
      <c r="CL4687" t="s">
        <v>86</v>
      </c>
    </row>
    <row r="4688" spans="1:90" x14ac:dyDescent="0.3">
      <c r="A4688" t="s">
        <v>72</v>
      </c>
      <c r="B4688" t="s">
        <v>73</v>
      </c>
      <c r="C4688" t="s">
        <v>74</v>
      </c>
      <c r="E4688" t="str">
        <f>"080066889821"</f>
        <v>080066889821</v>
      </c>
      <c r="F4688" s="3">
        <v>45868</v>
      </c>
      <c r="G4688">
        <v>202604</v>
      </c>
      <c r="H4688" t="s">
        <v>75</v>
      </c>
      <c r="I4688" t="s">
        <v>76</v>
      </c>
      <c r="J4688" t="s">
        <v>77</v>
      </c>
      <c r="K4688" t="s">
        <v>78</v>
      </c>
      <c r="L4688" t="s">
        <v>168</v>
      </c>
      <c r="M4688" t="s">
        <v>169</v>
      </c>
      <c r="N4688" t="s">
        <v>1871</v>
      </c>
      <c r="O4688" t="s">
        <v>82</v>
      </c>
      <c r="P4688" t="str">
        <f>"4170052032                    "</f>
        <v xml:space="preserve">4170052032                    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22.6</v>
      </c>
      <c r="AR4688">
        <v>0</v>
      </c>
      <c r="AS4688">
        <v>0</v>
      </c>
      <c r="AT4688">
        <v>0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0</v>
      </c>
      <c r="BA4688">
        <v>0</v>
      </c>
      <c r="BB4688">
        <v>0</v>
      </c>
      <c r="BC4688">
        <v>0</v>
      </c>
      <c r="BD4688">
        <v>0</v>
      </c>
      <c r="BE4688">
        <v>0</v>
      </c>
      <c r="BF4688">
        <v>0</v>
      </c>
      <c r="BG4688">
        <v>0</v>
      </c>
      <c r="BH4688">
        <v>1</v>
      </c>
      <c r="BI4688">
        <v>1</v>
      </c>
      <c r="BJ4688">
        <v>0.2</v>
      </c>
      <c r="BK4688">
        <v>1</v>
      </c>
      <c r="BL4688">
        <v>71.2</v>
      </c>
      <c r="BM4688">
        <v>10.68</v>
      </c>
      <c r="BN4688">
        <v>81.88</v>
      </c>
      <c r="BO4688">
        <v>81.88</v>
      </c>
      <c r="BQ4688" t="s">
        <v>3956</v>
      </c>
      <c r="BR4688" t="s">
        <v>84</v>
      </c>
      <c r="BS4688" t="s">
        <v>587</v>
      </c>
      <c r="BY4688">
        <v>1200</v>
      </c>
      <c r="CC4688" t="s">
        <v>169</v>
      </c>
      <c r="CD4688">
        <v>6012</v>
      </c>
      <c r="CE4688" t="s">
        <v>121</v>
      </c>
      <c r="CI4688">
        <v>1</v>
      </c>
      <c r="CJ4688" t="s">
        <v>587</v>
      </c>
      <c r="CK4688">
        <v>21</v>
      </c>
      <c r="CL4688" t="s">
        <v>86</v>
      </c>
    </row>
    <row r="4689" spans="1:90" x14ac:dyDescent="0.3">
      <c r="A4689" t="s">
        <v>72</v>
      </c>
      <c r="B4689" t="s">
        <v>73</v>
      </c>
      <c r="C4689" t="s">
        <v>74</v>
      </c>
      <c r="E4689" t="str">
        <f>"080066889910"</f>
        <v>080066889910</v>
      </c>
      <c r="F4689" s="3">
        <v>45868</v>
      </c>
      <c r="G4689">
        <v>202604</v>
      </c>
      <c r="H4689" t="s">
        <v>75</v>
      </c>
      <c r="I4689" t="s">
        <v>76</v>
      </c>
      <c r="J4689" t="s">
        <v>77</v>
      </c>
      <c r="K4689" t="s">
        <v>78</v>
      </c>
      <c r="L4689" t="s">
        <v>503</v>
      </c>
      <c r="M4689" t="s">
        <v>504</v>
      </c>
      <c r="N4689" t="s">
        <v>505</v>
      </c>
      <c r="O4689" t="s">
        <v>82</v>
      </c>
      <c r="P4689" t="str">
        <f>"4170051857                    "</f>
        <v xml:space="preserve">4170051857                    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43.78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  <c r="BA4689">
        <v>0</v>
      </c>
      <c r="BB4689">
        <v>0</v>
      </c>
      <c r="BC4689">
        <v>0</v>
      </c>
      <c r="BD4689">
        <v>0</v>
      </c>
      <c r="BE4689">
        <v>0</v>
      </c>
      <c r="BF4689">
        <v>0</v>
      </c>
      <c r="BG4689">
        <v>0</v>
      </c>
      <c r="BH4689">
        <v>1</v>
      </c>
      <c r="BI4689">
        <v>2</v>
      </c>
      <c r="BJ4689">
        <v>1.4</v>
      </c>
      <c r="BK4689">
        <v>2</v>
      </c>
      <c r="BL4689">
        <v>137.94</v>
      </c>
      <c r="BM4689">
        <v>20.69</v>
      </c>
      <c r="BN4689">
        <v>158.63</v>
      </c>
      <c r="BO4689">
        <v>158.63</v>
      </c>
      <c r="BQ4689" t="s">
        <v>506</v>
      </c>
      <c r="BR4689" t="s">
        <v>84</v>
      </c>
      <c r="BS4689" s="3">
        <v>45869</v>
      </c>
      <c r="BT4689" s="4">
        <v>0.38958333333333334</v>
      </c>
      <c r="BU4689" t="s">
        <v>1235</v>
      </c>
      <c r="BV4689" t="s">
        <v>98</v>
      </c>
      <c r="BY4689">
        <v>7000</v>
      </c>
      <c r="CA4689" t="s">
        <v>508</v>
      </c>
      <c r="CC4689" t="s">
        <v>504</v>
      </c>
      <c r="CD4689">
        <v>7130</v>
      </c>
      <c r="CE4689" t="s">
        <v>145</v>
      </c>
      <c r="CI4689">
        <v>1</v>
      </c>
      <c r="CJ4689">
        <v>1</v>
      </c>
      <c r="CK4689">
        <v>23</v>
      </c>
      <c r="CL4689" t="s">
        <v>86</v>
      </c>
    </row>
    <row r="4690" spans="1:90" x14ac:dyDescent="0.3">
      <c r="A4690" t="s">
        <v>72</v>
      </c>
      <c r="B4690" t="s">
        <v>73</v>
      </c>
      <c r="C4690" t="s">
        <v>74</v>
      </c>
      <c r="E4690" t="str">
        <f>"080066889948"</f>
        <v>080066889948</v>
      </c>
      <c r="F4690" s="3">
        <v>45868</v>
      </c>
      <c r="G4690">
        <v>202604</v>
      </c>
      <c r="H4690" t="s">
        <v>75</v>
      </c>
      <c r="I4690" t="s">
        <v>76</v>
      </c>
      <c r="J4690" t="s">
        <v>77</v>
      </c>
      <c r="K4690" t="s">
        <v>78</v>
      </c>
      <c r="L4690" t="s">
        <v>135</v>
      </c>
      <c r="M4690" t="s">
        <v>136</v>
      </c>
      <c r="N4690" t="s">
        <v>416</v>
      </c>
      <c r="O4690" t="s">
        <v>82</v>
      </c>
      <c r="P4690" t="str">
        <f>"4170051973                    "</f>
        <v xml:space="preserve">4170051973                    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22.6</v>
      </c>
      <c r="AR4690">
        <v>0</v>
      </c>
      <c r="AS4690">
        <v>0</v>
      </c>
      <c r="AT4690">
        <v>0</v>
      </c>
      <c r="AU4690">
        <v>0</v>
      </c>
      <c r="AV4690">
        <v>0</v>
      </c>
      <c r="AW4690">
        <v>0</v>
      </c>
      <c r="AX4690">
        <v>0</v>
      </c>
      <c r="AY4690">
        <v>0</v>
      </c>
      <c r="AZ4690">
        <v>0</v>
      </c>
      <c r="BA4690">
        <v>0</v>
      </c>
      <c r="BB4690">
        <v>0</v>
      </c>
      <c r="BC4690">
        <v>0</v>
      </c>
      <c r="BD4690">
        <v>0</v>
      </c>
      <c r="BE4690">
        <v>0</v>
      </c>
      <c r="BF4690">
        <v>0</v>
      </c>
      <c r="BG4690">
        <v>0</v>
      </c>
      <c r="BH4690">
        <v>1</v>
      </c>
      <c r="BI4690">
        <v>1</v>
      </c>
      <c r="BJ4690">
        <v>0.2</v>
      </c>
      <c r="BK4690">
        <v>1</v>
      </c>
      <c r="BL4690">
        <v>71.2</v>
      </c>
      <c r="BM4690">
        <v>10.68</v>
      </c>
      <c r="BN4690">
        <v>81.88</v>
      </c>
      <c r="BO4690">
        <v>81.88</v>
      </c>
      <c r="BQ4690" t="s">
        <v>417</v>
      </c>
      <c r="BR4690" t="s">
        <v>84</v>
      </c>
      <c r="BS4690" t="s">
        <v>587</v>
      </c>
      <c r="BY4690">
        <v>1200</v>
      </c>
      <c r="CC4690" t="s">
        <v>136</v>
      </c>
      <c r="CD4690">
        <v>3201</v>
      </c>
      <c r="CE4690" t="s">
        <v>121</v>
      </c>
      <c r="CI4690">
        <v>1</v>
      </c>
      <c r="CJ4690" t="s">
        <v>587</v>
      </c>
      <c r="CK4690">
        <v>21</v>
      </c>
      <c r="CL4690" t="s">
        <v>86</v>
      </c>
    </row>
    <row r="4691" spans="1:90" x14ac:dyDescent="0.3">
      <c r="A4691" t="s">
        <v>72</v>
      </c>
      <c r="B4691" t="s">
        <v>73</v>
      </c>
      <c r="C4691" t="s">
        <v>74</v>
      </c>
      <c r="E4691" t="str">
        <f>"080066889909"</f>
        <v>080066889909</v>
      </c>
      <c r="F4691" s="3">
        <v>45868</v>
      </c>
      <c r="G4691">
        <v>202604</v>
      </c>
      <c r="H4691" t="s">
        <v>75</v>
      </c>
      <c r="I4691" t="s">
        <v>76</v>
      </c>
      <c r="J4691" t="s">
        <v>77</v>
      </c>
      <c r="K4691" t="s">
        <v>78</v>
      </c>
      <c r="L4691" t="s">
        <v>240</v>
      </c>
      <c r="M4691" t="s">
        <v>241</v>
      </c>
      <c r="N4691" t="s">
        <v>3957</v>
      </c>
      <c r="O4691" t="s">
        <v>82</v>
      </c>
      <c r="P4691" t="str">
        <f>"4170051961                    "</f>
        <v xml:space="preserve">4170051961                    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17.649999999999999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>
        <v>0</v>
      </c>
      <c r="BC4691">
        <v>0</v>
      </c>
      <c r="BD4691">
        <v>0</v>
      </c>
      <c r="BE4691">
        <v>0</v>
      </c>
      <c r="BF4691">
        <v>0</v>
      </c>
      <c r="BG4691">
        <v>0</v>
      </c>
      <c r="BH4691">
        <v>1</v>
      </c>
      <c r="BI4691">
        <v>1</v>
      </c>
      <c r="BJ4691">
        <v>0.2</v>
      </c>
      <c r="BK4691">
        <v>1</v>
      </c>
      <c r="BL4691">
        <v>55.61</v>
      </c>
      <c r="BM4691">
        <v>8.34</v>
      </c>
      <c r="BN4691">
        <v>63.95</v>
      </c>
      <c r="BO4691">
        <v>63.95</v>
      </c>
      <c r="BQ4691" t="s">
        <v>3958</v>
      </c>
      <c r="BR4691" t="s">
        <v>84</v>
      </c>
      <c r="BS4691" t="s">
        <v>587</v>
      </c>
      <c r="BW4691" t="s">
        <v>3078</v>
      </c>
      <c r="BX4691" t="s">
        <v>1420</v>
      </c>
      <c r="BY4691">
        <v>1200</v>
      </c>
      <c r="CC4691" t="s">
        <v>241</v>
      </c>
      <c r="CD4691">
        <v>2157</v>
      </c>
      <c r="CE4691" t="s">
        <v>121</v>
      </c>
      <c r="CI4691">
        <v>1</v>
      </c>
      <c r="CJ4691" t="s">
        <v>587</v>
      </c>
      <c r="CK4691">
        <v>22</v>
      </c>
      <c r="CL4691" t="s">
        <v>86</v>
      </c>
    </row>
    <row r="4692" spans="1:90" x14ac:dyDescent="0.3">
      <c r="A4692" t="s">
        <v>72</v>
      </c>
      <c r="B4692" t="s">
        <v>73</v>
      </c>
      <c r="C4692" t="s">
        <v>74</v>
      </c>
      <c r="E4692" t="str">
        <f>"080066889970"</f>
        <v>080066889970</v>
      </c>
      <c r="F4692" s="3">
        <v>45868</v>
      </c>
      <c r="G4692">
        <v>202604</v>
      </c>
      <c r="H4692" t="s">
        <v>75</v>
      </c>
      <c r="I4692" t="s">
        <v>76</v>
      </c>
      <c r="J4692" t="s">
        <v>77</v>
      </c>
      <c r="K4692" t="s">
        <v>78</v>
      </c>
      <c r="L4692" t="s">
        <v>305</v>
      </c>
      <c r="M4692" t="s">
        <v>306</v>
      </c>
      <c r="N4692" t="s">
        <v>1154</v>
      </c>
      <c r="O4692" t="s">
        <v>82</v>
      </c>
      <c r="P4692" t="str">
        <f>"4170052017                    "</f>
        <v xml:space="preserve">4170052017                    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>
        <v>22.6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  <c r="BE4692">
        <v>0</v>
      </c>
      <c r="BF4692">
        <v>0</v>
      </c>
      <c r="BG4692">
        <v>0</v>
      </c>
      <c r="BH4692">
        <v>1</v>
      </c>
      <c r="BI4692">
        <v>2</v>
      </c>
      <c r="BJ4692">
        <v>1.7</v>
      </c>
      <c r="BK4692">
        <v>2</v>
      </c>
      <c r="BL4692">
        <v>71.2</v>
      </c>
      <c r="BM4692">
        <v>10.68</v>
      </c>
      <c r="BN4692">
        <v>81.88</v>
      </c>
      <c r="BO4692">
        <v>81.88</v>
      </c>
      <c r="BQ4692" t="s">
        <v>1155</v>
      </c>
      <c r="BR4692" t="s">
        <v>84</v>
      </c>
      <c r="BS4692" s="3">
        <v>45869</v>
      </c>
      <c r="BT4692" s="4">
        <v>0.55833333333333335</v>
      </c>
      <c r="BU4692" t="s">
        <v>2720</v>
      </c>
      <c r="BV4692" t="s">
        <v>86</v>
      </c>
      <c r="BY4692">
        <v>8512</v>
      </c>
      <c r="CA4692" t="s">
        <v>1157</v>
      </c>
      <c r="CC4692" t="s">
        <v>306</v>
      </c>
      <c r="CD4692">
        <v>5201</v>
      </c>
      <c r="CE4692" t="s">
        <v>145</v>
      </c>
      <c r="CI4692">
        <v>1</v>
      </c>
      <c r="CJ4692">
        <v>1</v>
      </c>
      <c r="CK4692">
        <v>21</v>
      </c>
      <c r="CL4692" t="s">
        <v>86</v>
      </c>
    </row>
    <row r="4693" spans="1:90" x14ac:dyDescent="0.3">
      <c r="A4693" t="s">
        <v>72</v>
      </c>
      <c r="B4693" t="s">
        <v>73</v>
      </c>
      <c r="C4693" t="s">
        <v>74</v>
      </c>
      <c r="E4693" t="str">
        <f>"080066889985"</f>
        <v>080066889985</v>
      </c>
      <c r="F4693" s="3">
        <v>45868</v>
      </c>
      <c r="G4693">
        <v>202604</v>
      </c>
      <c r="H4693" t="s">
        <v>75</v>
      </c>
      <c r="I4693" t="s">
        <v>76</v>
      </c>
      <c r="J4693" t="s">
        <v>77</v>
      </c>
      <c r="K4693" t="s">
        <v>78</v>
      </c>
      <c r="L4693" t="s">
        <v>168</v>
      </c>
      <c r="M4693" t="s">
        <v>169</v>
      </c>
      <c r="N4693" t="s">
        <v>206</v>
      </c>
      <c r="O4693" t="s">
        <v>82</v>
      </c>
      <c r="P4693" t="str">
        <f>"4170051799                    "</f>
        <v xml:space="preserve">4170051799                    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22.6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0</v>
      </c>
      <c r="BB4693">
        <v>0</v>
      </c>
      <c r="BC4693">
        <v>0</v>
      </c>
      <c r="BD4693">
        <v>0</v>
      </c>
      <c r="BE4693">
        <v>0</v>
      </c>
      <c r="BF4693">
        <v>0</v>
      </c>
      <c r="BG4693">
        <v>0</v>
      </c>
      <c r="BH4693">
        <v>1</v>
      </c>
      <c r="BI4693">
        <v>1</v>
      </c>
      <c r="BJ4693">
        <v>0.2</v>
      </c>
      <c r="BK4693">
        <v>1</v>
      </c>
      <c r="BL4693">
        <v>71.2</v>
      </c>
      <c r="BM4693">
        <v>10.68</v>
      </c>
      <c r="BN4693">
        <v>81.88</v>
      </c>
      <c r="BO4693">
        <v>81.88</v>
      </c>
      <c r="BQ4693" t="s">
        <v>207</v>
      </c>
      <c r="BR4693" t="s">
        <v>84</v>
      </c>
      <c r="BS4693" s="3">
        <v>45869</v>
      </c>
      <c r="BT4693" s="4">
        <v>0.40416666666666667</v>
      </c>
      <c r="BU4693" t="s">
        <v>208</v>
      </c>
      <c r="BV4693" t="s">
        <v>98</v>
      </c>
      <c r="BY4693">
        <v>1200</v>
      </c>
      <c r="CA4693" t="s">
        <v>196</v>
      </c>
      <c r="CC4693" t="s">
        <v>169</v>
      </c>
      <c r="CD4693">
        <v>6001</v>
      </c>
      <c r="CE4693" t="s">
        <v>110</v>
      </c>
      <c r="CI4693">
        <v>1</v>
      </c>
      <c r="CJ4693">
        <v>1</v>
      </c>
      <c r="CK4693">
        <v>21</v>
      </c>
      <c r="CL4693" t="s">
        <v>86</v>
      </c>
    </row>
    <row r="4694" spans="1:90" x14ac:dyDescent="0.3">
      <c r="A4694" t="s">
        <v>72</v>
      </c>
      <c r="B4694" t="s">
        <v>73</v>
      </c>
      <c r="C4694" t="s">
        <v>74</v>
      </c>
      <c r="E4694" t="str">
        <f>"080066889997"</f>
        <v>080066889997</v>
      </c>
      <c r="F4694" s="3">
        <v>45868</v>
      </c>
      <c r="G4694">
        <v>202604</v>
      </c>
      <c r="H4694" t="s">
        <v>75</v>
      </c>
      <c r="I4694" t="s">
        <v>76</v>
      </c>
      <c r="J4694" t="s">
        <v>77</v>
      </c>
      <c r="K4694" t="s">
        <v>78</v>
      </c>
      <c r="L4694" t="s">
        <v>151</v>
      </c>
      <c r="M4694" t="s">
        <v>152</v>
      </c>
      <c r="N4694" t="s">
        <v>1212</v>
      </c>
      <c r="O4694" t="s">
        <v>82</v>
      </c>
      <c r="P4694" t="str">
        <f>"4170051888                    "</f>
        <v xml:space="preserve">4170051888                    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>
        <v>22.6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0</v>
      </c>
      <c r="BB4694">
        <v>0</v>
      </c>
      <c r="BC4694">
        <v>0</v>
      </c>
      <c r="BD4694">
        <v>0</v>
      </c>
      <c r="BE4694">
        <v>0</v>
      </c>
      <c r="BF4694">
        <v>0</v>
      </c>
      <c r="BG4694">
        <v>0</v>
      </c>
      <c r="BH4694">
        <v>1</v>
      </c>
      <c r="BI4694">
        <v>1</v>
      </c>
      <c r="BJ4694">
        <v>0.2</v>
      </c>
      <c r="BK4694">
        <v>1</v>
      </c>
      <c r="BL4694">
        <v>71.2</v>
      </c>
      <c r="BM4694">
        <v>10.68</v>
      </c>
      <c r="BN4694">
        <v>81.88</v>
      </c>
      <c r="BO4694">
        <v>81.88</v>
      </c>
      <c r="BQ4694" t="s">
        <v>1213</v>
      </c>
      <c r="BR4694" t="s">
        <v>84</v>
      </c>
      <c r="BS4694" s="3">
        <v>45869</v>
      </c>
      <c r="BT4694" s="4">
        <v>0.36805555555555558</v>
      </c>
      <c r="BU4694" t="s">
        <v>1721</v>
      </c>
      <c r="BV4694" t="s">
        <v>98</v>
      </c>
      <c r="BY4694">
        <v>1200</v>
      </c>
      <c r="CA4694" t="s">
        <v>3706</v>
      </c>
      <c r="CC4694" t="s">
        <v>152</v>
      </c>
      <c r="CD4694" s="5" t="s">
        <v>717</v>
      </c>
      <c r="CE4694" t="s">
        <v>110</v>
      </c>
      <c r="CI4694">
        <v>1</v>
      </c>
      <c r="CJ4694">
        <v>1</v>
      </c>
      <c r="CK4694">
        <v>21</v>
      </c>
      <c r="CL4694" t="s">
        <v>86</v>
      </c>
    </row>
    <row r="4695" spans="1:90" x14ac:dyDescent="0.3">
      <c r="A4695" t="s">
        <v>72</v>
      </c>
      <c r="B4695" t="s">
        <v>73</v>
      </c>
      <c r="C4695" t="s">
        <v>74</v>
      </c>
      <c r="E4695" t="str">
        <f>"080066890006"</f>
        <v>080066890006</v>
      </c>
      <c r="F4695" s="3">
        <v>45868</v>
      </c>
      <c r="G4695">
        <v>202604</v>
      </c>
      <c r="H4695" t="s">
        <v>75</v>
      </c>
      <c r="I4695" t="s">
        <v>76</v>
      </c>
      <c r="J4695" t="s">
        <v>77</v>
      </c>
      <c r="K4695" t="s">
        <v>78</v>
      </c>
      <c r="L4695" t="s">
        <v>79</v>
      </c>
      <c r="M4695" t="s">
        <v>80</v>
      </c>
      <c r="N4695" t="s">
        <v>931</v>
      </c>
      <c r="O4695" t="s">
        <v>82</v>
      </c>
      <c r="P4695" t="str">
        <f>"4170052003                    "</f>
        <v xml:space="preserve">4170052003                    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22.6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AZ4695">
        <v>0</v>
      </c>
      <c r="BA4695">
        <v>0</v>
      </c>
      <c r="BB4695">
        <v>0</v>
      </c>
      <c r="BC4695">
        <v>0</v>
      </c>
      <c r="BD4695">
        <v>0</v>
      </c>
      <c r="BE4695">
        <v>0</v>
      </c>
      <c r="BF4695">
        <v>0</v>
      </c>
      <c r="BG4695">
        <v>0</v>
      </c>
      <c r="BH4695">
        <v>1</v>
      </c>
      <c r="BI4695">
        <v>1</v>
      </c>
      <c r="BJ4695">
        <v>0.2</v>
      </c>
      <c r="BK4695">
        <v>1</v>
      </c>
      <c r="BL4695">
        <v>71.2</v>
      </c>
      <c r="BM4695">
        <v>10.68</v>
      </c>
      <c r="BN4695">
        <v>81.88</v>
      </c>
      <c r="BO4695">
        <v>81.88</v>
      </c>
      <c r="BQ4695" t="s">
        <v>932</v>
      </c>
      <c r="BR4695" t="s">
        <v>84</v>
      </c>
      <c r="BS4695" t="s">
        <v>587</v>
      </c>
      <c r="BY4695">
        <v>1200</v>
      </c>
      <c r="CC4695" t="s">
        <v>80</v>
      </c>
      <c r="CD4695">
        <v>7535</v>
      </c>
      <c r="CE4695" t="s">
        <v>110</v>
      </c>
      <c r="CI4695">
        <v>1</v>
      </c>
      <c r="CJ4695" t="s">
        <v>587</v>
      </c>
      <c r="CK4695">
        <v>21</v>
      </c>
      <c r="CL4695" t="s">
        <v>86</v>
      </c>
    </row>
    <row r="4696" spans="1:90" x14ac:dyDescent="0.3">
      <c r="A4696" t="s">
        <v>72</v>
      </c>
      <c r="B4696" t="s">
        <v>73</v>
      </c>
      <c r="C4696" t="s">
        <v>74</v>
      </c>
      <c r="E4696" t="str">
        <f>"080066890022"</f>
        <v>080066890022</v>
      </c>
      <c r="F4696" s="3">
        <v>45868</v>
      </c>
      <c r="G4696">
        <v>202604</v>
      </c>
      <c r="H4696" t="s">
        <v>75</v>
      </c>
      <c r="I4696" t="s">
        <v>76</v>
      </c>
      <c r="J4696" t="s">
        <v>77</v>
      </c>
      <c r="K4696" t="s">
        <v>78</v>
      </c>
      <c r="L4696" t="s">
        <v>168</v>
      </c>
      <c r="M4696" t="s">
        <v>169</v>
      </c>
      <c r="N4696" t="s">
        <v>487</v>
      </c>
      <c r="O4696" t="s">
        <v>82</v>
      </c>
      <c r="P4696" t="str">
        <f>"4170052009                    "</f>
        <v xml:space="preserve">4170052009                    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>
        <v>22.6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  <c r="BE4696">
        <v>0</v>
      </c>
      <c r="BF4696">
        <v>0</v>
      </c>
      <c r="BG4696">
        <v>0</v>
      </c>
      <c r="BH4696">
        <v>1</v>
      </c>
      <c r="BI4696">
        <v>1</v>
      </c>
      <c r="BJ4696">
        <v>0.2</v>
      </c>
      <c r="BK4696">
        <v>1</v>
      </c>
      <c r="BL4696">
        <v>71.2</v>
      </c>
      <c r="BM4696">
        <v>10.68</v>
      </c>
      <c r="BN4696">
        <v>81.88</v>
      </c>
      <c r="BO4696">
        <v>81.88</v>
      </c>
      <c r="BQ4696" t="s">
        <v>488</v>
      </c>
      <c r="BR4696" t="s">
        <v>84</v>
      </c>
      <c r="BS4696" t="s">
        <v>587</v>
      </c>
      <c r="BY4696">
        <v>1200</v>
      </c>
      <c r="CC4696" t="s">
        <v>169</v>
      </c>
      <c r="CD4696">
        <v>6012</v>
      </c>
      <c r="CE4696" t="s">
        <v>110</v>
      </c>
      <c r="CI4696">
        <v>1</v>
      </c>
      <c r="CJ4696" t="s">
        <v>587</v>
      </c>
      <c r="CK4696">
        <v>21</v>
      </c>
      <c r="CL4696" t="s">
        <v>86</v>
      </c>
    </row>
    <row r="4697" spans="1:90" x14ac:dyDescent="0.3">
      <c r="A4697" t="s">
        <v>72</v>
      </c>
      <c r="B4697" t="s">
        <v>73</v>
      </c>
      <c r="C4697" t="s">
        <v>74</v>
      </c>
      <c r="E4697" t="str">
        <f>"080066890033"</f>
        <v>080066890033</v>
      </c>
      <c r="F4697" s="3">
        <v>45868</v>
      </c>
      <c r="G4697">
        <v>202604</v>
      </c>
      <c r="H4697" t="s">
        <v>75</v>
      </c>
      <c r="I4697" t="s">
        <v>76</v>
      </c>
      <c r="J4697" t="s">
        <v>77</v>
      </c>
      <c r="K4697" t="s">
        <v>78</v>
      </c>
      <c r="L4697" t="s">
        <v>329</v>
      </c>
      <c r="M4697" t="s">
        <v>330</v>
      </c>
      <c r="N4697" t="s">
        <v>331</v>
      </c>
      <c r="O4697" t="s">
        <v>82</v>
      </c>
      <c r="P4697" t="str">
        <f>"4170052031                    "</f>
        <v xml:space="preserve">4170052031                    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43.78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  <c r="BA4697">
        <v>0</v>
      </c>
      <c r="BB4697">
        <v>0</v>
      </c>
      <c r="BC4697">
        <v>0</v>
      </c>
      <c r="BD4697">
        <v>0</v>
      </c>
      <c r="BE4697">
        <v>0</v>
      </c>
      <c r="BF4697">
        <v>0</v>
      </c>
      <c r="BG4697">
        <v>0</v>
      </c>
      <c r="BH4697">
        <v>1</v>
      </c>
      <c r="BI4697">
        <v>1</v>
      </c>
      <c r="BJ4697">
        <v>0.2</v>
      </c>
      <c r="BK4697">
        <v>1</v>
      </c>
      <c r="BL4697">
        <v>137.94</v>
      </c>
      <c r="BM4697">
        <v>20.69</v>
      </c>
      <c r="BN4697">
        <v>158.63</v>
      </c>
      <c r="BO4697">
        <v>158.63</v>
      </c>
      <c r="BQ4697" t="s">
        <v>332</v>
      </c>
      <c r="BR4697" t="s">
        <v>84</v>
      </c>
      <c r="BS4697" s="3">
        <v>45869</v>
      </c>
      <c r="BT4697" s="4">
        <v>0.5395833333333333</v>
      </c>
      <c r="BU4697" t="s">
        <v>3959</v>
      </c>
      <c r="BV4697" t="s">
        <v>98</v>
      </c>
      <c r="BY4697">
        <v>1200</v>
      </c>
      <c r="CA4697" t="s">
        <v>1153</v>
      </c>
      <c r="CC4697" t="s">
        <v>330</v>
      </c>
      <c r="CD4697">
        <v>6300</v>
      </c>
      <c r="CE4697" t="s">
        <v>110</v>
      </c>
      <c r="CI4697">
        <v>2</v>
      </c>
      <c r="CJ4697">
        <v>1</v>
      </c>
      <c r="CK4697">
        <v>23</v>
      </c>
      <c r="CL4697" t="s">
        <v>86</v>
      </c>
    </row>
    <row r="4698" spans="1:90" x14ac:dyDescent="0.3">
      <c r="A4698" t="s">
        <v>72</v>
      </c>
      <c r="B4698" t="s">
        <v>73</v>
      </c>
      <c r="C4698" t="s">
        <v>74</v>
      </c>
      <c r="E4698" t="str">
        <f>"080066890106"</f>
        <v>080066890106</v>
      </c>
      <c r="F4698" s="3">
        <v>45868</v>
      </c>
      <c r="G4698">
        <v>202604</v>
      </c>
      <c r="H4698" t="s">
        <v>75</v>
      </c>
      <c r="I4698" t="s">
        <v>76</v>
      </c>
      <c r="J4698" t="s">
        <v>77</v>
      </c>
      <c r="K4698" t="s">
        <v>78</v>
      </c>
      <c r="L4698" t="s">
        <v>79</v>
      </c>
      <c r="M4698" t="s">
        <v>80</v>
      </c>
      <c r="N4698" t="s">
        <v>576</v>
      </c>
      <c r="O4698" t="s">
        <v>82</v>
      </c>
      <c r="P4698" t="str">
        <f>"4170051988                    "</f>
        <v xml:space="preserve">4170051988                    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22.6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AZ4698">
        <v>0</v>
      </c>
      <c r="BA4698">
        <v>0</v>
      </c>
      <c r="BB4698">
        <v>0</v>
      </c>
      <c r="BC4698">
        <v>0</v>
      </c>
      <c r="BD4698">
        <v>0</v>
      </c>
      <c r="BE4698">
        <v>0</v>
      </c>
      <c r="BF4698">
        <v>0</v>
      </c>
      <c r="BG4698">
        <v>0</v>
      </c>
      <c r="BH4698">
        <v>1</v>
      </c>
      <c r="BI4698">
        <v>1</v>
      </c>
      <c r="BJ4698">
        <v>0.2</v>
      </c>
      <c r="BK4698">
        <v>1</v>
      </c>
      <c r="BL4698">
        <v>71.2</v>
      </c>
      <c r="BM4698">
        <v>10.68</v>
      </c>
      <c r="BN4698">
        <v>81.88</v>
      </c>
      <c r="BO4698">
        <v>81.88</v>
      </c>
      <c r="BQ4698" t="s">
        <v>577</v>
      </c>
      <c r="BR4698" t="s">
        <v>84</v>
      </c>
      <c r="BS4698" s="3">
        <v>45869</v>
      </c>
      <c r="BT4698" s="4">
        <v>0.43888888888888888</v>
      </c>
      <c r="BU4698" t="s">
        <v>1092</v>
      </c>
      <c r="BV4698" t="s">
        <v>86</v>
      </c>
      <c r="BY4698">
        <v>1200</v>
      </c>
      <c r="CA4698" t="s">
        <v>579</v>
      </c>
      <c r="CC4698" t="s">
        <v>80</v>
      </c>
      <c r="CD4698">
        <v>7480</v>
      </c>
      <c r="CE4698" t="s">
        <v>121</v>
      </c>
      <c r="CI4698">
        <v>1</v>
      </c>
      <c r="CJ4698">
        <v>1</v>
      </c>
      <c r="CK4698">
        <v>21</v>
      </c>
      <c r="CL4698" t="s">
        <v>86</v>
      </c>
    </row>
    <row r="4699" spans="1:90" x14ac:dyDescent="0.3">
      <c r="A4699" t="s">
        <v>72</v>
      </c>
      <c r="B4699" t="s">
        <v>73</v>
      </c>
      <c r="C4699" t="s">
        <v>74</v>
      </c>
      <c r="E4699" t="str">
        <f>"080066890155"</f>
        <v>080066890155</v>
      </c>
      <c r="F4699" s="3">
        <v>45868</v>
      </c>
      <c r="G4699">
        <v>202604</v>
      </c>
      <c r="H4699" t="s">
        <v>75</v>
      </c>
      <c r="I4699" t="s">
        <v>76</v>
      </c>
      <c r="J4699" t="s">
        <v>77</v>
      </c>
      <c r="K4699" t="s">
        <v>78</v>
      </c>
      <c r="L4699" t="s">
        <v>277</v>
      </c>
      <c r="M4699" t="s">
        <v>278</v>
      </c>
      <c r="N4699" t="s">
        <v>2683</v>
      </c>
      <c r="O4699" t="s">
        <v>82</v>
      </c>
      <c r="P4699" t="str">
        <f>"4170051993                    "</f>
        <v xml:space="preserve">4170051993                    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22.6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AZ4699">
        <v>0</v>
      </c>
      <c r="BA4699">
        <v>0</v>
      </c>
      <c r="BB4699">
        <v>0</v>
      </c>
      <c r="BC4699">
        <v>0</v>
      </c>
      <c r="BD4699">
        <v>0</v>
      </c>
      <c r="BE4699">
        <v>0</v>
      </c>
      <c r="BF4699">
        <v>0</v>
      </c>
      <c r="BG4699">
        <v>0</v>
      </c>
      <c r="BH4699">
        <v>1</v>
      </c>
      <c r="BI4699">
        <v>1</v>
      </c>
      <c r="BJ4699">
        <v>0.2</v>
      </c>
      <c r="BK4699">
        <v>1</v>
      </c>
      <c r="BL4699">
        <v>71.2</v>
      </c>
      <c r="BM4699">
        <v>10.68</v>
      </c>
      <c r="BN4699">
        <v>81.88</v>
      </c>
      <c r="BO4699">
        <v>81.88</v>
      </c>
      <c r="BQ4699" t="s">
        <v>2684</v>
      </c>
      <c r="BR4699" t="s">
        <v>84</v>
      </c>
      <c r="BS4699" s="3">
        <v>45869</v>
      </c>
      <c r="BT4699" s="4">
        <v>0.33611111111111114</v>
      </c>
      <c r="BU4699" t="s">
        <v>2859</v>
      </c>
      <c r="BV4699" t="s">
        <v>98</v>
      </c>
      <c r="BY4699">
        <v>1200</v>
      </c>
      <c r="CA4699" t="s">
        <v>282</v>
      </c>
      <c r="CC4699" t="s">
        <v>278</v>
      </c>
      <c r="CD4699">
        <v>6230</v>
      </c>
      <c r="CE4699" t="s">
        <v>121</v>
      </c>
      <c r="CI4699">
        <v>1</v>
      </c>
      <c r="CJ4699">
        <v>1</v>
      </c>
      <c r="CK4699">
        <v>21</v>
      </c>
      <c r="CL4699" t="s">
        <v>86</v>
      </c>
    </row>
    <row r="4700" spans="1:90" x14ac:dyDescent="0.3">
      <c r="A4700" t="s">
        <v>72</v>
      </c>
      <c r="B4700" t="s">
        <v>73</v>
      </c>
      <c r="C4700" t="s">
        <v>74</v>
      </c>
      <c r="E4700" t="str">
        <f>"080066890182"</f>
        <v>080066890182</v>
      </c>
      <c r="F4700" s="3">
        <v>45868</v>
      </c>
      <c r="G4700">
        <v>202604</v>
      </c>
      <c r="H4700" t="s">
        <v>75</v>
      </c>
      <c r="I4700" t="s">
        <v>76</v>
      </c>
      <c r="J4700" t="s">
        <v>77</v>
      </c>
      <c r="K4700" t="s">
        <v>78</v>
      </c>
      <c r="L4700" t="s">
        <v>441</v>
      </c>
      <c r="M4700" t="s">
        <v>442</v>
      </c>
      <c r="N4700" t="s">
        <v>443</v>
      </c>
      <c r="O4700" t="s">
        <v>82</v>
      </c>
      <c r="P4700" t="str">
        <f>"4170051974                    "</f>
        <v xml:space="preserve">4170051974                    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43.78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AZ4700">
        <v>0</v>
      </c>
      <c r="BA4700">
        <v>0</v>
      </c>
      <c r="BB4700">
        <v>0</v>
      </c>
      <c r="BC4700">
        <v>0</v>
      </c>
      <c r="BD4700">
        <v>0</v>
      </c>
      <c r="BE4700">
        <v>0</v>
      </c>
      <c r="BF4700">
        <v>0</v>
      </c>
      <c r="BG4700">
        <v>0</v>
      </c>
      <c r="BH4700">
        <v>1</v>
      </c>
      <c r="BI4700">
        <v>2</v>
      </c>
      <c r="BJ4700">
        <v>1.1000000000000001</v>
      </c>
      <c r="BK4700">
        <v>2</v>
      </c>
      <c r="BL4700">
        <v>137.94</v>
      </c>
      <c r="BM4700">
        <v>20.69</v>
      </c>
      <c r="BN4700">
        <v>158.63</v>
      </c>
      <c r="BO4700">
        <v>158.63</v>
      </c>
      <c r="BQ4700" t="s">
        <v>444</v>
      </c>
      <c r="BR4700" t="s">
        <v>84</v>
      </c>
      <c r="BS4700" s="3">
        <v>45869</v>
      </c>
      <c r="BT4700" s="4">
        <v>0.5131944444444444</v>
      </c>
      <c r="BU4700" t="s">
        <v>3960</v>
      </c>
      <c r="BV4700" t="s">
        <v>98</v>
      </c>
      <c r="BY4700">
        <v>5320</v>
      </c>
      <c r="CA4700" t="s">
        <v>2598</v>
      </c>
      <c r="CC4700" t="s">
        <v>442</v>
      </c>
      <c r="CD4700">
        <v>7185</v>
      </c>
      <c r="CE4700" t="s">
        <v>145</v>
      </c>
      <c r="CI4700">
        <v>2</v>
      </c>
      <c r="CJ4700">
        <v>1</v>
      </c>
      <c r="CK4700">
        <v>23</v>
      </c>
      <c r="CL4700" t="s">
        <v>86</v>
      </c>
    </row>
    <row r="4701" spans="1:90" x14ac:dyDescent="0.3">
      <c r="A4701" t="s">
        <v>72</v>
      </c>
      <c r="B4701" t="s">
        <v>73</v>
      </c>
      <c r="C4701" t="s">
        <v>74</v>
      </c>
      <c r="E4701" t="str">
        <f>"080066890222"</f>
        <v>080066890222</v>
      </c>
      <c r="F4701" s="3">
        <v>45868</v>
      </c>
      <c r="G4701">
        <v>202604</v>
      </c>
      <c r="H4701" t="s">
        <v>75</v>
      </c>
      <c r="I4701" t="s">
        <v>76</v>
      </c>
      <c r="J4701" t="s">
        <v>77</v>
      </c>
      <c r="K4701" t="s">
        <v>78</v>
      </c>
      <c r="L4701" t="s">
        <v>122</v>
      </c>
      <c r="M4701" t="s">
        <v>123</v>
      </c>
      <c r="N4701" t="s">
        <v>283</v>
      </c>
      <c r="O4701" t="s">
        <v>82</v>
      </c>
      <c r="P4701" t="str">
        <f>"4170051939                    "</f>
        <v xml:space="preserve">4170051939                    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>
        <v>90.34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  <c r="AZ4701">
        <v>0</v>
      </c>
      <c r="BA4701">
        <v>0</v>
      </c>
      <c r="BB4701">
        <v>0</v>
      </c>
      <c r="BC4701">
        <v>0</v>
      </c>
      <c r="BD4701">
        <v>0</v>
      </c>
      <c r="BE4701">
        <v>0</v>
      </c>
      <c r="BF4701">
        <v>0</v>
      </c>
      <c r="BG4701">
        <v>0</v>
      </c>
      <c r="BH4701">
        <v>1</v>
      </c>
      <c r="BI4701">
        <v>8</v>
      </c>
      <c r="BJ4701">
        <v>4.0999999999999996</v>
      </c>
      <c r="BK4701">
        <v>8</v>
      </c>
      <c r="BL4701">
        <v>284.62</v>
      </c>
      <c r="BM4701">
        <v>42.69</v>
      </c>
      <c r="BN4701">
        <v>327.31</v>
      </c>
      <c r="BO4701">
        <v>327.31</v>
      </c>
      <c r="BQ4701" t="s">
        <v>284</v>
      </c>
      <c r="BR4701" t="s">
        <v>84</v>
      </c>
      <c r="BS4701" s="3">
        <v>45869</v>
      </c>
      <c r="BT4701" s="4">
        <v>0.41180555555555554</v>
      </c>
      <c r="BU4701" t="s">
        <v>285</v>
      </c>
      <c r="BV4701" t="s">
        <v>98</v>
      </c>
      <c r="BY4701">
        <v>20358</v>
      </c>
      <c r="CA4701" t="s">
        <v>187</v>
      </c>
      <c r="CC4701" t="s">
        <v>123</v>
      </c>
      <c r="CD4701">
        <v>3608</v>
      </c>
      <c r="CE4701" t="s">
        <v>145</v>
      </c>
      <c r="CI4701">
        <v>1</v>
      </c>
      <c r="CJ4701">
        <v>1</v>
      </c>
      <c r="CK4701">
        <v>21</v>
      </c>
      <c r="CL4701" t="s">
        <v>86</v>
      </c>
    </row>
    <row r="4702" spans="1:90" x14ac:dyDescent="0.3">
      <c r="A4702" t="s">
        <v>72</v>
      </c>
      <c r="B4702" t="s">
        <v>73</v>
      </c>
      <c r="C4702" t="s">
        <v>74</v>
      </c>
      <c r="E4702" t="str">
        <f>"080066890277"</f>
        <v>080066890277</v>
      </c>
      <c r="F4702" s="3">
        <v>45868</v>
      </c>
      <c r="G4702">
        <v>202604</v>
      </c>
      <c r="H4702" t="s">
        <v>75</v>
      </c>
      <c r="I4702" t="s">
        <v>76</v>
      </c>
      <c r="J4702" t="s">
        <v>77</v>
      </c>
      <c r="K4702" t="s">
        <v>78</v>
      </c>
      <c r="L4702" t="s">
        <v>75</v>
      </c>
      <c r="M4702" t="s">
        <v>76</v>
      </c>
      <c r="N4702" t="s">
        <v>3961</v>
      </c>
      <c r="O4702" t="s">
        <v>82</v>
      </c>
      <c r="P4702" t="str">
        <f>"4170051811                    "</f>
        <v xml:space="preserve">4170051811                    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17.649999999999999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>
        <v>0</v>
      </c>
      <c r="BC4702">
        <v>0</v>
      </c>
      <c r="BD4702">
        <v>0</v>
      </c>
      <c r="BE4702">
        <v>0</v>
      </c>
      <c r="BF4702">
        <v>0</v>
      </c>
      <c r="BG4702">
        <v>0</v>
      </c>
      <c r="BH4702">
        <v>1</v>
      </c>
      <c r="BI4702">
        <v>4</v>
      </c>
      <c r="BJ4702">
        <v>4.0999999999999996</v>
      </c>
      <c r="BK4702">
        <v>5</v>
      </c>
      <c r="BL4702">
        <v>55.61</v>
      </c>
      <c r="BM4702">
        <v>8.34</v>
      </c>
      <c r="BN4702">
        <v>63.95</v>
      </c>
      <c r="BO4702">
        <v>63.95</v>
      </c>
      <c r="BQ4702" t="s">
        <v>3962</v>
      </c>
      <c r="BR4702" t="s">
        <v>84</v>
      </c>
      <c r="BS4702" t="s">
        <v>587</v>
      </c>
      <c r="BY4702">
        <v>20358</v>
      </c>
      <c r="CC4702" t="s">
        <v>76</v>
      </c>
      <c r="CD4702">
        <v>1668</v>
      </c>
      <c r="CE4702" t="s">
        <v>145</v>
      </c>
      <c r="CI4702">
        <v>1</v>
      </c>
      <c r="CJ4702" t="s">
        <v>587</v>
      </c>
      <c r="CK4702">
        <v>22</v>
      </c>
      <c r="CL4702" t="s">
        <v>86</v>
      </c>
    </row>
    <row r="4703" spans="1:90" x14ac:dyDescent="0.3">
      <c r="A4703" t="s">
        <v>72</v>
      </c>
      <c r="B4703" t="s">
        <v>73</v>
      </c>
      <c r="C4703" t="s">
        <v>74</v>
      </c>
      <c r="E4703" t="str">
        <f>"080066890394"</f>
        <v>080066890394</v>
      </c>
      <c r="F4703" s="3">
        <v>45868</v>
      </c>
      <c r="G4703">
        <v>202604</v>
      </c>
      <c r="H4703" t="s">
        <v>75</v>
      </c>
      <c r="I4703" t="s">
        <v>76</v>
      </c>
      <c r="J4703" t="s">
        <v>77</v>
      </c>
      <c r="K4703" t="s">
        <v>78</v>
      </c>
      <c r="L4703" t="s">
        <v>151</v>
      </c>
      <c r="M4703" t="s">
        <v>152</v>
      </c>
      <c r="N4703" t="s">
        <v>1983</v>
      </c>
      <c r="O4703" t="s">
        <v>82</v>
      </c>
      <c r="P4703" t="str">
        <f>"4170051966                    "</f>
        <v xml:space="preserve">4170051966                    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>
        <v>39.53</v>
      </c>
      <c r="AR4703">
        <v>0</v>
      </c>
      <c r="AS4703">
        <v>0</v>
      </c>
      <c r="AT4703">
        <v>0</v>
      </c>
      <c r="AU4703">
        <v>0</v>
      </c>
      <c r="AV4703">
        <v>0</v>
      </c>
      <c r="AW4703">
        <v>0</v>
      </c>
      <c r="AX4703">
        <v>0</v>
      </c>
      <c r="AY4703">
        <v>0</v>
      </c>
      <c r="AZ4703">
        <v>0</v>
      </c>
      <c r="BA4703">
        <v>0</v>
      </c>
      <c r="BB4703">
        <v>0</v>
      </c>
      <c r="BC4703">
        <v>0</v>
      </c>
      <c r="BD4703">
        <v>0</v>
      </c>
      <c r="BE4703">
        <v>0</v>
      </c>
      <c r="BF4703">
        <v>0</v>
      </c>
      <c r="BG4703">
        <v>0</v>
      </c>
      <c r="BH4703">
        <v>1</v>
      </c>
      <c r="BI4703">
        <v>2</v>
      </c>
      <c r="BJ4703">
        <v>3.2</v>
      </c>
      <c r="BK4703">
        <v>3.5</v>
      </c>
      <c r="BL4703">
        <v>124.55</v>
      </c>
      <c r="BM4703">
        <v>18.68</v>
      </c>
      <c r="BN4703">
        <v>143.22999999999999</v>
      </c>
      <c r="BO4703">
        <v>143.22999999999999</v>
      </c>
      <c r="BQ4703" t="s">
        <v>1984</v>
      </c>
      <c r="BR4703" t="s">
        <v>84</v>
      </c>
      <c r="BS4703" s="3">
        <v>45869</v>
      </c>
      <c r="BT4703" s="4">
        <v>0.44374999999999998</v>
      </c>
      <c r="BU4703" t="s">
        <v>3001</v>
      </c>
      <c r="BV4703" t="s">
        <v>86</v>
      </c>
      <c r="BY4703">
        <v>16184</v>
      </c>
      <c r="CA4703" t="s">
        <v>513</v>
      </c>
      <c r="CC4703" t="s">
        <v>152</v>
      </c>
      <c r="CD4703" s="5" t="s">
        <v>389</v>
      </c>
      <c r="CE4703" t="s">
        <v>91</v>
      </c>
      <c r="CI4703">
        <v>1</v>
      </c>
      <c r="CJ4703">
        <v>1</v>
      </c>
      <c r="CK4703">
        <v>21</v>
      </c>
      <c r="CL4703" t="s">
        <v>86</v>
      </c>
    </row>
    <row r="4704" spans="1:90" x14ac:dyDescent="0.3">
      <c r="A4704" t="s">
        <v>72</v>
      </c>
      <c r="B4704" t="s">
        <v>73</v>
      </c>
      <c r="C4704" t="s">
        <v>74</v>
      </c>
      <c r="E4704" t="str">
        <f>"080066890411"</f>
        <v>080066890411</v>
      </c>
      <c r="F4704" s="3">
        <v>45868</v>
      </c>
      <c r="G4704">
        <v>202604</v>
      </c>
      <c r="H4704" t="s">
        <v>75</v>
      </c>
      <c r="I4704" t="s">
        <v>76</v>
      </c>
      <c r="J4704" t="s">
        <v>77</v>
      </c>
      <c r="K4704" t="s">
        <v>78</v>
      </c>
      <c r="L4704" t="s">
        <v>168</v>
      </c>
      <c r="M4704" t="s">
        <v>169</v>
      </c>
      <c r="N4704" t="s">
        <v>206</v>
      </c>
      <c r="O4704" t="s">
        <v>82</v>
      </c>
      <c r="P4704" t="str">
        <f>"4170051854                    "</f>
        <v xml:space="preserve">4170051854                    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>
        <v>22.6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0</v>
      </c>
      <c r="BA4704">
        <v>0</v>
      </c>
      <c r="BB4704">
        <v>0</v>
      </c>
      <c r="BC4704">
        <v>0</v>
      </c>
      <c r="BD4704">
        <v>0</v>
      </c>
      <c r="BE4704">
        <v>0</v>
      </c>
      <c r="BF4704">
        <v>0</v>
      </c>
      <c r="BG4704">
        <v>0</v>
      </c>
      <c r="BH4704">
        <v>1</v>
      </c>
      <c r="BI4704">
        <v>1</v>
      </c>
      <c r="BJ4704">
        <v>0.2</v>
      </c>
      <c r="BK4704">
        <v>1</v>
      </c>
      <c r="BL4704">
        <v>71.2</v>
      </c>
      <c r="BM4704">
        <v>10.68</v>
      </c>
      <c r="BN4704">
        <v>81.88</v>
      </c>
      <c r="BO4704">
        <v>81.88</v>
      </c>
      <c r="BQ4704" t="s">
        <v>207</v>
      </c>
      <c r="BR4704" t="s">
        <v>84</v>
      </c>
      <c r="BS4704" s="3">
        <v>45869</v>
      </c>
      <c r="BT4704" s="4">
        <v>0.40416666666666667</v>
      </c>
      <c r="BU4704" t="s">
        <v>208</v>
      </c>
      <c r="BV4704" t="s">
        <v>98</v>
      </c>
      <c r="BY4704">
        <v>1200</v>
      </c>
      <c r="CA4704" t="s">
        <v>196</v>
      </c>
      <c r="CC4704" t="s">
        <v>169</v>
      </c>
      <c r="CD4704">
        <v>6001</v>
      </c>
      <c r="CE4704" t="s">
        <v>121</v>
      </c>
      <c r="CI4704">
        <v>1</v>
      </c>
      <c r="CJ4704">
        <v>1</v>
      </c>
      <c r="CK4704">
        <v>21</v>
      </c>
      <c r="CL4704" t="s">
        <v>86</v>
      </c>
    </row>
    <row r="4705" spans="1:90" x14ac:dyDescent="0.3">
      <c r="A4705" t="s">
        <v>72</v>
      </c>
      <c r="B4705" t="s">
        <v>73</v>
      </c>
      <c r="C4705" t="s">
        <v>74</v>
      </c>
      <c r="E4705" t="str">
        <f>"080066890433"</f>
        <v>080066890433</v>
      </c>
      <c r="F4705" s="3">
        <v>45868</v>
      </c>
      <c r="G4705">
        <v>202604</v>
      </c>
      <c r="H4705" t="s">
        <v>75</v>
      </c>
      <c r="I4705" t="s">
        <v>76</v>
      </c>
      <c r="J4705" t="s">
        <v>77</v>
      </c>
      <c r="K4705" t="s">
        <v>78</v>
      </c>
      <c r="L4705" t="s">
        <v>122</v>
      </c>
      <c r="M4705" t="s">
        <v>123</v>
      </c>
      <c r="N4705" t="s">
        <v>283</v>
      </c>
      <c r="O4705" t="s">
        <v>82</v>
      </c>
      <c r="P4705" t="str">
        <f>"4170051970                    "</f>
        <v xml:space="preserve">4170051970                    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50.82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0</v>
      </c>
      <c r="BB4705">
        <v>0</v>
      </c>
      <c r="BC4705">
        <v>0</v>
      </c>
      <c r="BD4705">
        <v>0</v>
      </c>
      <c r="BE4705">
        <v>0</v>
      </c>
      <c r="BF4705">
        <v>0</v>
      </c>
      <c r="BG4705">
        <v>0</v>
      </c>
      <c r="BH4705">
        <v>1</v>
      </c>
      <c r="BI4705">
        <v>3</v>
      </c>
      <c r="BJ4705">
        <v>4.0999999999999996</v>
      </c>
      <c r="BK4705">
        <v>4.5</v>
      </c>
      <c r="BL4705">
        <v>160.12</v>
      </c>
      <c r="BM4705">
        <v>24.02</v>
      </c>
      <c r="BN4705">
        <v>184.14</v>
      </c>
      <c r="BO4705">
        <v>184.14</v>
      </c>
      <c r="BQ4705" t="s">
        <v>284</v>
      </c>
      <c r="BR4705" t="s">
        <v>84</v>
      </c>
      <c r="BS4705" s="3">
        <v>45869</v>
      </c>
      <c r="BT4705" s="4">
        <v>0.41041666666666665</v>
      </c>
      <c r="BU4705" t="s">
        <v>285</v>
      </c>
      <c r="BV4705" t="s">
        <v>98</v>
      </c>
      <c r="BY4705">
        <v>20358</v>
      </c>
      <c r="CA4705" t="s">
        <v>187</v>
      </c>
      <c r="CC4705" t="s">
        <v>123</v>
      </c>
      <c r="CD4705">
        <v>3608</v>
      </c>
      <c r="CE4705" t="s">
        <v>145</v>
      </c>
      <c r="CI4705">
        <v>1</v>
      </c>
      <c r="CJ4705">
        <v>1</v>
      </c>
      <c r="CK4705">
        <v>21</v>
      </c>
      <c r="CL4705" t="s">
        <v>86</v>
      </c>
    </row>
    <row r="4706" spans="1:90" x14ac:dyDescent="0.3">
      <c r="A4706" t="s">
        <v>72</v>
      </c>
      <c r="B4706" t="s">
        <v>73</v>
      </c>
      <c r="C4706" t="s">
        <v>74</v>
      </c>
      <c r="E4706" t="str">
        <f>"080066890442"</f>
        <v>080066890442</v>
      </c>
      <c r="F4706" s="3">
        <v>45868</v>
      </c>
      <c r="G4706">
        <v>202604</v>
      </c>
      <c r="H4706" t="s">
        <v>75</v>
      </c>
      <c r="I4706" t="s">
        <v>76</v>
      </c>
      <c r="J4706" t="s">
        <v>77</v>
      </c>
      <c r="K4706" t="s">
        <v>78</v>
      </c>
      <c r="L4706" t="s">
        <v>151</v>
      </c>
      <c r="M4706" t="s">
        <v>152</v>
      </c>
      <c r="N4706" t="s">
        <v>1568</v>
      </c>
      <c r="O4706" t="s">
        <v>82</v>
      </c>
      <c r="P4706" t="str">
        <f>"4170051710                    "</f>
        <v xml:space="preserve">4170051710                    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22.6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AZ4706">
        <v>0</v>
      </c>
      <c r="BA4706">
        <v>0</v>
      </c>
      <c r="BB4706">
        <v>0</v>
      </c>
      <c r="BC4706">
        <v>0</v>
      </c>
      <c r="BD4706">
        <v>0</v>
      </c>
      <c r="BE4706">
        <v>0</v>
      </c>
      <c r="BF4706">
        <v>0</v>
      </c>
      <c r="BG4706">
        <v>0</v>
      </c>
      <c r="BH4706">
        <v>1</v>
      </c>
      <c r="BI4706">
        <v>1</v>
      </c>
      <c r="BJ4706">
        <v>0.2</v>
      </c>
      <c r="BK4706">
        <v>1</v>
      </c>
      <c r="BL4706">
        <v>71.2</v>
      </c>
      <c r="BM4706">
        <v>10.68</v>
      </c>
      <c r="BN4706">
        <v>81.88</v>
      </c>
      <c r="BO4706">
        <v>81.88</v>
      </c>
      <c r="BQ4706" t="s">
        <v>1569</v>
      </c>
      <c r="BR4706" t="s">
        <v>84</v>
      </c>
      <c r="BS4706" s="3">
        <v>45869</v>
      </c>
      <c r="BT4706" s="4">
        <v>0.43680555555555556</v>
      </c>
      <c r="BU4706" t="s">
        <v>1570</v>
      </c>
      <c r="BV4706" t="s">
        <v>98</v>
      </c>
      <c r="BY4706">
        <v>1200</v>
      </c>
      <c r="CA4706" t="s">
        <v>906</v>
      </c>
      <c r="CC4706" t="s">
        <v>152</v>
      </c>
      <c r="CD4706" s="5" t="s">
        <v>907</v>
      </c>
      <c r="CE4706" t="s">
        <v>3963</v>
      </c>
      <c r="CI4706">
        <v>1</v>
      </c>
      <c r="CJ4706">
        <v>1</v>
      </c>
      <c r="CK4706">
        <v>21</v>
      </c>
      <c r="CL4706" t="s">
        <v>86</v>
      </c>
    </row>
    <row r="4707" spans="1:90" x14ac:dyDescent="0.3">
      <c r="A4707" t="s">
        <v>72</v>
      </c>
      <c r="B4707" t="s">
        <v>73</v>
      </c>
      <c r="C4707" t="s">
        <v>74</v>
      </c>
      <c r="E4707" t="str">
        <f>"080066890476"</f>
        <v>080066890476</v>
      </c>
      <c r="F4707" s="3">
        <v>45868</v>
      </c>
      <c r="G4707">
        <v>202604</v>
      </c>
      <c r="H4707" t="s">
        <v>75</v>
      </c>
      <c r="I4707" t="s">
        <v>76</v>
      </c>
      <c r="J4707" t="s">
        <v>77</v>
      </c>
      <c r="K4707" t="s">
        <v>78</v>
      </c>
      <c r="L4707" t="s">
        <v>79</v>
      </c>
      <c r="M4707" t="s">
        <v>80</v>
      </c>
      <c r="N4707" t="s">
        <v>3178</v>
      </c>
      <c r="O4707" t="s">
        <v>82</v>
      </c>
      <c r="P4707" t="str">
        <f>"4170051771                    "</f>
        <v xml:space="preserve">4170051771                    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22.6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AZ4707">
        <v>0</v>
      </c>
      <c r="BA4707">
        <v>0</v>
      </c>
      <c r="BB4707">
        <v>0</v>
      </c>
      <c r="BC4707">
        <v>0</v>
      </c>
      <c r="BD4707">
        <v>0</v>
      </c>
      <c r="BE4707">
        <v>0</v>
      </c>
      <c r="BF4707">
        <v>0</v>
      </c>
      <c r="BG4707">
        <v>0</v>
      </c>
      <c r="BH4707">
        <v>1</v>
      </c>
      <c r="BI4707">
        <v>1</v>
      </c>
      <c r="BJ4707">
        <v>0.2</v>
      </c>
      <c r="BK4707">
        <v>1</v>
      </c>
      <c r="BL4707">
        <v>71.2</v>
      </c>
      <c r="BM4707">
        <v>10.68</v>
      </c>
      <c r="BN4707">
        <v>81.88</v>
      </c>
      <c r="BO4707">
        <v>81.88</v>
      </c>
      <c r="BQ4707" t="s">
        <v>3179</v>
      </c>
      <c r="BR4707" t="s">
        <v>84</v>
      </c>
      <c r="BS4707" s="3">
        <v>45869</v>
      </c>
      <c r="BT4707" s="4">
        <v>0.42569444444444443</v>
      </c>
      <c r="BU4707" t="s">
        <v>3964</v>
      </c>
      <c r="BV4707" t="s">
        <v>98</v>
      </c>
      <c r="BY4707">
        <v>1200</v>
      </c>
      <c r="CA4707" t="s">
        <v>579</v>
      </c>
      <c r="CC4707" t="s">
        <v>80</v>
      </c>
      <c r="CD4707">
        <v>7460</v>
      </c>
      <c r="CE4707" t="s">
        <v>121</v>
      </c>
      <c r="CI4707">
        <v>1</v>
      </c>
      <c r="CJ4707">
        <v>1</v>
      </c>
      <c r="CK4707">
        <v>21</v>
      </c>
      <c r="CL4707" t="s">
        <v>86</v>
      </c>
    </row>
    <row r="4708" spans="1:90" x14ac:dyDescent="0.3">
      <c r="A4708" t="s">
        <v>72</v>
      </c>
      <c r="B4708" t="s">
        <v>73</v>
      </c>
      <c r="C4708" t="s">
        <v>74</v>
      </c>
      <c r="E4708" t="str">
        <f>"080066890466"</f>
        <v>080066890466</v>
      </c>
      <c r="F4708" s="3">
        <v>45868</v>
      </c>
      <c r="G4708">
        <v>202604</v>
      </c>
      <c r="H4708" t="s">
        <v>75</v>
      </c>
      <c r="I4708" t="s">
        <v>76</v>
      </c>
      <c r="J4708" t="s">
        <v>77</v>
      </c>
      <c r="K4708" t="s">
        <v>78</v>
      </c>
      <c r="L4708" t="s">
        <v>197</v>
      </c>
      <c r="M4708" t="s">
        <v>198</v>
      </c>
      <c r="N4708" t="s">
        <v>2862</v>
      </c>
      <c r="O4708" t="s">
        <v>82</v>
      </c>
      <c r="P4708" t="str">
        <f>"4170051778                    "</f>
        <v xml:space="preserve">4170051778                    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17.649999999999999</v>
      </c>
      <c r="AR4708">
        <v>0</v>
      </c>
      <c r="AS4708">
        <v>0</v>
      </c>
      <c r="AT4708">
        <v>0</v>
      </c>
      <c r="AU4708">
        <v>0</v>
      </c>
      <c r="AV4708">
        <v>0</v>
      </c>
      <c r="AW4708">
        <v>0</v>
      </c>
      <c r="AX4708">
        <v>0</v>
      </c>
      <c r="AY4708">
        <v>0</v>
      </c>
      <c r="AZ4708">
        <v>0</v>
      </c>
      <c r="BA4708">
        <v>0</v>
      </c>
      <c r="BB4708">
        <v>0</v>
      </c>
      <c r="BC4708">
        <v>0</v>
      </c>
      <c r="BD4708">
        <v>0</v>
      </c>
      <c r="BE4708">
        <v>0</v>
      </c>
      <c r="BF4708">
        <v>0</v>
      </c>
      <c r="BG4708">
        <v>0</v>
      </c>
      <c r="BH4708">
        <v>1</v>
      </c>
      <c r="BI4708">
        <v>2</v>
      </c>
      <c r="BJ4708">
        <v>1.1000000000000001</v>
      </c>
      <c r="BK4708">
        <v>2</v>
      </c>
      <c r="BL4708">
        <v>55.61</v>
      </c>
      <c r="BM4708">
        <v>8.34</v>
      </c>
      <c r="BN4708">
        <v>63.95</v>
      </c>
      <c r="BO4708">
        <v>63.95</v>
      </c>
      <c r="BQ4708" t="s">
        <v>2863</v>
      </c>
      <c r="BR4708" t="s">
        <v>84</v>
      </c>
      <c r="BS4708" s="3">
        <v>45869</v>
      </c>
      <c r="BT4708" s="4">
        <v>0.36736111111111114</v>
      </c>
      <c r="BU4708" t="s">
        <v>3965</v>
      </c>
      <c r="BV4708" t="s">
        <v>98</v>
      </c>
      <c r="BY4708">
        <v>5320</v>
      </c>
      <c r="CA4708" t="s">
        <v>1799</v>
      </c>
      <c r="CC4708" t="s">
        <v>198</v>
      </c>
      <c r="CD4708">
        <v>1406</v>
      </c>
      <c r="CE4708" t="s">
        <v>145</v>
      </c>
      <c r="CI4708">
        <v>1</v>
      </c>
      <c r="CJ4708">
        <v>1</v>
      </c>
      <c r="CK4708">
        <v>22</v>
      </c>
      <c r="CL4708" t="s">
        <v>86</v>
      </c>
    </row>
    <row r="4709" spans="1:90" x14ac:dyDescent="0.3">
      <c r="A4709" t="s">
        <v>72</v>
      </c>
      <c r="B4709" t="s">
        <v>73</v>
      </c>
      <c r="C4709" t="s">
        <v>74</v>
      </c>
      <c r="E4709" t="str">
        <f>"080066890529"</f>
        <v>080066890529</v>
      </c>
      <c r="F4709" s="3">
        <v>45868</v>
      </c>
      <c r="G4709">
        <v>202604</v>
      </c>
      <c r="H4709" t="s">
        <v>75</v>
      </c>
      <c r="I4709" t="s">
        <v>76</v>
      </c>
      <c r="J4709" t="s">
        <v>77</v>
      </c>
      <c r="K4709" t="s">
        <v>78</v>
      </c>
      <c r="L4709" t="s">
        <v>135</v>
      </c>
      <c r="M4709" t="s">
        <v>136</v>
      </c>
      <c r="N4709" t="s">
        <v>379</v>
      </c>
      <c r="O4709" t="s">
        <v>82</v>
      </c>
      <c r="P4709" t="str">
        <f>"4170051906                    "</f>
        <v xml:space="preserve">4170051906                    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22.6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0</v>
      </c>
      <c r="BA4709">
        <v>0</v>
      </c>
      <c r="BB4709">
        <v>0</v>
      </c>
      <c r="BC4709">
        <v>0</v>
      </c>
      <c r="BD4709">
        <v>0</v>
      </c>
      <c r="BE4709">
        <v>0</v>
      </c>
      <c r="BF4709">
        <v>0</v>
      </c>
      <c r="BG4709">
        <v>0</v>
      </c>
      <c r="BH4709">
        <v>1</v>
      </c>
      <c r="BI4709">
        <v>1</v>
      </c>
      <c r="BJ4709">
        <v>0.2</v>
      </c>
      <c r="BK4709">
        <v>1</v>
      </c>
      <c r="BL4709">
        <v>71.2</v>
      </c>
      <c r="BM4709">
        <v>10.68</v>
      </c>
      <c r="BN4709">
        <v>81.88</v>
      </c>
      <c r="BO4709">
        <v>81.88</v>
      </c>
      <c r="BQ4709" t="s">
        <v>380</v>
      </c>
      <c r="BR4709" t="s">
        <v>84</v>
      </c>
      <c r="BS4709" t="s">
        <v>587</v>
      </c>
      <c r="BY4709">
        <v>1200</v>
      </c>
      <c r="CC4709" t="s">
        <v>136</v>
      </c>
      <c r="CD4709">
        <v>3212</v>
      </c>
      <c r="CE4709" t="s">
        <v>121</v>
      </c>
      <c r="CI4709">
        <v>2</v>
      </c>
      <c r="CJ4709" t="s">
        <v>587</v>
      </c>
      <c r="CK4709">
        <v>21</v>
      </c>
      <c r="CL4709" t="s">
        <v>86</v>
      </c>
    </row>
    <row r="4710" spans="1:90" x14ac:dyDescent="0.3">
      <c r="A4710" t="s">
        <v>72</v>
      </c>
      <c r="B4710" t="s">
        <v>73</v>
      </c>
      <c r="C4710" t="s">
        <v>74</v>
      </c>
      <c r="E4710" t="str">
        <f>"080066890532"</f>
        <v>080066890532</v>
      </c>
      <c r="F4710" s="3">
        <v>45868</v>
      </c>
      <c r="G4710">
        <v>202604</v>
      </c>
      <c r="H4710" t="s">
        <v>75</v>
      </c>
      <c r="I4710" t="s">
        <v>76</v>
      </c>
      <c r="J4710" t="s">
        <v>77</v>
      </c>
      <c r="K4710" t="s">
        <v>78</v>
      </c>
      <c r="L4710" t="s">
        <v>111</v>
      </c>
      <c r="M4710" t="s">
        <v>112</v>
      </c>
      <c r="N4710" t="s">
        <v>3860</v>
      </c>
      <c r="O4710" t="s">
        <v>82</v>
      </c>
      <c r="P4710" t="str">
        <f>"4170051863                    "</f>
        <v xml:space="preserve">4170051863                    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43.78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AZ4710">
        <v>0</v>
      </c>
      <c r="BA4710">
        <v>0</v>
      </c>
      <c r="BB4710">
        <v>0</v>
      </c>
      <c r="BC4710">
        <v>0</v>
      </c>
      <c r="BD4710">
        <v>0</v>
      </c>
      <c r="BE4710">
        <v>0</v>
      </c>
      <c r="BF4710">
        <v>0</v>
      </c>
      <c r="BG4710">
        <v>0</v>
      </c>
      <c r="BH4710">
        <v>1</v>
      </c>
      <c r="BI4710">
        <v>2</v>
      </c>
      <c r="BJ4710">
        <v>0.9</v>
      </c>
      <c r="BK4710">
        <v>2</v>
      </c>
      <c r="BL4710">
        <v>137.94</v>
      </c>
      <c r="BM4710">
        <v>20.69</v>
      </c>
      <c r="BN4710">
        <v>158.63</v>
      </c>
      <c r="BO4710">
        <v>158.63</v>
      </c>
      <c r="BQ4710" t="s">
        <v>3861</v>
      </c>
      <c r="BR4710" t="s">
        <v>84</v>
      </c>
      <c r="BS4710" t="s">
        <v>587</v>
      </c>
      <c r="BY4710">
        <v>4256</v>
      </c>
      <c r="CC4710" t="s">
        <v>112</v>
      </c>
      <c r="CD4710">
        <v>1961</v>
      </c>
      <c r="CE4710" t="s">
        <v>145</v>
      </c>
      <c r="CI4710">
        <v>1</v>
      </c>
      <c r="CJ4710" t="s">
        <v>587</v>
      </c>
      <c r="CK4710">
        <v>23</v>
      </c>
      <c r="CL4710" t="s">
        <v>86</v>
      </c>
    </row>
    <row r="4711" spans="1:90" x14ac:dyDescent="0.3">
      <c r="A4711" t="s">
        <v>72</v>
      </c>
      <c r="B4711" t="s">
        <v>73</v>
      </c>
      <c r="C4711" t="s">
        <v>74</v>
      </c>
      <c r="E4711" t="str">
        <f>"080066890584"</f>
        <v>080066890584</v>
      </c>
      <c r="F4711" s="3">
        <v>45868</v>
      </c>
      <c r="G4711">
        <v>202604</v>
      </c>
      <c r="H4711" t="s">
        <v>75</v>
      </c>
      <c r="I4711" t="s">
        <v>76</v>
      </c>
      <c r="J4711" t="s">
        <v>77</v>
      </c>
      <c r="K4711" t="s">
        <v>78</v>
      </c>
      <c r="L4711" t="s">
        <v>503</v>
      </c>
      <c r="M4711" t="s">
        <v>504</v>
      </c>
      <c r="N4711" t="s">
        <v>505</v>
      </c>
      <c r="O4711" t="s">
        <v>82</v>
      </c>
      <c r="P4711" t="str">
        <f>"4170051910                    "</f>
        <v xml:space="preserve">4170051910                    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43.78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0</v>
      </c>
      <c r="BA4711">
        <v>0</v>
      </c>
      <c r="BB4711">
        <v>0</v>
      </c>
      <c r="BC4711">
        <v>0</v>
      </c>
      <c r="BD4711">
        <v>0</v>
      </c>
      <c r="BE4711">
        <v>0</v>
      </c>
      <c r="BF4711">
        <v>0</v>
      </c>
      <c r="BG4711">
        <v>0</v>
      </c>
      <c r="BH4711">
        <v>1</v>
      </c>
      <c r="BI4711">
        <v>1</v>
      </c>
      <c r="BJ4711">
        <v>0.2</v>
      </c>
      <c r="BK4711">
        <v>1</v>
      </c>
      <c r="BL4711">
        <v>137.94</v>
      </c>
      <c r="BM4711">
        <v>20.69</v>
      </c>
      <c r="BN4711">
        <v>158.63</v>
      </c>
      <c r="BO4711">
        <v>158.63</v>
      </c>
      <c r="BQ4711" t="s">
        <v>506</v>
      </c>
      <c r="BR4711" t="s">
        <v>84</v>
      </c>
      <c r="BS4711" s="3">
        <v>45869</v>
      </c>
      <c r="BT4711" s="4">
        <v>0.38958333333333334</v>
      </c>
      <c r="BU4711" t="s">
        <v>1235</v>
      </c>
      <c r="BV4711" t="s">
        <v>98</v>
      </c>
      <c r="BY4711">
        <v>1200</v>
      </c>
      <c r="CA4711" t="s">
        <v>508</v>
      </c>
      <c r="CC4711" t="s">
        <v>504</v>
      </c>
      <c r="CD4711">
        <v>7130</v>
      </c>
      <c r="CE4711" t="s">
        <v>3966</v>
      </c>
      <c r="CI4711">
        <v>1</v>
      </c>
      <c r="CJ4711">
        <v>1</v>
      </c>
      <c r="CK4711">
        <v>23</v>
      </c>
      <c r="CL4711" t="s">
        <v>86</v>
      </c>
    </row>
    <row r="4712" spans="1:90" x14ac:dyDescent="0.3">
      <c r="A4712" t="s">
        <v>72</v>
      </c>
      <c r="B4712" t="s">
        <v>73</v>
      </c>
      <c r="C4712" t="s">
        <v>74</v>
      </c>
      <c r="E4712" t="str">
        <f>"080066890608"</f>
        <v>080066890608</v>
      </c>
      <c r="F4712" s="3">
        <v>45868</v>
      </c>
      <c r="G4712">
        <v>202604</v>
      </c>
      <c r="H4712" t="s">
        <v>75</v>
      </c>
      <c r="I4712" t="s">
        <v>76</v>
      </c>
      <c r="J4712" t="s">
        <v>77</v>
      </c>
      <c r="K4712" t="s">
        <v>78</v>
      </c>
      <c r="L4712" t="s">
        <v>305</v>
      </c>
      <c r="M4712" t="s">
        <v>306</v>
      </c>
      <c r="N4712" t="s">
        <v>1320</v>
      </c>
      <c r="O4712" t="s">
        <v>82</v>
      </c>
      <c r="P4712" t="str">
        <f>"4170051866                    "</f>
        <v xml:space="preserve">4170051866                    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33.89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0</v>
      </c>
      <c r="BA4712">
        <v>0</v>
      </c>
      <c r="BB4712">
        <v>0</v>
      </c>
      <c r="BC4712">
        <v>0</v>
      </c>
      <c r="BD4712">
        <v>0</v>
      </c>
      <c r="BE4712">
        <v>0</v>
      </c>
      <c r="BF4712">
        <v>0</v>
      </c>
      <c r="BG4712">
        <v>0</v>
      </c>
      <c r="BH4712">
        <v>1</v>
      </c>
      <c r="BI4712">
        <v>3</v>
      </c>
      <c r="BJ4712">
        <v>1.8</v>
      </c>
      <c r="BK4712">
        <v>3</v>
      </c>
      <c r="BL4712">
        <v>106.77</v>
      </c>
      <c r="BM4712">
        <v>16.02</v>
      </c>
      <c r="BN4712">
        <v>122.79</v>
      </c>
      <c r="BO4712">
        <v>122.79</v>
      </c>
      <c r="BQ4712" t="s">
        <v>308</v>
      </c>
      <c r="BR4712" t="s">
        <v>84</v>
      </c>
      <c r="BS4712" s="3">
        <v>45869</v>
      </c>
      <c r="BT4712" s="4">
        <v>0.46180555555555558</v>
      </c>
      <c r="BU4712" t="s">
        <v>1378</v>
      </c>
      <c r="BV4712" t="s">
        <v>86</v>
      </c>
      <c r="BY4712">
        <v>8775</v>
      </c>
      <c r="CA4712" t="s">
        <v>310</v>
      </c>
      <c r="CC4712" t="s">
        <v>306</v>
      </c>
      <c r="CD4712">
        <v>5200</v>
      </c>
      <c r="CE4712" t="s">
        <v>145</v>
      </c>
      <c r="CI4712">
        <v>1</v>
      </c>
      <c r="CJ4712">
        <v>1</v>
      </c>
      <c r="CK4712">
        <v>21</v>
      </c>
      <c r="CL4712" t="s">
        <v>86</v>
      </c>
    </row>
    <row r="4713" spans="1:90" x14ac:dyDescent="0.3">
      <c r="A4713" t="s">
        <v>72</v>
      </c>
      <c r="B4713" t="s">
        <v>73</v>
      </c>
      <c r="C4713" t="s">
        <v>74</v>
      </c>
      <c r="E4713" t="str">
        <f>"080066890629"</f>
        <v>080066890629</v>
      </c>
      <c r="F4713" s="3">
        <v>45868</v>
      </c>
      <c r="G4713">
        <v>202604</v>
      </c>
      <c r="H4713" t="s">
        <v>75</v>
      </c>
      <c r="I4713" t="s">
        <v>76</v>
      </c>
      <c r="J4713" t="s">
        <v>77</v>
      </c>
      <c r="K4713" t="s">
        <v>78</v>
      </c>
      <c r="L4713" t="s">
        <v>146</v>
      </c>
      <c r="M4713" t="s">
        <v>146</v>
      </c>
      <c r="N4713" t="s">
        <v>986</v>
      </c>
      <c r="O4713" t="s">
        <v>82</v>
      </c>
      <c r="P4713" t="str">
        <f>"4170051983                    "</f>
        <v xml:space="preserve">4170051983                    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43.78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0</v>
      </c>
      <c r="BA4713">
        <v>0</v>
      </c>
      <c r="BB4713">
        <v>0</v>
      </c>
      <c r="BC4713">
        <v>0</v>
      </c>
      <c r="BD4713">
        <v>0</v>
      </c>
      <c r="BE4713">
        <v>0</v>
      </c>
      <c r="BF4713">
        <v>0</v>
      </c>
      <c r="BG4713">
        <v>0</v>
      </c>
      <c r="BH4713">
        <v>1</v>
      </c>
      <c r="BI4713">
        <v>1</v>
      </c>
      <c r="BJ4713">
        <v>0.2</v>
      </c>
      <c r="BK4713">
        <v>1</v>
      </c>
      <c r="BL4713">
        <v>137.94</v>
      </c>
      <c r="BM4713">
        <v>20.69</v>
      </c>
      <c r="BN4713">
        <v>158.63</v>
      </c>
      <c r="BO4713">
        <v>158.63</v>
      </c>
      <c r="BQ4713" t="s">
        <v>987</v>
      </c>
      <c r="BR4713" t="s">
        <v>84</v>
      </c>
      <c r="BS4713" s="3">
        <v>45869</v>
      </c>
      <c r="BT4713" s="4">
        <v>0.53611111111111109</v>
      </c>
      <c r="BU4713" t="s">
        <v>635</v>
      </c>
      <c r="BV4713" t="s">
        <v>98</v>
      </c>
      <c r="BY4713">
        <v>1200</v>
      </c>
      <c r="CA4713" t="s">
        <v>150</v>
      </c>
      <c r="CC4713" t="s">
        <v>146</v>
      </c>
      <c r="CD4713">
        <v>7646</v>
      </c>
      <c r="CE4713" t="s">
        <v>121</v>
      </c>
      <c r="CI4713">
        <v>1</v>
      </c>
      <c r="CJ4713">
        <v>1</v>
      </c>
      <c r="CK4713">
        <v>23</v>
      </c>
      <c r="CL4713" t="s">
        <v>86</v>
      </c>
    </row>
    <row r="4714" spans="1:90" x14ac:dyDescent="0.3">
      <c r="A4714" t="s">
        <v>72</v>
      </c>
      <c r="B4714" t="s">
        <v>73</v>
      </c>
      <c r="C4714" t="s">
        <v>74</v>
      </c>
      <c r="E4714" t="str">
        <f>"080066890681"</f>
        <v>080066890681</v>
      </c>
      <c r="F4714" s="3">
        <v>45868</v>
      </c>
      <c r="G4714">
        <v>202604</v>
      </c>
      <c r="H4714" t="s">
        <v>75</v>
      </c>
      <c r="I4714" t="s">
        <v>76</v>
      </c>
      <c r="J4714" t="s">
        <v>77</v>
      </c>
      <c r="K4714" t="s">
        <v>78</v>
      </c>
      <c r="L4714" t="s">
        <v>758</v>
      </c>
      <c r="M4714" t="s">
        <v>759</v>
      </c>
      <c r="N4714" t="s">
        <v>760</v>
      </c>
      <c r="O4714" t="s">
        <v>82</v>
      </c>
      <c r="P4714" t="str">
        <f>"4170052013                    "</f>
        <v xml:space="preserve">4170052013                    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43.78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0</v>
      </c>
      <c r="AY4714">
        <v>0</v>
      </c>
      <c r="AZ4714">
        <v>0</v>
      </c>
      <c r="BA4714">
        <v>0</v>
      </c>
      <c r="BB4714">
        <v>0</v>
      </c>
      <c r="BC4714">
        <v>0</v>
      </c>
      <c r="BD4714">
        <v>0</v>
      </c>
      <c r="BE4714">
        <v>0</v>
      </c>
      <c r="BF4714">
        <v>0</v>
      </c>
      <c r="BG4714">
        <v>0</v>
      </c>
      <c r="BH4714">
        <v>1</v>
      </c>
      <c r="BI4714">
        <v>1</v>
      </c>
      <c r="BJ4714">
        <v>0.2</v>
      </c>
      <c r="BK4714">
        <v>1</v>
      </c>
      <c r="BL4714">
        <v>137.94</v>
      </c>
      <c r="BM4714">
        <v>20.69</v>
      </c>
      <c r="BN4714">
        <v>158.63</v>
      </c>
      <c r="BO4714">
        <v>158.63</v>
      </c>
      <c r="BQ4714" t="s">
        <v>761</v>
      </c>
      <c r="BR4714" t="s">
        <v>84</v>
      </c>
      <c r="BS4714" s="3">
        <v>45869</v>
      </c>
      <c r="BT4714" s="4">
        <v>0.48402777777777778</v>
      </c>
      <c r="BU4714" t="s">
        <v>3967</v>
      </c>
      <c r="BV4714" t="s">
        <v>98</v>
      </c>
      <c r="BY4714">
        <v>1200</v>
      </c>
      <c r="CA4714" t="s">
        <v>3968</v>
      </c>
      <c r="CC4714" t="s">
        <v>759</v>
      </c>
      <c r="CD4714">
        <v>2531</v>
      </c>
      <c r="CE4714" t="s">
        <v>121</v>
      </c>
      <c r="CI4714">
        <v>1</v>
      </c>
      <c r="CJ4714">
        <v>1</v>
      </c>
      <c r="CK4714">
        <v>23</v>
      </c>
      <c r="CL4714" t="s">
        <v>86</v>
      </c>
    </row>
    <row r="4715" spans="1:90" x14ac:dyDescent="0.3">
      <c r="A4715" t="s">
        <v>72</v>
      </c>
      <c r="B4715" t="s">
        <v>73</v>
      </c>
      <c r="C4715" t="s">
        <v>74</v>
      </c>
      <c r="E4715" t="str">
        <f>"080066890751"</f>
        <v>080066890751</v>
      </c>
      <c r="F4715" s="3">
        <v>45868</v>
      </c>
      <c r="G4715">
        <v>202604</v>
      </c>
      <c r="H4715" t="s">
        <v>75</v>
      </c>
      <c r="I4715" t="s">
        <v>76</v>
      </c>
      <c r="J4715" t="s">
        <v>77</v>
      </c>
      <c r="K4715" t="s">
        <v>78</v>
      </c>
      <c r="L4715" t="s">
        <v>240</v>
      </c>
      <c r="M4715" t="s">
        <v>241</v>
      </c>
      <c r="N4715" t="s">
        <v>3969</v>
      </c>
      <c r="O4715" t="s">
        <v>82</v>
      </c>
      <c r="P4715" t="str">
        <f>"4170052026                    "</f>
        <v xml:space="preserve">4170052026                    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17.649999999999999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0</v>
      </c>
      <c r="BA4715">
        <v>0</v>
      </c>
      <c r="BB4715">
        <v>0</v>
      </c>
      <c r="BC4715">
        <v>0</v>
      </c>
      <c r="BD4715">
        <v>0</v>
      </c>
      <c r="BE4715">
        <v>0</v>
      </c>
      <c r="BF4715">
        <v>0</v>
      </c>
      <c r="BG4715">
        <v>0</v>
      </c>
      <c r="BH4715">
        <v>1</v>
      </c>
      <c r="BI4715">
        <v>1</v>
      </c>
      <c r="BJ4715">
        <v>0.2</v>
      </c>
      <c r="BK4715">
        <v>1</v>
      </c>
      <c r="BL4715">
        <v>55.61</v>
      </c>
      <c r="BM4715">
        <v>8.34</v>
      </c>
      <c r="BN4715">
        <v>63.95</v>
      </c>
      <c r="BO4715">
        <v>63.95</v>
      </c>
      <c r="BQ4715" t="s">
        <v>3970</v>
      </c>
      <c r="BR4715" t="s">
        <v>84</v>
      </c>
      <c r="BS4715" s="3">
        <v>45869</v>
      </c>
      <c r="BT4715" s="4">
        <v>0.36458333333333331</v>
      </c>
      <c r="BU4715" t="s">
        <v>3758</v>
      </c>
      <c r="BV4715" t="s">
        <v>98</v>
      </c>
      <c r="BY4715">
        <v>1200</v>
      </c>
      <c r="CA4715" t="s">
        <v>617</v>
      </c>
      <c r="CC4715" t="s">
        <v>241</v>
      </c>
      <c r="CD4715">
        <v>2065</v>
      </c>
      <c r="CE4715" t="s">
        <v>258</v>
      </c>
      <c r="CI4715">
        <v>1</v>
      </c>
      <c r="CJ4715">
        <v>1</v>
      </c>
      <c r="CK4715">
        <v>22</v>
      </c>
      <c r="CL4715" t="s">
        <v>86</v>
      </c>
    </row>
    <row r="4716" spans="1:90" x14ac:dyDescent="0.3">
      <c r="A4716" t="s">
        <v>72</v>
      </c>
      <c r="B4716" t="s">
        <v>73</v>
      </c>
      <c r="C4716" t="s">
        <v>74</v>
      </c>
      <c r="E4716" t="str">
        <f>"080066890793"</f>
        <v>080066890793</v>
      </c>
      <c r="F4716" s="3">
        <v>45868</v>
      </c>
      <c r="G4716">
        <v>202604</v>
      </c>
      <c r="H4716" t="s">
        <v>75</v>
      </c>
      <c r="I4716" t="s">
        <v>76</v>
      </c>
      <c r="J4716" t="s">
        <v>77</v>
      </c>
      <c r="K4716" t="s">
        <v>78</v>
      </c>
      <c r="L4716" t="s">
        <v>79</v>
      </c>
      <c r="M4716" t="s">
        <v>80</v>
      </c>
      <c r="N4716" t="s">
        <v>286</v>
      </c>
      <c r="O4716" t="s">
        <v>82</v>
      </c>
      <c r="P4716" t="str">
        <f>"4170051990                    "</f>
        <v xml:space="preserve">4170051990                    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>
        <v>22.6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AZ4716">
        <v>0</v>
      </c>
      <c r="BA4716">
        <v>0</v>
      </c>
      <c r="BB4716">
        <v>0</v>
      </c>
      <c r="BC4716">
        <v>0</v>
      </c>
      <c r="BD4716">
        <v>0</v>
      </c>
      <c r="BE4716">
        <v>0</v>
      </c>
      <c r="BF4716">
        <v>0</v>
      </c>
      <c r="BG4716">
        <v>0</v>
      </c>
      <c r="BH4716">
        <v>1</v>
      </c>
      <c r="BI4716">
        <v>1</v>
      </c>
      <c r="BJ4716">
        <v>0.2</v>
      </c>
      <c r="BK4716">
        <v>1</v>
      </c>
      <c r="BL4716">
        <v>71.2</v>
      </c>
      <c r="BM4716">
        <v>10.68</v>
      </c>
      <c r="BN4716">
        <v>81.88</v>
      </c>
      <c r="BO4716">
        <v>81.88</v>
      </c>
      <c r="BQ4716" t="s">
        <v>287</v>
      </c>
      <c r="BR4716" t="s">
        <v>84</v>
      </c>
      <c r="BS4716" s="3">
        <v>45869</v>
      </c>
      <c r="BT4716" s="4">
        <v>0.33541666666666664</v>
      </c>
      <c r="BU4716" t="s">
        <v>2322</v>
      </c>
      <c r="BV4716" t="s">
        <v>98</v>
      </c>
      <c r="BY4716">
        <v>1200</v>
      </c>
      <c r="CA4716" t="s">
        <v>289</v>
      </c>
      <c r="CC4716" t="s">
        <v>80</v>
      </c>
      <c r="CD4716">
        <v>7530</v>
      </c>
      <c r="CE4716" t="s">
        <v>121</v>
      </c>
      <c r="CI4716">
        <v>1</v>
      </c>
      <c r="CJ4716">
        <v>1</v>
      </c>
      <c r="CK4716">
        <v>21</v>
      </c>
      <c r="CL4716" t="s">
        <v>86</v>
      </c>
    </row>
    <row r="4717" spans="1:90" x14ac:dyDescent="0.3">
      <c r="A4717" t="s">
        <v>72</v>
      </c>
      <c r="B4717" t="s">
        <v>73</v>
      </c>
      <c r="C4717" t="s">
        <v>74</v>
      </c>
      <c r="E4717" t="str">
        <f>"080066890834"</f>
        <v>080066890834</v>
      </c>
      <c r="F4717" s="3">
        <v>45868</v>
      </c>
      <c r="G4717">
        <v>202604</v>
      </c>
      <c r="H4717" t="s">
        <v>75</v>
      </c>
      <c r="I4717" t="s">
        <v>76</v>
      </c>
      <c r="J4717" t="s">
        <v>77</v>
      </c>
      <c r="K4717" t="s">
        <v>78</v>
      </c>
      <c r="L4717" t="s">
        <v>102</v>
      </c>
      <c r="M4717" t="s">
        <v>103</v>
      </c>
      <c r="N4717" t="s">
        <v>104</v>
      </c>
      <c r="O4717" t="s">
        <v>82</v>
      </c>
      <c r="P4717" t="str">
        <f>"4170052014                    "</f>
        <v xml:space="preserve">4170052014                    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31.78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0</v>
      </c>
      <c r="BB4717">
        <v>0</v>
      </c>
      <c r="BC4717">
        <v>0</v>
      </c>
      <c r="BD4717">
        <v>0</v>
      </c>
      <c r="BE4717">
        <v>0</v>
      </c>
      <c r="BF4717">
        <v>0</v>
      </c>
      <c r="BG4717">
        <v>0</v>
      </c>
      <c r="BH4717">
        <v>1</v>
      </c>
      <c r="BI4717">
        <v>1</v>
      </c>
      <c r="BJ4717">
        <v>0.2</v>
      </c>
      <c r="BK4717">
        <v>1</v>
      </c>
      <c r="BL4717">
        <v>100.13</v>
      </c>
      <c r="BM4717">
        <v>15.02</v>
      </c>
      <c r="BN4717">
        <v>115.15</v>
      </c>
      <c r="BO4717">
        <v>115.15</v>
      </c>
      <c r="BQ4717" t="s">
        <v>833</v>
      </c>
      <c r="BR4717" t="s">
        <v>84</v>
      </c>
      <c r="BS4717" s="3">
        <v>45869</v>
      </c>
      <c r="BT4717" s="4">
        <v>0.3923611111111111</v>
      </c>
      <c r="BU4717" t="s">
        <v>107</v>
      </c>
      <c r="BV4717" t="s">
        <v>98</v>
      </c>
      <c r="BY4717">
        <v>1200</v>
      </c>
      <c r="CA4717" t="s">
        <v>109</v>
      </c>
      <c r="CC4717" t="s">
        <v>103</v>
      </c>
      <c r="CD4717">
        <v>1748</v>
      </c>
      <c r="CE4717" t="s">
        <v>121</v>
      </c>
      <c r="CI4717">
        <v>1</v>
      </c>
      <c r="CJ4717">
        <v>1</v>
      </c>
      <c r="CK4717">
        <v>24</v>
      </c>
      <c r="CL4717" t="s">
        <v>86</v>
      </c>
    </row>
    <row r="4718" spans="1:90" x14ac:dyDescent="0.3">
      <c r="A4718" t="s">
        <v>72</v>
      </c>
      <c r="B4718" t="s">
        <v>73</v>
      </c>
      <c r="C4718" t="s">
        <v>74</v>
      </c>
      <c r="E4718" t="str">
        <f>"080066890863"</f>
        <v>080066890863</v>
      </c>
      <c r="F4718" s="3">
        <v>45868</v>
      </c>
      <c r="G4718">
        <v>202604</v>
      </c>
      <c r="H4718" t="s">
        <v>75</v>
      </c>
      <c r="I4718" t="s">
        <v>76</v>
      </c>
      <c r="J4718" t="s">
        <v>77</v>
      </c>
      <c r="K4718" t="s">
        <v>78</v>
      </c>
      <c r="L4718" t="s">
        <v>221</v>
      </c>
      <c r="M4718" t="s">
        <v>222</v>
      </c>
      <c r="N4718" t="s">
        <v>223</v>
      </c>
      <c r="O4718" t="s">
        <v>82</v>
      </c>
      <c r="P4718" t="str">
        <f>"4170052001                    "</f>
        <v xml:space="preserve">4170052001                    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43.78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>
        <v>0</v>
      </c>
      <c r="BC4718">
        <v>0</v>
      </c>
      <c r="BD4718">
        <v>0</v>
      </c>
      <c r="BE4718">
        <v>0</v>
      </c>
      <c r="BF4718">
        <v>0</v>
      </c>
      <c r="BG4718">
        <v>0</v>
      </c>
      <c r="BH4718">
        <v>1</v>
      </c>
      <c r="BI4718">
        <v>1</v>
      </c>
      <c r="BJ4718">
        <v>0.2</v>
      </c>
      <c r="BK4718">
        <v>1</v>
      </c>
      <c r="BL4718">
        <v>137.94</v>
      </c>
      <c r="BM4718">
        <v>20.69</v>
      </c>
      <c r="BN4718">
        <v>158.63</v>
      </c>
      <c r="BO4718">
        <v>158.63</v>
      </c>
      <c r="BQ4718" t="s">
        <v>224</v>
      </c>
      <c r="BR4718" t="s">
        <v>84</v>
      </c>
      <c r="BS4718" t="s">
        <v>587</v>
      </c>
      <c r="BY4718">
        <v>1200</v>
      </c>
      <c r="CC4718" t="s">
        <v>222</v>
      </c>
      <c r="CD4718">
        <v>2740</v>
      </c>
      <c r="CE4718" t="s">
        <v>121</v>
      </c>
      <c r="CI4718">
        <v>1</v>
      </c>
      <c r="CJ4718" t="s">
        <v>587</v>
      </c>
      <c r="CK4718">
        <v>23</v>
      </c>
      <c r="CL4718" t="s">
        <v>86</v>
      </c>
    </row>
    <row r="4719" spans="1:90" x14ac:dyDescent="0.3">
      <c r="A4719" t="s">
        <v>72</v>
      </c>
      <c r="B4719" t="s">
        <v>73</v>
      </c>
      <c r="C4719" t="s">
        <v>74</v>
      </c>
      <c r="E4719" t="str">
        <f>"080066890908"</f>
        <v>080066890908</v>
      </c>
      <c r="F4719" s="3">
        <v>45868</v>
      </c>
      <c r="G4719">
        <v>202604</v>
      </c>
      <c r="H4719" t="s">
        <v>75</v>
      </c>
      <c r="I4719" t="s">
        <v>76</v>
      </c>
      <c r="J4719" t="s">
        <v>77</v>
      </c>
      <c r="K4719" t="s">
        <v>78</v>
      </c>
      <c r="L4719" t="s">
        <v>503</v>
      </c>
      <c r="M4719" t="s">
        <v>504</v>
      </c>
      <c r="N4719" t="s">
        <v>505</v>
      </c>
      <c r="O4719" t="s">
        <v>82</v>
      </c>
      <c r="P4719" t="str">
        <f>"4170051865                    "</f>
        <v xml:space="preserve">4170051865                    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182.19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  <c r="BA4719">
        <v>0</v>
      </c>
      <c r="BB4719">
        <v>0</v>
      </c>
      <c r="BC4719">
        <v>0</v>
      </c>
      <c r="BD4719">
        <v>0</v>
      </c>
      <c r="BE4719">
        <v>0</v>
      </c>
      <c r="BF4719">
        <v>0</v>
      </c>
      <c r="BG4719">
        <v>0</v>
      </c>
      <c r="BH4719">
        <v>1</v>
      </c>
      <c r="BI4719">
        <v>5</v>
      </c>
      <c r="BJ4719">
        <v>8.9</v>
      </c>
      <c r="BK4719">
        <v>9</v>
      </c>
      <c r="BL4719">
        <v>573.99</v>
      </c>
      <c r="BM4719">
        <v>86.1</v>
      </c>
      <c r="BN4719">
        <v>660.09</v>
      </c>
      <c r="BO4719">
        <v>660.09</v>
      </c>
      <c r="BQ4719" t="s">
        <v>506</v>
      </c>
      <c r="BR4719" t="s">
        <v>84</v>
      </c>
      <c r="BS4719" s="3">
        <v>45869</v>
      </c>
      <c r="BT4719" s="4">
        <v>0.38958333333333334</v>
      </c>
      <c r="BU4719" t="s">
        <v>1235</v>
      </c>
      <c r="BV4719" t="s">
        <v>98</v>
      </c>
      <c r="BY4719">
        <v>44640</v>
      </c>
      <c r="BZ4719" t="s">
        <v>89</v>
      </c>
      <c r="CA4719" t="s">
        <v>508</v>
      </c>
      <c r="CC4719" t="s">
        <v>504</v>
      </c>
      <c r="CD4719">
        <v>7130</v>
      </c>
      <c r="CE4719" t="s">
        <v>145</v>
      </c>
      <c r="CI4719">
        <v>1</v>
      </c>
      <c r="CJ4719">
        <v>1</v>
      </c>
      <c r="CK4719">
        <v>23</v>
      </c>
      <c r="CL4719" t="s">
        <v>86</v>
      </c>
    </row>
    <row r="4720" spans="1:90" x14ac:dyDescent="0.3">
      <c r="A4720" t="s">
        <v>72</v>
      </c>
      <c r="B4720" t="s">
        <v>73</v>
      </c>
      <c r="C4720" t="s">
        <v>74</v>
      </c>
      <c r="E4720" t="str">
        <f>"080066890942"</f>
        <v>080066890942</v>
      </c>
      <c r="F4720" s="3">
        <v>45868</v>
      </c>
      <c r="G4720">
        <v>202604</v>
      </c>
      <c r="H4720" t="s">
        <v>75</v>
      </c>
      <c r="I4720" t="s">
        <v>76</v>
      </c>
      <c r="J4720" t="s">
        <v>77</v>
      </c>
      <c r="K4720" t="s">
        <v>78</v>
      </c>
      <c r="L4720" t="s">
        <v>246</v>
      </c>
      <c r="M4720" t="s">
        <v>247</v>
      </c>
      <c r="N4720" t="s">
        <v>1359</v>
      </c>
      <c r="O4720" t="s">
        <v>82</v>
      </c>
      <c r="P4720" t="str">
        <f>"4170052018                    "</f>
        <v xml:space="preserve">4170052018                    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>
        <v>55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AZ4720">
        <v>0</v>
      </c>
      <c r="BA4720">
        <v>0</v>
      </c>
      <c r="BB4720">
        <v>0</v>
      </c>
      <c r="BC4720">
        <v>0</v>
      </c>
      <c r="BD4720">
        <v>0</v>
      </c>
      <c r="BE4720">
        <v>0</v>
      </c>
      <c r="BF4720">
        <v>0</v>
      </c>
      <c r="BG4720">
        <v>0</v>
      </c>
      <c r="BH4720">
        <v>1</v>
      </c>
      <c r="BI4720">
        <v>2</v>
      </c>
      <c r="BJ4720">
        <v>3.4</v>
      </c>
      <c r="BK4720">
        <v>3.5</v>
      </c>
      <c r="BL4720">
        <v>173.27</v>
      </c>
      <c r="BM4720">
        <v>25.99</v>
      </c>
      <c r="BN4720">
        <v>199.26</v>
      </c>
      <c r="BO4720">
        <v>199.26</v>
      </c>
      <c r="BQ4720" t="s">
        <v>1360</v>
      </c>
      <c r="BR4720" t="s">
        <v>84</v>
      </c>
      <c r="BS4720" s="3">
        <v>45869</v>
      </c>
      <c r="BT4720" s="4">
        <v>0.44930555555555557</v>
      </c>
      <c r="BU4720" t="s">
        <v>3971</v>
      </c>
      <c r="BV4720" t="s">
        <v>98</v>
      </c>
      <c r="BY4720">
        <v>16965</v>
      </c>
      <c r="BZ4720" t="s">
        <v>89</v>
      </c>
      <c r="CA4720" t="s">
        <v>251</v>
      </c>
      <c r="CC4720" t="s">
        <v>247</v>
      </c>
      <c r="CD4720">
        <v>1438</v>
      </c>
      <c r="CE4720" t="s">
        <v>145</v>
      </c>
      <c r="CI4720">
        <v>1</v>
      </c>
      <c r="CJ4720">
        <v>1</v>
      </c>
      <c r="CK4720">
        <v>24</v>
      </c>
      <c r="CL4720" t="s">
        <v>86</v>
      </c>
    </row>
    <row r="4721" spans="1:90" x14ac:dyDescent="0.3">
      <c r="A4721" t="s">
        <v>72</v>
      </c>
      <c r="B4721" t="s">
        <v>73</v>
      </c>
      <c r="C4721" t="s">
        <v>74</v>
      </c>
      <c r="E4721" t="str">
        <f>"080066890973"</f>
        <v>080066890973</v>
      </c>
      <c r="F4721" s="3">
        <v>45868</v>
      </c>
      <c r="G4721">
        <v>202604</v>
      </c>
      <c r="H4721" t="s">
        <v>75</v>
      </c>
      <c r="I4721" t="s">
        <v>76</v>
      </c>
      <c r="J4721" t="s">
        <v>77</v>
      </c>
      <c r="K4721" t="s">
        <v>78</v>
      </c>
      <c r="L4721" t="s">
        <v>168</v>
      </c>
      <c r="M4721" t="s">
        <v>169</v>
      </c>
      <c r="N4721" t="s">
        <v>412</v>
      </c>
      <c r="O4721" t="s">
        <v>82</v>
      </c>
      <c r="P4721" t="str">
        <f>"4170051783                    "</f>
        <v xml:space="preserve">4170051783                    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22.6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>
        <v>0</v>
      </c>
      <c r="BC4721">
        <v>0</v>
      </c>
      <c r="BD4721">
        <v>0</v>
      </c>
      <c r="BE4721">
        <v>0</v>
      </c>
      <c r="BF4721">
        <v>0</v>
      </c>
      <c r="BG4721">
        <v>0</v>
      </c>
      <c r="BH4721">
        <v>1</v>
      </c>
      <c r="BI4721">
        <v>1</v>
      </c>
      <c r="BJ4721">
        <v>1.4</v>
      </c>
      <c r="BK4721">
        <v>1.5</v>
      </c>
      <c r="BL4721">
        <v>71.2</v>
      </c>
      <c r="BM4721">
        <v>10.68</v>
      </c>
      <c r="BN4721">
        <v>81.88</v>
      </c>
      <c r="BO4721">
        <v>81.88</v>
      </c>
      <c r="BQ4721" t="s">
        <v>413</v>
      </c>
      <c r="BR4721" t="s">
        <v>84</v>
      </c>
      <c r="BS4721" s="3">
        <v>45869</v>
      </c>
      <c r="BT4721" s="4">
        <v>0.34166666666666667</v>
      </c>
      <c r="BU4721" t="s">
        <v>470</v>
      </c>
      <c r="BV4721" t="s">
        <v>98</v>
      </c>
      <c r="BY4721">
        <v>7000</v>
      </c>
      <c r="CA4721" t="s">
        <v>415</v>
      </c>
      <c r="CC4721" t="s">
        <v>169</v>
      </c>
      <c r="CD4721">
        <v>6001</v>
      </c>
      <c r="CE4721" t="s">
        <v>145</v>
      </c>
      <c r="CI4721">
        <v>1</v>
      </c>
      <c r="CJ4721">
        <v>1</v>
      </c>
      <c r="CK4721">
        <v>21</v>
      </c>
      <c r="CL4721" t="s">
        <v>86</v>
      </c>
    </row>
    <row r="4722" spans="1:90" x14ac:dyDescent="0.3">
      <c r="A4722" t="s">
        <v>72</v>
      </c>
      <c r="B4722" t="s">
        <v>73</v>
      </c>
      <c r="C4722" t="s">
        <v>74</v>
      </c>
      <c r="E4722" t="str">
        <f>"080066890999"</f>
        <v>080066890999</v>
      </c>
      <c r="F4722" s="3">
        <v>45868</v>
      </c>
      <c r="G4722">
        <v>202604</v>
      </c>
      <c r="H4722" t="s">
        <v>75</v>
      </c>
      <c r="I4722" t="s">
        <v>76</v>
      </c>
      <c r="J4722" t="s">
        <v>77</v>
      </c>
      <c r="K4722" t="s">
        <v>78</v>
      </c>
      <c r="L4722" t="s">
        <v>554</v>
      </c>
      <c r="M4722" t="s">
        <v>555</v>
      </c>
      <c r="N4722" t="s">
        <v>556</v>
      </c>
      <c r="O4722" t="s">
        <v>82</v>
      </c>
      <c r="P4722" t="str">
        <f>"4170051713                    "</f>
        <v xml:space="preserve">4170051713                    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>
        <v>28.24</v>
      </c>
      <c r="AR4722">
        <v>0</v>
      </c>
      <c r="AS4722">
        <v>0</v>
      </c>
      <c r="AT4722">
        <v>0</v>
      </c>
      <c r="AU4722">
        <v>0</v>
      </c>
      <c r="AV4722">
        <v>0</v>
      </c>
      <c r="AW4722">
        <v>0</v>
      </c>
      <c r="AX4722">
        <v>0</v>
      </c>
      <c r="AY4722">
        <v>0</v>
      </c>
      <c r="AZ4722">
        <v>0</v>
      </c>
      <c r="BA4722">
        <v>0</v>
      </c>
      <c r="BB4722">
        <v>0</v>
      </c>
      <c r="BC4722">
        <v>0</v>
      </c>
      <c r="BD4722">
        <v>0</v>
      </c>
      <c r="BE4722">
        <v>0</v>
      </c>
      <c r="BF4722">
        <v>0</v>
      </c>
      <c r="BG4722">
        <v>0</v>
      </c>
      <c r="BH4722">
        <v>1</v>
      </c>
      <c r="BI4722">
        <v>1</v>
      </c>
      <c r="BJ4722">
        <v>2.1</v>
      </c>
      <c r="BK4722">
        <v>2.5</v>
      </c>
      <c r="BL4722">
        <v>88.98</v>
      </c>
      <c r="BM4722">
        <v>13.35</v>
      </c>
      <c r="BN4722">
        <v>102.33</v>
      </c>
      <c r="BO4722">
        <v>102.33</v>
      </c>
      <c r="BQ4722" t="s">
        <v>557</v>
      </c>
      <c r="BR4722" t="s">
        <v>84</v>
      </c>
      <c r="BS4722" s="3">
        <v>45869</v>
      </c>
      <c r="BT4722" s="4">
        <v>0.38194444444444442</v>
      </c>
      <c r="BU4722" t="s">
        <v>558</v>
      </c>
      <c r="BV4722" t="s">
        <v>98</v>
      </c>
      <c r="BY4722">
        <v>10260</v>
      </c>
      <c r="CA4722" t="s">
        <v>559</v>
      </c>
      <c r="CC4722" t="s">
        <v>555</v>
      </c>
      <c r="CD4722" s="5" t="s">
        <v>560</v>
      </c>
      <c r="CE4722" t="s">
        <v>145</v>
      </c>
      <c r="CI4722">
        <v>1</v>
      </c>
      <c r="CJ4722">
        <v>1</v>
      </c>
      <c r="CK4722">
        <v>21</v>
      </c>
      <c r="CL4722" t="s">
        <v>86</v>
      </c>
    </row>
    <row r="4723" spans="1:90" x14ac:dyDescent="0.3">
      <c r="A4723" t="s">
        <v>72</v>
      </c>
      <c r="B4723" t="s">
        <v>73</v>
      </c>
      <c r="C4723" t="s">
        <v>74</v>
      </c>
      <c r="E4723" t="str">
        <f>"080066891072"</f>
        <v>080066891072</v>
      </c>
      <c r="F4723" s="3">
        <v>45868</v>
      </c>
      <c r="G4723">
        <v>202604</v>
      </c>
      <c r="H4723" t="s">
        <v>75</v>
      </c>
      <c r="I4723" t="s">
        <v>76</v>
      </c>
      <c r="J4723" t="s">
        <v>77</v>
      </c>
      <c r="K4723" t="s">
        <v>78</v>
      </c>
      <c r="L4723" t="s">
        <v>554</v>
      </c>
      <c r="M4723" t="s">
        <v>555</v>
      </c>
      <c r="N4723" t="s">
        <v>556</v>
      </c>
      <c r="O4723" t="s">
        <v>82</v>
      </c>
      <c r="P4723" t="str">
        <f>"4170051724                    "</f>
        <v xml:space="preserve">4170051724                    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22.6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  <c r="BE4723">
        <v>0</v>
      </c>
      <c r="BF4723">
        <v>0</v>
      </c>
      <c r="BG4723">
        <v>0</v>
      </c>
      <c r="BH4723">
        <v>1</v>
      </c>
      <c r="BI4723">
        <v>1</v>
      </c>
      <c r="BJ4723">
        <v>0.2</v>
      </c>
      <c r="BK4723">
        <v>1</v>
      </c>
      <c r="BL4723">
        <v>71.2</v>
      </c>
      <c r="BM4723">
        <v>10.68</v>
      </c>
      <c r="BN4723">
        <v>81.88</v>
      </c>
      <c r="BO4723">
        <v>81.88</v>
      </c>
      <c r="BQ4723" t="s">
        <v>557</v>
      </c>
      <c r="BR4723" t="s">
        <v>84</v>
      </c>
      <c r="BS4723" s="3">
        <v>45869</v>
      </c>
      <c r="BT4723" s="4">
        <v>0.38055555555555554</v>
      </c>
      <c r="BU4723" t="s">
        <v>558</v>
      </c>
      <c r="BV4723" t="s">
        <v>98</v>
      </c>
      <c r="BY4723">
        <v>1200</v>
      </c>
      <c r="CA4723" t="s">
        <v>559</v>
      </c>
      <c r="CC4723" t="s">
        <v>555</v>
      </c>
      <c r="CD4723" s="5" t="s">
        <v>560</v>
      </c>
      <c r="CE4723" t="s">
        <v>121</v>
      </c>
      <c r="CI4723">
        <v>1</v>
      </c>
      <c r="CJ4723">
        <v>1</v>
      </c>
      <c r="CK4723">
        <v>21</v>
      </c>
      <c r="CL4723" t="s">
        <v>86</v>
      </c>
    </row>
    <row r="4724" spans="1:90" x14ac:dyDescent="0.3">
      <c r="A4724" t="s">
        <v>72</v>
      </c>
      <c r="B4724" t="s">
        <v>73</v>
      </c>
      <c r="C4724" t="s">
        <v>74</v>
      </c>
      <c r="E4724" t="str">
        <f>"080066891104"</f>
        <v>080066891104</v>
      </c>
      <c r="F4724" s="3">
        <v>45868</v>
      </c>
      <c r="G4724">
        <v>202604</v>
      </c>
      <c r="H4724" t="s">
        <v>75</v>
      </c>
      <c r="I4724" t="s">
        <v>76</v>
      </c>
      <c r="J4724" t="s">
        <v>77</v>
      </c>
      <c r="K4724" t="s">
        <v>78</v>
      </c>
      <c r="L4724" t="s">
        <v>503</v>
      </c>
      <c r="M4724" t="s">
        <v>504</v>
      </c>
      <c r="N4724" t="s">
        <v>505</v>
      </c>
      <c r="O4724" t="s">
        <v>82</v>
      </c>
      <c r="P4724" t="str">
        <f>"4170051858                    "</f>
        <v xml:space="preserve">4170051858                    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43.78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>
        <v>0</v>
      </c>
      <c r="BC4724">
        <v>0</v>
      </c>
      <c r="BD4724">
        <v>0</v>
      </c>
      <c r="BE4724">
        <v>0</v>
      </c>
      <c r="BF4724">
        <v>0</v>
      </c>
      <c r="BG4724">
        <v>0</v>
      </c>
      <c r="BH4724">
        <v>1</v>
      </c>
      <c r="BI4724">
        <v>1</v>
      </c>
      <c r="BJ4724">
        <v>0.2</v>
      </c>
      <c r="BK4724">
        <v>1</v>
      </c>
      <c r="BL4724">
        <v>137.94</v>
      </c>
      <c r="BM4724">
        <v>20.69</v>
      </c>
      <c r="BN4724">
        <v>158.63</v>
      </c>
      <c r="BO4724">
        <v>158.63</v>
      </c>
      <c r="BQ4724" t="s">
        <v>506</v>
      </c>
      <c r="BR4724" t="s">
        <v>84</v>
      </c>
      <c r="BS4724" s="3">
        <v>45869</v>
      </c>
      <c r="BT4724" s="4">
        <v>0.38958333333333334</v>
      </c>
      <c r="BU4724" t="s">
        <v>1235</v>
      </c>
      <c r="BV4724" t="s">
        <v>98</v>
      </c>
      <c r="BY4724">
        <v>1200</v>
      </c>
      <c r="CA4724" t="s">
        <v>508</v>
      </c>
      <c r="CC4724" t="s">
        <v>504</v>
      </c>
      <c r="CD4724">
        <v>7130</v>
      </c>
      <c r="CE4724" t="s">
        <v>121</v>
      </c>
      <c r="CI4724">
        <v>1</v>
      </c>
      <c r="CJ4724">
        <v>1</v>
      </c>
      <c r="CK4724">
        <v>23</v>
      </c>
      <c r="CL4724" t="s">
        <v>86</v>
      </c>
    </row>
    <row r="4725" spans="1:90" x14ac:dyDescent="0.3">
      <c r="A4725" t="s">
        <v>72</v>
      </c>
      <c r="B4725" t="s">
        <v>73</v>
      </c>
      <c r="C4725" t="s">
        <v>74</v>
      </c>
      <c r="E4725" t="str">
        <f>"080066891133"</f>
        <v>080066891133</v>
      </c>
      <c r="F4725" s="3">
        <v>45868</v>
      </c>
      <c r="G4725">
        <v>202604</v>
      </c>
      <c r="H4725" t="s">
        <v>75</v>
      </c>
      <c r="I4725" t="s">
        <v>76</v>
      </c>
      <c r="J4725" t="s">
        <v>77</v>
      </c>
      <c r="K4725" t="s">
        <v>78</v>
      </c>
      <c r="L4725" t="s">
        <v>174</v>
      </c>
      <c r="M4725" t="s">
        <v>175</v>
      </c>
      <c r="N4725" t="s">
        <v>2644</v>
      </c>
      <c r="O4725" t="s">
        <v>82</v>
      </c>
      <c r="P4725" t="str">
        <f>"4170052008                    "</f>
        <v xml:space="preserve">4170052008                    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>
        <v>22.6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  <c r="BE4725">
        <v>0</v>
      </c>
      <c r="BF4725">
        <v>0</v>
      </c>
      <c r="BG4725">
        <v>0</v>
      </c>
      <c r="BH4725">
        <v>1</v>
      </c>
      <c r="BI4725">
        <v>1</v>
      </c>
      <c r="BJ4725">
        <v>0.2</v>
      </c>
      <c r="BK4725">
        <v>1</v>
      </c>
      <c r="BL4725">
        <v>71.2</v>
      </c>
      <c r="BM4725">
        <v>10.68</v>
      </c>
      <c r="BN4725">
        <v>81.88</v>
      </c>
      <c r="BO4725">
        <v>81.88</v>
      </c>
      <c r="BQ4725" t="s">
        <v>2645</v>
      </c>
      <c r="BR4725" t="s">
        <v>84</v>
      </c>
      <c r="BS4725" s="3">
        <v>45869</v>
      </c>
      <c r="BT4725" s="4">
        <v>0.43194444444444446</v>
      </c>
      <c r="BU4725" t="s">
        <v>3420</v>
      </c>
      <c r="BV4725" t="s">
        <v>98</v>
      </c>
      <c r="BY4725">
        <v>1200</v>
      </c>
      <c r="CA4725" t="s">
        <v>3373</v>
      </c>
      <c r="CC4725" t="s">
        <v>175</v>
      </c>
      <c r="CD4725">
        <v>6220</v>
      </c>
      <c r="CE4725" t="s">
        <v>121</v>
      </c>
      <c r="CI4725">
        <v>1</v>
      </c>
      <c r="CJ4725">
        <v>1</v>
      </c>
      <c r="CK4725">
        <v>21</v>
      </c>
      <c r="CL4725" t="s">
        <v>86</v>
      </c>
    </row>
    <row r="4726" spans="1:90" x14ac:dyDescent="0.3">
      <c r="A4726" t="s">
        <v>72</v>
      </c>
      <c r="B4726" t="s">
        <v>73</v>
      </c>
      <c r="C4726" t="s">
        <v>74</v>
      </c>
      <c r="E4726" t="str">
        <f>"080066891160"</f>
        <v>080066891160</v>
      </c>
      <c r="F4726" s="3">
        <v>45868</v>
      </c>
      <c r="G4726">
        <v>202604</v>
      </c>
      <c r="H4726" t="s">
        <v>75</v>
      </c>
      <c r="I4726" t="s">
        <v>76</v>
      </c>
      <c r="J4726" t="s">
        <v>77</v>
      </c>
      <c r="K4726" t="s">
        <v>78</v>
      </c>
      <c r="L4726" t="s">
        <v>390</v>
      </c>
      <c r="M4726" t="s">
        <v>391</v>
      </c>
      <c r="N4726" t="s">
        <v>3639</v>
      </c>
      <c r="O4726" t="s">
        <v>82</v>
      </c>
      <c r="P4726" t="str">
        <f>"4170051875                    "</f>
        <v xml:space="preserve">4170051875                    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17.649999999999999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0</v>
      </c>
      <c r="BA4726">
        <v>0</v>
      </c>
      <c r="BB4726">
        <v>0</v>
      </c>
      <c r="BC4726">
        <v>0</v>
      </c>
      <c r="BD4726">
        <v>0</v>
      </c>
      <c r="BE4726">
        <v>0</v>
      </c>
      <c r="BF4726">
        <v>0</v>
      </c>
      <c r="BG4726">
        <v>0</v>
      </c>
      <c r="BH4726">
        <v>1</v>
      </c>
      <c r="BI4726">
        <v>2</v>
      </c>
      <c r="BJ4726">
        <v>4.0999999999999996</v>
      </c>
      <c r="BK4726">
        <v>5</v>
      </c>
      <c r="BL4726">
        <v>55.61</v>
      </c>
      <c r="BM4726">
        <v>8.34</v>
      </c>
      <c r="BN4726">
        <v>63.95</v>
      </c>
      <c r="BO4726">
        <v>63.95</v>
      </c>
      <c r="BQ4726" t="s">
        <v>3640</v>
      </c>
      <c r="BR4726" t="s">
        <v>84</v>
      </c>
      <c r="BS4726" s="3">
        <v>45869</v>
      </c>
      <c r="BT4726" s="4">
        <v>0.35069444444444442</v>
      </c>
      <c r="BU4726" t="s">
        <v>2571</v>
      </c>
      <c r="BV4726" t="s">
        <v>98</v>
      </c>
      <c r="BY4726">
        <v>20358</v>
      </c>
      <c r="CA4726" t="s">
        <v>304</v>
      </c>
      <c r="CC4726" t="s">
        <v>391</v>
      </c>
      <c r="CD4726">
        <v>1724</v>
      </c>
      <c r="CE4726" t="s">
        <v>145</v>
      </c>
      <c r="CI4726">
        <v>1</v>
      </c>
      <c r="CJ4726">
        <v>1</v>
      </c>
      <c r="CK4726">
        <v>22</v>
      </c>
      <c r="CL4726" t="s">
        <v>86</v>
      </c>
    </row>
    <row r="4727" spans="1:90" x14ac:dyDescent="0.3">
      <c r="A4727" t="s">
        <v>72</v>
      </c>
      <c r="B4727" t="s">
        <v>73</v>
      </c>
      <c r="C4727" t="s">
        <v>74</v>
      </c>
      <c r="E4727" t="str">
        <f>"080066891196"</f>
        <v>080066891196</v>
      </c>
      <c r="F4727" s="3">
        <v>45868</v>
      </c>
      <c r="G4727">
        <v>202604</v>
      </c>
      <c r="H4727" t="s">
        <v>75</v>
      </c>
      <c r="I4727" t="s">
        <v>76</v>
      </c>
      <c r="J4727" t="s">
        <v>77</v>
      </c>
      <c r="K4727" t="s">
        <v>78</v>
      </c>
      <c r="L4727" t="s">
        <v>92</v>
      </c>
      <c r="M4727" t="s">
        <v>93</v>
      </c>
      <c r="N4727" t="s">
        <v>723</v>
      </c>
      <c r="O4727" t="s">
        <v>82</v>
      </c>
      <c r="P4727" t="str">
        <f>"4170051787                    "</f>
        <v xml:space="preserve">4170051787                    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>
        <v>101.63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  <c r="BE4727">
        <v>0</v>
      </c>
      <c r="BF4727">
        <v>0</v>
      </c>
      <c r="BG4727">
        <v>0</v>
      </c>
      <c r="BH4727">
        <v>1</v>
      </c>
      <c r="BI4727">
        <v>9</v>
      </c>
      <c r="BJ4727">
        <v>4.4000000000000004</v>
      </c>
      <c r="BK4727">
        <v>9</v>
      </c>
      <c r="BL4727">
        <v>320.19</v>
      </c>
      <c r="BM4727">
        <v>48.03</v>
      </c>
      <c r="BN4727">
        <v>368.22</v>
      </c>
      <c r="BO4727">
        <v>368.22</v>
      </c>
      <c r="BQ4727" t="s">
        <v>724</v>
      </c>
      <c r="BR4727" t="s">
        <v>84</v>
      </c>
      <c r="BS4727" s="3">
        <v>45869</v>
      </c>
      <c r="BT4727" s="4">
        <v>0.59583333333333333</v>
      </c>
      <c r="BU4727" t="s">
        <v>3972</v>
      </c>
      <c r="BV4727" t="s">
        <v>86</v>
      </c>
      <c r="BY4727">
        <v>22100</v>
      </c>
      <c r="CA4727" t="s">
        <v>166</v>
      </c>
      <c r="CC4727" t="s">
        <v>93</v>
      </c>
      <c r="CD4727">
        <v>4000</v>
      </c>
      <c r="CE4727" t="s">
        <v>91</v>
      </c>
      <c r="CI4727">
        <v>1</v>
      </c>
      <c r="CJ4727">
        <v>1</v>
      </c>
      <c r="CK4727">
        <v>21</v>
      </c>
      <c r="CL4727" t="s">
        <v>86</v>
      </c>
    </row>
    <row r="4728" spans="1:90" x14ac:dyDescent="0.3">
      <c r="A4728" t="s">
        <v>72</v>
      </c>
      <c r="B4728" t="s">
        <v>73</v>
      </c>
      <c r="C4728" t="s">
        <v>74</v>
      </c>
      <c r="E4728" t="str">
        <f>"080066891283"</f>
        <v>080066891283</v>
      </c>
      <c r="F4728" s="3">
        <v>45868</v>
      </c>
      <c r="G4728">
        <v>202604</v>
      </c>
      <c r="H4728" t="s">
        <v>75</v>
      </c>
      <c r="I4728" t="s">
        <v>76</v>
      </c>
      <c r="J4728" t="s">
        <v>77</v>
      </c>
      <c r="K4728" t="s">
        <v>78</v>
      </c>
      <c r="L4728" t="s">
        <v>122</v>
      </c>
      <c r="M4728" t="s">
        <v>123</v>
      </c>
      <c r="N4728" t="s">
        <v>124</v>
      </c>
      <c r="O4728" t="s">
        <v>82</v>
      </c>
      <c r="P4728" t="str">
        <f>"4170051781                    "</f>
        <v xml:space="preserve">4170051781                    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22.6</v>
      </c>
      <c r="AR4728">
        <v>0</v>
      </c>
      <c r="AS4728">
        <v>0</v>
      </c>
      <c r="AT4728">
        <v>0</v>
      </c>
      <c r="AU4728">
        <v>0</v>
      </c>
      <c r="AV4728">
        <v>0</v>
      </c>
      <c r="AW4728">
        <v>0</v>
      </c>
      <c r="AX4728">
        <v>0</v>
      </c>
      <c r="AY4728">
        <v>0</v>
      </c>
      <c r="AZ4728">
        <v>0</v>
      </c>
      <c r="BA4728">
        <v>0</v>
      </c>
      <c r="BB4728">
        <v>0</v>
      </c>
      <c r="BC4728">
        <v>0</v>
      </c>
      <c r="BD4728">
        <v>0</v>
      </c>
      <c r="BE4728">
        <v>0</v>
      </c>
      <c r="BF4728">
        <v>0</v>
      </c>
      <c r="BG4728">
        <v>0</v>
      </c>
      <c r="BH4728">
        <v>1</v>
      </c>
      <c r="BI4728">
        <v>1</v>
      </c>
      <c r="BJ4728">
        <v>0.2</v>
      </c>
      <c r="BK4728">
        <v>1</v>
      </c>
      <c r="BL4728">
        <v>71.2</v>
      </c>
      <c r="BM4728">
        <v>10.68</v>
      </c>
      <c r="BN4728">
        <v>81.88</v>
      </c>
      <c r="BO4728">
        <v>81.88</v>
      </c>
      <c r="BQ4728" t="s">
        <v>125</v>
      </c>
      <c r="BR4728" t="s">
        <v>84</v>
      </c>
      <c r="BS4728" t="s">
        <v>587</v>
      </c>
      <c r="BY4728">
        <v>1200</v>
      </c>
      <c r="CC4728" t="s">
        <v>123</v>
      </c>
      <c r="CD4728">
        <v>4037</v>
      </c>
      <c r="CE4728" t="s">
        <v>2773</v>
      </c>
      <c r="CI4728">
        <v>1</v>
      </c>
      <c r="CJ4728" t="s">
        <v>587</v>
      </c>
      <c r="CK4728">
        <v>21</v>
      </c>
      <c r="CL4728" t="s">
        <v>86</v>
      </c>
    </row>
    <row r="4729" spans="1:90" x14ac:dyDescent="0.3">
      <c r="A4729" t="s">
        <v>72</v>
      </c>
      <c r="B4729" t="s">
        <v>73</v>
      </c>
      <c r="C4729" t="s">
        <v>74</v>
      </c>
      <c r="E4729" t="str">
        <f>"080066891309"</f>
        <v>080066891309</v>
      </c>
      <c r="F4729" s="3">
        <v>45868</v>
      </c>
      <c r="G4729">
        <v>202604</v>
      </c>
      <c r="H4729" t="s">
        <v>75</v>
      </c>
      <c r="I4729" t="s">
        <v>76</v>
      </c>
      <c r="J4729" t="s">
        <v>77</v>
      </c>
      <c r="K4729" t="s">
        <v>78</v>
      </c>
      <c r="L4729" t="s">
        <v>135</v>
      </c>
      <c r="M4729" t="s">
        <v>136</v>
      </c>
      <c r="N4729" t="s">
        <v>137</v>
      </c>
      <c r="O4729" t="s">
        <v>82</v>
      </c>
      <c r="P4729" t="str">
        <f>"4170051901                    "</f>
        <v xml:space="preserve">4170051901                    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22.6</v>
      </c>
      <c r="AR4729">
        <v>0</v>
      </c>
      <c r="AS4729">
        <v>0</v>
      </c>
      <c r="AT4729">
        <v>0</v>
      </c>
      <c r="AU4729">
        <v>0</v>
      </c>
      <c r="AV4729">
        <v>0</v>
      </c>
      <c r="AW4729">
        <v>16.739999999999998</v>
      </c>
      <c r="AX4729">
        <v>0</v>
      </c>
      <c r="AY4729">
        <v>0</v>
      </c>
      <c r="AZ4729">
        <v>0</v>
      </c>
      <c r="BA4729">
        <v>0</v>
      </c>
      <c r="BB4729">
        <v>0</v>
      </c>
      <c r="BC4729">
        <v>0</v>
      </c>
      <c r="BD4729">
        <v>0</v>
      </c>
      <c r="BE4729">
        <v>0</v>
      </c>
      <c r="BF4729">
        <v>0</v>
      </c>
      <c r="BG4729">
        <v>0</v>
      </c>
      <c r="BH4729">
        <v>1</v>
      </c>
      <c r="BI4729">
        <v>1</v>
      </c>
      <c r="BJ4729">
        <v>0.2</v>
      </c>
      <c r="BK4729">
        <v>1</v>
      </c>
      <c r="BL4729">
        <v>87.94</v>
      </c>
      <c r="BM4729">
        <v>13.19</v>
      </c>
      <c r="BN4729">
        <v>101.13</v>
      </c>
      <c r="BO4729">
        <v>101.13</v>
      </c>
      <c r="BQ4729" t="s">
        <v>138</v>
      </c>
      <c r="BR4729" t="s">
        <v>84</v>
      </c>
      <c r="BS4729" t="s">
        <v>587</v>
      </c>
      <c r="BY4729">
        <v>1200</v>
      </c>
      <c r="BZ4729" t="s">
        <v>30</v>
      </c>
      <c r="CC4729" t="s">
        <v>136</v>
      </c>
      <c r="CD4729">
        <v>3699</v>
      </c>
      <c r="CE4729" t="s">
        <v>121</v>
      </c>
      <c r="CI4729">
        <v>1</v>
      </c>
      <c r="CJ4729" t="s">
        <v>587</v>
      </c>
      <c r="CK4729">
        <v>21</v>
      </c>
      <c r="CL4729" t="s">
        <v>86</v>
      </c>
    </row>
    <row r="4730" spans="1:90" x14ac:dyDescent="0.3">
      <c r="A4730" t="s">
        <v>72</v>
      </c>
      <c r="B4730" t="s">
        <v>73</v>
      </c>
      <c r="C4730" t="s">
        <v>74</v>
      </c>
      <c r="E4730" t="str">
        <f>"080066891327"</f>
        <v>080066891327</v>
      </c>
      <c r="F4730" s="3">
        <v>45868</v>
      </c>
      <c r="G4730">
        <v>202604</v>
      </c>
      <c r="H4730" t="s">
        <v>75</v>
      </c>
      <c r="I4730" t="s">
        <v>76</v>
      </c>
      <c r="J4730" t="s">
        <v>77</v>
      </c>
      <c r="K4730" t="s">
        <v>78</v>
      </c>
      <c r="L4730" t="s">
        <v>554</v>
      </c>
      <c r="M4730" t="s">
        <v>555</v>
      </c>
      <c r="N4730" t="s">
        <v>556</v>
      </c>
      <c r="O4730" t="s">
        <v>82</v>
      </c>
      <c r="P4730" t="str">
        <f>"4170051818                    "</f>
        <v xml:space="preserve">4170051818                    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22.6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0</v>
      </c>
      <c r="AX4730">
        <v>0</v>
      </c>
      <c r="AY4730">
        <v>0</v>
      </c>
      <c r="AZ4730">
        <v>0</v>
      </c>
      <c r="BA4730">
        <v>0</v>
      </c>
      <c r="BB4730">
        <v>0</v>
      </c>
      <c r="BC4730">
        <v>0</v>
      </c>
      <c r="BD4730">
        <v>0</v>
      </c>
      <c r="BE4730">
        <v>0</v>
      </c>
      <c r="BF4730">
        <v>0</v>
      </c>
      <c r="BG4730">
        <v>0</v>
      </c>
      <c r="BH4730">
        <v>1</v>
      </c>
      <c r="BI4730">
        <v>1</v>
      </c>
      <c r="BJ4730">
        <v>0.2</v>
      </c>
      <c r="BK4730">
        <v>1</v>
      </c>
      <c r="BL4730">
        <v>71.2</v>
      </c>
      <c r="BM4730">
        <v>10.68</v>
      </c>
      <c r="BN4730">
        <v>81.88</v>
      </c>
      <c r="BO4730">
        <v>81.88</v>
      </c>
      <c r="BQ4730" t="s">
        <v>557</v>
      </c>
      <c r="BR4730" t="s">
        <v>84</v>
      </c>
      <c r="BS4730" s="3">
        <v>45869</v>
      </c>
      <c r="BT4730" s="4">
        <v>0.38124999999999998</v>
      </c>
      <c r="BU4730" t="s">
        <v>558</v>
      </c>
      <c r="BV4730" t="s">
        <v>98</v>
      </c>
      <c r="BY4730">
        <v>1200</v>
      </c>
      <c r="CA4730" t="s">
        <v>559</v>
      </c>
      <c r="CC4730" t="s">
        <v>555</v>
      </c>
      <c r="CD4730" s="5" t="s">
        <v>560</v>
      </c>
      <c r="CE4730" t="s">
        <v>121</v>
      </c>
      <c r="CI4730">
        <v>1</v>
      </c>
      <c r="CJ4730">
        <v>1</v>
      </c>
      <c r="CK4730">
        <v>21</v>
      </c>
      <c r="CL4730" t="s">
        <v>86</v>
      </c>
    </row>
    <row r="4731" spans="1:90" x14ac:dyDescent="0.3">
      <c r="A4731" t="s">
        <v>72</v>
      </c>
      <c r="B4731" t="s">
        <v>73</v>
      </c>
      <c r="C4731" t="s">
        <v>74</v>
      </c>
      <c r="E4731" t="str">
        <f>"080066891351"</f>
        <v>080066891351</v>
      </c>
      <c r="F4731" s="3">
        <v>45868</v>
      </c>
      <c r="G4731">
        <v>202604</v>
      </c>
      <c r="H4731" t="s">
        <v>75</v>
      </c>
      <c r="I4731" t="s">
        <v>76</v>
      </c>
      <c r="J4731" t="s">
        <v>77</v>
      </c>
      <c r="K4731" t="s">
        <v>78</v>
      </c>
      <c r="L4731" t="s">
        <v>79</v>
      </c>
      <c r="M4731" t="s">
        <v>80</v>
      </c>
      <c r="N4731" t="s">
        <v>876</v>
      </c>
      <c r="O4731" t="s">
        <v>82</v>
      </c>
      <c r="P4731" t="str">
        <f>"4170051881                    "</f>
        <v xml:space="preserve">4170051881                    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22.6</v>
      </c>
      <c r="AR4731">
        <v>0</v>
      </c>
      <c r="AS4731">
        <v>0</v>
      </c>
      <c r="AT4731">
        <v>0</v>
      </c>
      <c r="AU4731">
        <v>0</v>
      </c>
      <c r="AV4731">
        <v>0</v>
      </c>
      <c r="AW4731">
        <v>0</v>
      </c>
      <c r="AX4731">
        <v>0</v>
      </c>
      <c r="AY4731">
        <v>0</v>
      </c>
      <c r="AZ4731">
        <v>0</v>
      </c>
      <c r="BA4731">
        <v>0</v>
      </c>
      <c r="BB4731">
        <v>0</v>
      </c>
      <c r="BC4731">
        <v>0</v>
      </c>
      <c r="BD4731">
        <v>0</v>
      </c>
      <c r="BE4731">
        <v>0</v>
      </c>
      <c r="BF4731">
        <v>0</v>
      </c>
      <c r="BG4731">
        <v>0</v>
      </c>
      <c r="BH4731">
        <v>1</v>
      </c>
      <c r="BI4731">
        <v>1</v>
      </c>
      <c r="BJ4731">
        <v>0.2</v>
      </c>
      <c r="BK4731">
        <v>1</v>
      </c>
      <c r="BL4731">
        <v>71.2</v>
      </c>
      <c r="BM4731">
        <v>10.68</v>
      </c>
      <c r="BN4731">
        <v>81.88</v>
      </c>
      <c r="BO4731">
        <v>81.88</v>
      </c>
      <c r="BQ4731" t="s">
        <v>877</v>
      </c>
      <c r="BR4731" t="s">
        <v>84</v>
      </c>
      <c r="BS4731" s="3">
        <v>45869</v>
      </c>
      <c r="BT4731" s="4">
        <v>0.42083333333333334</v>
      </c>
      <c r="BU4731" t="s">
        <v>3973</v>
      </c>
      <c r="BV4731" t="s">
        <v>98</v>
      </c>
      <c r="BY4731">
        <v>1200</v>
      </c>
      <c r="CA4731" t="s">
        <v>3896</v>
      </c>
      <c r="CC4731" t="s">
        <v>80</v>
      </c>
      <c r="CD4731">
        <v>7441</v>
      </c>
      <c r="CE4731" t="s">
        <v>2773</v>
      </c>
      <c r="CI4731">
        <v>1</v>
      </c>
      <c r="CJ4731">
        <v>1</v>
      </c>
      <c r="CK4731">
        <v>21</v>
      </c>
      <c r="CL4731" t="s">
        <v>86</v>
      </c>
    </row>
    <row r="4732" spans="1:90" x14ac:dyDescent="0.3">
      <c r="A4732" t="s">
        <v>72</v>
      </c>
      <c r="B4732" t="s">
        <v>73</v>
      </c>
      <c r="C4732" t="s">
        <v>74</v>
      </c>
      <c r="E4732" t="str">
        <f>"080066891391"</f>
        <v>080066891391</v>
      </c>
      <c r="F4732" s="3">
        <v>45868</v>
      </c>
      <c r="G4732">
        <v>202604</v>
      </c>
      <c r="H4732" t="s">
        <v>75</v>
      </c>
      <c r="I4732" t="s">
        <v>76</v>
      </c>
      <c r="J4732" t="s">
        <v>77</v>
      </c>
      <c r="K4732" t="s">
        <v>78</v>
      </c>
      <c r="L4732" t="s">
        <v>168</v>
      </c>
      <c r="M4732" t="s">
        <v>169</v>
      </c>
      <c r="N4732" t="s">
        <v>202</v>
      </c>
      <c r="O4732" t="s">
        <v>82</v>
      </c>
      <c r="P4732" t="str">
        <f>"4170051986                    "</f>
        <v xml:space="preserve">4170051986                    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22.6</v>
      </c>
      <c r="AR4732">
        <v>0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AZ4732">
        <v>0</v>
      </c>
      <c r="BA4732">
        <v>0</v>
      </c>
      <c r="BB4732">
        <v>0</v>
      </c>
      <c r="BC4732">
        <v>0</v>
      </c>
      <c r="BD4732">
        <v>0</v>
      </c>
      <c r="BE4732">
        <v>0</v>
      </c>
      <c r="BF4732">
        <v>0</v>
      </c>
      <c r="BG4732">
        <v>0</v>
      </c>
      <c r="BH4732">
        <v>1</v>
      </c>
      <c r="BI4732">
        <v>1</v>
      </c>
      <c r="BJ4732">
        <v>0.2</v>
      </c>
      <c r="BK4732">
        <v>1</v>
      </c>
      <c r="BL4732">
        <v>71.2</v>
      </c>
      <c r="BM4732">
        <v>10.68</v>
      </c>
      <c r="BN4732">
        <v>81.88</v>
      </c>
      <c r="BO4732">
        <v>81.88</v>
      </c>
      <c r="BQ4732" t="s">
        <v>203</v>
      </c>
      <c r="BR4732" t="s">
        <v>84</v>
      </c>
      <c r="BS4732" s="3">
        <v>45869</v>
      </c>
      <c r="BT4732" s="4">
        <v>0.40208333333333335</v>
      </c>
      <c r="BU4732" t="s">
        <v>1127</v>
      </c>
      <c r="BV4732" t="s">
        <v>98</v>
      </c>
      <c r="BY4732">
        <v>1200</v>
      </c>
      <c r="CA4732" t="s">
        <v>3850</v>
      </c>
      <c r="CC4732" t="s">
        <v>169</v>
      </c>
      <c r="CD4732">
        <v>6001</v>
      </c>
      <c r="CE4732" t="s">
        <v>121</v>
      </c>
      <c r="CI4732">
        <v>1</v>
      </c>
      <c r="CJ4732">
        <v>1</v>
      </c>
      <c r="CK4732">
        <v>21</v>
      </c>
      <c r="CL4732" t="s">
        <v>86</v>
      </c>
    </row>
    <row r="4733" spans="1:90" x14ac:dyDescent="0.3">
      <c r="A4733" t="s">
        <v>72</v>
      </c>
      <c r="B4733" t="s">
        <v>73</v>
      </c>
      <c r="C4733" t="s">
        <v>74</v>
      </c>
      <c r="E4733" t="str">
        <f>"080066891413"</f>
        <v>080066891413</v>
      </c>
      <c r="F4733" s="3">
        <v>45868</v>
      </c>
      <c r="G4733">
        <v>202604</v>
      </c>
      <c r="H4733" t="s">
        <v>75</v>
      </c>
      <c r="I4733" t="s">
        <v>76</v>
      </c>
      <c r="J4733" t="s">
        <v>77</v>
      </c>
      <c r="K4733" t="s">
        <v>78</v>
      </c>
      <c r="L4733" t="s">
        <v>854</v>
      </c>
      <c r="M4733" t="s">
        <v>855</v>
      </c>
      <c r="N4733" t="s">
        <v>429</v>
      </c>
      <c r="O4733" t="s">
        <v>82</v>
      </c>
      <c r="P4733" t="str">
        <f>"4170051794                    "</f>
        <v xml:space="preserve">4170051794                    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43.78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16.739999999999998</v>
      </c>
      <c r="AX4733">
        <v>0</v>
      </c>
      <c r="AY4733">
        <v>0</v>
      </c>
      <c r="AZ4733">
        <v>0</v>
      </c>
      <c r="BA4733">
        <v>0</v>
      </c>
      <c r="BB4733">
        <v>0</v>
      </c>
      <c r="BC4733">
        <v>0</v>
      </c>
      <c r="BD4733">
        <v>0</v>
      </c>
      <c r="BE4733">
        <v>0</v>
      </c>
      <c r="BF4733">
        <v>0</v>
      </c>
      <c r="BG4733">
        <v>0</v>
      </c>
      <c r="BH4733">
        <v>1</v>
      </c>
      <c r="BI4733">
        <v>1</v>
      </c>
      <c r="BJ4733">
        <v>0.2</v>
      </c>
      <c r="BK4733">
        <v>1</v>
      </c>
      <c r="BL4733">
        <v>154.68</v>
      </c>
      <c r="BM4733">
        <v>23.2</v>
      </c>
      <c r="BN4733">
        <v>177.88</v>
      </c>
      <c r="BO4733">
        <v>177.88</v>
      </c>
      <c r="BQ4733" t="s">
        <v>430</v>
      </c>
      <c r="BR4733" t="s">
        <v>84</v>
      </c>
      <c r="BS4733" t="s">
        <v>587</v>
      </c>
      <c r="BY4733">
        <v>1200</v>
      </c>
      <c r="BZ4733" t="s">
        <v>30</v>
      </c>
      <c r="CC4733" t="s">
        <v>855</v>
      </c>
      <c r="CD4733" s="5" t="s">
        <v>993</v>
      </c>
      <c r="CE4733" t="s">
        <v>121</v>
      </c>
      <c r="CI4733">
        <v>1</v>
      </c>
      <c r="CJ4733" t="s">
        <v>587</v>
      </c>
      <c r="CK4733">
        <v>23</v>
      </c>
      <c r="CL4733" t="s">
        <v>86</v>
      </c>
    </row>
    <row r="4734" spans="1:90" x14ac:dyDescent="0.3">
      <c r="A4734" t="s">
        <v>72</v>
      </c>
      <c r="B4734" t="s">
        <v>73</v>
      </c>
      <c r="C4734" t="s">
        <v>74</v>
      </c>
      <c r="E4734" t="str">
        <f>"080066891436"</f>
        <v>080066891436</v>
      </c>
      <c r="F4734" s="3">
        <v>45868</v>
      </c>
      <c r="G4734">
        <v>202604</v>
      </c>
      <c r="H4734" t="s">
        <v>75</v>
      </c>
      <c r="I4734" t="s">
        <v>76</v>
      </c>
      <c r="J4734" t="s">
        <v>77</v>
      </c>
      <c r="K4734" t="s">
        <v>78</v>
      </c>
      <c r="L4734" t="s">
        <v>854</v>
      </c>
      <c r="M4734" t="s">
        <v>855</v>
      </c>
      <c r="N4734" t="s">
        <v>1986</v>
      </c>
      <c r="O4734" t="s">
        <v>82</v>
      </c>
      <c r="P4734" t="str">
        <f>"4170052005                    "</f>
        <v xml:space="preserve">4170052005                    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43.78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16.739999999999998</v>
      </c>
      <c r="AX4734">
        <v>0</v>
      </c>
      <c r="AY4734">
        <v>0</v>
      </c>
      <c r="AZ4734">
        <v>0</v>
      </c>
      <c r="BA4734">
        <v>0</v>
      </c>
      <c r="BB4734">
        <v>0</v>
      </c>
      <c r="BC4734">
        <v>0</v>
      </c>
      <c r="BD4734">
        <v>0</v>
      </c>
      <c r="BE4734">
        <v>0</v>
      </c>
      <c r="BF4734">
        <v>0</v>
      </c>
      <c r="BG4734">
        <v>0</v>
      </c>
      <c r="BH4734">
        <v>1</v>
      </c>
      <c r="BI4734">
        <v>1</v>
      </c>
      <c r="BJ4734">
        <v>0.2</v>
      </c>
      <c r="BK4734">
        <v>1</v>
      </c>
      <c r="BL4734">
        <v>154.68</v>
      </c>
      <c r="BM4734">
        <v>23.2</v>
      </c>
      <c r="BN4734">
        <v>177.88</v>
      </c>
      <c r="BO4734">
        <v>177.88</v>
      </c>
      <c r="BQ4734" t="s">
        <v>1987</v>
      </c>
      <c r="BR4734" t="s">
        <v>84</v>
      </c>
      <c r="BS4734" t="s">
        <v>587</v>
      </c>
      <c r="BY4734">
        <v>1200</v>
      </c>
      <c r="BZ4734" t="s">
        <v>30</v>
      </c>
      <c r="CC4734" t="s">
        <v>855</v>
      </c>
      <c r="CD4734" s="5" t="s">
        <v>1989</v>
      </c>
      <c r="CE4734" t="s">
        <v>121</v>
      </c>
      <c r="CI4734">
        <v>1</v>
      </c>
      <c r="CJ4734" t="s">
        <v>587</v>
      </c>
      <c r="CK4734">
        <v>23</v>
      </c>
      <c r="CL4734" t="s">
        <v>86</v>
      </c>
    </row>
    <row r="4735" spans="1:90" x14ac:dyDescent="0.3">
      <c r="A4735" t="s">
        <v>72</v>
      </c>
      <c r="B4735" t="s">
        <v>73</v>
      </c>
      <c r="C4735" t="s">
        <v>74</v>
      </c>
      <c r="E4735" t="str">
        <f>"080066891537"</f>
        <v>080066891537</v>
      </c>
      <c r="F4735" s="3">
        <v>45868</v>
      </c>
      <c r="G4735">
        <v>202604</v>
      </c>
      <c r="H4735" t="s">
        <v>75</v>
      </c>
      <c r="I4735" t="s">
        <v>76</v>
      </c>
      <c r="J4735" t="s">
        <v>77</v>
      </c>
      <c r="K4735" t="s">
        <v>78</v>
      </c>
      <c r="L4735" t="s">
        <v>277</v>
      </c>
      <c r="M4735" t="s">
        <v>278</v>
      </c>
      <c r="N4735" t="s">
        <v>2927</v>
      </c>
      <c r="O4735" t="s">
        <v>82</v>
      </c>
      <c r="P4735" t="str">
        <f>"4170052011                    "</f>
        <v xml:space="preserve">4170052011                    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22.6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AZ4735">
        <v>0</v>
      </c>
      <c r="BA4735">
        <v>0</v>
      </c>
      <c r="BB4735">
        <v>0</v>
      </c>
      <c r="BC4735">
        <v>0</v>
      </c>
      <c r="BD4735">
        <v>0</v>
      </c>
      <c r="BE4735">
        <v>0</v>
      </c>
      <c r="BF4735">
        <v>0</v>
      </c>
      <c r="BG4735">
        <v>0</v>
      </c>
      <c r="BH4735">
        <v>1</v>
      </c>
      <c r="BI4735">
        <v>1</v>
      </c>
      <c r="BJ4735">
        <v>0.2</v>
      </c>
      <c r="BK4735">
        <v>1</v>
      </c>
      <c r="BL4735">
        <v>71.2</v>
      </c>
      <c r="BM4735">
        <v>10.68</v>
      </c>
      <c r="BN4735">
        <v>81.88</v>
      </c>
      <c r="BO4735">
        <v>81.88</v>
      </c>
      <c r="BQ4735" t="s">
        <v>2928</v>
      </c>
      <c r="BR4735" t="s">
        <v>84</v>
      </c>
      <c r="BS4735" s="3">
        <v>45869</v>
      </c>
      <c r="BT4735" s="4">
        <v>0.34027777777777779</v>
      </c>
      <c r="BU4735" t="s">
        <v>3974</v>
      </c>
      <c r="BV4735" t="s">
        <v>98</v>
      </c>
      <c r="BY4735">
        <v>1200</v>
      </c>
      <c r="CA4735" t="s">
        <v>282</v>
      </c>
      <c r="CC4735" t="s">
        <v>278</v>
      </c>
      <c r="CD4735">
        <v>6230</v>
      </c>
      <c r="CE4735" t="s">
        <v>258</v>
      </c>
      <c r="CI4735">
        <v>1</v>
      </c>
      <c r="CJ4735">
        <v>1</v>
      </c>
      <c r="CK4735">
        <v>21</v>
      </c>
      <c r="CL4735" t="s">
        <v>86</v>
      </c>
    </row>
    <row r="4736" spans="1:90" x14ac:dyDescent="0.3">
      <c r="A4736" t="s">
        <v>72</v>
      </c>
      <c r="B4736" t="s">
        <v>73</v>
      </c>
      <c r="C4736" t="s">
        <v>74</v>
      </c>
      <c r="E4736" t="str">
        <f>"080066891568"</f>
        <v>080066891568</v>
      </c>
      <c r="F4736" s="3">
        <v>45868</v>
      </c>
      <c r="G4736">
        <v>202604</v>
      </c>
      <c r="H4736" t="s">
        <v>75</v>
      </c>
      <c r="I4736" t="s">
        <v>76</v>
      </c>
      <c r="J4736" t="s">
        <v>77</v>
      </c>
      <c r="K4736" t="s">
        <v>78</v>
      </c>
      <c r="L4736" t="s">
        <v>350</v>
      </c>
      <c r="M4736" t="s">
        <v>351</v>
      </c>
      <c r="N4736" t="s">
        <v>352</v>
      </c>
      <c r="O4736" t="s">
        <v>82</v>
      </c>
      <c r="P4736" t="str">
        <f>"4170052049                    "</f>
        <v xml:space="preserve">4170052049                    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22.6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  <c r="BE4736">
        <v>0</v>
      </c>
      <c r="BF4736">
        <v>0</v>
      </c>
      <c r="BG4736">
        <v>0</v>
      </c>
      <c r="BH4736">
        <v>1</v>
      </c>
      <c r="BI4736">
        <v>1</v>
      </c>
      <c r="BJ4736">
        <v>1.8</v>
      </c>
      <c r="BK4736">
        <v>2</v>
      </c>
      <c r="BL4736">
        <v>71.2</v>
      </c>
      <c r="BM4736">
        <v>10.68</v>
      </c>
      <c r="BN4736">
        <v>81.88</v>
      </c>
      <c r="BO4736">
        <v>81.88</v>
      </c>
      <c r="BQ4736" t="s">
        <v>353</v>
      </c>
      <c r="BR4736" t="s">
        <v>84</v>
      </c>
      <c r="BS4736" t="s">
        <v>587</v>
      </c>
      <c r="BY4736">
        <v>9180</v>
      </c>
      <c r="CC4736" t="s">
        <v>351</v>
      </c>
      <c r="CD4736">
        <v>4133</v>
      </c>
      <c r="CE4736" t="s">
        <v>91</v>
      </c>
      <c r="CI4736">
        <v>1</v>
      </c>
      <c r="CJ4736" t="s">
        <v>587</v>
      </c>
      <c r="CK4736">
        <v>21</v>
      </c>
      <c r="CL4736" t="s">
        <v>86</v>
      </c>
    </row>
    <row r="4737" spans="1:90" x14ac:dyDescent="0.3">
      <c r="A4737" t="s">
        <v>72</v>
      </c>
      <c r="B4737" t="s">
        <v>73</v>
      </c>
      <c r="C4737" t="s">
        <v>74</v>
      </c>
      <c r="E4737" t="str">
        <f>"080066891603"</f>
        <v>080066891603</v>
      </c>
      <c r="F4737" s="3">
        <v>45868</v>
      </c>
      <c r="G4737">
        <v>202604</v>
      </c>
      <c r="H4737" t="s">
        <v>75</v>
      </c>
      <c r="I4737" t="s">
        <v>76</v>
      </c>
      <c r="J4737" t="s">
        <v>77</v>
      </c>
      <c r="K4737" t="s">
        <v>78</v>
      </c>
      <c r="L4737" t="s">
        <v>240</v>
      </c>
      <c r="M4737" t="s">
        <v>241</v>
      </c>
      <c r="N4737" t="s">
        <v>1341</v>
      </c>
      <c r="O4737" t="s">
        <v>82</v>
      </c>
      <c r="P4737" t="str">
        <f>"4170052012                    "</f>
        <v xml:space="preserve">4170052012                    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17.649999999999999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0</v>
      </c>
      <c r="AY4737">
        <v>0</v>
      </c>
      <c r="AZ4737">
        <v>0</v>
      </c>
      <c r="BA4737">
        <v>0</v>
      </c>
      <c r="BB4737">
        <v>0</v>
      </c>
      <c r="BC4737">
        <v>0</v>
      </c>
      <c r="BD4737">
        <v>0</v>
      </c>
      <c r="BE4737">
        <v>0</v>
      </c>
      <c r="BF4737">
        <v>0</v>
      </c>
      <c r="BG4737">
        <v>0</v>
      </c>
      <c r="BH4737">
        <v>1</v>
      </c>
      <c r="BI4737">
        <v>1</v>
      </c>
      <c r="BJ4737">
        <v>1.1000000000000001</v>
      </c>
      <c r="BK4737">
        <v>2</v>
      </c>
      <c r="BL4737">
        <v>55.61</v>
      </c>
      <c r="BM4737">
        <v>8.34</v>
      </c>
      <c r="BN4737">
        <v>63.95</v>
      </c>
      <c r="BO4737">
        <v>63.95</v>
      </c>
      <c r="BQ4737" t="s">
        <v>1342</v>
      </c>
      <c r="BR4737" t="s">
        <v>84</v>
      </c>
      <c r="BS4737" s="3">
        <v>45869</v>
      </c>
      <c r="BT4737" s="4">
        <v>0.39305555555555555</v>
      </c>
      <c r="BU4737" t="s">
        <v>3975</v>
      </c>
      <c r="BV4737" t="s">
        <v>98</v>
      </c>
      <c r="BY4737">
        <v>5320</v>
      </c>
      <c r="CA4737" t="s">
        <v>1344</v>
      </c>
      <c r="CC4737" t="s">
        <v>241</v>
      </c>
      <c r="CD4737">
        <v>2169</v>
      </c>
      <c r="CE4737" t="s">
        <v>145</v>
      </c>
      <c r="CI4737">
        <v>1</v>
      </c>
      <c r="CJ4737">
        <v>1</v>
      </c>
      <c r="CK4737">
        <v>22</v>
      </c>
      <c r="CL4737" t="s">
        <v>86</v>
      </c>
    </row>
    <row r="4738" spans="1:90" x14ac:dyDescent="0.3">
      <c r="A4738" t="s">
        <v>72</v>
      </c>
      <c r="B4738" t="s">
        <v>73</v>
      </c>
      <c r="C4738" t="s">
        <v>74</v>
      </c>
      <c r="E4738" t="str">
        <f>"080066891742"</f>
        <v>080066891742</v>
      </c>
      <c r="F4738" s="3">
        <v>45868</v>
      </c>
      <c r="G4738">
        <v>202604</v>
      </c>
      <c r="H4738" t="s">
        <v>75</v>
      </c>
      <c r="I4738" t="s">
        <v>76</v>
      </c>
      <c r="J4738" t="s">
        <v>77</v>
      </c>
      <c r="K4738" t="s">
        <v>78</v>
      </c>
      <c r="L4738" t="s">
        <v>240</v>
      </c>
      <c r="M4738" t="s">
        <v>241</v>
      </c>
      <c r="N4738" t="s">
        <v>1341</v>
      </c>
      <c r="O4738" t="s">
        <v>82</v>
      </c>
      <c r="P4738" t="str">
        <f>"4170052027                    "</f>
        <v xml:space="preserve">4170052027                    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17.649999999999999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0</v>
      </c>
      <c r="BB4738">
        <v>0</v>
      </c>
      <c r="BC4738">
        <v>0</v>
      </c>
      <c r="BD4738">
        <v>0</v>
      </c>
      <c r="BE4738">
        <v>0</v>
      </c>
      <c r="BF4738">
        <v>0</v>
      </c>
      <c r="BG4738">
        <v>0</v>
      </c>
      <c r="BH4738">
        <v>1</v>
      </c>
      <c r="BI4738">
        <v>1</v>
      </c>
      <c r="BJ4738">
        <v>0.2</v>
      </c>
      <c r="BK4738">
        <v>1</v>
      </c>
      <c r="BL4738">
        <v>55.61</v>
      </c>
      <c r="BM4738">
        <v>8.34</v>
      </c>
      <c r="BN4738">
        <v>63.95</v>
      </c>
      <c r="BO4738">
        <v>63.95</v>
      </c>
      <c r="BQ4738" t="s">
        <v>1342</v>
      </c>
      <c r="BR4738" t="s">
        <v>84</v>
      </c>
      <c r="BS4738" s="3">
        <v>45869</v>
      </c>
      <c r="BT4738" s="4">
        <v>0.39305555555555555</v>
      </c>
      <c r="BU4738" t="s">
        <v>3975</v>
      </c>
      <c r="BV4738" t="s">
        <v>98</v>
      </c>
      <c r="BY4738">
        <v>1200</v>
      </c>
      <c r="CA4738" t="s">
        <v>1344</v>
      </c>
      <c r="CC4738" t="s">
        <v>241</v>
      </c>
      <c r="CD4738">
        <v>2169</v>
      </c>
      <c r="CE4738" t="s">
        <v>121</v>
      </c>
      <c r="CI4738">
        <v>1</v>
      </c>
      <c r="CJ4738">
        <v>1</v>
      </c>
      <c r="CK4738">
        <v>22</v>
      </c>
      <c r="CL4738" t="s">
        <v>86</v>
      </c>
    </row>
    <row r="4739" spans="1:90" x14ac:dyDescent="0.3">
      <c r="A4739" t="s">
        <v>72</v>
      </c>
      <c r="B4739" t="s">
        <v>73</v>
      </c>
      <c r="C4739" t="s">
        <v>74</v>
      </c>
      <c r="E4739" t="str">
        <f>"080066891777"</f>
        <v>080066891777</v>
      </c>
      <c r="F4739" s="3">
        <v>45868</v>
      </c>
      <c r="G4739">
        <v>202604</v>
      </c>
      <c r="H4739" t="s">
        <v>75</v>
      </c>
      <c r="I4739" t="s">
        <v>76</v>
      </c>
      <c r="J4739" t="s">
        <v>77</v>
      </c>
      <c r="K4739" t="s">
        <v>78</v>
      </c>
      <c r="L4739" t="s">
        <v>75</v>
      </c>
      <c r="M4739" t="s">
        <v>76</v>
      </c>
      <c r="N4739" t="s">
        <v>118</v>
      </c>
      <c r="O4739" t="s">
        <v>82</v>
      </c>
      <c r="P4739" t="str">
        <f>"4170051994                    "</f>
        <v xml:space="preserve">4170051994                    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17.649999999999999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AZ4739">
        <v>0</v>
      </c>
      <c r="BA4739">
        <v>0</v>
      </c>
      <c r="BB4739">
        <v>0</v>
      </c>
      <c r="BC4739">
        <v>0</v>
      </c>
      <c r="BD4739">
        <v>0</v>
      </c>
      <c r="BE4739">
        <v>0</v>
      </c>
      <c r="BF4739">
        <v>0</v>
      </c>
      <c r="BG4739">
        <v>0</v>
      </c>
      <c r="BH4739">
        <v>1</v>
      </c>
      <c r="BI4739">
        <v>1</v>
      </c>
      <c r="BJ4739">
        <v>0.2</v>
      </c>
      <c r="BK4739">
        <v>1</v>
      </c>
      <c r="BL4739">
        <v>55.61</v>
      </c>
      <c r="BM4739">
        <v>8.34</v>
      </c>
      <c r="BN4739">
        <v>63.95</v>
      </c>
      <c r="BO4739">
        <v>63.95</v>
      </c>
      <c r="BQ4739" t="s">
        <v>119</v>
      </c>
      <c r="BR4739" t="s">
        <v>84</v>
      </c>
      <c r="BS4739" s="3">
        <v>45869</v>
      </c>
      <c r="BT4739" s="4">
        <v>0.31666666666666665</v>
      </c>
      <c r="BU4739" t="s">
        <v>212</v>
      </c>
      <c r="BV4739" t="s">
        <v>98</v>
      </c>
      <c r="BY4739">
        <v>1200</v>
      </c>
      <c r="CA4739" t="s">
        <v>213</v>
      </c>
      <c r="CC4739" t="s">
        <v>76</v>
      </c>
      <c r="CD4739">
        <v>1600</v>
      </c>
      <c r="CE4739" t="s">
        <v>121</v>
      </c>
      <c r="CI4739">
        <v>1</v>
      </c>
      <c r="CJ4739">
        <v>1</v>
      </c>
      <c r="CK4739">
        <v>22</v>
      </c>
      <c r="CL4739" t="s">
        <v>86</v>
      </c>
    </row>
    <row r="4740" spans="1:90" x14ac:dyDescent="0.3">
      <c r="A4740" t="s">
        <v>72</v>
      </c>
      <c r="B4740" t="s">
        <v>73</v>
      </c>
      <c r="C4740" t="s">
        <v>74</v>
      </c>
      <c r="E4740" t="str">
        <f>"080066891800"</f>
        <v>080066891800</v>
      </c>
      <c r="F4740" s="3">
        <v>45868</v>
      </c>
      <c r="G4740">
        <v>202604</v>
      </c>
      <c r="H4740" t="s">
        <v>75</v>
      </c>
      <c r="I4740" t="s">
        <v>76</v>
      </c>
      <c r="J4740" t="s">
        <v>77</v>
      </c>
      <c r="K4740" t="s">
        <v>78</v>
      </c>
      <c r="L4740" t="s">
        <v>146</v>
      </c>
      <c r="M4740" t="s">
        <v>146</v>
      </c>
      <c r="N4740" t="s">
        <v>147</v>
      </c>
      <c r="O4740" t="s">
        <v>82</v>
      </c>
      <c r="P4740" t="str">
        <f>"4170051997                    "</f>
        <v xml:space="preserve">4170051997                    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43.78</v>
      </c>
      <c r="AR4740">
        <v>0</v>
      </c>
      <c r="AS4740">
        <v>0</v>
      </c>
      <c r="AT4740">
        <v>0</v>
      </c>
      <c r="AU4740">
        <v>0</v>
      </c>
      <c r="AV4740">
        <v>0</v>
      </c>
      <c r="AW4740">
        <v>0</v>
      </c>
      <c r="AX4740">
        <v>0</v>
      </c>
      <c r="AY4740">
        <v>0</v>
      </c>
      <c r="AZ4740">
        <v>0</v>
      </c>
      <c r="BA4740">
        <v>0</v>
      </c>
      <c r="BB4740">
        <v>0</v>
      </c>
      <c r="BC4740">
        <v>0</v>
      </c>
      <c r="BD4740">
        <v>0</v>
      </c>
      <c r="BE4740">
        <v>0</v>
      </c>
      <c r="BF4740">
        <v>0</v>
      </c>
      <c r="BG4740">
        <v>0</v>
      </c>
      <c r="BH4740">
        <v>1</v>
      </c>
      <c r="BI4740">
        <v>1</v>
      </c>
      <c r="BJ4740">
        <v>0.2</v>
      </c>
      <c r="BK4740">
        <v>1</v>
      </c>
      <c r="BL4740">
        <v>137.94</v>
      </c>
      <c r="BM4740">
        <v>20.69</v>
      </c>
      <c r="BN4740">
        <v>158.63</v>
      </c>
      <c r="BO4740">
        <v>158.63</v>
      </c>
      <c r="BQ4740" t="s">
        <v>764</v>
      </c>
      <c r="BR4740" t="s">
        <v>84</v>
      </c>
      <c r="BS4740" s="3">
        <v>45869</v>
      </c>
      <c r="BT4740" s="4">
        <v>0.53819444444444442</v>
      </c>
      <c r="BU4740" t="s">
        <v>149</v>
      </c>
      <c r="BV4740" t="s">
        <v>98</v>
      </c>
      <c r="BY4740">
        <v>1200</v>
      </c>
      <c r="CA4740" t="s">
        <v>150</v>
      </c>
      <c r="CC4740" t="s">
        <v>146</v>
      </c>
      <c r="CD4740">
        <v>7646</v>
      </c>
      <c r="CE4740" t="s">
        <v>121</v>
      </c>
      <c r="CI4740">
        <v>1</v>
      </c>
      <c r="CJ4740">
        <v>1</v>
      </c>
      <c r="CK4740">
        <v>23</v>
      </c>
      <c r="CL4740" t="s">
        <v>86</v>
      </c>
    </row>
    <row r="4741" spans="1:90" x14ac:dyDescent="0.3">
      <c r="A4741" t="s">
        <v>72</v>
      </c>
      <c r="B4741" t="s">
        <v>73</v>
      </c>
      <c r="C4741" t="s">
        <v>74</v>
      </c>
      <c r="E4741" t="str">
        <f>"080066891828"</f>
        <v>080066891828</v>
      </c>
      <c r="F4741" s="3">
        <v>45868</v>
      </c>
      <c r="G4741">
        <v>202604</v>
      </c>
      <c r="H4741" t="s">
        <v>75</v>
      </c>
      <c r="I4741" t="s">
        <v>76</v>
      </c>
      <c r="J4741" t="s">
        <v>77</v>
      </c>
      <c r="K4741" t="s">
        <v>78</v>
      </c>
      <c r="L4741" t="s">
        <v>197</v>
      </c>
      <c r="M4741" t="s">
        <v>198</v>
      </c>
      <c r="N4741" t="s">
        <v>2531</v>
      </c>
      <c r="O4741" t="s">
        <v>82</v>
      </c>
      <c r="P4741" t="str">
        <f>"4170052072                    "</f>
        <v xml:space="preserve">4170052072                    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>
        <v>17.649999999999999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</v>
      </c>
      <c r="AZ4741">
        <v>0</v>
      </c>
      <c r="BA4741">
        <v>0</v>
      </c>
      <c r="BB4741">
        <v>0</v>
      </c>
      <c r="BC4741">
        <v>0</v>
      </c>
      <c r="BD4741">
        <v>0</v>
      </c>
      <c r="BE4741">
        <v>0</v>
      </c>
      <c r="BF4741">
        <v>0</v>
      </c>
      <c r="BG4741">
        <v>0</v>
      </c>
      <c r="BH4741">
        <v>1</v>
      </c>
      <c r="BI4741">
        <v>1</v>
      </c>
      <c r="BJ4741">
        <v>0.2</v>
      </c>
      <c r="BK4741">
        <v>1</v>
      </c>
      <c r="BL4741">
        <v>55.61</v>
      </c>
      <c r="BM4741">
        <v>8.34</v>
      </c>
      <c r="BN4741">
        <v>63.95</v>
      </c>
      <c r="BO4741">
        <v>63.95</v>
      </c>
      <c r="BQ4741" t="s">
        <v>2532</v>
      </c>
      <c r="BR4741" t="s">
        <v>84</v>
      </c>
      <c r="BS4741" s="3">
        <v>45869</v>
      </c>
      <c r="BT4741" s="4">
        <v>0.3298611111111111</v>
      </c>
      <c r="BU4741" t="s">
        <v>3976</v>
      </c>
      <c r="BV4741" t="s">
        <v>98</v>
      </c>
      <c r="BY4741">
        <v>1200</v>
      </c>
      <c r="CA4741" t="s">
        <v>1799</v>
      </c>
      <c r="CC4741" t="s">
        <v>198</v>
      </c>
      <c r="CD4741">
        <v>1429</v>
      </c>
      <c r="CE4741" t="s">
        <v>110</v>
      </c>
      <c r="CI4741">
        <v>1</v>
      </c>
      <c r="CJ4741">
        <v>1</v>
      </c>
      <c r="CK4741">
        <v>22</v>
      </c>
      <c r="CL4741" t="s">
        <v>86</v>
      </c>
    </row>
    <row r="4742" spans="1:90" x14ac:dyDescent="0.3">
      <c r="A4742" t="s">
        <v>72</v>
      </c>
      <c r="B4742" t="s">
        <v>73</v>
      </c>
      <c r="C4742" t="s">
        <v>74</v>
      </c>
      <c r="E4742" t="str">
        <f>"080066891849"</f>
        <v>080066891849</v>
      </c>
      <c r="F4742" s="3">
        <v>45868</v>
      </c>
      <c r="G4742">
        <v>202604</v>
      </c>
      <c r="H4742" t="s">
        <v>75</v>
      </c>
      <c r="I4742" t="s">
        <v>76</v>
      </c>
      <c r="J4742" t="s">
        <v>77</v>
      </c>
      <c r="K4742" t="s">
        <v>78</v>
      </c>
      <c r="L4742" t="s">
        <v>1370</v>
      </c>
      <c r="M4742" t="s">
        <v>1371</v>
      </c>
      <c r="N4742" t="s">
        <v>2067</v>
      </c>
      <c r="O4742" t="s">
        <v>82</v>
      </c>
      <c r="P4742" t="str">
        <f>"4170051982                    "</f>
        <v xml:space="preserve">4170051982                    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>
        <v>43.78</v>
      </c>
      <c r="AR4742">
        <v>0</v>
      </c>
      <c r="AS4742">
        <v>0</v>
      </c>
      <c r="AT4742">
        <v>0</v>
      </c>
      <c r="AU4742">
        <v>0</v>
      </c>
      <c r="AV4742">
        <v>0</v>
      </c>
      <c r="AW4742">
        <v>0</v>
      </c>
      <c r="AX4742">
        <v>0</v>
      </c>
      <c r="AY4742">
        <v>0</v>
      </c>
      <c r="AZ4742">
        <v>0</v>
      </c>
      <c r="BA4742">
        <v>0</v>
      </c>
      <c r="BB4742">
        <v>0</v>
      </c>
      <c r="BC4742">
        <v>0</v>
      </c>
      <c r="BD4742">
        <v>0</v>
      </c>
      <c r="BE4742">
        <v>0</v>
      </c>
      <c r="BF4742">
        <v>0</v>
      </c>
      <c r="BG4742">
        <v>0</v>
      </c>
      <c r="BH4742">
        <v>1</v>
      </c>
      <c r="BI4742">
        <v>1</v>
      </c>
      <c r="BJ4742">
        <v>0.2</v>
      </c>
      <c r="BK4742">
        <v>1</v>
      </c>
      <c r="BL4742">
        <v>137.94</v>
      </c>
      <c r="BM4742">
        <v>20.69</v>
      </c>
      <c r="BN4742">
        <v>158.63</v>
      </c>
      <c r="BO4742">
        <v>158.63</v>
      </c>
      <c r="BQ4742" t="s">
        <v>2068</v>
      </c>
      <c r="BR4742" t="s">
        <v>84</v>
      </c>
      <c r="BS4742" t="s">
        <v>587</v>
      </c>
      <c r="BY4742">
        <v>1200</v>
      </c>
      <c r="CC4742" t="s">
        <v>1371</v>
      </c>
      <c r="CD4742" s="5" t="s">
        <v>1376</v>
      </c>
      <c r="CE4742" t="s">
        <v>110</v>
      </c>
      <c r="CI4742">
        <v>1</v>
      </c>
      <c r="CJ4742" t="s">
        <v>587</v>
      </c>
      <c r="CK4742">
        <v>23</v>
      </c>
      <c r="CL4742" t="s">
        <v>86</v>
      </c>
    </row>
    <row r="4743" spans="1:90" x14ac:dyDescent="0.3">
      <c r="A4743" t="s">
        <v>72</v>
      </c>
      <c r="B4743" t="s">
        <v>73</v>
      </c>
      <c r="C4743" t="s">
        <v>74</v>
      </c>
      <c r="E4743" t="str">
        <f>"080066891868"</f>
        <v>080066891868</v>
      </c>
      <c r="F4743" s="3">
        <v>45868</v>
      </c>
      <c r="G4743">
        <v>202604</v>
      </c>
      <c r="H4743" t="s">
        <v>75</v>
      </c>
      <c r="I4743" t="s">
        <v>76</v>
      </c>
      <c r="J4743" t="s">
        <v>77</v>
      </c>
      <c r="K4743" t="s">
        <v>78</v>
      </c>
      <c r="L4743" t="s">
        <v>92</v>
      </c>
      <c r="M4743" t="s">
        <v>93</v>
      </c>
      <c r="N4743" t="s">
        <v>1591</v>
      </c>
      <c r="O4743" t="s">
        <v>82</v>
      </c>
      <c r="P4743" t="str">
        <f>"4170051706                    "</f>
        <v xml:space="preserve">4170051706                    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22.6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AZ4743">
        <v>0</v>
      </c>
      <c r="BA4743">
        <v>0</v>
      </c>
      <c r="BB4743">
        <v>0</v>
      </c>
      <c r="BC4743">
        <v>0</v>
      </c>
      <c r="BD4743">
        <v>0</v>
      </c>
      <c r="BE4743">
        <v>0</v>
      </c>
      <c r="BF4743">
        <v>0</v>
      </c>
      <c r="BG4743">
        <v>0</v>
      </c>
      <c r="BH4743">
        <v>1</v>
      </c>
      <c r="BI4743">
        <v>1</v>
      </c>
      <c r="BJ4743">
        <v>0.2</v>
      </c>
      <c r="BK4743">
        <v>1</v>
      </c>
      <c r="BL4743">
        <v>71.2</v>
      </c>
      <c r="BM4743">
        <v>10.68</v>
      </c>
      <c r="BN4743">
        <v>81.88</v>
      </c>
      <c r="BO4743">
        <v>81.88</v>
      </c>
      <c r="BQ4743" t="s">
        <v>1592</v>
      </c>
      <c r="BR4743" t="s">
        <v>84</v>
      </c>
      <c r="BS4743" s="3">
        <v>45869</v>
      </c>
      <c r="BT4743" s="4">
        <v>0.43333333333333335</v>
      </c>
      <c r="BU4743" t="s">
        <v>3977</v>
      </c>
      <c r="BV4743" t="s">
        <v>98</v>
      </c>
      <c r="BY4743">
        <v>1200</v>
      </c>
      <c r="CA4743" t="s">
        <v>2974</v>
      </c>
      <c r="CC4743" t="s">
        <v>93</v>
      </c>
      <c r="CD4743">
        <v>4000</v>
      </c>
      <c r="CE4743" t="s">
        <v>110</v>
      </c>
      <c r="CI4743">
        <v>1</v>
      </c>
      <c r="CJ4743">
        <v>1</v>
      </c>
      <c r="CK4743">
        <v>21</v>
      </c>
      <c r="CL4743" t="s">
        <v>86</v>
      </c>
    </row>
    <row r="4744" spans="1:90" x14ac:dyDescent="0.3">
      <c r="A4744" t="s">
        <v>72</v>
      </c>
      <c r="B4744" t="s">
        <v>73</v>
      </c>
      <c r="C4744" t="s">
        <v>74</v>
      </c>
      <c r="E4744" t="str">
        <f>"080066891891"</f>
        <v>080066891891</v>
      </c>
      <c r="F4744" s="3">
        <v>45868</v>
      </c>
      <c r="G4744">
        <v>202604</v>
      </c>
      <c r="H4744" t="s">
        <v>75</v>
      </c>
      <c r="I4744" t="s">
        <v>76</v>
      </c>
      <c r="J4744" t="s">
        <v>77</v>
      </c>
      <c r="K4744" t="s">
        <v>78</v>
      </c>
      <c r="L4744" t="s">
        <v>168</v>
      </c>
      <c r="M4744" t="s">
        <v>169</v>
      </c>
      <c r="N4744" t="s">
        <v>662</v>
      </c>
      <c r="O4744" t="s">
        <v>82</v>
      </c>
      <c r="P4744" t="str">
        <f>"4170051898                    "</f>
        <v xml:space="preserve">4170051898                    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>
        <v>22.6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0</v>
      </c>
      <c r="AY4744">
        <v>0</v>
      </c>
      <c r="AZ4744">
        <v>0</v>
      </c>
      <c r="BA4744">
        <v>0</v>
      </c>
      <c r="BB4744">
        <v>0</v>
      </c>
      <c r="BC4744">
        <v>0</v>
      </c>
      <c r="BD4744">
        <v>0</v>
      </c>
      <c r="BE4744">
        <v>0</v>
      </c>
      <c r="BF4744">
        <v>0</v>
      </c>
      <c r="BG4744">
        <v>0</v>
      </c>
      <c r="BH4744">
        <v>1</v>
      </c>
      <c r="BI4744">
        <v>1</v>
      </c>
      <c r="BJ4744">
        <v>0.2</v>
      </c>
      <c r="BK4744">
        <v>1</v>
      </c>
      <c r="BL4744">
        <v>71.2</v>
      </c>
      <c r="BM4744">
        <v>10.68</v>
      </c>
      <c r="BN4744">
        <v>81.88</v>
      </c>
      <c r="BO4744">
        <v>81.88</v>
      </c>
      <c r="BQ4744" t="s">
        <v>663</v>
      </c>
      <c r="BR4744" t="s">
        <v>84</v>
      </c>
      <c r="BS4744" s="3">
        <v>45869</v>
      </c>
      <c r="BT4744" s="4">
        <v>0.43263888888888891</v>
      </c>
      <c r="BU4744" t="s">
        <v>3902</v>
      </c>
      <c r="BV4744" t="s">
        <v>98</v>
      </c>
      <c r="BY4744">
        <v>1200</v>
      </c>
      <c r="CA4744" t="s">
        <v>345</v>
      </c>
      <c r="CC4744" t="s">
        <v>169</v>
      </c>
      <c r="CD4744">
        <v>6001</v>
      </c>
      <c r="CE4744" t="s">
        <v>121</v>
      </c>
      <c r="CI4744">
        <v>1</v>
      </c>
      <c r="CJ4744">
        <v>1</v>
      </c>
      <c r="CK4744">
        <v>21</v>
      </c>
      <c r="CL4744" t="s">
        <v>86</v>
      </c>
    </row>
    <row r="4745" spans="1:90" x14ac:dyDescent="0.3">
      <c r="A4745" t="s">
        <v>72</v>
      </c>
      <c r="B4745" t="s">
        <v>73</v>
      </c>
      <c r="C4745" t="s">
        <v>74</v>
      </c>
      <c r="E4745" t="str">
        <f>"080066891905"</f>
        <v>080066891905</v>
      </c>
      <c r="F4745" s="3">
        <v>45868</v>
      </c>
      <c r="G4745">
        <v>202604</v>
      </c>
      <c r="H4745" t="s">
        <v>75</v>
      </c>
      <c r="I4745" t="s">
        <v>76</v>
      </c>
      <c r="J4745" t="s">
        <v>77</v>
      </c>
      <c r="K4745" t="s">
        <v>78</v>
      </c>
      <c r="L4745" t="s">
        <v>75</v>
      </c>
      <c r="M4745" t="s">
        <v>76</v>
      </c>
      <c r="N4745" t="s">
        <v>3163</v>
      </c>
      <c r="O4745" t="s">
        <v>82</v>
      </c>
      <c r="P4745" t="str">
        <f>"4170051927                    "</f>
        <v xml:space="preserve">4170051927                    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17.649999999999999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0</v>
      </c>
      <c r="BB4745">
        <v>0</v>
      </c>
      <c r="BC4745">
        <v>0</v>
      </c>
      <c r="BD4745">
        <v>0</v>
      </c>
      <c r="BE4745">
        <v>0</v>
      </c>
      <c r="BF4745">
        <v>0</v>
      </c>
      <c r="BG4745">
        <v>0</v>
      </c>
      <c r="BH4745">
        <v>1</v>
      </c>
      <c r="BI4745">
        <v>1</v>
      </c>
      <c r="BJ4745">
        <v>0.6</v>
      </c>
      <c r="BK4745">
        <v>1</v>
      </c>
      <c r="BL4745">
        <v>55.61</v>
      </c>
      <c r="BM4745">
        <v>8.34</v>
      </c>
      <c r="BN4745">
        <v>63.95</v>
      </c>
      <c r="BO4745">
        <v>63.95</v>
      </c>
      <c r="BQ4745" t="s">
        <v>3164</v>
      </c>
      <c r="BR4745" t="s">
        <v>84</v>
      </c>
      <c r="BS4745" t="s">
        <v>587</v>
      </c>
      <c r="BY4745">
        <v>3192</v>
      </c>
      <c r="BZ4745" t="s">
        <v>89</v>
      </c>
      <c r="CC4745" t="s">
        <v>76</v>
      </c>
      <c r="CD4745">
        <v>1666</v>
      </c>
      <c r="CE4745" t="s">
        <v>117</v>
      </c>
      <c r="CI4745">
        <v>1</v>
      </c>
      <c r="CJ4745" t="s">
        <v>587</v>
      </c>
      <c r="CK4745">
        <v>22</v>
      </c>
      <c r="CL4745" t="s">
        <v>86</v>
      </c>
    </row>
    <row r="4746" spans="1:90" x14ac:dyDescent="0.3">
      <c r="A4746" t="s">
        <v>72</v>
      </c>
      <c r="B4746" t="s">
        <v>73</v>
      </c>
      <c r="C4746" t="s">
        <v>74</v>
      </c>
      <c r="E4746" t="str">
        <f>"080066891906"</f>
        <v>080066891906</v>
      </c>
      <c r="F4746" s="3">
        <v>45868</v>
      </c>
      <c r="G4746">
        <v>202604</v>
      </c>
      <c r="H4746" t="s">
        <v>75</v>
      </c>
      <c r="I4746" t="s">
        <v>76</v>
      </c>
      <c r="J4746" t="s">
        <v>77</v>
      </c>
      <c r="K4746" t="s">
        <v>78</v>
      </c>
      <c r="L4746" t="s">
        <v>135</v>
      </c>
      <c r="M4746" t="s">
        <v>136</v>
      </c>
      <c r="N4746" t="s">
        <v>1149</v>
      </c>
      <c r="O4746" t="s">
        <v>82</v>
      </c>
      <c r="P4746" t="str">
        <f>"4170052065                    "</f>
        <v xml:space="preserve">4170052065                    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>
        <v>22.6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0</v>
      </c>
      <c r="BB4746">
        <v>0</v>
      </c>
      <c r="BC4746">
        <v>0</v>
      </c>
      <c r="BD4746">
        <v>0</v>
      </c>
      <c r="BE4746">
        <v>0</v>
      </c>
      <c r="BF4746">
        <v>0</v>
      </c>
      <c r="BG4746">
        <v>0</v>
      </c>
      <c r="BH4746">
        <v>1</v>
      </c>
      <c r="BI4746">
        <v>1</v>
      </c>
      <c r="BJ4746">
        <v>0.2</v>
      </c>
      <c r="BK4746">
        <v>1</v>
      </c>
      <c r="BL4746">
        <v>71.2</v>
      </c>
      <c r="BM4746">
        <v>10.68</v>
      </c>
      <c r="BN4746">
        <v>81.88</v>
      </c>
      <c r="BO4746">
        <v>81.88</v>
      </c>
      <c r="BQ4746" t="s">
        <v>1150</v>
      </c>
      <c r="BR4746" t="s">
        <v>84</v>
      </c>
      <c r="BS4746" t="s">
        <v>587</v>
      </c>
      <c r="BY4746">
        <v>1200</v>
      </c>
      <c r="BZ4746" t="s">
        <v>89</v>
      </c>
      <c r="CC4746" t="s">
        <v>136</v>
      </c>
      <c r="CD4746">
        <v>3201</v>
      </c>
      <c r="CE4746" t="s">
        <v>239</v>
      </c>
      <c r="CI4746">
        <v>5</v>
      </c>
      <c r="CJ4746" t="s">
        <v>587</v>
      </c>
      <c r="CK4746">
        <v>21</v>
      </c>
      <c r="CL4746" t="s">
        <v>86</v>
      </c>
    </row>
    <row r="4747" spans="1:90" x14ac:dyDescent="0.3">
      <c r="A4747" t="s">
        <v>72</v>
      </c>
      <c r="B4747" t="s">
        <v>73</v>
      </c>
      <c r="C4747" t="s">
        <v>74</v>
      </c>
      <c r="E4747" t="str">
        <f>"080066891923"</f>
        <v>080066891923</v>
      </c>
      <c r="F4747" s="3">
        <v>45868</v>
      </c>
      <c r="G4747">
        <v>202604</v>
      </c>
      <c r="H4747" t="s">
        <v>75</v>
      </c>
      <c r="I4747" t="s">
        <v>76</v>
      </c>
      <c r="J4747" t="s">
        <v>77</v>
      </c>
      <c r="K4747" t="s">
        <v>78</v>
      </c>
      <c r="L4747" t="s">
        <v>75</v>
      </c>
      <c r="M4747" t="s">
        <v>76</v>
      </c>
      <c r="N4747" t="s">
        <v>2196</v>
      </c>
      <c r="O4747" t="s">
        <v>82</v>
      </c>
      <c r="P4747" t="str">
        <f>"4170052137                    "</f>
        <v xml:space="preserve">4170052137                    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>
        <v>17.649999999999999</v>
      </c>
      <c r="AR4747">
        <v>0</v>
      </c>
      <c r="AS4747">
        <v>0</v>
      </c>
      <c r="AT4747">
        <v>0</v>
      </c>
      <c r="AU4747">
        <v>0</v>
      </c>
      <c r="AV4747">
        <v>0</v>
      </c>
      <c r="AW4747">
        <v>0</v>
      </c>
      <c r="AX4747">
        <v>0</v>
      </c>
      <c r="AY4747">
        <v>0</v>
      </c>
      <c r="AZ4747">
        <v>0</v>
      </c>
      <c r="BA4747">
        <v>0</v>
      </c>
      <c r="BB4747">
        <v>0</v>
      </c>
      <c r="BC4747">
        <v>0</v>
      </c>
      <c r="BD4747">
        <v>0</v>
      </c>
      <c r="BE4747">
        <v>0</v>
      </c>
      <c r="BF4747">
        <v>0</v>
      </c>
      <c r="BG4747">
        <v>0</v>
      </c>
      <c r="BH4747">
        <v>1</v>
      </c>
      <c r="BI4747">
        <v>2</v>
      </c>
      <c r="BJ4747">
        <v>4.0999999999999996</v>
      </c>
      <c r="BK4747">
        <v>5</v>
      </c>
      <c r="BL4747">
        <v>55.61</v>
      </c>
      <c r="BM4747">
        <v>8.34</v>
      </c>
      <c r="BN4747">
        <v>63.95</v>
      </c>
      <c r="BO4747">
        <v>63.95</v>
      </c>
      <c r="BQ4747" t="s">
        <v>2197</v>
      </c>
      <c r="BR4747" t="s">
        <v>84</v>
      </c>
      <c r="BS4747" s="3">
        <v>45869</v>
      </c>
      <c r="BT4747" s="4">
        <v>0.42083333333333334</v>
      </c>
      <c r="BU4747" t="s">
        <v>3978</v>
      </c>
      <c r="BV4747" t="s">
        <v>98</v>
      </c>
      <c r="BY4747">
        <v>20358</v>
      </c>
      <c r="BZ4747" t="s">
        <v>89</v>
      </c>
      <c r="CA4747" t="s">
        <v>617</v>
      </c>
      <c r="CC4747" t="s">
        <v>76</v>
      </c>
      <c r="CD4747">
        <v>1645</v>
      </c>
      <c r="CE4747" t="s">
        <v>117</v>
      </c>
      <c r="CI4747">
        <v>1</v>
      </c>
      <c r="CJ4747">
        <v>1</v>
      </c>
      <c r="CK4747">
        <v>22</v>
      </c>
      <c r="CL4747" t="s">
        <v>86</v>
      </c>
    </row>
    <row r="4748" spans="1:90" x14ac:dyDescent="0.3">
      <c r="A4748" t="s">
        <v>72</v>
      </c>
      <c r="B4748" t="s">
        <v>73</v>
      </c>
      <c r="C4748" t="s">
        <v>74</v>
      </c>
      <c r="E4748" t="str">
        <f>"080066891931"</f>
        <v>080066891931</v>
      </c>
      <c r="F4748" s="3">
        <v>45868</v>
      </c>
      <c r="G4748">
        <v>202604</v>
      </c>
      <c r="H4748" t="s">
        <v>75</v>
      </c>
      <c r="I4748" t="s">
        <v>76</v>
      </c>
      <c r="J4748" t="s">
        <v>77</v>
      </c>
      <c r="K4748" t="s">
        <v>78</v>
      </c>
      <c r="L4748" t="s">
        <v>151</v>
      </c>
      <c r="M4748" t="s">
        <v>152</v>
      </c>
      <c r="N4748" t="s">
        <v>3259</v>
      </c>
      <c r="O4748" t="s">
        <v>82</v>
      </c>
      <c r="P4748" t="str">
        <f>"4170051869                    "</f>
        <v xml:space="preserve">4170051869                    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>
        <v>28.24</v>
      </c>
      <c r="AR4748">
        <v>0</v>
      </c>
      <c r="AS4748">
        <v>0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  <c r="AZ4748">
        <v>0</v>
      </c>
      <c r="BA4748">
        <v>0</v>
      </c>
      <c r="BB4748">
        <v>0</v>
      </c>
      <c r="BC4748">
        <v>0</v>
      </c>
      <c r="BD4748">
        <v>0</v>
      </c>
      <c r="BE4748">
        <v>0</v>
      </c>
      <c r="BF4748">
        <v>0</v>
      </c>
      <c r="BG4748">
        <v>0</v>
      </c>
      <c r="BH4748">
        <v>1</v>
      </c>
      <c r="BI4748">
        <v>2</v>
      </c>
      <c r="BJ4748">
        <v>2.4</v>
      </c>
      <c r="BK4748">
        <v>2.5</v>
      </c>
      <c r="BL4748">
        <v>88.98</v>
      </c>
      <c r="BM4748">
        <v>13.35</v>
      </c>
      <c r="BN4748">
        <v>102.33</v>
      </c>
      <c r="BO4748">
        <v>102.33</v>
      </c>
      <c r="BQ4748" t="s">
        <v>3260</v>
      </c>
      <c r="BR4748" t="s">
        <v>84</v>
      </c>
      <c r="BS4748" s="3">
        <v>45869</v>
      </c>
      <c r="BT4748" s="4">
        <v>0.41388888888888886</v>
      </c>
      <c r="BU4748" t="s">
        <v>3979</v>
      </c>
      <c r="BV4748" t="s">
        <v>98</v>
      </c>
      <c r="BY4748">
        <v>12152</v>
      </c>
      <c r="BZ4748" t="s">
        <v>89</v>
      </c>
      <c r="CA4748" t="s">
        <v>906</v>
      </c>
      <c r="CC4748" t="s">
        <v>152</v>
      </c>
      <c r="CD4748" s="5" t="s">
        <v>1013</v>
      </c>
      <c r="CE4748" t="s">
        <v>91</v>
      </c>
      <c r="CI4748">
        <v>1</v>
      </c>
      <c r="CJ4748">
        <v>1</v>
      </c>
      <c r="CK4748">
        <v>21</v>
      </c>
      <c r="CL4748" t="s">
        <v>86</v>
      </c>
    </row>
    <row r="4749" spans="1:90" x14ac:dyDescent="0.3">
      <c r="A4749" t="s">
        <v>72</v>
      </c>
      <c r="B4749" t="s">
        <v>73</v>
      </c>
      <c r="C4749" t="s">
        <v>74</v>
      </c>
      <c r="E4749" t="str">
        <f>"080066891950"</f>
        <v>080066891950</v>
      </c>
      <c r="F4749" s="3">
        <v>45868</v>
      </c>
      <c r="G4749">
        <v>202604</v>
      </c>
      <c r="H4749" t="s">
        <v>75</v>
      </c>
      <c r="I4749" t="s">
        <v>76</v>
      </c>
      <c r="J4749" t="s">
        <v>77</v>
      </c>
      <c r="K4749" t="s">
        <v>78</v>
      </c>
      <c r="L4749" t="s">
        <v>135</v>
      </c>
      <c r="M4749" t="s">
        <v>136</v>
      </c>
      <c r="N4749" t="s">
        <v>379</v>
      </c>
      <c r="O4749" t="s">
        <v>82</v>
      </c>
      <c r="P4749" t="str">
        <f>"4170051862                    "</f>
        <v xml:space="preserve">4170051862                    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>
        <v>22.6</v>
      </c>
      <c r="AR4749">
        <v>0</v>
      </c>
      <c r="AS4749">
        <v>0</v>
      </c>
      <c r="AT4749">
        <v>0</v>
      </c>
      <c r="AU4749">
        <v>0</v>
      </c>
      <c r="AV4749">
        <v>0</v>
      </c>
      <c r="AW4749">
        <v>0</v>
      </c>
      <c r="AX4749">
        <v>0</v>
      </c>
      <c r="AY4749">
        <v>0</v>
      </c>
      <c r="AZ4749">
        <v>0</v>
      </c>
      <c r="BA4749">
        <v>0</v>
      </c>
      <c r="BB4749">
        <v>0</v>
      </c>
      <c r="BC4749">
        <v>0</v>
      </c>
      <c r="BD4749">
        <v>0</v>
      </c>
      <c r="BE4749">
        <v>0</v>
      </c>
      <c r="BF4749">
        <v>0</v>
      </c>
      <c r="BG4749">
        <v>0</v>
      </c>
      <c r="BH4749">
        <v>1</v>
      </c>
      <c r="BI4749">
        <v>2</v>
      </c>
      <c r="BJ4749">
        <v>1.1000000000000001</v>
      </c>
      <c r="BK4749">
        <v>2</v>
      </c>
      <c r="BL4749">
        <v>71.2</v>
      </c>
      <c r="BM4749">
        <v>10.68</v>
      </c>
      <c r="BN4749">
        <v>81.88</v>
      </c>
      <c r="BO4749">
        <v>81.88</v>
      </c>
      <c r="BQ4749" t="s">
        <v>380</v>
      </c>
      <c r="BR4749" t="s">
        <v>84</v>
      </c>
      <c r="BS4749" t="s">
        <v>587</v>
      </c>
      <c r="BY4749">
        <v>5320</v>
      </c>
      <c r="BZ4749" t="s">
        <v>89</v>
      </c>
      <c r="CC4749" t="s">
        <v>136</v>
      </c>
      <c r="CD4749">
        <v>3212</v>
      </c>
      <c r="CE4749" t="s">
        <v>117</v>
      </c>
      <c r="CI4749">
        <v>2</v>
      </c>
      <c r="CJ4749" t="s">
        <v>587</v>
      </c>
      <c r="CK4749">
        <v>21</v>
      </c>
      <c r="CL4749" t="s">
        <v>86</v>
      </c>
    </row>
    <row r="4750" spans="1:90" x14ac:dyDescent="0.3">
      <c r="A4750" t="s">
        <v>72</v>
      </c>
      <c r="B4750" t="s">
        <v>73</v>
      </c>
      <c r="C4750" t="s">
        <v>74</v>
      </c>
      <c r="E4750" t="str">
        <f>"080066891969"</f>
        <v>080066891969</v>
      </c>
      <c r="F4750" s="3">
        <v>45868</v>
      </c>
      <c r="G4750">
        <v>202604</v>
      </c>
      <c r="H4750" t="s">
        <v>75</v>
      </c>
      <c r="I4750" t="s">
        <v>76</v>
      </c>
      <c r="J4750" t="s">
        <v>77</v>
      </c>
      <c r="K4750" t="s">
        <v>78</v>
      </c>
      <c r="L4750" t="s">
        <v>1768</v>
      </c>
      <c r="M4750" t="s">
        <v>1769</v>
      </c>
      <c r="N4750" t="s">
        <v>1770</v>
      </c>
      <c r="O4750" t="s">
        <v>95</v>
      </c>
      <c r="P4750" t="str">
        <f>"4170052056                    "</f>
        <v xml:space="preserve">4170052056                    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>
        <v>77.38</v>
      </c>
      <c r="AR4750">
        <v>0</v>
      </c>
      <c r="AS4750">
        <v>0</v>
      </c>
      <c r="AT4750">
        <v>0</v>
      </c>
      <c r="AU4750">
        <v>0</v>
      </c>
      <c r="AV4750">
        <v>0</v>
      </c>
      <c r="AW4750">
        <v>0</v>
      </c>
      <c r="AX4750">
        <v>0</v>
      </c>
      <c r="AY4750">
        <v>0</v>
      </c>
      <c r="AZ4750">
        <v>0</v>
      </c>
      <c r="BA4750">
        <v>0</v>
      </c>
      <c r="BB4750">
        <v>0</v>
      </c>
      <c r="BC4750">
        <v>0</v>
      </c>
      <c r="BD4750">
        <v>0</v>
      </c>
      <c r="BE4750">
        <v>0</v>
      </c>
      <c r="BF4750">
        <v>0</v>
      </c>
      <c r="BG4750">
        <v>0</v>
      </c>
      <c r="BH4750">
        <v>1</v>
      </c>
      <c r="BI4750">
        <v>13</v>
      </c>
      <c r="BJ4750">
        <v>19.8</v>
      </c>
      <c r="BK4750">
        <v>20</v>
      </c>
      <c r="BL4750">
        <v>249.65</v>
      </c>
      <c r="BM4750">
        <v>37.450000000000003</v>
      </c>
      <c r="BN4750">
        <v>287.10000000000002</v>
      </c>
      <c r="BO4750">
        <v>287.10000000000002</v>
      </c>
      <c r="BQ4750" t="s">
        <v>1771</v>
      </c>
      <c r="BR4750" t="s">
        <v>84</v>
      </c>
      <c r="BS4750" t="s">
        <v>587</v>
      </c>
      <c r="BY4750">
        <v>98800</v>
      </c>
      <c r="CC4750" t="s">
        <v>1769</v>
      </c>
      <c r="CD4750">
        <v>2302</v>
      </c>
      <c r="CE4750" t="s">
        <v>91</v>
      </c>
      <c r="CI4750">
        <v>1</v>
      </c>
      <c r="CJ4750" t="s">
        <v>587</v>
      </c>
      <c r="CK4750">
        <v>43</v>
      </c>
      <c r="CL4750" t="s">
        <v>86</v>
      </c>
    </row>
    <row r="4751" spans="1:90" x14ac:dyDescent="0.3">
      <c r="A4751" t="s">
        <v>72</v>
      </c>
      <c r="B4751" t="s">
        <v>73</v>
      </c>
      <c r="C4751" t="s">
        <v>74</v>
      </c>
      <c r="E4751" t="str">
        <f>"080066891980"</f>
        <v>080066891980</v>
      </c>
      <c r="F4751" s="3">
        <v>45868</v>
      </c>
      <c r="G4751">
        <v>202604</v>
      </c>
      <c r="H4751" t="s">
        <v>75</v>
      </c>
      <c r="I4751" t="s">
        <v>76</v>
      </c>
      <c r="J4751" t="s">
        <v>77</v>
      </c>
      <c r="K4751" t="s">
        <v>78</v>
      </c>
      <c r="L4751" t="s">
        <v>79</v>
      </c>
      <c r="M4751" t="s">
        <v>80</v>
      </c>
      <c r="N4751" t="s">
        <v>141</v>
      </c>
      <c r="O4751" t="s">
        <v>82</v>
      </c>
      <c r="P4751" t="str">
        <f>"4170052020                    "</f>
        <v xml:space="preserve">4170052020                    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22.6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>
        <v>0</v>
      </c>
      <c r="BC4751">
        <v>0</v>
      </c>
      <c r="BD4751">
        <v>0</v>
      </c>
      <c r="BE4751">
        <v>0</v>
      </c>
      <c r="BF4751">
        <v>0</v>
      </c>
      <c r="BG4751">
        <v>0</v>
      </c>
      <c r="BH4751">
        <v>1</v>
      </c>
      <c r="BI4751">
        <v>1</v>
      </c>
      <c r="BJ4751">
        <v>0.9</v>
      </c>
      <c r="BK4751">
        <v>1</v>
      </c>
      <c r="BL4751">
        <v>71.2</v>
      </c>
      <c r="BM4751">
        <v>10.68</v>
      </c>
      <c r="BN4751">
        <v>81.88</v>
      </c>
      <c r="BO4751">
        <v>81.88</v>
      </c>
      <c r="BQ4751" t="s">
        <v>142</v>
      </c>
      <c r="BR4751" t="s">
        <v>84</v>
      </c>
      <c r="BS4751" s="3">
        <v>45869</v>
      </c>
      <c r="BT4751" s="4">
        <v>0.42291666666666666</v>
      </c>
      <c r="BU4751" t="s">
        <v>143</v>
      </c>
      <c r="BV4751" t="s">
        <v>98</v>
      </c>
      <c r="BY4751">
        <v>4275</v>
      </c>
      <c r="CA4751" t="s">
        <v>144</v>
      </c>
      <c r="CC4751" t="s">
        <v>80</v>
      </c>
      <c r="CD4751">
        <v>7441</v>
      </c>
      <c r="CE4751" t="s">
        <v>145</v>
      </c>
      <c r="CI4751">
        <v>1</v>
      </c>
      <c r="CJ4751">
        <v>1</v>
      </c>
      <c r="CK4751">
        <v>21</v>
      </c>
      <c r="CL4751" t="s">
        <v>86</v>
      </c>
    </row>
    <row r="4752" spans="1:90" x14ac:dyDescent="0.3">
      <c r="A4752" t="s">
        <v>72</v>
      </c>
      <c r="B4752" t="s">
        <v>73</v>
      </c>
      <c r="C4752" t="s">
        <v>74</v>
      </c>
      <c r="E4752" t="str">
        <f>"080066892002"</f>
        <v>080066892002</v>
      </c>
      <c r="F4752" s="3">
        <v>45868</v>
      </c>
      <c r="G4752">
        <v>202604</v>
      </c>
      <c r="H4752" t="s">
        <v>75</v>
      </c>
      <c r="I4752" t="s">
        <v>76</v>
      </c>
      <c r="J4752" t="s">
        <v>77</v>
      </c>
      <c r="K4752" t="s">
        <v>78</v>
      </c>
      <c r="L4752" t="s">
        <v>704</v>
      </c>
      <c r="M4752" t="s">
        <v>705</v>
      </c>
      <c r="N4752" t="s">
        <v>848</v>
      </c>
      <c r="O4752" t="s">
        <v>82</v>
      </c>
      <c r="P4752" t="str">
        <f>"4170051914                    "</f>
        <v xml:space="preserve">4170051914                    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43.78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>
        <v>0</v>
      </c>
      <c r="BC4752">
        <v>0</v>
      </c>
      <c r="BD4752">
        <v>0</v>
      </c>
      <c r="BE4752">
        <v>0</v>
      </c>
      <c r="BF4752">
        <v>0</v>
      </c>
      <c r="BG4752">
        <v>0</v>
      </c>
      <c r="BH4752">
        <v>1</v>
      </c>
      <c r="BI4752">
        <v>1</v>
      </c>
      <c r="BJ4752">
        <v>0.2</v>
      </c>
      <c r="BK4752">
        <v>1</v>
      </c>
      <c r="BL4752">
        <v>137.94</v>
      </c>
      <c r="BM4752">
        <v>20.69</v>
      </c>
      <c r="BN4752">
        <v>158.63</v>
      </c>
      <c r="BO4752">
        <v>158.63</v>
      </c>
      <c r="BQ4752" t="s">
        <v>849</v>
      </c>
      <c r="BR4752" t="s">
        <v>84</v>
      </c>
      <c r="BS4752" s="3">
        <v>45869</v>
      </c>
      <c r="BT4752" s="4">
        <v>0.57013888888888886</v>
      </c>
      <c r="BU4752" t="s">
        <v>2713</v>
      </c>
      <c r="BV4752" t="s">
        <v>98</v>
      </c>
      <c r="BY4752">
        <v>1200</v>
      </c>
      <c r="CA4752" t="s">
        <v>1152</v>
      </c>
      <c r="CC4752" t="s">
        <v>705</v>
      </c>
      <c r="CD4752">
        <v>6850</v>
      </c>
      <c r="CE4752" t="s">
        <v>121</v>
      </c>
      <c r="CI4752">
        <v>2</v>
      </c>
      <c r="CJ4752">
        <v>1</v>
      </c>
      <c r="CK4752">
        <v>23</v>
      </c>
      <c r="CL4752" t="s">
        <v>86</v>
      </c>
    </row>
    <row r="4753" spans="1:90" x14ac:dyDescent="0.3">
      <c r="A4753" t="s">
        <v>72</v>
      </c>
      <c r="B4753" t="s">
        <v>73</v>
      </c>
      <c r="C4753" t="s">
        <v>74</v>
      </c>
      <c r="E4753" t="str">
        <f>"080066892024"</f>
        <v>080066892024</v>
      </c>
      <c r="F4753" s="3">
        <v>45868</v>
      </c>
      <c r="G4753">
        <v>202604</v>
      </c>
      <c r="H4753" t="s">
        <v>75</v>
      </c>
      <c r="I4753" t="s">
        <v>76</v>
      </c>
      <c r="J4753" t="s">
        <v>77</v>
      </c>
      <c r="K4753" t="s">
        <v>78</v>
      </c>
      <c r="L4753" t="s">
        <v>79</v>
      </c>
      <c r="M4753" t="s">
        <v>80</v>
      </c>
      <c r="N4753" t="s">
        <v>698</v>
      </c>
      <c r="O4753" t="s">
        <v>82</v>
      </c>
      <c r="P4753" t="str">
        <f>"4170052048                    "</f>
        <v xml:space="preserve">4170052048                    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22.6</v>
      </c>
      <c r="AR4753">
        <v>0</v>
      </c>
      <c r="AS4753">
        <v>0</v>
      </c>
      <c r="AT4753">
        <v>0</v>
      </c>
      <c r="AU4753">
        <v>0</v>
      </c>
      <c r="AV4753">
        <v>0</v>
      </c>
      <c r="AW4753">
        <v>0</v>
      </c>
      <c r="AX4753">
        <v>0</v>
      </c>
      <c r="AY4753">
        <v>0</v>
      </c>
      <c r="AZ4753">
        <v>0</v>
      </c>
      <c r="BA4753">
        <v>0</v>
      </c>
      <c r="BB4753">
        <v>0</v>
      </c>
      <c r="BC4753">
        <v>0</v>
      </c>
      <c r="BD4753">
        <v>0</v>
      </c>
      <c r="BE4753">
        <v>0</v>
      </c>
      <c r="BF4753">
        <v>0</v>
      </c>
      <c r="BG4753">
        <v>0</v>
      </c>
      <c r="BH4753">
        <v>1</v>
      </c>
      <c r="BI4753">
        <v>1</v>
      </c>
      <c r="BJ4753">
        <v>0.2</v>
      </c>
      <c r="BK4753">
        <v>1</v>
      </c>
      <c r="BL4753">
        <v>71.2</v>
      </c>
      <c r="BM4753">
        <v>10.68</v>
      </c>
      <c r="BN4753">
        <v>81.88</v>
      </c>
      <c r="BO4753">
        <v>81.88</v>
      </c>
      <c r="BQ4753" t="s">
        <v>699</v>
      </c>
      <c r="BR4753" t="s">
        <v>84</v>
      </c>
      <c r="BS4753" s="3">
        <v>45869</v>
      </c>
      <c r="BT4753" s="4">
        <v>0.38055555555555554</v>
      </c>
      <c r="BU4753" t="s">
        <v>700</v>
      </c>
      <c r="BV4753" t="s">
        <v>98</v>
      </c>
      <c r="BY4753">
        <v>1200</v>
      </c>
      <c r="CA4753" t="s">
        <v>289</v>
      </c>
      <c r="CC4753" t="s">
        <v>80</v>
      </c>
      <c r="CD4753">
        <v>7561</v>
      </c>
      <c r="CE4753" t="s">
        <v>121</v>
      </c>
      <c r="CI4753">
        <v>1</v>
      </c>
      <c r="CJ4753">
        <v>1</v>
      </c>
      <c r="CK4753">
        <v>21</v>
      </c>
      <c r="CL4753" t="s">
        <v>86</v>
      </c>
    </row>
    <row r="4754" spans="1:90" x14ac:dyDescent="0.3">
      <c r="A4754" t="s">
        <v>72</v>
      </c>
      <c r="B4754" t="s">
        <v>73</v>
      </c>
      <c r="C4754" t="s">
        <v>74</v>
      </c>
      <c r="E4754" t="str">
        <f>"080066892068"</f>
        <v>080066892068</v>
      </c>
      <c r="F4754" s="3">
        <v>45868</v>
      </c>
      <c r="G4754">
        <v>202604</v>
      </c>
      <c r="H4754" t="s">
        <v>75</v>
      </c>
      <c r="I4754" t="s">
        <v>76</v>
      </c>
      <c r="J4754" t="s">
        <v>77</v>
      </c>
      <c r="K4754" t="s">
        <v>78</v>
      </c>
      <c r="L4754" t="s">
        <v>79</v>
      </c>
      <c r="M4754" t="s">
        <v>80</v>
      </c>
      <c r="N4754" t="s">
        <v>1050</v>
      </c>
      <c r="O4754" t="s">
        <v>82</v>
      </c>
      <c r="P4754" t="str">
        <f>"4170052044                    "</f>
        <v xml:space="preserve">4170052044                    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22.6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0</v>
      </c>
      <c r="AX4754">
        <v>0</v>
      </c>
      <c r="AY4754">
        <v>0</v>
      </c>
      <c r="AZ4754">
        <v>0</v>
      </c>
      <c r="BA4754">
        <v>0</v>
      </c>
      <c r="BB4754">
        <v>0</v>
      </c>
      <c r="BC4754">
        <v>0</v>
      </c>
      <c r="BD4754">
        <v>0</v>
      </c>
      <c r="BE4754">
        <v>0</v>
      </c>
      <c r="BF4754">
        <v>0</v>
      </c>
      <c r="BG4754">
        <v>0</v>
      </c>
      <c r="BH4754">
        <v>1</v>
      </c>
      <c r="BI4754">
        <v>1</v>
      </c>
      <c r="BJ4754">
        <v>0.2</v>
      </c>
      <c r="BK4754">
        <v>1</v>
      </c>
      <c r="BL4754">
        <v>71.2</v>
      </c>
      <c r="BM4754">
        <v>10.68</v>
      </c>
      <c r="BN4754">
        <v>81.88</v>
      </c>
      <c r="BO4754">
        <v>81.88</v>
      </c>
      <c r="BQ4754" t="s">
        <v>1051</v>
      </c>
      <c r="BR4754" t="s">
        <v>84</v>
      </c>
      <c r="BS4754" t="s">
        <v>587</v>
      </c>
      <c r="BW4754" t="s">
        <v>1053</v>
      </c>
      <c r="BX4754" t="s">
        <v>1420</v>
      </c>
      <c r="BY4754">
        <v>1200</v>
      </c>
      <c r="CC4754" t="s">
        <v>80</v>
      </c>
      <c r="CD4754">
        <v>7490</v>
      </c>
      <c r="CE4754" t="s">
        <v>121</v>
      </c>
      <c r="CI4754">
        <v>1</v>
      </c>
      <c r="CJ4754" t="s">
        <v>587</v>
      </c>
      <c r="CK4754">
        <v>21</v>
      </c>
      <c r="CL4754" t="s">
        <v>86</v>
      </c>
    </row>
    <row r="4755" spans="1:90" x14ac:dyDescent="0.3">
      <c r="A4755" t="s">
        <v>72</v>
      </c>
      <c r="B4755" t="s">
        <v>73</v>
      </c>
      <c r="C4755" t="s">
        <v>74</v>
      </c>
      <c r="E4755" t="str">
        <f>"080066892396"</f>
        <v>080066892396</v>
      </c>
      <c r="F4755" s="3">
        <v>45868</v>
      </c>
      <c r="G4755">
        <v>202604</v>
      </c>
      <c r="H4755" t="s">
        <v>75</v>
      </c>
      <c r="I4755" t="s">
        <v>76</v>
      </c>
      <c r="J4755" t="s">
        <v>77</v>
      </c>
      <c r="K4755" t="s">
        <v>78</v>
      </c>
      <c r="L4755" t="s">
        <v>168</v>
      </c>
      <c r="M4755" t="s">
        <v>169</v>
      </c>
      <c r="N4755" t="s">
        <v>360</v>
      </c>
      <c r="O4755" t="s">
        <v>82</v>
      </c>
      <c r="P4755" t="str">
        <f>"4170052028                    "</f>
        <v xml:space="preserve">4170052028                    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22.6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0</v>
      </c>
      <c r="BB4755">
        <v>0</v>
      </c>
      <c r="BC4755">
        <v>0</v>
      </c>
      <c r="BD4755">
        <v>0</v>
      </c>
      <c r="BE4755">
        <v>0</v>
      </c>
      <c r="BF4755">
        <v>0</v>
      </c>
      <c r="BG4755">
        <v>0</v>
      </c>
      <c r="BH4755">
        <v>1</v>
      </c>
      <c r="BI4755">
        <v>1</v>
      </c>
      <c r="BJ4755">
        <v>0.2</v>
      </c>
      <c r="BK4755">
        <v>1</v>
      </c>
      <c r="BL4755">
        <v>71.2</v>
      </c>
      <c r="BM4755">
        <v>10.68</v>
      </c>
      <c r="BN4755">
        <v>81.88</v>
      </c>
      <c r="BO4755">
        <v>81.88</v>
      </c>
      <c r="BQ4755" t="s">
        <v>361</v>
      </c>
      <c r="BR4755" t="s">
        <v>84</v>
      </c>
      <c r="BS4755" s="3">
        <v>45869</v>
      </c>
      <c r="BT4755" s="4">
        <v>0.3659722222222222</v>
      </c>
      <c r="BU4755" t="s">
        <v>3980</v>
      </c>
      <c r="BV4755" t="s">
        <v>98</v>
      </c>
      <c r="BY4755">
        <v>1200</v>
      </c>
      <c r="CA4755" t="s">
        <v>423</v>
      </c>
      <c r="CC4755" t="s">
        <v>169</v>
      </c>
      <c r="CD4755">
        <v>6001</v>
      </c>
      <c r="CE4755" t="s">
        <v>121</v>
      </c>
      <c r="CI4755">
        <v>1</v>
      </c>
      <c r="CJ4755">
        <v>1</v>
      </c>
      <c r="CK4755">
        <v>21</v>
      </c>
      <c r="CL4755" t="s">
        <v>86</v>
      </c>
    </row>
    <row r="4756" spans="1:90" x14ac:dyDescent="0.3">
      <c r="A4756" t="s">
        <v>72</v>
      </c>
      <c r="B4756" t="s">
        <v>73</v>
      </c>
      <c r="C4756" t="s">
        <v>74</v>
      </c>
      <c r="E4756" t="str">
        <f>"080066892421"</f>
        <v>080066892421</v>
      </c>
      <c r="F4756" s="3">
        <v>45868</v>
      </c>
      <c r="G4756">
        <v>202604</v>
      </c>
      <c r="H4756" t="s">
        <v>75</v>
      </c>
      <c r="I4756" t="s">
        <v>76</v>
      </c>
      <c r="J4756" t="s">
        <v>77</v>
      </c>
      <c r="K4756" t="s">
        <v>78</v>
      </c>
      <c r="L4756" t="s">
        <v>146</v>
      </c>
      <c r="M4756" t="s">
        <v>146</v>
      </c>
      <c r="N4756" t="s">
        <v>986</v>
      </c>
      <c r="O4756" t="s">
        <v>82</v>
      </c>
      <c r="P4756" t="str">
        <f>"4170052100                    "</f>
        <v xml:space="preserve">4170052100                    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43.78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  <c r="BE4756">
        <v>0</v>
      </c>
      <c r="BF4756">
        <v>0</v>
      </c>
      <c r="BG4756">
        <v>0</v>
      </c>
      <c r="BH4756">
        <v>1</v>
      </c>
      <c r="BI4756">
        <v>1</v>
      </c>
      <c r="BJ4756">
        <v>0.2</v>
      </c>
      <c r="BK4756">
        <v>1</v>
      </c>
      <c r="BL4756">
        <v>137.94</v>
      </c>
      <c r="BM4756">
        <v>20.69</v>
      </c>
      <c r="BN4756">
        <v>158.63</v>
      </c>
      <c r="BO4756">
        <v>158.63</v>
      </c>
      <c r="BQ4756" t="s">
        <v>987</v>
      </c>
      <c r="BR4756" t="s">
        <v>84</v>
      </c>
      <c r="BS4756" s="3">
        <v>45869</v>
      </c>
      <c r="BT4756" s="4">
        <v>0.53611111111111109</v>
      </c>
      <c r="BU4756" t="s">
        <v>635</v>
      </c>
      <c r="BV4756" t="s">
        <v>98</v>
      </c>
      <c r="BY4756">
        <v>1200</v>
      </c>
      <c r="CA4756" t="s">
        <v>150</v>
      </c>
      <c r="CC4756" t="s">
        <v>146</v>
      </c>
      <c r="CD4756">
        <v>7646</v>
      </c>
      <c r="CE4756" t="s">
        <v>121</v>
      </c>
      <c r="CI4756">
        <v>1</v>
      </c>
      <c r="CJ4756">
        <v>1</v>
      </c>
      <c r="CK4756">
        <v>23</v>
      </c>
      <c r="CL4756" t="s">
        <v>86</v>
      </c>
    </row>
    <row r="4757" spans="1:90" x14ac:dyDescent="0.3">
      <c r="A4757" t="s">
        <v>72</v>
      </c>
      <c r="B4757" t="s">
        <v>73</v>
      </c>
      <c r="C4757" t="s">
        <v>74</v>
      </c>
      <c r="E4757" t="str">
        <f>"080066892451"</f>
        <v>080066892451</v>
      </c>
      <c r="F4757" s="3">
        <v>45868</v>
      </c>
      <c r="G4757">
        <v>202604</v>
      </c>
      <c r="H4757" t="s">
        <v>75</v>
      </c>
      <c r="I4757" t="s">
        <v>76</v>
      </c>
      <c r="J4757" t="s">
        <v>77</v>
      </c>
      <c r="K4757" t="s">
        <v>78</v>
      </c>
      <c r="L4757" t="s">
        <v>240</v>
      </c>
      <c r="M4757" t="s">
        <v>241</v>
      </c>
      <c r="N4757" t="s">
        <v>447</v>
      </c>
      <c r="O4757" t="s">
        <v>82</v>
      </c>
      <c r="P4757" t="str">
        <f>"4170052163                    "</f>
        <v xml:space="preserve">4170052163                    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17.649999999999999</v>
      </c>
      <c r="AR4757">
        <v>0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AZ4757">
        <v>0</v>
      </c>
      <c r="BA4757">
        <v>0</v>
      </c>
      <c r="BB4757">
        <v>0</v>
      </c>
      <c r="BC4757">
        <v>0</v>
      </c>
      <c r="BD4757">
        <v>0</v>
      </c>
      <c r="BE4757">
        <v>0</v>
      </c>
      <c r="BF4757">
        <v>0</v>
      </c>
      <c r="BG4757">
        <v>0</v>
      </c>
      <c r="BH4757">
        <v>1</v>
      </c>
      <c r="BI4757">
        <v>1</v>
      </c>
      <c r="BJ4757">
        <v>0.2</v>
      </c>
      <c r="BK4757">
        <v>1</v>
      </c>
      <c r="BL4757">
        <v>55.61</v>
      </c>
      <c r="BM4757">
        <v>8.34</v>
      </c>
      <c r="BN4757">
        <v>63.95</v>
      </c>
      <c r="BO4757">
        <v>63.95</v>
      </c>
      <c r="BQ4757" t="s">
        <v>448</v>
      </c>
      <c r="BR4757" t="s">
        <v>84</v>
      </c>
      <c r="BS4757" s="3">
        <v>45869</v>
      </c>
      <c r="BT4757" s="4">
        <v>0.36736111111111114</v>
      </c>
      <c r="BU4757" t="s">
        <v>3293</v>
      </c>
      <c r="BV4757" t="s">
        <v>98</v>
      </c>
      <c r="BY4757">
        <v>1200</v>
      </c>
      <c r="CA4757" t="s">
        <v>451</v>
      </c>
      <c r="CC4757" t="s">
        <v>241</v>
      </c>
      <c r="CD4757">
        <v>2094</v>
      </c>
      <c r="CE4757" t="s">
        <v>121</v>
      </c>
      <c r="CI4757">
        <v>1</v>
      </c>
      <c r="CJ4757">
        <v>1</v>
      </c>
      <c r="CK4757">
        <v>22</v>
      </c>
      <c r="CL4757" t="s">
        <v>86</v>
      </c>
    </row>
    <row r="4758" spans="1:90" x14ac:dyDescent="0.3">
      <c r="A4758" t="s">
        <v>72</v>
      </c>
      <c r="B4758" t="s">
        <v>73</v>
      </c>
      <c r="C4758" t="s">
        <v>74</v>
      </c>
      <c r="E4758" t="str">
        <f>"080066892477"</f>
        <v>080066892477</v>
      </c>
      <c r="F4758" s="3">
        <v>45868</v>
      </c>
      <c r="G4758">
        <v>202604</v>
      </c>
      <c r="H4758" t="s">
        <v>75</v>
      </c>
      <c r="I4758" t="s">
        <v>76</v>
      </c>
      <c r="J4758" t="s">
        <v>77</v>
      </c>
      <c r="K4758" t="s">
        <v>78</v>
      </c>
      <c r="L4758" t="s">
        <v>122</v>
      </c>
      <c r="M4758" t="s">
        <v>123</v>
      </c>
      <c r="N4758" t="s">
        <v>2931</v>
      </c>
      <c r="O4758" t="s">
        <v>82</v>
      </c>
      <c r="P4758" t="str">
        <f>"4170051989                    "</f>
        <v xml:space="preserve">4170051989                    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22.6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  <c r="BA4758">
        <v>0</v>
      </c>
      <c r="BB4758">
        <v>0</v>
      </c>
      <c r="BC4758">
        <v>0</v>
      </c>
      <c r="BD4758">
        <v>0</v>
      </c>
      <c r="BE4758">
        <v>0</v>
      </c>
      <c r="BF4758">
        <v>0</v>
      </c>
      <c r="BG4758">
        <v>0</v>
      </c>
      <c r="BH4758">
        <v>1</v>
      </c>
      <c r="BI4758">
        <v>1</v>
      </c>
      <c r="BJ4758">
        <v>0.2</v>
      </c>
      <c r="BK4758">
        <v>1</v>
      </c>
      <c r="BL4758">
        <v>71.2</v>
      </c>
      <c r="BM4758">
        <v>10.68</v>
      </c>
      <c r="BN4758">
        <v>81.88</v>
      </c>
      <c r="BO4758">
        <v>81.88</v>
      </c>
      <c r="BQ4758" t="s">
        <v>2932</v>
      </c>
      <c r="BR4758" t="s">
        <v>84</v>
      </c>
      <c r="BS4758" s="3">
        <v>45869</v>
      </c>
      <c r="BT4758" s="4">
        <v>0.60555555555555551</v>
      </c>
      <c r="BU4758" t="s">
        <v>3981</v>
      </c>
      <c r="BV4758" t="s">
        <v>86</v>
      </c>
      <c r="BY4758">
        <v>1200</v>
      </c>
      <c r="CA4758" t="s">
        <v>166</v>
      </c>
      <c r="CC4758" t="s">
        <v>123</v>
      </c>
      <c r="CD4758">
        <v>3610</v>
      </c>
      <c r="CE4758" t="s">
        <v>121</v>
      </c>
      <c r="CI4758">
        <v>1</v>
      </c>
      <c r="CJ4758">
        <v>1</v>
      </c>
      <c r="CK4758">
        <v>21</v>
      </c>
      <c r="CL4758" t="s">
        <v>86</v>
      </c>
    </row>
    <row r="4759" spans="1:90" x14ac:dyDescent="0.3">
      <c r="A4759" t="s">
        <v>72</v>
      </c>
      <c r="B4759" t="s">
        <v>73</v>
      </c>
      <c r="C4759" t="s">
        <v>74</v>
      </c>
      <c r="E4759" t="str">
        <f>"080066892489"</f>
        <v>080066892489</v>
      </c>
      <c r="F4759" s="3">
        <v>45868</v>
      </c>
      <c r="G4759">
        <v>202604</v>
      </c>
      <c r="H4759" t="s">
        <v>75</v>
      </c>
      <c r="I4759" t="s">
        <v>76</v>
      </c>
      <c r="J4759" t="s">
        <v>77</v>
      </c>
      <c r="K4759" t="s">
        <v>78</v>
      </c>
      <c r="L4759" t="s">
        <v>240</v>
      </c>
      <c r="M4759" t="s">
        <v>241</v>
      </c>
      <c r="N4759" t="s">
        <v>447</v>
      </c>
      <c r="O4759" t="s">
        <v>82</v>
      </c>
      <c r="P4759" t="str">
        <f>"4170052029                    "</f>
        <v xml:space="preserve">4170052029                    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17.649999999999999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AZ4759">
        <v>0</v>
      </c>
      <c r="BA4759">
        <v>0</v>
      </c>
      <c r="BB4759">
        <v>0</v>
      </c>
      <c r="BC4759">
        <v>0</v>
      </c>
      <c r="BD4759">
        <v>0</v>
      </c>
      <c r="BE4759">
        <v>0</v>
      </c>
      <c r="BF4759">
        <v>0</v>
      </c>
      <c r="BG4759">
        <v>0</v>
      </c>
      <c r="BH4759">
        <v>1</v>
      </c>
      <c r="BI4759">
        <v>1</v>
      </c>
      <c r="BJ4759">
        <v>0.2</v>
      </c>
      <c r="BK4759">
        <v>1</v>
      </c>
      <c r="BL4759">
        <v>55.61</v>
      </c>
      <c r="BM4759">
        <v>8.34</v>
      </c>
      <c r="BN4759">
        <v>63.95</v>
      </c>
      <c r="BO4759">
        <v>63.95</v>
      </c>
      <c r="BQ4759" t="s">
        <v>448</v>
      </c>
      <c r="BR4759" t="s">
        <v>84</v>
      </c>
      <c r="BS4759" s="3">
        <v>45869</v>
      </c>
      <c r="BT4759" s="4">
        <v>0.36666666666666664</v>
      </c>
      <c r="BU4759" t="s">
        <v>3293</v>
      </c>
      <c r="BV4759" t="s">
        <v>98</v>
      </c>
      <c r="BY4759">
        <v>1200</v>
      </c>
      <c r="CA4759" t="s">
        <v>451</v>
      </c>
      <c r="CC4759" t="s">
        <v>241</v>
      </c>
      <c r="CD4759">
        <v>2094</v>
      </c>
      <c r="CE4759" t="s">
        <v>121</v>
      </c>
      <c r="CI4759">
        <v>1</v>
      </c>
      <c r="CJ4759">
        <v>1</v>
      </c>
      <c r="CK4759">
        <v>22</v>
      </c>
      <c r="CL4759" t="s">
        <v>86</v>
      </c>
    </row>
    <row r="4760" spans="1:90" x14ac:dyDescent="0.3">
      <c r="A4760" t="s">
        <v>72</v>
      </c>
      <c r="B4760" t="s">
        <v>73</v>
      </c>
      <c r="C4760" t="s">
        <v>74</v>
      </c>
      <c r="E4760" t="str">
        <f>"080066892504"</f>
        <v>080066892504</v>
      </c>
      <c r="F4760" s="3">
        <v>45868</v>
      </c>
      <c r="G4760">
        <v>202604</v>
      </c>
      <c r="H4760" t="s">
        <v>75</v>
      </c>
      <c r="I4760" t="s">
        <v>76</v>
      </c>
      <c r="J4760" t="s">
        <v>77</v>
      </c>
      <c r="K4760" t="s">
        <v>78</v>
      </c>
      <c r="L4760" t="s">
        <v>168</v>
      </c>
      <c r="M4760" t="s">
        <v>169</v>
      </c>
      <c r="N4760" t="s">
        <v>1871</v>
      </c>
      <c r="O4760" t="s">
        <v>82</v>
      </c>
      <c r="P4760" t="str">
        <f>"4170052033                    "</f>
        <v xml:space="preserve">4170052033                    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22.6</v>
      </c>
      <c r="AR4760">
        <v>0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AZ4760">
        <v>0</v>
      </c>
      <c r="BA4760">
        <v>0</v>
      </c>
      <c r="BB4760">
        <v>0</v>
      </c>
      <c r="BC4760">
        <v>0</v>
      </c>
      <c r="BD4760">
        <v>0</v>
      </c>
      <c r="BE4760">
        <v>0</v>
      </c>
      <c r="BF4760">
        <v>0</v>
      </c>
      <c r="BG4760">
        <v>0</v>
      </c>
      <c r="BH4760">
        <v>1</v>
      </c>
      <c r="BI4760">
        <v>1</v>
      </c>
      <c r="BJ4760">
        <v>0.2</v>
      </c>
      <c r="BK4760">
        <v>1</v>
      </c>
      <c r="BL4760">
        <v>71.2</v>
      </c>
      <c r="BM4760">
        <v>10.68</v>
      </c>
      <c r="BN4760">
        <v>81.88</v>
      </c>
      <c r="BO4760">
        <v>81.88</v>
      </c>
      <c r="BQ4760" t="s">
        <v>3956</v>
      </c>
      <c r="BR4760" t="s">
        <v>84</v>
      </c>
      <c r="BS4760" s="3">
        <v>45869</v>
      </c>
      <c r="BT4760" s="4">
        <v>0.39791666666666664</v>
      </c>
      <c r="BU4760" t="s">
        <v>2086</v>
      </c>
      <c r="BV4760" t="s">
        <v>98</v>
      </c>
      <c r="BY4760">
        <v>1200</v>
      </c>
      <c r="CC4760" t="s">
        <v>169</v>
      </c>
      <c r="CD4760">
        <v>6012</v>
      </c>
      <c r="CE4760" t="s">
        <v>121</v>
      </c>
      <c r="CI4760">
        <v>1</v>
      </c>
      <c r="CJ4760">
        <v>1</v>
      </c>
      <c r="CK4760">
        <v>21</v>
      </c>
      <c r="CL4760" t="s">
        <v>86</v>
      </c>
    </row>
    <row r="4761" spans="1:90" x14ac:dyDescent="0.3">
      <c r="A4761" t="s">
        <v>72</v>
      </c>
      <c r="B4761" t="s">
        <v>73</v>
      </c>
      <c r="C4761" t="s">
        <v>74</v>
      </c>
      <c r="E4761" t="str">
        <f>"080066892518"</f>
        <v>080066892518</v>
      </c>
      <c r="F4761" s="3">
        <v>45868</v>
      </c>
      <c r="G4761">
        <v>202604</v>
      </c>
      <c r="H4761" t="s">
        <v>75</v>
      </c>
      <c r="I4761" t="s">
        <v>76</v>
      </c>
      <c r="J4761" t="s">
        <v>77</v>
      </c>
      <c r="K4761" t="s">
        <v>78</v>
      </c>
      <c r="L4761" t="s">
        <v>174</v>
      </c>
      <c r="M4761" t="s">
        <v>175</v>
      </c>
      <c r="N4761" t="s">
        <v>352</v>
      </c>
      <c r="O4761" t="s">
        <v>82</v>
      </c>
      <c r="P4761" t="str">
        <f>"4170052010                    "</f>
        <v xml:space="preserve">4170052010                    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22.6</v>
      </c>
      <c r="AR4761">
        <v>0</v>
      </c>
      <c r="AS4761">
        <v>0</v>
      </c>
      <c r="AT4761">
        <v>0</v>
      </c>
      <c r="AU4761">
        <v>0</v>
      </c>
      <c r="AV4761">
        <v>0</v>
      </c>
      <c r="AW4761">
        <v>0</v>
      </c>
      <c r="AX4761">
        <v>0</v>
      </c>
      <c r="AY4761">
        <v>0</v>
      </c>
      <c r="AZ4761">
        <v>0</v>
      </c>
      <c r="BA4761">
        <v>0</v>
      </c>
      <c r="BB4761">
        <v>0</v>
      </c>
      <c r="BC4761">
        <v>0</v>
      </c>
      <c r="BD4761">
        <v>0</v>
      </c>
      <c r="BE4761">
        <v>0</v>
      </c>
      <c r="BF4761">
        <v>0</v>
      </c>
      <c r="BG4761">
        <v>0</v>
      </c>
      <c r="BH4761">
        <v>1</v>
      </c>
      <c r="BI4761">
        <v>1</v>
      </c>
      <c r="BJ4761">
        <v>0.2</v>
      </c>
      <c r="BK4761">
        <v>1</v>
      </c>
      <c r="BL4761">
        <v>71.2</v>
      </c>
      <c r="BM4761">
        <v>10.68</v>
      </c>
      <c r="BN4761">
        <v>81.88</v>
      </c>
      <c r="BO4761">
        <v>81.88</v>
      </c>
      <c r="BQ4761" t="s">
        <v>1994</v>
      </c>
      <c r="BR4761" t="s">
        <v>84</v>
      </c>
      <c r="BS4761" s="3">
        <v>45869</v>
      </c>
      <c r="BT4761" s="4">
        <v>0.43194444444444446</v>
      </c>
      <c r="BU4761" t="s">
        <v>3420</v>
      </c>
      <c r="BV4761" t="s">
        <v>98</v>
      </c>
      <c r="BY4761">
        <v>1200</v>
      </c>
      <c r="CA4761" t="s">
        <v>3373</v>
      </c>
      <c r="CC4761" t="s">
        <v>175</v>
      </c>
      <c r="CD4761">
        <v>6220</v>
      </c>
      <c r="CE4761" t="s">
        <v>121</v>
      </c>
      <c r="CI4761">
        <v>1</v>
      </c>
      <c r="CJ4761">
        <v>1</v>
      </c>
      <c r="CK4761">
        <v>21</v>
      </c>
      <c r="CL4761" t="s">
        <v>86</v>
      </c>
    </row>
    <row r="4762" spans="1:90" x14ac:dyDescent="0.3">
      <c r="A4762" t="s">
        <v>72</v>
      </c>
      <c r="B4762" t="s">
        <v>73</v>
      </c>
      <c r="C4762" t="s">
        <v>74</v>
      </c>
      <c r="E4762" t="str">
        <f>"080066892559"</f>
        <v>080066892559</v>
      </c>
      <c r="F4762" s="3">
        <v>45868</v>
      </c>
      <c r="G4762">
        <v>202604</v>
      </c>
      <c r="H4762" t="s">
        <v>75</v>
      </c>
      <c r="I4762" t="s">
        <v>76</v>
      </c>
      <c r="J4762" t="s">
        <v>77</v>
      </c>
      <c r="K4762" t="s">
        <v>78</v>
      </c>
      <c r="L4762" t="s">
        <v>2035</v>
      </c>
      <c r="M4762" t="s">
        <v>2036</v>
      </c>
      <c r="N4762" t="s">
        <v>848</v>
      </c>
      <c r="O4762" t="s">
        <v>82</v>
      </c>
      <c r="P4762" t="str">
        <f>"4170052043                    "</f>
        <v xml:space="preserve">4170052043                    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22.6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AZ4762">
        <v>0</v>
      </c>
      <c r="BA4762">
        <v>0</v>
      </c>
      <c r="BB4762">
        <v>0</v>
      </c>
      <c r="BC4762">
        <v>0</v>
      </c>
      <c r="BD4762">
        <v>0</v>
      </c>
      <c r="BE4762">
        <v>0</v>
      </c>
      <c r="BF4762">
        <v>0</v>
      </c>
      <c r="BG4762">
        <v>0</v>
      </c>
      <c r="BH4762">
        <v>1</v>
      </c>
      <c r="BI4762">
        <v>1</v>
      </c>
      <c r="BJ4762">
        <v>0.2</v>
      </c>
      <c r="BK4762">
        <v>1</v>
      </c>
      <c r="BL4762">
        <v>71.2</v>
      </c>
      <c r="BM4762">
        <v>10.68</v>
      </c>
      <c r="BN4762">
        <v>81.88</v>
      </c>
      <c r="BO4762">
        <v>81.88</v>
      </c>
      <c r="BQ4762" t="s">
        <v>849</v>
      </c>
      <c r="BR4762" t="s">
        <v>84</v>
      </c>
      <c r="BS4762" t="s">
        <v>587</v>
      </c>
      <c r="BY4762">
        <v>1200</v>
      </c>
      <c r="CC4762" t="s">
        <v>2036</v>
      </c>
      <c r="CD4762">
        <v>3720</v>
      </c>
      <c r="CE4762" t="s">
        <v>121</v>
      </c>
      <c r="CI4762">
        <v>1</v>
      </c>
      <c r="CJ4762" t="s">
        <v>587</v>
      </c>
      <c r="CK4762">
        <v>21</v>
      </c>
      <c r="CL4762" t="s">
        <v>86</v>
      </c>
    </row>
    <row r="4763" spans="1:90" x14ac:dyDescent="0.3">
      <c r="A4763" t="s">
        <v>72</v>
      </c>
      <c r="B4763" t="s">
        <v>73</v>
      </c>
      <c r="C4763" t="s">
        <v>74</v>
      </c>
      <c r="E4763" t="str">
        <f>"080066892577"</f>
        <v>080066892577</v>
      </c>
      <c r="F4763" s="3">
        <v>45868</v>
      </c>
      <c r="G4763">
        <v>202604</v>
      </c>
      <c r="H4763" t="s">
        <v>75</v>
      </c>
      <c r="I4763" t="s">
        <v>76</v>
      </c>
      <c r="J4763" t="s">
        <v>77</v>
      </c>
      <c r="K4763" t="s">
        <v>78</v>
      </c>
      <c r="L4763" t="s">
        <v>240</v>
      </c>
      <c r="M4763" t="s">
        <v>241</v>
      </c>
      <c r="N4763" t="s">
        <v>2575</v>
      </c>
      <c r="O4763" t="s">
        <v>82</v>
      </c>
      <c r="P4763" t="str">
        <f>"4170052002                    "</f>
        <v xml:space="preserve">4170052002                    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17.649999999999999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AZ4763">
        <v>0</v>
      </c>
      <c r="BA4763">
        <v>0</v>
      </c>
      <c r="BB4763">
        <v>0</v>
      </c>
      <c r="BC4763">
        <v>0</v>
      </c>
      <c r="BD4763">
        <v>0</v>
      </c>
      <c r="BE4763">
        <v>0</v>
      </c>
      <c r="BF4763">
        <v>0</v>
      </c>
      <c r="BG4763">
        <v>0</v>
      </c>
      <c r="BH4763">
        <v>1</v>
      </c>
      <c r="BI4763">
        <v>1</v>
      </c>
      <c r="BJ4763">
        <v>0.2</v>
      </c>
      <c r="BK4763">
        <v>1</v>
      </c>
      <c r="BL4763">
        <v>55.61</v>
      </c>
      <c r="BM4763">
        <v>8.34</v>
      </c>
      <c r="BN4763">
        <v>63.95</v>
      </c>
      <c r="BO4763">
        <v>63.95</v>
      </c>
      <c r="BQ4763" t="s">
        <v>2576</v>
      </c>
      <c r="BR4763" t="s">
        <v>84</v>
      </c>
      <c r="BS4763" s="3">
        <v>45869</v>
      </c>
      <c r="BT4763" s="4">
        <v>0.39374999999999999</v>
      </c>
      <c r="BU4763" t="s">
        <v>3698</v>
      </c>
      <c r="BV4763" t="s">
        <v>98</v>
      </c>
      <c r="BY4763">
        <v>1200</v>
      </c>
      <c r="CA4763" t="s">
        <v>245</v>
      </c>
      <c r="CC4763" t="s">
        <v>241</v>
      </c>
      <c r="CD4763">
        <v>2190</v>
      </c>
      <c r="CE4763" t="s">
        <v>121</v>
      </c>
      <c r="CI4763">
        <v>1</v>
      </c>
      <c r="CJ4763">
        <v>1</v>
      </c>
      <c r="CK4763">
        <v>22</v>
      </c>
      <c r="CL4763" t="s">
        <v>86</v>
      </c>
    </row>
    <row r="4764" spans="1:90" x14ac:dyDescent="0.3">
      <c r="A4764" t="s">
        <v>72</v>
      </c>
      <c r="B4764" t="s">
        <v>73</v>
      </c>
      <c r="C4764" t="s">
        <v>74</v>
      </c>
      <c r="E4764" t="str">
        <f>"080066892590"</f>
        <v>080066892590</v>
      </c>
      <c r="F4764" s="3">
        <v>45868</v>
      </c>
      <c r="G4764">
        <v>202604</v>
      </c>
      <c r="H4764" t="s">
        <v>75</v>
      </c>
      <c r="I4764" t="s">
        <v>76</v>
      </c>
      <c r="J4764" t="s">
        <v>77</v>
      </c>
      <c r="K4764" t="s">
        <v>78</v>
      </c>
      <c r="L4764" t="s">
        <v>168</v>
      </c>
      <c r="M4764" t="s">
        <v>169</v>
      </c>
      <c r="N4764" t="s">
        <v>202</v>
      </c>
      <c r="O4764" t="s">
        <v>82</v>
      </c>
      <c r="P4764" t="str">
        <f>"4170051999                    "</f>
        <v xml:space="preserve">4170051999                    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>
        <v>22.6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0</v>
      </c>
      <c r="BA4764">
        <v>0</v>
      </c>
      <c r="BB4764">
        <v>0</v>
      </c>
      <c r="BC4764">
        <v>0</v>
      </c>
      <c r="BD4764">
        <v>0</v>
      </c>
      <c r="BE4764">
        <v>0</v>
      </c>
      <c r="BF4764">
        <v>0</v>
      </c>
      <c r="BG4764">
        <v>0</v>
      </c>
      <c r="BH4764">
        <v>1</v>
      </c>
      <c r="BI4764">
        <v>1</v>
      </c>
      <c r="BJ4764">
        <v>0.2</v>
      </c>
      <c r="BK4764">
        <v>1</v>
      </c>
      <c r="BL4764">
        <v>71.2</v>
      </c>
      <c r="BM4764">
        <v>10.68</v>
      </c>
      <c r="BN4764">
        <v>81.88</v>
      </c>
      <c r="BO4764">
        <v>81.88</v>
      </c>
      <c r="BQ4764" t="s">
        <v>203</v>
      </c>
      <c r="BR4764" t="s">
        <v>84</v>
      </c>
      <c r="BS4764" s="3">
        <v>45869</v>
      </c>
      <c r="BT4764" s="4">
        <v>0.40277777777777779</v>
      </c>
      <c r="BU4764" t="s">
        <v>1127</v>
      </c>
      <c r="BV4764" t="s">
        <v>98</v>
      </c>
      <c r="BY4764">
        <v>1200</v>
      </c>
      <c r="CA4764" t="s">
        <v>3850</v>
      </c>
      <c r="CC4764" t="s">
        <v>169</v>
      </c>
      <c r="CD4764">
        <v>6001</v>
      </c>
      <c r="CE4764" t="s">
        <v>121</v>
      </c>
      <c r="CI4764">
        <v>1</v>
      </c>
      <c r="CJ4764">
        <v>1</v>
      </c>
      <c r="CK4764">
        <v>21</v>
      </c>
      <c r="CL4764" t="s">
        <v>86</v>
      </c>
    </row>
    <row r="4765" spans="1:90" x14ac:dyDescent="0.3">
      <c r="A4765" t="s">
        <v>72</v>
      </c>
      <c r="B4765" t="s">
        <v>73</v>
      </c>
      <c r="C4765" t="s">
        <v>74</v>
      </c>
      <c r="E4765" t="str">
        <f>"080066892605"</f>
        <v>080066892605</v>
      </c>
      <c r="F4765" s="3">
        <v>45868</v>
      </c>
      <c r="G4765">
        <v>202604</v>
      </c>
      <c r="H4765" t="s">
        <v>75</v>
      </c>
      <c r="I4765" t="s">
        <v>76</v>
      </c>
      <c r="J4765" t="s">
        <v>77</v>
      </c>
      <c r="K4765" t="s">
        <v>78</v>
      </c>
      <c r="L4765" t="s">
        <v>79</v>
      </c>
      <c r="M4765" t="s">
        <v>80</v>
      </c>
      <c r="N4765" t="s">
        <v>931</v>
      </c>
      <c r="O4765" t="s">
        <v>82</v>
      </c>
      <c r="P4765" t="str">
        <f>"4170052130                    "</f>
        <v xml:space="preserve">4170052130                    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>
        <v>22.6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AZ4765">
        <v>0</v>
      </c>
      <c r="BA4765">
        <v>0</v>
      </c>
      <c r="BB4765">
        <v>0</v>
      </c>
      <c r="BC4765">
        <v>0</v>
      </c>
      <c r="BD4765">
        <v>0</v>
      </c>
      <c r="BE4765">
        <v>0</v>
      </c>
      <c r="BF4765">
        <v>0</v>
      </c>
      <c r="BG4765">
        <v>0</v>
      </c>
      <c r="BH4765">
        <v>1</v>
      </c>
      <c r="BI4765">
        <v>1</v>
      </c>
      <c r="BJ4765">
        <v>0.2</v>
      </c>
      <c r="BK4765">
        <v>1</v>
      </c>
      <c r="BL4765">
        <v>71.2</v>
      </c>
      <c r="BM4765">
        <v>10.68</v>
      </c>
      <c r="BN4765">
        <v>81.88</v>
      </c>
      <c r="BO4765">
        <v>81.88</v>
      </c>
      <c r="BQ4765" t="s">
        <v>932</v>
      </c>
      <c r="BR4765" t="s">
        <v>84</v>
      </c>
      <c r="BS4765" t="s">
        <v>587</v>
      </c>
      <c r="BY4765">
        <v>1200</v>
      </c>
      <c r="CC4765" t="s">
        <v>80</v>
      </c>
      <c r="CD4765">
        <v>7535</v>
      </c>
      <c r="CE4765" t="s">
        <v>121</v>
      </c>
      <c r="CI4765">
        <v>1</v>
      </c>
      <c r="CJ4765" t="s">
        <v>587</v>
      </c>
      <c r="CK4765">
        <v>21</v>
      </c>
      <c r="CL4765" t="s">
        <v>86</v>
      </c>
    </row>
    <row r="4766" spans="1:90" x14ac:dyDescent="0.3">
      <c r="A4766" t="s">
        <v>72</v>
      </c>
      <c r="B4766" t="s">
        <v>73</v>
      </c>
      <c r="C4766" t="s">
        <v>74</v>
      </c>
      <c r="E4766" t="str">
        <f>"080066892636"</f>
        <v>080066892636</v>
      </c>
      <c r="F4766" s="3">
        <v>45868</v>
      </c>
      <c r="G4766">
        <v>202604</v>
      </c>
      <c r="H4766" t="s">
        <v>75</v>
      </c>
      <c r="I4766" t="s">
        <v>76</v>
      </c>
      <c r="J4766" t="s">
        <v>77</v>
      </c>
      <c r="K4766" t="s">
        <v>78</v>
      </c>
      <c r="L4766" t="s">
        <v>79</v>
      </c>
      <c r="M4766" t="s">
        <v>80</v>
      </c>
      <c r="N4766" t="s">
        <v>576</v>
      </c>
      <c r="O4766" t="s">
        <v>82</v>
      </c>
      <c r="P4766" t="str">
        <f>"4170052034                    "</f>
        <v xml:space="preserve">4170052034                    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>
        <v>22.6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>
        <v>0</v>
      </c>
      <c r="BC4766">
        <v>0</v>
      </c>
      <c r="BD4766">
        <v>0</v>
      </c>
      <c r="BE4766">
        <v>0</v>
      </c>
      <c r="BF4766">
        <v>0</v>
      </c>
      <c r="BG4766">
        <v>0</v>
      </c>
      <c r="BH4766">
        <v>1</v>
      </c>
      <c r="BI4766">
        <v>1</v>
      </c>
      <c r="BJ4766">
        <v>0.2</v>
      </c>
      <c r="BK4766">
        <v>1</v>
      </c>
      <c r="BL4766">
        <v>71.2</v>
      </c>
      <c r="BM4766">
        <v>10.68</v>
      </c>
      <c r="BN4766">
        <v>81.88</v>
      </c>
      <c r="BO4766">
        <v>81.88</v>
      </c>
      <c r="BQ4766" t="s">
        <v>577</v>
      </c>
      <c r="BR4766" t="s">
        <v>84</v>
      </c>
      <c r="BS4766" s="3">
        <v>45869</v>
      </c>
      <c r="BT4766" s="4">
        <v>0.43888888888888888</v>
      </c>
      <c r="BU4766" t="s">
        <v>1092</v>
      </c>
      <c r="BV4766" t="s">
        <v>86</v>
      </c>
      <c r="BY4766">
        <v>1200</v>
      </c>
      <c r="CA4766" t="s">
        <v>579</v>
      </c>
      <c r="CC4766" t="s">
        <v>80</v>
      </c>
      <c r="CD4766">
        <v>7480</v>
      </c>
      <c r="CE4766" t="s">
        <v>121</v>
      </c>
      <c r="CI4766">
        <v>1</v>
      </c>
      <c r="CJ4766">
        <v>1</v>
      </c>
      <c r="CK4766">
        <v>21</v>
      </c>
      <c r="CL4766" t="s">
        <v>86</v>
      </c>
    </row>
    <row r="4767" spans="1:90" x14ac:dyDescent="0.3">
      <c r="A4767" t="s">
        <v>72</v>
      </c>
      <c r="B4767" t="s">
        <v>73</v>
      </c>
      <c r="C4767" t="s">
        <v>74</v>
      </c>
      <c r="E4767" t="str">
        <f>"080066893369"</f>
        <v>080066893369</v>
      </c>
      <c r="F4767" s="3">
        <v>45868</v>
      </c>
      <c r="G4767">
        <v>202604</v>
      </c>
      <c r="H4767" t="s">
        <v>75</v>
      </c>
      <c r="I4767" t="s">
        <v>76</v>
      </c>
      <c r="J4767" t="s">
        <v>77</v>
      </c>
      <c r="K4767" t="s">
        <v>78</v>
      </c>
      <c r="L4767" t="s">
        <v>295</v>
      </c>
      <c r="M4767" t="s">
        <v>296</v>
      </c>
      <c r="N4767" t="s">
        <v>1262</v>
      </c>
      <c r="O4767" t="s">
        <v>82</v>
      </c>
      <c r="P4767" t="str">
        <f>"4170052035                    "</f>
        <v xml:space="preserve">4170052035                    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>
        <v>17.649999999999999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0</v>
      </c>
      <c r="BB4767">
        <v>0</v>
      </c>
      <c r="BC4767">
        <v>0</v>
      </c>
      <c r="BD4767">
        <v>0</v>
      </c>
      <c r="BE4767">
        <v>0</v>
      </c>
      <c r="BF4767">
        <v>0</v>
      </c>
      <c r="BG4767">
        <v>0</v>
      </c>
      <c r="BH4767">
        <v>1</v>
      </c>
      <c r="BI4767">
        <v>1</v>
      </c>
      <c r="BJ4767">
        <v>0.2</v>
      </c>
      <c r="BK4767">
        <v>1</v>
      </c>
      <c r="BL4767">
        <v>55.61</v>
      </c>
      <c r="BM4767">
        <v>8.34</v>
      </c>
      <c r="BN4767">
        <v>63.95</v>
      </c>
      <c r="BO4767">
        <v>63.95</v>
      </c>
      <c r="BQ4767" t="s">
        <v>1263</v>
      </c>
      <c r="BR4767" t="s">
        <v>84</v>
      </c>
      <c r="BS4767" s="3">
        <v>45869</v>
      </c>
      <c r="BT4767" s="4">
        <v>0.41249999999999998</v>
      </c>
      <c r="BU4767" t="s">
        <v>3476</v>
      </c>
      <c r="BV4767" t="s">
        <v>98</v>
      </c>
      <c r="BY4767">
        <v>1200</v>
      </c>
      <c r="CA4767" t="s">
        <v>2782</v>
      </c>
      <c r="CC4767" t="s">
        <v>296</v>
      </c>
      <c r="CD4767">
        <v>1459</v>
      </c>
      <c r="CE4767" t="s">
        <v>121</v>
      </c>
      <c r="CI4767">
        <v>1</v>
      </c>
      <c r="CJ4767">
        <v>1</v>
      </c>
      <c r="CK4767">
        <v>22</v>
      </c>
      <c r="CL4767" t="s">
        <v>86</v>
      </c>
    </row>
    <row r="4768" spans="1:90" x14ac:dyDescent="0.3">
      <c r="A4768" t="s">
        <v>72</v>
      </c>
      <c r="B4768" t="s">
        <v>73</v>
      </c>
      <c r="C4768" t="s">
        <v>74</v>
      </c>
      <c r="E4768" t="str">
        <f>"080066893380"</f>
        <v>080066893380</v>
      </c>
      <c r="F4768" s="3">
        <v>45868</v>
      </c>
      <c r="G4768">
        <v>202604</v>
      </c>
      <c r="H4768" t="s">
        <v>75</v>
      </c>
      <c r="I4768" t="s">
        <v>76</v>
      </c>
      <c r="J4768" t="s">
        <v>77</v>
      </c>
      <c r="K4768" t="s">
        <v>78</v>
      </c>
      <c r="L4768" t="s">
        <v>1768</v>
      </c>
      <c r="M4768" t="s">
        <v>1769</v>
      </c>
      <c r="N4768" t="s">
        <v>1770</v>
      </c>
      <c r="O4768" t="s">
        <v>95</v>
      </c>
      <c r="P4768" t="str">
        <f>"4170052060                    "</f>
        <v xml:space="preserve">4170052060                    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>
        <v>112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AZ4768">
        <v>0</v>
      </c>
      <c r="BA4768">
        <v>0</v>
      </c>
      <c r="BB4768">
        <v>0</v>
      </c>
      <c r="BC4768">
        <v>0</v>
      </c>
      <c r="BD4768">
        <v>0</v>
      </c>
      <c r="BE4768">
        <v>0</v>
      </c>
      <c r="BF4768">
        <v>0</v>
      </c>
      <c r="BG4768">
        <v>0</v>
      </c>
      <c r="BH4768">
        <v>1</v>
      </c>
      <c r="BI4768">
        <v>13</v>
      </c>
      <c r="BJ4768">
        <v>30.4</v>
      </c>
      <c r="BK4768">
        <v>31</v>
      </c>
      <c r="BL4768">
        <v>358.74</v>
      </c>
      <c r="BM4768">
        <v>53.81</v>
      </c>
      <c r="BN4768">
        <v>412.55</v>
      </c>
      <c r="BO4768">
        <v>412.55</v>
      </c>
      <c r="BQ4768" t="s">
        <v>1771</v>
      </c>
      <c r="BR4768" t="s">
        <v>84</v>
      </c>
      <c r="BS4768" t="s">
        <v>587</v>
      </c>
      <c r="BY4768">
        <v>151800</v>
      </c>
      <c r="CC4768" t="s">
        <v>1769</v>
      </c>
      <c r="CD4768">
        <v>2302</v>
      </c>
      <c r="CE4768" t="s">
        <v>145</v>
      </c>
      <c r="CI4768">
        <v>1</v>
      </c>
      <c r="CJ4768" t="s">
        <v>587</v>
      </c>
      <c r="CK4768">
        <v>43</v>
      </c>
      <c r="CL4768" t="s">
        <v>86</v>
      </c>
    </row>
    <row r="4769" spans="1:90" x14ac:dyDescent="0.3">
      <c r="A4769" t="s">
        <v>72</v>
      </c>
      <c r="B4769" t="s">
        <v>73</v>
      </c>
      <c r="C4769" t="s">
        <v>74</v>
      </c>
      <c r="E4769" t="str">
        <f>"080066893384"</f>
        <v>080066893384</v>
      </c>
      <c r="F4769" s="3">
        <v>45868</v>
      </c>
      <c r="G4769">
        <v>202604</v>
      </c>
      <c r="H4769" t="s">
        <v>75</v>
      </c>
      <c r="I4769" t="s">
        <v>76</v>
      </c>
      <c r="J4769" t="s">
        <v>77</v>
      </c>
      <c r="K4769" t="s">
        <v>78</v>
      </c>
      <c r="L4769" t="s">
        <v>295</v>
      </c>
      <c r="M4769" t="s">
        <v>296</v>
      </c>
      <c r="N4769" t="s">
        <v>297</v>
      </c>
      <c r="O4769" t="s">
        <v>82</v>
      </c>
      <c r="P4769" t="str">
        <f>"4170052166                    "</f>
        <v xml:space="preserve">4170052166                    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>
        <v>17.649999999999999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AZ4769">
        <v>0</v>
      </c>
      <c r="BA4769">
        <v>0</v>
      </c>
      <c r="BB4769">
        <v>0</v>
      </c>
      <c r="BC4769">
        <v>0</v>
      </c>
      <c r="BD4769">
        <v>0</v>
      </c>
      <c r="BE4769">
        <v>0</v>
      </c>
      <c r="BF4769">
        <v>0</v>
      </c>
      <c r="BG4769">
        <v>0</v>
      </c>
      <c r="BH4769">
        <v>1</v>
      </c>
      <c r="BI4769">
        <v>1</v>
      </c>
      <c r="BJ4769">
        <v>0.2</v>
      </c>
      <c r="BK4769">
        <v>1</v>
      </c>
      <c r="BL4769">
        <v>55.61</v>
      </c>
      <c r="BM4769">
        <v>8.34</v>
      </c>
      <c r="BN4769">
        <v>63.95</v>
      </c>
      <c r="BO4769">
        <v>63.95</v>
      </c>
      <c r="BQ4769" t="s">
        <v>298</v>
      </c>
      <c r="BR4769" t="s">
        <v>84</v>
      </c>
      <c r="BS4769" s="3">
        <v>45869</v>
      </c>
      <c r="BT4769" s="4">
        <v>0.33055555555555555</v>
      </c>
      <c r="BU4769" t="s">
        <v>299</v>
      </c>
      <c r="BV4769" t="s">
        <v>98</v>
      </c>
      <c r="BY4769">
        <v>1200</v>
      </c>
      <c r="CA4769" t="s">
        <v>300</v>
      </c>
      <c r="CC4769" t="s">
        <v>296</v>
      </c>
      <c r="CD4769">
        <v>1459</v>
      </c>
      <c r="CE4769" t="s">
        <v>121</v>
      </c>
      <c r="CI4769">
        <v>1</v>
      </c>
      <c r="CJ4769">
        <v>1</v>
      </c>
      <c r="CK4769">
        <v>22</v>
      </c>
      <c r="CL4769" t="s">
        <v>86</v>
      </c>
    </row>
    <row r="4770" spans="1:90" x14ac:dyDescent="0.3">
      <c r="A4770" t="s">
        <v>72</v>
      </c>
      <c r="B4770" t="s">
        <v>73</v>
      </c>
      <c r="C4770" t="s">
        <v>74</v>
      </c>
      <c r="E4770" t="str">
        <f>"080066893392"</f>
        <v>080066893392</v>
      </c>
      <c r="F4770" s="3">
        <v>45868</v>
      </c>
      <c r="G4770">
        <v>202604</v>
      </c>
      <c r="H4770" t="s">
        <v>75</v>
      </c>
      <c r="I4770" t="s">
        <v>76</v>
      </c>
      <c r="J4770" t="s">
        <v>77</v>
      </c>
      <c r="K4770" t="s">
        <v>78</v>
      </c>
      <c r="L4770" t="s">
        <v>79</v>
      </c>
      <c r="M4770" t="s">
        <v>80</v>
      </c>
      <c r="N4770" t="s">
        <v>1101</v>
      </c>
      <c r="O4770" t="s">
        <v>82</v>
      </c>
      <c r="P4770" t="str">
        <f>"4170052015                    "</f>
        <v xml:space="preserve">4170052015                    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>
        <v>22.6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0</v>
      </c>
      <c r="AX4770">
        <v>0</v>
      </c>
      <c r="AY4770">
        <v>0</v>
      </c>
      <c r="AZ4770">
        <v>0</v>
      </c>
      <c r="BA4770">
        <v>0</v>
      </c>
      <c r="BB4770">
        <v>0</v>
      </c>
      <c r="BC4770">
        <v>0</v>
      </c>
      <c r="BD4770">
        <v>0</v>
      </c>
      <c r="BE4770">
        <v>0</v>
      </c>
      <c r="BF4770">
        <v>0</v>
      </c>
      <c r="BG4770">
        <v>0</v>
      </c>
      <c r="BH4770">
        <v>1</v>
      </c>
      <c r="BI4770">
        <v>1</v>
      </c>
      <c r="BJ4770">
        <v>1.7</v>
      </c>
      <c r="BK4770">
        <v>2</v>
      </c>
      <c r="BL4770">
        <v>71.2</v>
      </c>
      <c r="BM4770">
        <v>10.68</v>
      </c>
      <c r="BN4770">
        <v>81.88</v>
      </c>
      <c r="BO4770">
        <v>81.88</v>
      </c>
      <c r="BQ4770" t="s">
        <v>1102</v>
      </c>
      <c r="BR4770" t="s">
        <v>84</v>
      </c>
      <c r="BS4770" s="3">
        <v>45869</v>
      </c>
      <c r="BT4770" s="4">
        <v>0.34097222222222223</v>
      </c>
      <c r="BU4770" t="s">
        <v>3238</v>
      </c>
      <c r="BV4770" t="s">
        <v>98</v>
      </c>
      <c r="BY4770">
        <v>8512</v>
      </c>
      <c r="CA4770" t="s">
        <v>289</v>
      </c>
      <c r="CC4770" t="s">
        <v>80</v>
      </c>
      <c r="CD4770">
        <v>7530</v>
      </c>
      <c r="CE4770" t="s">
        <v>145</v>
      </c>
      <c r="CI4770">
        <v>1</v>
      </c>
      <c r="CJ4770">
        <v>1</v>
      </c>
      <c r="CK4770">
        <v>21</v>
      </c>
      <c r="CL4770" t="s">
        <v>86</v>
      </c>
    </row>
    <row r="4771" spans="1:90" x14ac:dyDescent="0.3">
      <c r="A4771" t="s">
        <v>72</v>
      </c>
      <c r="B4771" t="s">
        <v>73</v>
      </c>
      <c r="C4771" t="s">
        <v>74</v>
      </c>
      <c r="E4771" t="str">
        <f>"080066893396"</f>
        <v>080066893396</v>
      </c>
      <c r="F4771" s="3">
        <v>45868</v>
      </c>
      <c r="G4771">
        <v>202604</v>
      </c>
      <c r="H4771" t="s">
        <v>75</v>
      </c>
      <c r="I4771" t="s">
        <v>76</v>
      </c>
      <c r="J4771" t="s">
        <v>77</v>
      </c>
      <c r="K4771" t="s">
        <v>78</v>
      </c>
      <c r="L4771" t="s">
        <v>135</v>
      </c>
      <c r="M4771" t="s">
        <v>136</v>
      </c>
      <c r="N4771" t="s">
        <v>416</v>
      </c>
      <c r="O4771" t="s">
        <v>82</v>
      </c>
      <c r="P4771" t="str">
        <f>"4170052080                    "</f>
        <v xml:space="preserve">4170052080                    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>
        <v>22.6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0</v>
      </c>
      <c r="BA4771">
        <v>0</v>
      </c>
      <c r="BB4771">
        <v>0</v>
      </c>
      <c r="BC4771">
        <v>0</v>
      </c>
      <c r="BD4771">
        <v>0</v>
      </c>
      <c r="BE4771">
        <v>0</v>
      </c>
      <c r="BF4771">
        <v>0</v>
      </c>
      <c r="BG4771">
        <v>0</v>
      </c>
      <c r="BH4771">
        <v>1</v>
      </c>
      <c r="BI4771">
        <v>1</v>
      </c>
      <c r="BJ4771">
        <v>0.2</v>
      </c>
      <c r="BK4771">
        <v>1</v>
      </c>
      <c r="BL4771">
        <v>71.2</v>
      </c>
      <c r="BM4771">
        <v>10.68</v>
      </c>
      <c r="BN4771">
        <v>81.88</v>
      </c>
      <c r="BO4771">
        <v>81.88</v>
      </c>
      <c r="BQ4771" t="s">
        <v>417</v>
      </c>
      <c r="BR4771" t="s">
        <v>84</v>
      </c>
      <c r="BS4771" t="s">
        <v>587</v>
      </c>
      <c r="BY4771">
        <v>1200</v>
      </c>
      <c r="CC4771" t="s">
        <v>136</v>
      </c>
      <c r="CD4771">
        <v>3201</v>
      </c>
      <c r="CE4771" t="s">
        <v>121</v>
      </c>
      <c r="CI4771">
        <v>1</v>
      </c>
      <c r="CJ4771" t="s">
        <v>587</v>
      </c>
      <c r="CK4771">
        <v>21</v>
      </c>
      <c r="CL4771" t="s">
        <v>86</v>
      </c>
    </row>
    <row r="4772" spans="1:90" x14ac:dyDescent="0.3">
      <c r="A4772" t="s">
        <v>72</v>
      </c>
      <c r="B4772" t="s">
        <v>73</v>
      </c>
      <c r="C4772" t="s">
        <v>74</v>
      </c>
      <c r="E4772" t="str">
        <f>"080066893416"</f>
        <v>080066893416</v>
      </c>
      <c r="F4772" s="3">
        <v>45868</v>
      </c>
      <c r="G4772">
        <v>202604</v>
      </c>
      <c r="H4772" t="s">
        <v>75</v>
      </c>
      <c r="I4772" t="s">
        <v>76</v>
      </c>
      <c r="J4772" t="s">
        <v>77</v>
      </c>
      <c r="K4772" t="s">
        <v>78</v>
      </c>
      <c r="L4772" t="s">
        <v>240</v>
      </c>
      <c r="M4772" t="s">
        <v>241</v>
      </c>
      <c r="N4772" t="s">
        <v>1341</v>
      </c>
      <c r="O4772" t="s">
        <v>82</v>
      </c>
      <c r="P4772" t="str">
        <f>"4170052025                    "</f>
        <v xml:space="preserve">4170052025                    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>
        <v>17.649999999999999</v>
      </c>
      <c r="AR4772">
        <v>0</v>
      </c>
      <c r="AS4772">
        <v>0</v>
      </c>
      <c r="AT4772">
        <v>0</v>
      </c>
      <c r="AU4772">
        <v>0</v>
      </c>
      <c r="AV4772">
        <v>0</v>
      </c>
      <c r="AW4772">
        <v>0</v>
      </c>
      <c r="AX4772">
        <v>0</v>
      </c>
      <c r="AY4772">
        <v>0</v>
      </c>
      <c r="AZ4772">
        <v>0</v>
      </c>
      <c r="BA4772">
        <v>0</v>
      </c>
      <c r="BB4772">
        <v>0</v>
      </c>
      <c r="BC4772">
        <v>0</v>
      </c>
      <c r="BD4772">
        <v>0</v>
      </c>
      <c r="BE4772">
        <v>0</v>
      </c>
      <c r="BF4772">
        <v>0</v>
      </c>
      <c r="BG4772">
        <v>0</v>
      </c>
      <c r="BH4772">
        <v>1</v>
      </c>
      <c r="BI4772">
        <v>1</v>
      </c>
      <c r="BJ4772">
        <v>0.2</v>
      </c>
      <c r="BK4772">
        <v>1</v>
      </c>
      <c r="BL4772">
        <v>55.61</v>
      </c>
      <c r="BM4772">
        <v>8.34</v>
      </c>
      <c r="BN4772">
        <v>63.95</v>
      </c>
      <c r="BO4772">
        <v>63.95</v>
      </c>
      <c r="BQ4772" t="s">
        <v>1342</v>
      </c>
      <c r="BR4772" t="s">
        <v>84</v>
      </c>
      <c r="BS4772" s="3">
        <v>45869</v>
      </c>
      <c r="BT4772" s="4">
        <v>0.39305555555555555</v>
      </c>
      <c r="BU4772" t="s">
        <v>3975</v>
      </c>
      <c r="BV4772" t="s">
        <v>98</v>
      </c>
      <c r="BY4772">
        <v>1200</v>
      </c>
      <c r="CA4772" t="s">
        <v>1344</v>
      </c>
      <c r="CC4772" t="s">
        <v>241</v>
      </c>
      <c r="CD4772">
        <v>2169</v>
      </c>
      <c r="CE4772" t="s">
        <v>121</v>
      </c>
      <c r="CI4772">
        <v>1</v>
      </c>
      <c r="CJ4772">
        <v>1</v>
      </c>
      <c r="CK4772">
        <v>22</v>
      </c>
      <c r="CL4772" t="s">
        <v>86</v>
      </c>
    </row>
    <row r="4773" spans="1:90" x14ac:dyDescent="0.3">
      <c r="A4773" t="s">
        <v>72</v>
      </c>
      <c r="B4773" t="s">
        <v>73</v>
      </c>
      <c r="C4773" t="s">
        <v>74</v>
      </c>
      <c r="E4773" t="str">
        <f>"080066893557"</f>
        <v>080066893557</v>
      </c>
      <c r="F4773" s="3">
        <v>45868</v>
      </c>
      <c r="G4773">
        <v>202604</v>
      </c>
      <c r="H4773" t="s">
        <v>75</v>
      </c>
      <c r="I4773" t="s">
        <v>76</v>
      </c>
      <c r="J4773" t="s">
        <v>77</v>
      </c>
      <c r="K4773" t="s">
        <v>78</v>
      </c>
      <c r="L4773" t="s">
        <v>151</v>
      </c>
      <c r="M4773" t="s">
        <v>152</v>
      </c>
      <c r="N4773" t="s">
        <v>272</v>
      </c>
      <c r="O4773" t="s">
        <v>82</v>
      </c>
      <c r="P4773" t="str">
        <f>"4170052030                    "</f>
        <v xml:space="preserve">4170052030                    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>
        <v>22.6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0</v>
      </c>
      <c r="BA4773">
        <v>0</v>
      </c>
      <c r="BB4773">
        <v>0</v>
      </c>
      <c r="BC4773">
        <v>0</v>
      </c>
      <c r="BD4773">
        <v>0</v>
      </c>
      <c r="BE4773">
        <v>0</v>
      </c>
      <c r="BF4773">
        <v>0</v>
      </c>
      <c r="BG4773">
        <v>0</v>
      </c>
      <c r="BH4773">
        <v>1</v>
      </c>
      <c r="BI4773">
        <v>1</v>
      </c>
      <c r="BJ4773">
        <v>1.7</v>
      </c>
      <c r="BK4773">
        <v>2</v>
      </c>
      <c r="BL4773">
        <v>71.2</v>
      </c>
      <c r="BM4773">
        <v>10.68</v>
      </c>
      <c r="BN4773">
        <v>81.88</v>
      </c>
      <c r="BO4773">
        <v>81.88</v>
      </c>
      <c r="BQ4773" t="s">
        <v>273</v>
      </c>
      <c r="BR4773" t="s">
        <v>84</v>
      </c>
      <c r="BS4773" t="s">
        <v>587</v>
      </c>
      <c r="BY4773">
        <v>8512</v>
      </c>
      <c r="CC4773" t="s">
        <v>152</v>
      </c>
      <c r="CD4773" s="5" t="s">
        <v>276</v>
      </c>
      <c r="CE4773" t="s">
        <v>145</v>
      </c>
      <c r="CI4773">
        <v>1</v>
      </c>
      <c r="CJ4773" t="s">
        <v>587</v>
      </c>
      <c r="CK4773">
        <v>21</v>
      </c>
      <c r="CL4773" t="s">
        <v>86</v>
      </c>
    </row>
    <row r="4774" spans="1:90" x14ac:dyDescent="0.3">
      <c r="A4774" t="s">
        <v>72</v>
      </c>
      <c r="B4774" t="s">
        <v>73</v>
      </c>
      <c r="C4774" t="s">
        <v>74</v>
      </c>
      <c r="E4774" t="str">
        <f>"080066893594"</f>
        <v>080066893594</v>
      </c>
      <c r="F4774" s="3">
        <v>45868</v>
      </c>
      <c r="G4774">
        <v>202604</v>
      </c>
      <c r="H4774" t="s">
        <v>75</v>
      </c>
      <c r="I4774" t="s">
        <v>76</v>
      </c>
      <c r="J4774" t="s">
        <v>77</v>
      </c>
      <c r="K4774" t="s">
        <v>78</v>
      </c>
      <c r="L4774" t="s">
        <v>1768</v>
      </c>
      <c r="M4774" t="s">
        <v>1769</v>
      </c>
      <c r="N4774" t="s">
        <v>3982</v>
      </c>
      <c r="O4774" t="s">
        <v>82</v>
      </c>
      <c r="P4774" t="str">
        <f>"4170052083                    "</f>
        <v xml:space="preserve">4170052083                    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>
        <v>43.78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0</v>
      </c>
      <c r="BA4774">
        <v>0</v>
      </c>
      <c r="BB4774">
        <v>0</v>
      </c>
      <c r="BC4774">
        <v>0</v>
      </c>
      <c r="BD4774">
        <v>0</v>
      </c>
      <c r="BE4774">
        <v>0</v>
      </c>
      <c r="BF4774">
        <v>0</v>
      </c>
      <c r="BG4774">
        <v>0</v>
      </c>
      <c r="BH4774">
        <v>1</v>
      </c>
      <c r="BI4774">
        <v>1</v>
      </c>
      <c r="BJ4774">
        <v>1.1000000000000001</v>
      </c>
      <c r="BK4774">
        <v>1.5</v>
      </c>
      <c r="BL4774">
        <v>137.94</v>
      </c>
      <c r="BM4774">
        <v>20.69</v>
      </c>
      <c r="BN4774">
        <v>158.63</v>
      </c>
      <c r="BO4774">
        <v>158.63</v>
      </c>
      <c r="BQ4774" t="s">
        <v>3983</v>
      </c>
      <c r="BR4774" t="s">
        <v>84</v>
      </c>
      <c r="BS4774" s="3">
        <v>45869</v>
      </c>
      <c r="BT4774" s="4">
        <v>0.49513888888888891</v>
      </c>
      <c r="BU4774" t="s">
        <v>3984</v>
      </c>
      <c r="BV4774" t="s">
        <v>98</v>
      </c>
      <c r="BY4774">
        <v>5320</v>
      </c>
      <c r="CA4774" t="s">
        <v>1773</v>
      </c>
      <c r="CC4774" t="s">
        <v>1769</v>
      </c>
      <c r="CD4774">
        <v>2301</v>
      </c>
      <c r="CE4774" t="s">
        <v>145</v>
      </c>
      <c r="CI4774">
        <v>1</v>
      </c>
      <c r="CJ4774">
        <v>1</v>
      </c>
      <c r="CK4774">
        <v>23</v>
      </c>
      <c r="CL4774" t="s">
        <v>86</v>
      </c>
    </row>
    <row r="4775" spans="1:90" x14ac:dyDescent="0.3">
      <c r="A4775" t="s">
        <v>72</v>
      </c>
      <c r="B4775" t="s">
        <v>73</v>
      </c>
      <c r="C4775" t="s">
        <v>74</v>
      </c>
      <c r="E4775" t="str">
        <f>"080066893686"</f>
        <v>080066893686</v>
      </c>
      <c r="F4775" s="3">
        <v>45868</v>
      </c>
      <c r="G4775">
        <v>202604</v>
      </c>
      <c r="H4775" t="s">
        <v>75</v>
      </c>
      <c r="I4775" t="s">
        <v>76</v>
      </c>
      <c r="J4775" t="s">
        <v>77</v>
      </c>
      <c r="K4775" t="s">
        <v>78</v>
      </c>
      <c r="L4775" t="s">
        <v>704</v>
      </c>
      <c r="M4775" t="s">
        <v>705</v>
      </c>
      <c r="N4775" t="s">
        <v>848</v>
      </c>
      <c r="O4775" t="s">
        <v>82</v>
      </c>
      <c r="P4775" t="str">
        <f>"4170051987                    "</f>
        <v xml:space="preserve">4170051987                    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>
        <v>63.56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>
        <v>0</v>
      </c>
      <c r="BC4775">
        <v>0</v>
      </c>
      <c r="BD4775">
        <v>0</v>
      </c>
      <c r="BE4775">
        <v>0</v>
      </c>
      <c r="BF4775">
        <v>0</v>
      </c>
      <c r="BG4775">
        <v>0</v>
      </c>
      <c r="BH4775">
        <v>1</v>
      </c>
      <c r="BI4775">
        <v>3</v>
      </c>
      <c r="BJ4775">
        <v>1.9</v>
      </c>
      <c r="BK4775">
        <v>3</v>
      </c>
      <c r="BL4775">
        <v>200.24</v>
      </c>
      <c r="BM4775">
        <v>30.04</v>
      </c>
      <c r="BN4775">
        <v>230.28</v>
      </c>
      <c r="BO4775">
        <v>230.28</v>
      </c>
      <c r="BQ4775" t="s">
        <v>849</v>
      </c>
      <c r="BR4775" t="s">
        <v>84</v>
      </c>
      <c r="BS4775" s="3">
        <v>45869</v>
      </c>
      <c r="BT4775" s="4">
        <v>0.57152777777777775</v>
      </c>
      <c r="BU4775" t="s">
        <v>2713</v>
      </c>
      <c r="BV4775" t="s">
        <v>98</v>
      </c>
      <c r="BY4775">
        <v>9600</v>
      </c>
      <c r="CA4775" t="s">
        <v>1152</v>
      </c>
      <c r="CC4775" t="s">
        <v>705</v>
      </c>
      <c r="CD4775">
        <v>6850</v>
      </c>
      <c r="CE4775" t="s">
        <v>145</v>
      </c>
      <c r="CI4775">
        <v>2</v>
      </c>
      <c r="CJ4775">
        <v>1</v>
      </c>
      <c r="CK4775">
        <v>23</v>
      </c>
      <c r="CL4775" t="s">
        <v>86</v>
      </c>
    </row>
    <row r="4776" spans="1:90" x14ac:dyDescent="0.3">
      <c r="A4776" t="s">
        <v>72</v>
      </c>
      <c r="B4776" t="s">
        <v>73</v>
      </c>
      <c r="C4776" t="s">
        <v>74</v>
      </c>
      <c r="E4776" t="str">
        <f>"080066893709"</f>
        <v>080066893709</v>
      </c>
      <c r="F4776" s="3">
        <v>45868</v>
      </c>
      <c r="G4776">
        <v>202604</v>
      </c>
      <c r="H4776" t="s">
        <v>75</v>
      </c>
      <c r="I4776" t="s">
        <v>76</v>
      </c>
      <c r="J4776" t="s">
        <v>77</v>
      </c>
      <c r="K4776" t="s">
        <v>78</v>
      </c>
      <c r="L4776" t="s">
        <v>197</v>
      </c>
      <c r="M4776" t="s">
        <v>198</v>
      </c>
      <c r="N4776" t="s">
        <v>1192</v>
      </c>
      <c r="O4776" t="s">
        <v>82</v>
      </c>
      <c r="P4776" t="str">
        <f>"4170052046                    "</f>
        <v xml:space="preserve">4170052046                    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17.649999999999999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>
        <v>0</v>
      </c>
      <c r="BC4776">
        <v>0</v>
      </c>
      <c r="BD4776">
        <v>0</v>
      </c>
      <c r="BE4776">
        <v>0</v>
      </c>
      <c r="BF4776">
        <v>0</v>
      </c>
      <c r="BG4776">
        <v>0</v>
      </c>
      <c r="BH4776">
        <v>1</v>
      </c>
      <c r="BI4776">
        <v>2</v>
      </c>
      <c r="BJ4776">
        <v>1.7</v>
      </c>
      <c r="BK4776">
        <v>2</v>
      </c>
      <c r="BL4776">
        <v>55.61</v>
      </c>
      <c r="BM4776">
        <v>8.34</v>
      </c>
      <c r="BN4776">
        <v>63.95</v>
      </c>
      <c r="BO4776">
        <v>63.95</v>
      </c>
      <c r="BQ4776" t="s">
        <v>1193</v>
      </c>
      <c r="BR4776" t="s">
        <v>84</v>
      </c>
      <c r="BS4776" s="3">
        <v>45869</v>
      </c>
      <c r="BT4776" s="4">
        <v>0.39166666666666666</v>
      </c>
      <c r="BU4776" t="s">
        <v>2887</v>
      </c>
      <c r="BV4776" t="s">
        <v>98</v>
      </c>
      <c r="BY4776">
        <v>8550</v>
      </c>
      <c r="BZ4776" t="s">
        <v>89</v>
      </c>
      <c r="CA4776" t="s">
        <v>318</v>
      </c>
      <c r="CC4776" t="s">
        <v>198</v>
      </c>
      <c r="CD4776">
        <v>1428</v>
      </c>
      <c r="CE4776" t="s">
        <v>145</v>
      </c>
      <c r="CI4776">
        <v>1</v>
      </c>
      <c r="CJ4776">
        <v>1</v>
      </c>
      <c r="CK4776">
        <v>22</v>
      </c>
      <c r="CL4776" t="s">
        <v>86</v>
      </c>
    </row>
    <row r="4777" spans="1:90" x14ac:dyDescent="0.3">
      <c r="A4777" t="s">
        <v>72</v>
      </c>
      <c r="B4777" t="s">
        <v>73</v>
      </c>
      <c r="C4777" t="s">
        <v>74</v>
      </c>
      <c r="E4777" t="str">
        <f>"080066871181"</f>
        <v>080066871181</v>
      </c>
      <c r="F4777" s="3">
        <v>45867</v>
      </c>
      <c r="G4777">
        <v>202604</v>
      </c>
      <c r="H4777" t="s">
        <v>75</v>
      </c>
      <c r="I4777" t="s">
        <v>76</v>
      </c>
      <c r="J4777" t="s">
        <v>77</v>
      </c>
      <c r="K4777" t="s">
        <v>78</v>
      </c>
      <c r="L4777" t="s">
        <v>122</v>
      </c>
      <c r="M4777" t="s">
        <v>123</v>
      </c>
      <c r="N4777" t="s">
        <v>283</v>
      </c>
      <c r="O4777" t="s">
        <v>82</v>
      </c>
      <c r="P4777" t="str">
        <f>"4170051934                    "</f>
        <v xml:space="preserve">4170051934                    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90.34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0</v>
      </c>
      <c r="BA4777">
        <v>0</v>
      </c>
      <c r="BB4777">
        <v>0</v>
      </c>
      <c r="BC4777">
        <v>0</v>
      </c>
      <c r="BD4777">
        <v>0</v>
      </c>
      <c r="BE4777">
        <v>0</v>
      </c>
      <c r="BF4777">
        <v>0</v>
      </c>
      <c r="BG4777">
        <v>0</v>
      </c>
      <c r="BH4777">
        <v>1</v>
      </c>
      <c r="BI4777">
        <v>8</v>
      </c>
      <c r="BJ4777">
        <v>6.6</v>
      </c>
      <c r="BK4777">
        <v>8</v>
      </c>
      <c r="BL4777">
        <v>284.62</v>
      </c>
      <c r="BM4777">
        <v>42.69</v>
      </c>
      <c r="BN4777">
        <v>327.31</v>
      </c>
      <c r="BO4777">
        <v>327.31</v>
      </c>
      <c r="BQ4777" t="s">
        <v>284</v>
      </c>
      <c r="BR4777" t="s">
        <v>84</v>
      </c>
      <c r="BS4777" s="3">
        <v>45868</v>
      </c>
      <c r="BT4777" s="4">
        <v>0.38541666666666669</v>
      </c>
      <c r="BU4777" t="s">
        <v>285</v>
      </c>
      <c r="BV4777" t="s">
        <v>98</v>
      </c>
      <c r="BY4777">
        <v>32832</v>
      </c>
      <c r="BZ4777" t="s">
        <v>89</v>
      </c>
      <c r="CA4777" t="s">
        <v>187</v>
      </c>
      <c r="CC4777" t="s">
        <v>123</v>
      </c>
      <c r="CD4777">
        <v>3608</v>
      </c>
      <c r="CE4777" t="s">
        <v>145</v>
      </c>
      <c r="CF4777" s="3">
        <v>45868</v>
      </c>
      <c r="CI4777">
        <v>1</v>
      </c>
      <c r="CJ4777">
        <v>1</v>
      </c>
      <c r="CK4777">
        <v>21</v>
      </c>
      <c r="CL4777" t="s">
        <v>86</v>
      </c>
    </row>
    <row r="4778" spans="1:90" x14ac:dyDescent="0.3">
      <c r="A4778" t="s">
        <v>72</v>
      </c>
      <c r="B4778" t="s">
        <v>73</v>
      </c>
      <c r="C4778" t="s">
        <v>74</v>
      </c>
      <c r="E4778" t="str">
        <f>"080011582096"</f>
        <v>080011582096</v>
      </c>
      <c r="F4778" s="3">
        <v>45868</v>
      </c>
      <c r="G4778">
        <v>202604</v>
      </c>
      <c r="H4778" t="s">
        <v>79</v>
      </c>
      <c r="I4778" t="s">
        <v>80</v>
      </c>
      <c r="J4778" t="s">
        <v>589</v>
      </c>
      <c r="K4778" t="s">
        <v>78</v>
      </c>
      <c r="L4778" t="s">
        <v>75</v>
      </c>
      <c r="M4778" t="s">
        <v>76</v>
      </c>
      <c r="N4778" t="s">
        <v>228</v>
      </c>
      <c r="O4778" t="s">
        <v>95</v>
      </c>
      <c r="P4778" t="str">
        <f>"ZA1001400537                  "</f>
        <v xml:space="preserve">ZA1001400537                  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43.7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0</v>
      </c>
      <c r="AX4778">
        <v>0</v>
      </c>
      <c r="AY4778">
        <v>0</v>
      </c>
      <c r="AZ4778">
        <v>0</v>
      </c>
      <c r="BA4778">
        <v>0</v>
      </c>
      <c r="BB4778">
        <v>0</v>
      </c>
      <c r="BC4778">
        <v>0</v>
      </c>
      <c r="BD4778">
        <v>0</v>
      </c>
      <c r="BE4778">
        <v>0</v>
      </c>
      <c r="BF4778">
        <v>0</v>
      </c>
      <c r="BG4778">
        <v>0</v>
      </c>
      <c r="BH4778">
        <v>1</v>
      </c>
      <c r="BI4778">
        <v>12.4</v>
      </c>
      <c r="BJ4778">
        <v>5</v>
      </c>
      <c r="BK4778">
        <v>13</v>
      </c>
      <c r="BL4778">
        <v>143.55000000000001</v>
      </c>
      <c r="BM4778">
        <v>21.53</v>
      </c>
      <c r="BN4778">
        <v>165.08</v>
      </c>
      <c r="BO4778">
        <v>165.08</v>
      </c>
      <c r="BP4778" t="s">
        <v>587</v>
      </c>
      <c r="BQ4778" t="s">
        <v>230</v>
      </c>
      <c r="BR4778" t="s">
        <v>590</v>
      </c>
      <c r="BS4778" t="s">
        <v>587</v>
      </c>
      <c r="BY4778">
        <v>25074.38</v>
      </c>
      <c r="BZ4778" t="s">
        <v>99</v>
      </c>
      <c r="CC4778" t="s">
        <v>76</v>
      </c>
      <c r="CD4778">
        <v>1619</v>
      </c>
      <c r="CE4778" t="s">
        <v>233</v>
      </c>
      <c r="CI4778">
        <v>3</v>
      </c>
      <c r="CJ4778" t="s">
        <v>587</v>
      </c>
      <c r="CK4778">
        <v>41</v>
      </c>
      <c r="CL4778" t="s">
        <v>86</v>
      </c>
    </row>
    <row r="4779" spans="1:90" x14ac:dyDescent="0.3">
      <c r="A4779" t="s">
        <v>72</v>
      </c>
      <c r="B4779" t="s">
        <v>73</v>
      </c>
      <c r="C4779" t="s">
        <v>74</v>
      </c>
      <c r="E4779" t="str">
        <f>"080066893870"</f>
        <v>080066893870</v>
      </c>
      <c r="F4779" s="3">
        <v>45868</v>
      </c>
      <c r="G4779">
        <v>202604</v>
      </c>
      <c r="H4779" t="s">
        <v>75</v>
      </c>
      <c r="I4779" t="s">
        <v>76</v>
      </c>
      <c r="J4779" t="s">
        <v>77</v>
      </c>
      <c r="K4779" t="s">
        <v>78</v>
      </c>
      <c r="L4779" t="s">
        <v>452</v>
      </c>
      <c r="M4779" t="s">
        <v>453</v>
      </c>
      <c r="N4779" t="s">
        <v>1321</v>
      </c>
      <c r="O4779" t="s">
        <v>82</v>
      </c>
      <c r="P4779" t="str">
        <f>"4170052007                    "</f>
        <v xml:space="preserve">4170052007                    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17.649999999999999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0</v>
      </c>
      <c r="BB4779">
        <v>0</v>
      </c>
      <c r="BC4779">
        <v>0</v>
      </c>
      <c r="BD4779">
        <v>0</v>
      </c>
      <c r="BE4779">
        <v>0</v>
      </c>
      <c r="BF4779">
        <v>0</v>
      </c>
      <c r="BG4779">
        <v>0</v>
      </c>
      <c r="BH4779">
        <v>1</v>
      </c>
      <c r="BI4779">
        <v>1</v>
      </c>
      <c r="BJ4779">
        <v>0.6</v>
      </c>
      <c r="BK4779">
        <v>1</v>
      </c>
      <c r="BL4779">
        <v>55.61</v>
      </c>
      <c r="BM4779">
        <v>8.34</v>
      </c>
      <c r="BN4779">
        <v>63.95</v>
      </c>
      <c r="BO4779">
        <v>63.95</v>
      </c>
      <c r="BQ4779" t="s">
        <v>1322</v>
      </c>
      <c r="BR4779" t="s">
        <v>84</v>
      </c>
      <c r="BS4779" s="3">
        <v>45869</v>
      </c>
      <c r="BT4779" s="4">
        <v>0.38472222222222224</v>
      </c>
      <c r="BU4779" t="s">
        <v>1110</v>
      </c>
      <c r="BV4779" t="s">
        <v>98</v>
      </c>
      <c r="BY4779">
        <v>3192</v>
      </c>
      <c r="CA4779" t="s">
        <v>1541</v>
      </c>
      <c r="CC4779" t="s">
        <v>453</v>
      </c>
      <c r="CD4779">
        <v>1559</v>
      </c>
      <c r="CE4779" t="s">
        <v>110</v>
      </c>
      <c r="CI4779">
        <v>1</v>
      </c>
      <c r="CJ4779">
        <v>1</v>
      </c>
      <c r="CK4779">
        <v>22</v>
      </c>
      <c r="CL4779" t="s">
        <v>86</v>
      </c>
    </row>
    <row r="4780" spans="1:90" x14ac:dyDescent="0.3">
      <c r="A4780" t="s">
        <v>72</v>
      </c>
      <c r="B4780" t="s">
        <v>73</v>
      </c>
      <c r="C4780" t="s">
        <v>74</v>
      </c>
      <c r="E4780" t="str">
        <f>"080066894338"</f>
        <v>080066894338</v>
      </c>
      <c r="F4780" s="3">
        <v>45868</v>
      </c>
      <c r="G4780">
        <v>202604</v>
      </c>
      <c r="H4780" t="s">
        <v>75</v>
      </c>
      <c r="I4780" t="s">
        <v>76</v>
      </c>
      <c r="J4780" t="s">
        <v>77</v>
      </c>
      <c r="K4780" t="s">
        <v>78</v>
      </c>
      <c r="L4780" t="s">
        <v>79</v>
      </c>
      <c r="M4780" t="s">
        <v>80</v>
      </c>
      <c r="N4780" t="s">
        <v>1996</v>
      </c>
      <c r="O4780" t="s">
        <v>82</v>
      </c>
      <c r="P4780" t="str">
        <f>"4170052158                    "</f>
        <v xml:space="preserve">4170052158                    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22.6</v>
      </c>
      <c r="AR4780">
        <v>0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>
        <v>0</v>
      </c>
      <c r="BC4780">
        <v>0</v>
      </c>
      <c r="BD4780">
        <v>0</v>
      </c>
      <c r="BE4780">
        <v>0</v>
      </c>
      <c r="BF4780">
        <v>0</v>
      </c>
      <c r="BG4780">
        <v>0</v>
      </c>
      <c r="BH4780">
        <v>1</v>
      </c>
      <c r="BI4780">
        <v>1</v>
      </c>
      <c r="BJ4780">
        <v>0.6</v>
      </c>
      <c r="BK4780">
        <v>1</v>
      </c>
      <c r="BL4780">
        <v>71.2</v>
      </c>
      <c r="BM4780">
        <v>10.68</v>
      </c>
      <c r="BN4780">
        <v>81.88</v>
      </c>
      <c r="BO4780">
        <v>81.88</v>
      </c>
      <c r="BQ4780" t="s">
        <v>1997</v>
      </c>
      <c r="BR4780" t="s">
        <v>84</v>
      </c>
      <c r="BS4780" t="s">
        <v>587</v>
      </c>
      <c r="BY4780">
        <v>3192</v>
      </c>
      <c r="CC4780" t="s">
        <v>80</v>
      </c>
      <c r="CD4780">
        <v>7405</v>
      </c>
      <c r="CE4780" t="s">
        <v>145</v>
      </c>
      <c r="CI4780">
        <v>1</v>
      </c>
      <c r="CJ4780" t="s">
        <v>587</v>
      </c>
      <c r="CK4780">
        <v>21</v>
      </c>
      <c r="CL4780" t="s">
        <v>86</v>
      </c>
    </row>
    <row r="4781" spans="1:90" x14ac:dyDescent="0.3">
      <c r="A4781" t="s">
        <v>72</v>
      </c>
      <c r="B4781" t="s">
        <v>73</v>
      </c>
      <c r="C4781" t="s">
        <v>74</v>
      </c>
      <c r="E4781" t="str">
        <f>"080066894353"</f>
        <v>080066894353</v>
      </c>
      <c r="F4781" s="3">
        <v>45868</v>
      </c>
      <c r="G4781">
        <v>202604</v>
      </c>
      <c r="H4781" t="s">
        <v>75</v>
      </c>
      <c r="I4781" t="s">
        <v>76</v>
      </c>
      <c r="J4781" t="s">
        <v>77</v>
      </c>
      <c r="K4781" t="s">
        <v>78</v>
      </c>
      <c r="L4781" t="s">
        <v>168</v>
      </c>
      <c r="M4781" t="s">
        <v>169</v>
      </c>
      <c r="N4781" t="s">
        <v>1848</v>
      </c>
      <c r="O4781" t="s">
        <v>82</v>
      </c>
      <c r="P4781" t="str">
        <f>"4170052124                    "</f>
        <v xml:space="preserve">4170052124                    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22.6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0</v>
      </c>
      <c r="BA4781">
        <v>0</v>
      </c>
      <c r="BB4781">
        <v>0</v>
      </c>
      <c r="BC4781">
        <v>0</v>
      </c>
      <c r="BD4781">
        <v>0</v>
      </c>
      <c r="BE4781">
        <v>0</v>
      </c>
      <c r="BF4781">
        <v>0</v>
      </c>
      <c r="BG4781">
        <v>0</v>
      </c>
      <c r="BH4781">
        <v>1</v>
      </c>
      <c r="BI4781">
        <v>1</v>
      </c>
      <c r="BJ4781">
        <v>0.2</v>
      </c>
      <c r="BK4781">
        <v>1</v>
      </c>
      <c r="BL4781">
        <v>71.2</v>
      </c>
      <c r="BM4781">
        <v>10.68</v>
      </c>
      <c r="BN4781">
        <v>81.88</v>
      </c>
      <c r="BO4781">
        <v>81.88</v>
      </c>
      <c r="BQ4781" t="s">
        <v>1849</v>
      </c>
      <c r="BR4781" t="s">
        <v>84</v>
      </c>
      <c r="BS4781" s="3">
        <v>45868</v>
      </c>
      <c r="BT4781" s="4">
        <v>0.58402777777777781</v>
      </c>
      <c r="BU4781" t="s">
        <v>424</v>
      </c>
      <c r="BV4781" t="s">
        <v>98</v>
      </c>
      <c r="BY4781">
        <v>1200</v>
      </c>
      <c r="CA4781" t="s">
        <v>3985</v>
      </c>
      <c r="CC4781" t="s">
        <v>169</v>
      </c>
      <c r="CD4781">
        <v>6001</v>
      </c>
      <c r="CE4781" t="s">
        <v>121</v>
      </c>
      <c r="CF4781" s="3">
        <v>45869</v>
      </c>
      <c r="CI4781">
        <v>1</v>
      </c>
      <c r="CJ4781">
        <v>0</v>
      </c>
      <c r="CK4781">
        <v>21</v>
      </c>
      <c r="CL4781" t="s">
        <v>86</v>
      </c>
    </row>
    <row r="4782" spans="1:90" x14ac:dyDescent="0.3">
      <c r="A4782" t="s">
        <v>72</v>
      </c>
      <c r="B4782" t="s">
        <v>73</v>
      </c>
      <c r="C4782" t="s">
        <v>74</v>
      </c>
      <c r="E4782" t="str">
        <f>"080066894358"</f>
        <v>080066894358</v>
      </c>
      <c r="F4782" s="3">
        <v>45868</v>
      </c>
      <c r="G4782">
        <v>202604</v>
      </c>
      <c r="H4782" t="s">
        <v>75</v>
      </c>
      <c r="I4782" t="s">
        <v>76</v>
      </c>
      <c r="J4782" t="s">
        <v>77</v>
      </c>
      <c r="K4782" t="s">
        <v>78</v>
      </c>
      <c r="L4782" t="s">
        <v>329</v>
      </c>
      <c r="M4782" t="s">
        <v>330</v>
      </c>
      <c r="N4782" t="s">
        <v>331</v>
      </c>
      <c r="O4782" t="s">
        <v>82</v>
      </c>
      <c r="P4782" t="str">
        <f>"4170052155                    "</f>
        <v xml:space="preserve">4170052155                    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43.78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0</v>
      </c>
      <c r="BA4782">
        <v>0</v>
      </c>
      <c r="BB4782">
        <v>0</v>
      </c>
      <c r="BC4782">
        <v>0</v>
      </c>
      <c r="BD4782">
        <v>0</v>
      </c>
      <c r="BE4782">
        <v>0</v>
      </c>
      <c r="BF4782">
        <v>0</v>
      </c>
      <c r="BG4782">
        <v>0</v>
      </c>
      <c r="BH4782">
        <v>1</v>
      </c>
      <c r="BI4782">
        <v>2</v>
      </c>
      <c r="BJ4782">
        <v>0.6</v>
      </c>
      <c r="BK4782">
        <v>2</v>
      </c>
      <c r="BL4782">
        <v>137.94</v>
      </c>
      <c r="BM4782">
        <v>20.69</v>
      </c>
      <c r="BN4782">
        <v>158.63</v>
      </c>
      <c r="BO4782">
        <v>158.63</v>
      </c>
      <c r="BQ4782" t="s">
        <v>332</v>
      </c>
      <c r="BR4782" t="s">
        <v>84</v>
      </c>
      <c r="BS4782" s="3">
        <v>45869</v>
      </c>
      <c r="BT4782" s="4">
        <v>0.54027777777777775</v>
      </c>
      <c r="BU4782" t="s">
        <v>3959</v>
      </c>
      <c r="BV4782" t="s">
        <v>98</v>
      </c>
      <c r="BY4782">
        <v>3192</v>
      </c>
      <c r="CA4782" t="s">
        <v>1153</v>
      </c>
      <c r="CC4782" t="s">
        <v>330</v>
      </c>
      <c r="CD4782">
        <v>6300</v>
      </c>
      <c r="CE4782" t="s">
        <v>145</v>
      </c>
      <c r="CI4782">
        <v>2</v>
      </c>
      <c r="CJ4782">
        <v>1</v>
      </c>
      <c r="CK4782">
        <v>23</v>
      </c>
      <c r="CL4782" t="s">
        <v>86</v>
      </c>
    </row>
    <row r="4783" spans="1:90" x14ac:dyDescent="0.3">
      <c r="A4783" t="s">
        <v>72</v>
      </c>
      <c r="B4783" t="s">
        <v>73</v>
      </c>
      <c r="C4783" t="s">
        <v>74</v>
      </c>
      <c r="E4783" t="str">
        <f>"080066894372"</f>
        <v>080066894372</v>
      </c>
      <c r="F4783" s="3">
        <v>45868</v>
      </c>
      <c r="G4783">
        <v>202604</v>
      </c>
      <c r="H4783" t="s">
        <v>75</v>
      </c>
      <c r="I4783" t="s">
        <v>76</v>
      </c>
      <c r="J4783" t="s">
        <v>77</v>
      </c>
      <c r="K4783" t="s">
        <v>78</v>
      </c>
      <c r="L4783" t="s">
        <v>168</v>
      </c>
      <c r="M4783" t="s">
        <v>169</v>
      </c>
      <c r="N4783" t="s">
        <v>191</v>
      </c>
      <c r="O4783" t="s">
        <v>82</v>
      </c>
      <c r="P4783" t="str">
        <f>"4170052040                    "</f>
        <v xml:space="preserve">4170052040                    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22.6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AZ4783">
        <v>0</v>
      </c>
      <c r="BA4783">
        <v>0</v>
      </c>
      <c r="BB4783">
        <v>0</v>
      </c>
      <c r="BC4783">
        <v>0</v>
      </c>
      <c r="BD4783">
        <v>0</v>
      </c>
      <c r="BE4783">
        <v>0</v>
      </c>
      <c r="BF4783">
        <v>0</v>
      </c>
      <c r="BG4783">
        <v>0</v>
      </c>
      <c r="BH4783">
        <v>1</v>
      </c>
      <c r="BI4783">
        <v>1</v>
      </c>
      <c r="BJ4783">
        <v>1.4</v>
      </c>
      <c r="BK4783">
        <v>1.5</v>
      </c>
      <c r="BL4783">
        <v>71.2</v>
      </c>
      <c r="BM4783">
        <v>10.68</v>
      </c>
      <c r="BN4783">
        <v>81.88</v>
      </c>
      <c r="BO4783">
        <v>81.88</v>
      </c>
      <c r="BQ4783" t="s">
        <v>192</v>
      </c>
      <c r="BR4783" t="s">
        <v>84</v>
      </c>
      <c r="BS4783" s="3">
        <v>45869</v>
      </c>
      <c r="BT4783" s="4">
        <v>0.42986111111111114</v>
      </c>
      <c r="BU4783" t="s">
        <v>3986</v>
      </c>
      <c r="BV4783" t="s">
        <v>98</v>
      </c>
      <c r="BY4783">
        <v>7000</v>
      </c>
      <c r="CA4783" t="s">
        <v>3987</v>
      </c>
      <c r="CC4783" t="s">
        <v>169</v>
      </c>
      <c r="CD4783">
        <v>6056</v>
      </c>
      <c r="CE4783" t="s">
        <v>145</v>
      </c>
      <c r="CI4783">
        <v>1</v>
      </c>
      <c r="CJ4783">
        <v>1</v>
      </c>
      <c r="CK4783">
        <v>21</v>
      </c>
      <c r="CL4783" t="s">
        <v>86</v>
      </c>
    </row>
    <row r="4784" spans="1:90" x14ac:dyDescent="0.3">
      <c r="A4784" t="s">
        <v>72</v>
      </c>
      <c r="B4784" t="s">
        <v>73</v>
      </c>
      <c r="C4784" t="s">
        <v>74</v>
      </c>
      <c r="E4784" t="str">
        <f>"080066894386"</f>
        <v>080066894386</v>
      </c>
      <c r="F4784" s="3">
        <v>45868</v>
      </c>
      <c r="G4784">
        <v>202604</v>
      </c>
      <c r="H4784" t="s">
        <v>75</v>
      </c>
      <c r="I4784" t="s">
        <v>76</v>
      </c>
      <c r="J4784" t="s">
        <v>77</v>
      </c>
      <c r="K4784" t="s">
        <v>78</v>
      </c>
      <c r="L4784" t="s">
        <v>168</v>
      </c>
      <c r="M4784" t="s">
        <v>169</v>
      </c>
      <c r="N4784" t="s">
        <v>2784</v>
      </c>
      <c r="O4784" t="s">
        <v>82</v>
      </c>
      <c r="P4784" t="str">
        <f>"4170052124                    "</f>
        <v xml:space="preserve">4170052124                    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22.6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AZ4784">
        <v>0</v>
      </c>
      <c r="BA4784">
        <v>0</v>
      </c>
      <c r="BB4784">
        <v>0</v>
      </c>
      <c r="BC4784">
        <v>0</v>
      </c>
      <c r="BD4784">
        <v>0</v>
      </c>
      <c r="BE4784">
        <v>0</v>
      </c>
      <c r="BF4784">
        <v>0</v>
      </c>
      <c r="BG4784">
        <v>0</v>
      </c>
      <c r="BH4784">
        <v>1</v>
      </c>
      <c r="BI4784">
        <v>1</v>
      </c>
      <c r="BJ4784">
        <v>0.2</v>
      </c>
      <c r="BK4784">
        <v>1</v>
      </c>
      <c r="BL4784">
        <v>71.2</v>
      </c>
      <c r="BM4784">
        <v>10.68</v>
      </c>
      <c r="BN4784">
        <v>81.88</v>
      </c>
      <c r="BO4784">
        <v>81.88</v>
      </c>
      <c r="BQ4784" t="s">
        <v>2785</v>
      </c>
      <c r="BR4784" t="s">
        <v>84</v>
      </c>
      <c r="BS4784" s="3">
        <v>45869</v>
      </c>
      <c r="BT4784" s="4">
        <v>0.4</v>
      </c>
      <c r="BU4784" t="s">
        <v>3988</v>
      </c>
      <c r="BV4784" t="s">
        <v>98</v>
      </c>
      <c r="BY4784">
        <v>1200</v>
      </c>
      <c r="CA4784" t="s">
        <v>173</v>
      </c>
      <c r="CC4784" t="s">
        <v>169</v>
      </c>
      <c r="CD4784">
        <v>6001</v>
      </c>
      <c r="CE4784" t="s">
        <v>121</v>
      </c>
      <c r="CI4784">
        <v>1</v>
      </c>
      <c r="CJ4784">
        <v>1</v>
      </c>
      <c r="CK4784">
        <v>21</v>
      </c>
      <c r="CL4784" t="s">
        <v>86</v>
      </c>
    </row>
    <row r="4785" spans="1:90" x14ac:dyDescent="0.3">
      <c r="A4785" t="s">
        <v>72</v>
      </c>
      <c r="B4785" t="s">
        <v>73</v>
      </c>
      <c r="C4785" t="s">
        <v>74</v>
      </c>
      <c r="E4785" t="str">
        <f>"080066894389"</f>
        <v>080066894389</v>
      </c>
      <c r="F4785" s="3">
        <v>45868</v>
      </c>
      <c r="G4785">
        <v>202604</v>
      </c>
      <c r="H4785" t="s">
        <v>75</v>
      </c>
      <c r="I4785" t="s">
        <v>76</v>
      </c>
      <c r="J4785" t="s">
        <v>77</v>
      </c>
      <c r="K4785" t="s">
        <v>78</v>
      </c>
      <c r="L4785" t="s">
        <v>670</v>
      </c>
      <c r="M4785" t="s">
        <v>671</v>
      </c>
      <c r="N4785" t="s">
        <v>1609</v>
      </c>
      <c r="O4785" t="s">
        <v>82</v>
      </c>
      <c r="P4785" t="str">
        <f>"4170052036                    "</f>
        <v xml:space="preserve">4170052036                    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17.649999999999999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0</v>
      </c>
      <c r="BB4785">
        <v>0</v>
      </c>
      <c r="BC4785">
        <v>0</v>
      </c>
      <c r="BD4785">
        <v>0</v>
      </c>
      <c r="BE4785">
        <v>0</v>
      </c>
      <c r="BF4785">
        <v>0</v>
      </c>
      <c r="BG4785">
        <v>0</v>
      </c>
      <c r="BH4785">
        <v>1</v>
      </c>
      <c r="BI4785">
        <v>3</v>
      </c>
      <c r="BJ4785">
        <v>0.6</v>
      </c>
      <c r="BK4785">
        <v>3</v>
      </c>
      <c r="BL4785">
        <v>55.61</v>
      </c>
      <c r="BM4785">
        <v>8.34</v>
      </c>
      <c r="BN4785">
        <v>63.95</v>
      </c>
      <c r="BO4785">
        <v>63.95</v>
      </c>
      <c r="BQ4785" t="s">
        <v>1610</v>
      </c>
      <c r="BR4785" t="s">
        <v>84</v>
      </c>
      <c r="BS4785" s="3">
        <v>45869</v>
      </c>
      <c r="BT4785" s="4">
        <v>0.40833333333333333</v>
      </c>
      <c r="BU4785" t="s">
        <v>3439</v>
      </c>
      <c r="BV4785" t="s">
        <v>98</v>
      </c>
      <c r="BY4785">
        <v>3192</v>
      </c>
      <c r="CA4785" t="s">
        <v>676</v>
      </c>
      <c r="CC4785" t="s">
        <v>671</v>
      </c>
      <c r="CD4785">
        <v>2163</v>
      </c>
      <c r="CE4785" t="s">
        <v>145</v>
      </c>
      <c r="CI4785">
        <v>1</v>
      </c>
      <c r="CJ4785">
        <v>1</v>
      </c>
      <c r="CK4785">
        <v>22</v>
      </c>
      <c r="CL4785" t="s">
        <v>86</v>
      </c>
    </row>
    <row r="4786" spans="1:90" x14ac:dyDescent="0.3">
      <c r="A4786" t="s">
        <v>72</v>
      </c>
      <c r="B4786" t="s">
        <v>73</v>
      </c>
      <c r="C4786" t="s">
        <v>74</v>
      </c>
      <c r="E4786" t="str">
        <f>"080066894609"</f>
        <v>080066894609</v>
      </c>
      <c r="F4786" s="3">
        <v>45868</v>
      </c>
      <c r="G4786">
        <v>202604</v>
      </c>
      <c r="H4786" t="s">
        <v>75</v>
      </c>
      <c r="I4786" t="s">
        <v>76</v>
      </c>
      <c r="J4786" t="s">
        <v>77</v>
      </c>
      <c r="K4786" t="s">
        <v>78</v>
      </c>
      <c r="L4786" t="s">
        <v>75</v>
      </c>
      <c r="M4786" t="s">
        <v>76</v>
      </c>
      <c r="N4786" t="s">
        <v>701</v>
      </c>
      <c r="O4786" t="s">
        <v>82</v>
      </c>
      <c r="P4786" t="str">
        <f>"4170052067                    "</f>
        <v xml:space="preserve">4170052067                    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17.649999999999999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AZ4786">
        <v>0</v>
      </c>
      <c r="BA4786">
        <v>0</v>
      </c>
      <c r="BB4786">
        <v>0</v>
      </c>
      <c r="BC4786">
        <v>0</v>
      </c>
      <c r="BD4786">
        <v>0</v>
      </c>
      <c r="BE4786">
        <v>0</v>
      </c>
      <c r="BF4786">
        <v>0</v>
      </c>
      <c r="BG4786">
        <v>0</v>
      </c>
      <c r="BH4786">
        <v>1</v>
      </c>
      <c r="BI4786">
        <v>1</v>
      </c>
      <c r="BJ4786">
        <v>0.2</v>
      </c>
      <c r="BK4786">
        <v>1</v>
      </c>
      <c r="BL4786">
        <v>55.61</v>
      </c>
      <c r="BM4786">
        <v>8.34</v>
      </c>
      <c r="BN4786">
        <v>63.95</v>
      </c>
      <c r="BO4786">
        <v>63.95</v>
      </c>
      <c r="BQ4786" t="s">
        <v>702</v>
      </c>
      <c r="BR4786" t="s">
        <v>84</v>
      </c>
      <c r="BS4786" s="3">
        <v>45869</v>
      </c>
      <c r="BT4786" s="4">
        <v>0.41736111111111113</v>
      </c>
      <c r="BU4786" t="s">
        <v>3063</v>
      </c>
      <c r="BV4786" t="s">
        <v>98</v>
      </c>
      <c r="BY4786">
        <v>1200</v>
      </c>
      <c r="CA4786" t="s">
        <v>617</v>
      </c>
      <c r="CC4786" t="s">
        <v>76</v>
      </c>
      <c r="CD4786">
        <v>1645</v>
      </c>
      <c r="CE4786" t="s">
        <v>121</v>
      </c>
      <c r="CI4786">
        <v>1</v>
      </c>
      <c r="CJ4786">
        <v>1</v>
      </c>
      <c r="CK4786">
        <v>22</v>
      </c>
      <c r="CL4786" t="s">
        <v>86</v>
      </c>
    </row>
    <row r="4787" spans="1:90" x14ac:dyDescent="0.3">
      <c r="A4787" t="s">
        <v>72</v>
      </c>
      <c r="B4787" t="s">
        <v>73</v>
      </c>
      <c r="C4787" t="s">
        <v>74</v>
      </c>
      <c r="E4787" t="str">
        <f>"080066894632"</f>
        <v>080066894632</v>
      </c>
      <c r="F4787" s="3">
        <v>45868</v>
      </c>
      <c r="G4787">
        <v>202604</v>
      </c>
      <c r="H4787" t="s">
        <v>75</v>
      </c>
      <c r="I4787" t="s">
        <v>76</v>
      </c>
      <c r="J4787" t="s">
        <v>77</v>
      </c>
      <c r="K4787" t="s">
        <v>78</v>
      </c>
      <c r="L4787" t="s">
        <v>554</v>
      </c>
      <c r="M4787" t="s">
        <v>555</v>
      </c>
      <c r="N4787" t="s">
        <v>2163</v>
      </c>
      <c r="O4787" t="s">
        <v>82</v>
      </c>
      <c r="P4787" t="str">
        <f>"4170052153                    "</f>
        <v xml:space="preserve">4170052153                    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22.6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0</v>
      </c>
      <c r="AX4787">
        <v>0</v>
      </c>
      <c r="AY4787">
        <v>0</v>
      </c>
      <c r="AZ4787">
        <v>0</v>
      </c>
      <c r="BA4787">
        <v>0</v>
      </c>
      <c r="BB4787">
        <v>0</v>
      </c>
      <c r="BC4787">
        <v>0</v>
      </c>
      <c r="BD4787">
        <v>0</v>
      </c>
      <c r="BE4787">
        <v>0</v>
      </c>
      <c r="BF4787">
        <v>0</v>
      </c>
      <c r="BG4787">
        <v>0</v>
      </c>
      <c r="BH4787">
        <v>1</v>
      </c>
      <c r="BI4787">
        <v>1</v>
      </c>
      <c r="BJ4787">
        <v>0.2</v>
      </c>
      <c r="BK4787">
        <v>1</v>
      </c>
      <c r="BL4787">
        <v>71.2</v>
      </c>
      <c r="BM4787">
        <v>10.68</v>
      </c>
      <c r="BN4787">
        <v>81.88</v>
      </c>
      <c r="BO4787">
        <v>81.88</v>
      </c>
      <c r="BQ4787" t="s">
        <v>2164</v>
      </c>
      <c r="BR4787" t="s">
        <v>84</v>
      </c>
      <c r="BS4787" s="3">
        <v>45869</v>
      </c>
      <c r="BT4787" s="4">
        <v>0.36319444444444443</v>
      </c>
      <c r="BU4787" t="s">
        <v>1317</v>
      </c>
      <c r="BV4787" t="s">
        <v>98</v>
      </c>
      <c r="BY4787">
        <v>1240</v>
      </c>
      <c r="CA4787" t="s">
        <v>156</v>
      </c>
      <c r="CC4787" t="s">
        <v>555</v>
      </c>
      <c r="CD4787" s="5" t="s">
        <v>560</v>
      </c>
      <c r="CE4787" t="s">
        <v>121</v>
      </c>
      <c r="CI4787">
        <v>1</v>
      </c>
      <c r="CJ4787">
        <v>1</v>
      </c>
      <c r="CK4787">
        <v>21</v>
      </c>
      <c r="CL4787" t="s">
        <v>86</v>
      </c>
    </row>
    <row r="4788" spans="1:90" x14ac:dyDescent="0.3">
      <c r="A4788" t="s">
        <v>72</v>
      </c>
      <c r="B4788" t="s">
        <v>73</v>
      </c>
      <c r="C4788" t="s">
        <v>74</v>
      </c>
      <c r="E4788" t="str">
        <f>"080066894623"</f>
        <v>080066894623</v>
      </c>
      <c r="F4788" s="3">
        <v>45868</v>
      </c>
      <c r="G4788">
        <v>202604</v>
      </c>
      <c r="H4788" t="s">
        <v>75</v>
      </c>
      <c r="I4788" t="s">
        <v>76</v>
      </c>
      <c r="J4788" t="s">
        <v>77</v>
      </c>
      <c r="K4788" t="s">
        <v>78</v>
      </c>
      <c r="L4788" t="s">
        <v>168</v>
      </c>
      <c r="M4788" t="s">
        <v>169</v>
      </c>
      <c r="N4788" t="s">
        <v>662</v>
      </c>
      <c r="O4788" t="s">
        <v>82</v>
      </c>
      <c r="P4788" t="str">
        <f>"4170052112                    "</f>
        <v xml:space="preserve">4170052112                    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22.6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  <c r="BA4788">
        <v>0</v>
      </c>
      <c r="BB4788">
        <v>0</v>
      </c>
      <c r="BC4788">
        <v>0</v>
      </c>
      <c r="BD4788">
        <v>0</v>
      </c>
      <c r="BE4788">
        <v>0</v>
      </c>
      <c r="BF4788">
        <v>0</v>
      </c>
      <c r="BG4788">
        <v>0</v>
      </c>
      <c r="BH4788">
        <v>1</v>
      </c>
      <c r="BI4788">
        <v>1</v>
      </c>
      <c r="BJ4788">
        <v>0.2</v>
      </c>
      <c r="BK4788">
        <v>1</v>
      </c>
      <c r="BL4788">
        <v>71.2</v>
      </c>
      <c r="BM4788">
        <v>10.68</v>
      </c>
      <c r="BN4788">
        <v>81.88</v>
      </c>
      <c r="BO4788">
        <v>81.88</v>
      </c>
      <c r="BQ4788" t="s">
        <v>663</v>
      </c>
      <c r="BR4788" t="s">
        <v>84</v>
      </c>
      <c r="BS4788" s="3">
        <v>45869</v>
      </c>
      <c r="BT4788" s="4">
        <v>0.43263888888888891</v>
      </c>
      <c r="BU4788" t="s">
        <v>3902</v>
      </c>
      <c r="BV4788" t="s">
        <v>98</v>
      </c>
      <c r="BY4788">
        <v>1200</v>
      </c>
      <c r="CA4788" t="s">
        <v>345</v>
      </c>
      <c r="CC4788" t="s">
        <v>169</v>
      </c>
      <c r="CD4788">
        <v>6001</v>
      </c>
      <c r="CE4788" t="s">
        <v>121</v>
      </c>
      <c r="CI4788">
        <v>1</v>
      </c>
      <c r="CJ4788">
        <v>1</v>
      </c>
      <c r="CK4788">
        <v>21</v>
      </c>
      <c r="CL4788" t="s">
        <v>86</v>
      </c>
    </row>
    <row r="4789" spans="1:90" x14ac:dyDescent="0.3">
      <c r="A4789" t="s">
        <v>72</v>
      </c>
      <c r="B4789" t="s">
        <v>73</v>
      </c>
      <c r="C4789" t="s">
        <v>74</v>
      </c>
      <c r="E4789" t="str">
        <f>"080066894650"</f>
        <v>080066894650</v>
      </c>
      <c r="F4789" s="3">
        <v>45868</v>
      </c>
      <c r="G4789">
        <v>202604</v>
      </c>
      <c r="H4789" t="s">
        <v>75</v>
      </c>
      <c r="I4789" t="s">
        <v>76</v>
      </c>
      <c r="J4789" t="s">
        <v>77</v>
      </c>
      <c r="K4789" t="s">
        <v>78</v>
      </c>
      <c r="L4789" t="s">
        <v>146</v>
      </c>
      <c r="M4789" t="s">
        <v>146</v>
      </c>
      <c r="N4789" t="s">
        <v>1134</v>
      </c>
      <c r="O4789" t="s">
        <v>82</v>
      </c>
      <c r="P4789" t="str">
        <f>"4170052216                    "</f>
        <v xml:space="preserve">4170052216                    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>
        <v>43.78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  <c r="BA4789">
        <v>0</v>
      </c>
      <c r="BB4789">
        <v>0</v>
      </c>
      <c r="BC4789">
        <v>0</v>
      </c>
      <c r="BD4789">
        <v>0</v>
      </c>
      <c r="BE4789">
        <v>0</v>
      </c>
      <c r="BF4789">
        <v>0</v>
      </c>
      <c r="BG4789">
        <v>0</v>
      </c>
      <c r="BH4789">
        <v>1</v>
      </c>
      <c r="BI4789">
        <v>1</v>
      </c>
      <c r="BJ4789">
        <v>0.2</v>
      </c>
      <c r="BK4789">
        <v>1</v>
      </c>
      <c r="BL4789">
        <v>137.94</v>
      </c>
      <c r="BM4789">
        <v>20.69</v>
      </c>
      <c r="BN4789">
        <v>158.63</v>
      </c>
      <c r="BO4789">
        <v>158.63</v>
      </c>
      <c r="BQ4789" t="s">
        <v>1135</v>
      </c>
      <c r="BR4789" t="s">
        <v>84</v>
      </c>
      <c r="BS4789" s="3">
        <v>45869</v>
      </c>
      <c r="BT4789" s="4">
        <v>0.53680555555555554</v>
      </c>
      <c r="BU4789" t="s">
        <v>1136</v>
      </c>
      <c r="BV4789" t="s">
        <v>98</v>
      </c>
      <c r="BY4789">
        <v>1200</v>
      </c>
      <c r="CA4789" t="s">
        <v>150</v>
      </c>
      <c r="CC4789" t="s">
        <v>146</v>
      </c>
      <c r="CD4789">
        <v>7646</v>
      </c>
      <c r="CE4789" t="s">
        <v>121</v>
      </c>
      <c r="CI4789">
        <v>1</v>
      </c>
      <c r="CJ4789">
        <v>1</v>
      </c>
      <c r="CK4789">
        <v>23</v>
      </c>
      <c r="CL4789" t="s">
        <v>86</v>
      </c>
    </row>
    <row r="4790" spans="1:90" x14ac:dyDescent="0.3">
      <c r="A4790" t="s">
        <v>72</v>
      </c>
      <c r="B4790" t="s">
        <v>73</v>
      </c>
      <c r="C4790" t="s">
        <v>74</v>
      </c>
      <c r="E4790" t="str">
        <f>"080066894653"</f>
        <v>080066894653</v>
      </c>
      <c r="F4790" s="3">
        <v>45868</v>
      </c>
      <c r="G4790">
        <v>202604</v>
      </c>
      <c r="H4790" t="s">
        <v>75</v>
      </c>
      <c r="I4790" t="s">
        <v>76</v>
      </c>
      <c r="J4790" t="s">
        <v>77</v>
      </c>
      <c r="K4790" t="s">
        <v>78</v>
      </c>
      <c r="L4790" t="s">
        <v>260</v>
      </c>
      <c r="M4790" t="s">
        <v>261</v>
      </c>
      <c r="N4790" t="s">
        <v>1801</v>
      </c>
      <c r="O4790" t="s">
        <v>82</v>
      </c>
      <c r="P4790" t="str">
        <f>"4170052104                    "</f>
        <v xml:space="preserve">4170052104                    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43.78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AZ4790">
        <v>0</v>
      </c>
      <c r="BA4790">
        <v>0</v>
      </c>
      <c r="BB4790">
        <v>0</v>
      </c>
      <c r="BC4790">
        <v>0</v>
      </c>
      <c r="BD4790">
        <v>0</v>
      </c>
      <c r="BE4790">
        <v>0</v>
      </c>
      <c r="BF4790">
        <v>0</v>
      </c>
      <c r="BG4790">
        <v>0</v>
      </c>
      <c r="BH4790">
        <v>1</v>
      </c>
      <c r="BI4790">
        <v>1</v>
      </c>
      <c r="BJ4790">
        <v>0.2</v>
      </c>
      <c r="BK4790">
        <v>1</v>
      </c>
      <c r="BL4790">
        <v>137.94</v>
      </c>
      <c r="BM4790">
        <v>20.69</v>
      </c>
      <c r="BN4790">
        <v>158.63</v>
      </c>
      <c r="BO4790">
        <v>158.63</v>
      </c>
      <c r="BQ4790" t="s">
        <v>1802</v>
      </c>
      <c r="BR4790" t="s">
        <v>84</v>
      </c>
      <c r="BS4790" s="3">
        <v>45869</v>
      </c>
      <c r="BT4790" s="4">
        <v>0.43194444444444446</v>
      </c>
      <c r="BU4790" t="s">
        <v>2353</v>
      </c>
      <c r="BV4790" t="s">
        <v>98</v>
      </c>
      <c r="BY4790">
        <v>1200</v>
      </c>
      <c r="CA4790" t="s">
        <v>721</v>
      </c>
      <c r="CC4790" t="s">
        <v>261</v>
      </c>
      <c r="CD4790">
        <v>1900</v>
      </c>
      <c r="CE4790" t="s">
        <v>121</v>
      </c>
      <c r="CI4790">
        <v>1</v>
      </c>
      <c r="CJ4790">
        <v>1</v>
      </c>
      <c r="CK4790">
        <v>23</v>
      </c>
      <c r="CL4790" t="s">
        <v>86</v>
      </c>
    </row>
    <row r="4791" spans="1:90" x14ac:dyDescent="0.3">
      <c r="A4791" t="s">
        <v>72</v>
      </c>
      <c r="B4791" t="s">
        <v>73</v>
      </c>
      <c r="C4791" t="s">
        <v>74</v>
      </c>
      <c r="E4791" t="str">
        <f>"080066894689"</f>
        <v>080066894689</v>
      </c>
      <c r="F4791" s="3">
        <v>45868</v>
      </c>
      <c r="G4791">
        <v>202604</v>
      </c>
      <c r="H4791" t="s">
        <v>75</v>
      </c>
      <c r="I4791" t="s">
        <v>76</v>
      </c>
      <c r="J4791" t="s">
        <v>77</v>
      </c>
      <c r="K4791" t="s">
        <v>78</v>
      </c>
      <c r="L4791" t="s">
        <v>246</v>
      </c>
      <c r="M4791" t="s">
        <v>247</v>
      </c>
      <c r="N4791" t="s">
        <v>1359</v>
      </c>
      <c r="O4791" t="s">
        <v>82</v>
      </c>
      <c r="P4791" t="str">
        <f>"4170052019                    "</f>
        <v xml:space="preserve">4170052019                    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>
        <v>39.520000000000003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0</v>
      </c>
      <c r="BA4791">
        <v>0</v>
      </c>
      <c r="BB4791">
        <v>0</v>
      </c>
      <c r="BC4791">
        <v>0</v>
      </c>
      <c r="BD4791">
        <v>0</v>
      </c>
      <c r="BE4791">
        <v>0</v>
      </c>
      <c r="BF4791">
        <v>0</v>
      </c>
      <c r="BG4791">
        <v>0</v>
      </c>
      <c r="BH4791">
        <v>1</v>
      </c>
      <c r="BI4791">
        <v>2</v>
      </c>
      <c r="BJ4791">
        <v>2.2000000000000002</v>
      </c>
      <c r="BK4791">
        <v>2.5</v>
      </c>
      <c r="BL4791">
        <v>124.51</v>
      </c>
      <c r="BM4791">
        <v>18.68</v>
      </c>
      <c r="BN4791">
        <v>143.19</v>
      </c>
      <c r="BO4791">
        <v>143.19</v>
      </c>
      <c r="BQ4791" t="s">
        <v>1360</v>
      </c>
      <c r="BR4791" t="s">
        <v>84</v>
      </c>
      <c r="BS4791" s="3">
        <v>45869</v>
      </c>
      <c r="BT4791" s="4">
        <v>0.44791666666666669</v>
      </c>
      <c r="BU4791" t="s">
        <v>3971</v>
      </c>
      <c r="BV4791" t="s">
        <v>98</v>
      </c>
      <c r="BY4791">
        <v>11200</v>
      </c>
      <c r="CA4791" t="s">
        <v>251</v>
      </c>
      <c r="CC4791" t="s">
        <v>247</v>
      </c>
      <c r="CD4791">
        <v>1438</v>
      </c>
      <c r="CE4791" t="s">
        <v>91</v>
      </c>
      <c r="CI4791">
        <v>1</v>
      </c>
      <c r="CJ4791">
        <v>1</v>
      </c>
      <c r="CK4791">
        <v>24</v>
      </c>
      <c r="CL4791" t="s">
        <v>86</v>
      </c>
    </row>
    <row r="4792" spans="1:90" x14ac:dyDescent="0.3">
      <c r="A4792" t="s">
        <v>72</v>
      </c>
      <c r="B4792" t="s">
        <v>73</v>
      </c>
      <c r="C4792" t="s">
        <v>74</v>
      </c>
      <c r="E4792" t="str">
        <f>"080066894717"</f>
        <v>080066894717</v>
      </c>
      <c r="F4792" s="3">
        <v>45868</v>
      </c>
      <c r="G4792">
        <v>202604</v>
      </c>
      <c r="H4792" t="s">
        <v>75</v>
      </c>
      <c r="I4792" t="s">
        <v>76</v>
      </c>
      <c r="J4792" t="s">
        <v>77</v>
      </c>
      <c r="K4792" t="s">
        <v>78</v>
      </c>
      <c r="L4792" t="s">
        <v>554</v>
      </c>
      <c r="M4792" t="s">
        <v>555</v>
      </c>
      <c r="N4792" t="s">
        <v>556</v>
      </c>
      <c r="O4792" t="s">
        <v>82</v>
      </c>
      <c r="P4792" t="str">
        <f>"4170052125                    "</f>
        <v xml:space="preserve">4170052125                    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33.89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>
        <v>0</v>
      </c>
      <c r="BC4792">
        <v>0</v>
      </c>
      <c r="BD4792">
        <v>0</v>
      </c>
      <c r="BE4792">
        <v>0</v>
      </c>
      <c r="BF4792">
        <v>0</v>
      </c>
      <c r="BG4792">
        <v>0</v>
      </c>
      <c r="BH4792">
        <v>1</v>
      </c>
      <c r="BI4792">
        <v>3</v>
      </c>
      <c r="BJ4792">
        <v>1.8</v>
      </c>
      <c r="BK4792">
        <v>3</v>
      </c>
      <c r="BL4792">
        <v>106.77</v>
      </c>
      <c r="BM4792">
        <v>16.02</v>
      </c>
      <c r="BN4792">
        <v>122.79</v>
      </c>
      <c r="BO4792">
        <v>122.79</v>
      </c>
      <c r="BQ4792" t="s">
        <v>557</v>
      </c>
      <c r="BR4792" t="s">
        <v>84</v>
      </c>
      <c r="BS4792" s="3">
        <v>45869</v>
      </c>
      <c r="BT4792" s="4">
        <v>0.38055555555555554</v>
      </c>
      <c r="BU4792" t="s">
        <v>558</v>
      </c>
      <c r="BV4792" t="s">
        <v>98</v>
      </c>
      <c r="BY4792">
        <v>9016</v>
      </c>
      <c r="CA4792" t="s">
        <v>559</v>
      </c>
      <c r="CC4792" t="s">
        <v>555</v>
      </c>
      <c r="CD4792" s="5" t="s">
        <v>560</v>
      </c>
      <c r="CE4792" t="s">
        <v>91</v>
      </c>
      <c r="CI4792">
        <v>1</v>
      </c>
      <c r="CJ4792">
        <v>1</v>
      </c>
      <c r="CK4792">
        <v>21</v>
      </c>
      <c r="CL4792" t="s">
        <v>86</v>
      </c>
    </row>
    <row r="4793" spans="1:90" x14ac:dyDescent="0.3">
      <c r="A4793" t="s">
        <v>72</v>
      </c>
      <c r="B4793" t="s">
        <v>73</v>
      </c>
      <c r="C4793" t="s">
        <v>74</v>
      </c>
      <c r="E4793" t="str">
        <f>"080066894750"</f>
        <v>080066894750</v>
      </c>
      <c r="F4793" s="3">
        <v>45868</v>
      </c>
      <c r="G4793">
        <v>202604</v>
      </c>
      <c r="H4793" t="s">
        <v>75</v>
      </c>
      <c r="I4793" t="s">
        <v>76</v>
      </c>
      <c r="J4793" t="s">
        <v>77</v>
      </c>
      <c r="K4793" t="s">
        <v>78</v>
      </c>
      <c r="L4793" t="s">
        <v>79</v>
      </c>
      <c r="M4793" t="s">
        <v>80</v>
      </c>
      <c r="N4793" t="s">
        <v>141</v>
      </c>
      <c r="O4793" t="s">
        <v>82</v>
      </c>
      <c r="P4793" t="str">
        <f>"4170052075                    "</f>
        <v xml:space="preserve">4170052075                    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22.6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AZ4793">
        <v>0</v>
      </c>
      <c r="BA4793">
        <v>0</v>
      </c>
      <c r="BB4793">
        <v>0</v>
      </c>
      <c r="BC4793">
        <v>0</v>
      </c>
      <c r="BD4793">
        <v>0</v>
      </c>
      <c r="BE4793">
        <v>0</v>
      </c>
      <c r="BF4793">
        <v>0</v>
      </c>
      <c r="BG4793">
        <v>0</v>
      </c>
      <c r="BH4793">
        <v>1</v>
      </c>
      <c r="BI4793">
        <v>1</v>
      </c>
      <c r="BJ4793">
        <v>1.9</v>
      </c>
      <c r="BK4793">
        <v>2</v>
      </c>
      <c r="BL4793">
        <v>71.2</v>
      </c>
      <c r="BM4793">
        <v>10.68</v>
      </c>
      <c r="BN4793">
        <v>81.88</v>
      </c>
      <c r="BO4793">
        <v>81.88</v>
      </c>
      <c r="BQ4793" t="s">
        <v>142</v>
      </c>
      <c r="BR4793" t="s">
        <v>84</v>
      </c>
      <c r="BS4793" s="3">
        <v>45869</v>
      </c>
      <c r="BT4793" s="4">
        <v>0.42291666666666666</v>
      </c>
      <c r="BU4793" t="s">
        <v>143</v>
      </c>
      <c r="BV4793" t="s">
        <v>98</v>
      </c>
      <c r="BY4793">
        <v>9600</v>
      </c>
      <c r="CA4793" t="s">
        <v>144</v>
      </c>
      <c r="CC4793" t="s">
        <v>80</v>
      </c>
      <c r="CD4793">
        <v>7441</v>
      </c>
      <c r="CE4793" t="s">
        <v>145</v>
      </c>
      <c r="CI4793">
        <v>1</v>
      </c>
      <c r="CJ4793">
        <v>1</v>
      </c>
      <c r="CK4793">
        <v>21</v>
      </c>
      <c r="CL4793" t="s">
        <v>86</v>
      </c>
    </row>
    <row r="4794" spans="1:90" x14ac:dyDescent="0.3">
      <c r="A4794" t="s">
        <v>72</v>
      </c>
      <c r="B4794" t="s">
        <v>73</v>
      </c>
      <c r="C4794" t="s">
        <v>74</v>
      </c>
      <c r="E4794" t="str">
        <f>"080066894788"</f>
        <v>080066894788</v>
      </c>
      <c r="F4794" s="3">
        <v>45868</v>
      </c>
      <c r="G4794">
        <v>202604</v>
      </c>
      <c r="H4794" t="s">
        <v>75</v>
      </c>
      <c r="I4794" t="s">
        <v>76</v>
      </c>
      <c r="J4794" t="s">
        <v>77</v>
      </c>
      <c r="K4794" t="s">
        <v>78</v>
      </c>
      <c r="L4794" t="s">
        <v>168</v>
      </c>
      <c r="M4794" t="s">
        <v>169</v>
      </c>
      <c r="N4794" t="s">
        <v>191</v>
      </c>
      <c r="O4794" t="s">
        <v>82</v>
      </c>
      <c r="P4794" t="str">
        <f>"4170052039                    "</f>
        <v xml:space="preserve">4170052039                    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>
        <v>22.6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AZ4794">
        <v>0</v>
      </c>
      <c r="BA4794">
        <v>0</v>
      </c>
      <c r="BB4794">
        <v>0</v>
      </c>
      <c r="BC4794">
        <v>0</v>
      </c>
      <c r="BD4794">
        <v>0</v>
      </c>
      <c r="BE4794">
        <v>0</v>
      </c>
      <c r="BF4794">
        <v>0</v>
      </c>
      <c r="BG4794">
        <v>0</v>
      </c>
      <c r="BH4794">
        <v>1</v>
      </c>
      <c r="BI4794">
        <v>2</v>
      </c>
      <c r="BJ4794">
        <v>1.4</v>
      </c>
      <c r="BK4794">
        <v>2</v>
      </c>
      <c r="BL4794">
        <v>71.2</v>
      </c>
      <c r="BM4794">
        <v>10.68</v>
      </c>
      <c r="BN4794">
        <v>81.88</v>
      </c>
      <c r="BO4794">
        <v>81.88</v>
      </c>
      <c r="BQ4794" t="s">
        <v>192</v>
      </c>
      <c r="BR4794" t="s">
        <v>84</v>
      </c>
      <c r="BS4794" s="3">
        <v>45869</v>
      </c>
      <c r="BT4794" s="4">
        <v>0.42986111111111114</v>
      </c>
      <c r="BU4794" t="s">
        <v>3986</v>
      </c>
      <c r="BV4794" t="s">
        <v>98</v>
      </c>
      <c r="BY4794">
        <v>7000</v>
      </c>
      <c r="CA4794" t="s">
        <v>3987</v>
      </c>
      <c r="CC4794" t="s">
        <v>169</v>
      </c>
      <c r="CD4794">
        <v>6056</v>
      </c>
      <c r="CE4794" t="s">
        <v>145</v>
      </c>
      <c r="CI4794">
        <v>1</v>
      </c>
      <c r="CJ4794">
        <v>1</v>
      </c>
      <c r="CK4794">
        <v>21</v>
      </c>
      <c r="CL4794" t="s">
        <v>86</v>
      </c>
    </row>
    <row r="4795" spans="1:90" x14ac:dyDescent="0.3">
      <c r="A4795" t="s">
        <v>72</v>
      </c>
      <c r="B4795" t="s">
        <v>73</v>
      </c>
      <c r="C4795" t="s">
        <v>74</v>
      </c>
      <c r="E4795" t="str">
        <f>"080066894813"</f>
        <v>080066894813</v>
      </c>
      <c r="F4795" s="3">
        <v>45868</v>
      </c>
      <c r="G4795">
        <v>202604</v>
      </c>
      <c r="H4795" t="s">
        <v>75</v>
      </c>
      <c r="I4795" t="s">
        <v>76</v>
      </c>
      <c r="J4795" t="s">
        <v>77</v>
      </c>
      <c r="K4795" t="s">
        <v>78</v>
      </c>
      <c r="L4795" t="s">
        <v>704</v>
      </c>
      <c r="M4795" t="s">
        <v>705</v>
      </c>
      <c r="N4795" t="s">
        <v>829</v>
      </c>
      <c r="O4795" t="s">
        <v>95</v>
      </c>
      <c r="P4795" t="str">
        <f>"4170051984                    "</f>
        <v xml:space="preserve">4170051984                    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71.08</v>
      </c>
      <c r="AR4795">
        <v>0</v>
      </c>
      <c r="AS4795">
        <v>0</v>
      </c>
      <c r="AT4795">
        <v>0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>
        <v>0</v>
      </c>
      <c r="BC4795">
        <v>0</v>
      </c>
      <c r="BD4795">
        <v>0</v>
      </c>
      <c r="BE4795">
        <v>0</v>
      </c>
      <c r="BF4795">
        <v>0</v>
      </c>
      <c r="BG4795">
        <v>0</v>
      </c>
      <c r="BH4795">
        <v>1</v>
      </c>
      <c r="BI4795">
        <v>11</v>
      </c>
      <c r="BJ4795">
        <v>17.7</v>
      </c>
      <c r="BK4795">
        <v>18</v>
      </c>
      <c r="BL4795">
        <v>229.81</v>
      </c>
      <c r="BM4795">
        <v>34.47</v>
      </c>
      <c r="BN4795">
        <v>264.27999999999997</v>
      </c>
      <c r="BO4795">
        <v>264.27999999999997</v>
      </c>
      <c r="BQ4795" t="s">
        <v>830</v>
      </c>
      <c r="BR4795" t="s">
        <v>84</v>
      </c>
      <c r="BS4795" t="s">
        <v>587</v>
      </c>
      <c r="BY4795">
        <v>88320</v>
      </c>
      <c r="CC4795" t="s">
        <v>705</v>
      </c>
      <c r="CD4795">
        <v>6850</v>
      </c>
      <c r="CE4795" t="s">
        <v>145</v>
      </c>
      <c r="CI4795">
        <v>4</v>
      </c>
      <c r="CJ4795" t="s">
        <v>587</v>
      </c>
      <c r="CK4795">
        <v>43</v>
      </c>
      <c r="CL4795" t="s">
        <v>86</v>
      </c>
    </row>
    <row r="4796" spans="1:90" x14ac:dyDescent="0.3">
      <c r="A4796" t="s">
        <v>72</v>
      </c>
      <c r="B4796" t="s">
        <v>73</v>
      </c>
      <c r="C4796" t="s">
        <v>74</v>
      </c>
      <c r="E4796" t="str">
        <f>"080066894860"</f>
        <v>080066894860</v>
      </c>
      <c r="F4796" s="3">
        <v>45868</v>
      </c>
      <c r="G4796">
        <v>202604</v>
      </c>
      <c r="H4796" t="s">
        <v>75</v>
      </c>
      <c r="I4796" t="s">
        <v>76</v>
      </c>
      <c r="J4796" t="s">
        <v>77</v>
      </c>
      <c r="K4796" t="s">
        <v>78</v>
      </c>
      <c r="L4796" t="s">
        <v>240</v>
      </c>
      <c r="M4796" t="s">
        <v>241</v>
      </c>
      <c r="N4796" t="s">
        <v>610</v>
      </c>
      <c r="O4796" t="s">
        <v>82</v>
      </c>
      <c r="P4796" t="str">
        <f>"4170051935                    "</f>
        <v xml:space="preserve">4170051935                    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17.649999999999999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>
        <v>0</v>
      </c>
      <c r="BC4796">
        <v>0</v>
      </c>
      <c r="BD4796">
        <v>0</v>
      </c>
      <c r="BE4796">
        <v>0</v>
      </c>
      <c r="BF4796">
        <v>0</v>
      </c>
      <c r="BG4796">
        <v>0</v>
      </c>
      <c r="BH4796">
        <v>1</v>
      </c>
      <c r="BI4796">
        <v>1</v>
      </c>
      <c r="BJ4796">
        <v>1.7</v>
      </c>
      <c r="BK4796">
        <v>2</v>
      </c>
      <c r="BL4796">
        <v>55.61</v>
      </c>
      <c r="BM4796">
        <v>8.34</v>
      </c>
      <c r="BN4796">
        <v>63.95</v>
      </c>
      <c r="BO4796">
        <v>63.95</v>
      </c>
      <c r="BQ4796" t="s">
        <v>611</v>
      </c>
      <c r="BR4796" t="s">
        <v>84</v>
      </c>
      <c r="BS4796" s="3">
        <v>45869</v>
      </c>
      <c r="BT4796" s="4">
        <v>0.43541666666666667</v>
      </c>
      <c r="BU4796" t="s">
        <v>1629</v>
      </c>
      <c r="BV4796" t="s">
        <v>98</v>
      </c>
      <c r="BY4796">
        <v>8512</v>
      </c>
      <c r="CA4796" t="s">
        <v>451</v>
      </c>
      <c r="CC4796" t="s">
        <v>241</v>
      </c>
      <c r="CD4796">
        <v>2197</v>
      </c>
      <c r="CE4796" t="s">
        <v>145</v>
      </c>
      <c r="CI4796">
        <v>1</v>
      </c>
      <c r="CJ4796">
        <v>1</v>
      </c>
      <c r="CK4796">
        <v>22</v>
      </c>
      <c r="CL4796" t="s">
        <v>86</v>
      </c>
    </row>
    <row r="4797" spans="1:90" x14ac:dyDescent="0.3">
      <c r="A4797" t="s">
        <v>72</v>
      </c>
      <c r="B4797" t="s">
        <v>73</v>
      </c>
      <c r="C4797" t="s">
        <v>74</v>
      </c>
      <c r="E4797" t="str">
        <f>"080066894858"</f>
        <v>080066894858</v>
      </c>
      <c r="F4797" s="3">
        <v>45868</v>
      </c>
      <c r="G4797">
        <v>202604</v>
      </c>
      <c r="H4797" t="s">
        <v>75</v>
      </c>
      <c r="I4797" t="s">
        <v>76</v>
      </c>
      <c r="J4797" t="s">
        <v>77</v>
      </c>
      <c r="K4797" t="s">
        <v>78</v>
      </c>
      <c r="L4797" t="s">
        <v>580</v>
      </c>
      <c r="M4797" t="s">
        <v>581</v>
      </c>
      <c r="N4797" t="s">
        <v>3989</v>
      </c>
      <c r="O4797" t="s">
        <v>82</v>
      </c>
      <c r="P4797" t="str">
        <f>"4170052165                    "</f>
        <v xml:space="preserve">4170052165                    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107.28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0</v>
      </c>
      <c r="BA4797">
        <v>0</v>
      </c>
      <c r="BB4797">
        <v>0</v>
      </c>
      <c r="BC4797">
        <v>0</v>
      </c>
      <c r="BD4797">
        <v>0</v>
      </c>
      <c r="BE4797">
        <v>0</v>
      </c>
      <c r="BF4797">
        <v>0</v>
      </c>
      <c r="BG4797">
        <v>0</v>
      </c>
      <c r="BH4797">
        <v>1</v>
      </c>
      <c r="BI4797">
        <v>9</v>
      </c>
      <c r="BJ4797">
        <v>9.1</v>
      </c>
      <c r="BK4797">
        <v>9.5</v>
      </c>
      <c r="BL4797">
        <v>337.98</v>
      </c>
      <c r="BM4797">
        <v>50.7</v>
      </c>
      <c r="BN4797">
        <v>388.68</v>
      </c>
      <c r="BO4797">
        <v>388.68</v>
      </c>
      <c r="BQ4797" t="s">
        <v>3990</v>
      </c>
      <c r="BR4797" t="s">
        <v>84</v>
      </c>
      <c r="BS4797" t="s">
        <v>587</v>
      </c>
      <c r="BY4797">
        <v>45632</v>
      </c>
      <c r="CC4797" t="s">
        <v>581</v>
      </c>
      <c r="CD4797">
        <v>4319</v>
      </c>
      <c r="CE4797" t="s">
        <v>145</v>
      </c>
      <c r="CI4797">
        <v>1</v>
      </c>
      <c r="CJ4797" t="s">
        <v>587</v>
      </c>
      <c r="CK4797">
        <v>21</v>
      </c>
      <c r="CL4797" t="s">
        <v>86</v>
      </c>
    </row>
    <row r="4798" spans="1:90" x14ac:dyDescent="0.3">
      <c r="A4798" t="s">
        <v>72</v>
      </c>
      <c r="B4798" t="s">
        <v>73</v>
      </c>
      <c r="C4798" t="s">
        <v>74</v>
      </c>
      <c r="E4798" t="str">
        <f>"080066894909"</f>
        <v>080066894909</v>
      </c>
      <c r="F4798" s="3">
        <v>45868</v>
      </c>
      <c r="G4798">
        <v>202604</v>
      </c>
      <c r="H4798" t="s">
        <v>75</v>
      </c>
      <c r="I4798" t="s">
        <v>76</v>
      </c>
      <c r="J4798" t="s">
        <v>77</v>
      </c>
      <c r="K4798" t="s">
        <v>78</v>
      </c>
      <c r="L4798" t="s">
        <v>92</v>
      </c>
      <c r="M4798" t="s">
        <v>93</v>
      </c>
      <c r="N4798" t="s">
        <v>291</v>
      </c>
      <c r="O4798" t="s">
        <v>82</v>
      </c>
      <c r="P4798" t="str">
        <f>"4170051996                    "</f>
        <v xml:space="preserve">4170051996                    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33.89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0</v>
      </c>
      <c r="BB4798">
        <v>0</v>
      </c>
      <c r="BC4798">
        <v>0</v>
      </c>
      <c r="BD4798">
        <v>0</v>
      </c>
      <c r="BE4798">
        <v>0</v>
      </c>
      <c r="BF4798">
        <v>0</v>
      </c>
      <c r="BG4798">
        <v>0</v>
      </c>
      <c r="BH4798">
        <v>1</v>
      </c>
      <c r="BI4798">
        <v>3</v>
      </c>
      <c r="BJ4798">
        <v>2.9</v>
      </c>
      <c r="BK4798">
        <v>3</v>
      </c>
      <c r="BL4798">
        <v>106.77</v>
      </c>
      <c r="BM4798">
        <v>16.02</v>
      </c>
      <c r="BN4798">
        <v>122.79</v>
      </c>
      <c r="BO4798">
        <v>122.79</v>
      </c>
      <c r="BQ4798" t="s">
        <v>292</v>
      </c>
      <c r="BR4798" t="s">
        <v>84</v>
      </c>
      <c r="BS4798" s="3">
        <v>45869</v>
      </c>
      <c r="BT4798" s="4">
        <v>0.34027777777777779</v>
      </c>
      <c r="BU4798" t="s">
        <v>847</v>
      </c>
      <c r="BV4798" t="s">
        <v>98</v>
      </c>
      <c r="BY4798">
        <v>14400</v>
      </c>
      <c r="CA4798" t="s">
        <v>294</v>
      </c>
      <c r="CC4798" t="s">
        <v>93</v>
      </c>
      <c r="CD4798">
        <v>4051</v>
      </c>
      <c r="CE4798" t="s">
        <v>91</v>
      </c>
      <c r="CI4798">
        <v>1</v>
      </c>
      <c r="CJ4798">
        <v>1</v>
      </c>
      <c r="CK4798">
        <v>21</v>
      </c>
      <c r="CL4798" t="s">
        <v>86</v>
      </c>
    </row>
    <row r="4799" spans="1:90" x14ac:dyDescent="0.3">
      <c r="A4799" t="s">
        <v>72</v>
      </c>
      <c r="B4799" t="s">
        <v>73</v>
      </c>
      <c r="C4799" t="s">
        <v>74</v>
      </c>
      <c r="E4799" t="str">
        <f>"080066894923"</f>
        <v>080066894923</v>
      </c>
      <c r="F4799" s="3">
        <v>45868</v>
      </c>
      <c r="G4799">
        <v>202604</v>
      </c>
      <c r="H4799" t="s">
        <v>75</v>
      </c>
      <c r="I4799" t="s">
        <v>76</v>
      </c>
      <c r="J4799" t="s">
        <v>77</v>
      </c>
      <c r="K4799" t="s">
        <v>78</v>
      </c>
      <c r="L4799" t="s">
        <v>168</v>
      </c>
      <c r="M4799" t="s">
        <v>169</v>
      </c>
      <c r="N4799" t="s">
        <v>1252</v>
      </c>
      <c r="O4799" t="s">
        <v>82</v>
      </c>
      <c r="P4799" t="str">
        <f>"4170052051                    "</f>
        <v xml:space="preserve">4170052051                    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50.82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0</v>
      </c>
      <c r="BA4799">
        <v>0</v>
      </c>
      <c r="BB4799">
        <v>0</v>
      </c>
      <c r="BC4799">
        <v>0</v>
      </c>
      <c r="BD4799">
        <v>0</v>
      </c>
      <c r="BE4799">
        <v>0</v>
      </c>
      <c r="BF4799">
        <v>0</v>
      </c>
      <c r="BG4799">
        <v>0</v>
      </c>
      <c r="BH4799">
        <v>1</v>
      </c>
      <c r="BI4799">
        <v>3</v>
      </c>
      <c r="BJ4799">
        <v>4.0999999999999996</v>
      </c>
      <c r="BK4799">
        <v>4.5</v>
      </c>
      <c r="BL4799">
        <v>160.12</v>
      </c>
      <c r="BM4799">
        <v>24.02</v>
      </c>
      <c r="BN4799">
        <v>184.14</v>
      </c>
      <c r="BO4799">
        <v>184.14</v>
      </c>
      <c r="BQ4799" t="s">
        <v>3991</v>
      </c>
      <c r="BR4799" t="s">
        <v>84</v>
      </c>
      <c r="BS4799" s="3">
        <v>45869</v>
      </c>
      <c r="BT4799" s="4">
        <v>0.33680555555555558</v>
      </c>
      <c r="BU4799" t="s">
        <v>459</v>
      </c>
      <c r="BV4799" t="s">
        <v>98</v>
      </c>
      <c r="BY4799">
        <v>20358</v>
      </c>
      <c r="CA4799" t="s">
        <v>423</v>
      </c>
      <c r="CC4799" t="s">
        <v>169</v>
      </c>
      <c r="CD4799">
        <v>6045</v>
      </c>
      <c r="CE4799" t="s">
        <v>145</v>
      </c>
      <c r="CI4799">
        <v>1</v>
      </c>
      <c r="CJ4799">
        <v>1</v>
      </c>
      <c r="CK4799">
        <v>21</v>
      </c>
      <c r="CL4799" t="s">
        <v>86</v>
      </c>
    </row>
    <row r="4800" spans="1:90" x14ac:dyDescent="0.3">
      <c r="A4800" t="s">
        <v>72</v>
      </c>
      <c r="B4800" t="s">
        <v>73</v>
      </c>
      <c r="C4800" t="s">
        <v>74</v>
      </c>
      <c r="E4800" t="str">
        <f>"080066894963"</f>
        <v>080066894963</v>
      </c>
      <c r="F4800" s="3">
        <v>45868</v>
      </c>
      <c r="G4800">
        <v>202604</v>
      </c>
      <c r="H4800" t="s">
        <v>75</v>
      </c>
      <c r="I4800" t="s">
        <v>76</v>
      </c>
      <c r="J4800" t="s">
        <v>77</v>
      </c>
      <c r="K4800" t="s">
        <v>78</v>
      </c>
      <c r="L4800" t="s">
        <v>168</v>
      </c>
      <c r="M4800" t="s">
        <v>169</v>
      </c>
      <c r="N4800" t="s">
        <v>206</v>
      </c>
      <c r="O4800" t="s">
        <v>82</v>
      </c>
      <c r="P4800" t="str">
        <f>"4170052132                    "</f>
        <v xml:space="preserve">4170052132                    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22.6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0</v>
      </c>
      <c r="BA4800">
        <v>0</v>
      </c>
      <c r="BB4800">
        <v>0</v>
      </c>
      <c r="BC4800">
        <v>0</v>
      </c>
      <c r="BD4800">
        <v>0</v>
      </c>
      <c r="BE4800">
        <v>0</v>
      </c>
      <c r="BF4800">
        <v>0</v>
      </c>
      <c r="BG4800">
        <v>0</v>
      </c>
      <c r="BH4800">
        <v>1</v>
      </c>
      <c r="BI4800">
        <v>1</v>
      </c>
      <c r="BJ4800">
        <v>1.1000000000000001</v>
      </c>
      <c r="BK4800">
        <v>1.5</v>
      </c>
      <c r="BL4800">
        <v>71.2</v>
      </c>
      <c r="BM4800">
        <v>10.68</v>
      </c>
      <c r="BN4800">
        <v>81.88</v>
      </c>
      <c r="BO4800">
        <v>81.88</v>
      </c>
      <c r="BQ4800" t="s">
        <v>207</v>
      </c>
      <c r="BR4800" t="s">
        <v>84</v>
      </c>
      <c r="BS4800" s="3">
        <v>45869</v>
      </c>
      <c r="BT4800" s="4">
        <v>0.40416666666666667</v>
      </c>
      <c r="BU4800" t="s">
        <v>208</v>
      </c>
      <c r="BV4800" t="s">
        <v>98</v>
      </c>
      <c r="BY4800">
        <v>5320</v>
      </c>
      <c r="CA4800" t="s">
        <v>196</v>
      </c>
      <c r="CC4800" t="s">
        <v>169</v>
      </c>
      <c r="CD4800">
        <v>6001</v>
      </c>
      <c r="CE4800" t="s">
        <v>145</v>
      </c>
      <c r="CI4800">
        <v>1</v>
      </c>
      <c r="CJ4800">
        <v>1</v>
      </c>
      <c r="CK4800">
        <v>21</v>
      </c>
      <c r="CL4800" t="s">
        <v>86</v>
      </c>
    </row>
    <row r="4801" spans="1:90" x14ac:dyDescent="0.3">
      <c r="A4801" t="s">
        <v>72</v>
      </c>
      <c r="B4801" t="s">
        <v>73</v>
      </c>
      <c r="C4801" t="s">
        <v>74</v>
      </c>
      <c r="E4801" t="str">
        <f>"080066895017"</f>
        <v>080066895017</v>
      </c>
      <c r="F4801" s="3">
        <v>45868</v>
      </c>
      <c r="G4801">
        <v>202604</v>
      </c>
      <c r="H4801" t="s">
        <v>75</v>
      </c>
      <c r="I4801" t="s">
        <v>76</v>
      </c>
      <c r="J4801" t="s">
        <v>77</v>
      </c>
      <c r="K4801" t="s">
        <v>78</v>
      </c>
      <c r="L4801" t="s">
        <v>168</v>
      </c>
      <c r="M4801" t="s">
        <v>169</v>
      </c>
      <c r="N4801" t="s">
        <v>1777</v>
      </c>
      <c r="O4801" t="s">
        <v>82</v>
      </c>
      <c r="P4801" t="str">
        <f>"4170052053                    "</f>
        <v xml:space="preserve">4170052053                    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22.6</v>
      </c>
      <c r="AR4801">
        <v>0</v>
      </c>
      <c r="AS4801">
        <v>0</v>
      </c>
      <c r="AT4801">
        <v>0</v>
      </c>
      <c r="AU4801">
        <v>0</v>
      </c>
      <c r="AV4801">
        <v>0</v>
      </c>
      <c r="AW4801">
        <v>0</v>
      </c>
      <c r="AX4801">
        <v>0</v>
      </c>
      <c r="AY4801">
        <v>0</v>
      </c>
      <c r="AZ4801">
        <v>0</v>
      </c>
      <c r="BA4801">
        <v>0</v>
      </c>
      <c r="BB4801">
        <v>0</v>
      </c>
      <c r="BC4801">
        <v>0</v>
      </c>
      <c r="BD4801">
        <v>0</v>
      </c>
      <c r="BE4801">
        <v>0</v>
      </c>
      <c r="BF4801">
        <v>0</v>
      </c>
      <c r="BG4801">
        <v>0</v>
      </c>
      <c r="BH4801">
        <v>1</v>
      </c>
      <c r="BI4801">
        <v>1</v>
      </c>
      <c r="BJ4801">
        <v>0.2</v>
      </c>
      <c r="BK4801">
        <v>1</v>
      </c>
      <c r="BL4801">
        <v>71.2</v>
      </c>
      <c r="BM4801">
        <v>10.68</v>
      </c>
      <c r="BN4801">
        <v>81.88</v>
      </c>
      <c r="BO4801">
        <v>81.88</v>
      </c>
      <c r="BQ4801" t="s">
        <v>1778</v>
      </c>
      <c r="BR4801" t="s">
        <v>84</v>
      </c>
      <c r="BS4801" s="3">
        <v>45869</v>
      </c>
      <c r="BT4801" s="4">
        <v>0.37083333333333335</v>
      </c>
      <c r="BU4801" t="s">
        <v>3022</v>
      </c>
      <c r="BV4801" t="s">
        <v>98</v>
      </c>
      <c r="BY4801">
        <v>1200</v>
      </c>
      <c r="CA4801" t="s">
        <v>196</v>
      </c>
      <c r="CC4801" t="s">
        <v>169</v>
      </c>
      <c r="CD4801">
        <v>6001</v>
      </c>
      <c r="CE4801" t="s">
        <v>121</v>
      </c>
      <c r="CI4801">
        <v>1</v>
      </c>
      <c r="CJ4801">
        <v>1</v>
      </c>
      <c r="CK4801">
        <v>21</v>
      </c>
      <c r="CL4801" t="s">
        <v>86</v>
      </c>
    </row>
    <row r="4802" spans="1:90" x14ac:dyDescent="0.3">
      <c r="A4802" t="s">
        <v>72</v>
      </c>
      <c r="B4802" t="s">
        <v>73</v>
      </c>
      <c r="C4802" t="s">
        <v>74</v>
      </c>
      <c r="E4802" t="str">
        <f>"080066895059"</f>
        <v>080066895059</v>
      </c>
      <c r="F4802" s="3">
        <v>45868</v>
      </c>
      <c r="G4802">
        <v>202604</v>
      </c>
      <c r="H4802" t="s">
        <v>75</v>
      </c>
      <c r="I4802" t="s">
        <v>76</v>
      </c>
      <c r="J4802" t="s">
        <v>77</v>
      </c>
      <c r="K4802" t="s">
        <v>78</v>
      </c>
      <c r="L4802" t="s">
        <v>240</v>
      </c>
      <c r="M4802" t="s">
        <v>241</v>
      </c>
      <c r="N4802" t="s">
        <v>242</v>
      </c>
      <c r="O4802" t="s">
        <v>82</v>
      </c>
      <c r="P4802" t="str">
        <f>"4170052102                    "</f>
        <v xml:space="preserve">4170052102                    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17.649999999999999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0</v>
      </c>
      <c r="BA4802">
        <v>0</v>
      </c>
      <c r="BB4802">
        <v>0</v>
      </c>
      <c r="BC4802">
        <v>0</v>
      </c>
      <c r="BD4802">
        <v>0</v>
      </c>
      <c r="BE4802">
        <v>0</v>
      </c>
      <c r="BF4802">
        <v>0</v>
      </c>
      <c r="BG4802">
        <v>0</v>
      </c>
      <c r="BH4802">
        <v>1</v>
      </c>
      <c r="BI4802">
        <v>1</v>
      </c>
      <c r="BJ4802">
        <v>0.2</v>
      </c>
      <c r="BK4802">
        <v>1</v>
      </c>
      <c r="BL4802">
        <v>55.61</v>
      </c>
      <c r="BM4802">
        <v>8.34</v>
      </c>
      <c r="BN4802">
        <v>63.95</v>
      </c>
      <c r="BO4802">
        <v>63.95</v>
      </c>
      <c r="BQ4802" t="s">
        <v>243</v>
      </c>
      <c r="BR4802" t="s">
        <v>84</v>
      </c>
      <c r="BS4802" s="3">
        <v>45869</v>
      </c>
      <c r="BT4802" s="4">
        <v>0.36249999999999999</v>
      </c>
      <c r="BU4802" t="s">
        <v>244</v>
      </c>
      <c r="BV4802" t="s">
        <v>98</v>
      </c>
      <c r="BY4802">
        <v>1200</v>
      </c>
      <c r="CA4802" t="s">
        <v>245</v>
      </c>
      <c r="CC4802" t="s">
        <v>241</v>
      </c>
      <c r="CD4802">
        <v>2091</v>
      </c>
      <c r="CE4802" t="s">
        <v>121</v>
      </c>
      <c r="CI4802">
        <v>1</v>
      </c>
      <c r="CJ4802">
        <v>1</v>
      </c>
      <c r="CK4802">
        <v>22</v>
      </c>
      <c r="CL4802" t="s">
        <v>86</v>
      </c>
    </row>
    <row r="4803" spans="1:90" x14ac:dyDescent="0.3">
      <c r="A4803" t="s">
        <v>72</v>
      </c>
      <c r="B4803" t="s">
        <v>73</v>
      </c>
      <c r="C4803" t="s">
        <v>74</v>
      </c>
      <c r="E4803" t="str">
        <f>"080066895100"</f>
        <v>080066895100</v>
      </c>
      <c r="F4803" s="3">
        <v>45868</v>
      </c>
      <c r="G4803">
        <v>202604</v>
      </c>
      <c r="H4803" t="s">
        <v>75</v>
      </c>
      <c r="I4803" t="s">
        <v>76</v>
      </c>
      <c r="J4803" t="s">
        <v>77</v>
      </c>
      <c r="K4803" t="s">
        <v>78</v>
      </c>
      <c r="L4803" t="s">
        <v>75</v>
      </c>
      <c r="M4803" t="s">
        <v>76</v>
      </c>
      <c r="N4803" t="s">
        <v>118</v>
      </c>
      <c r="O4803" t="s">
        <v>82</v>
      </c>
      <c r="P4803" t="str">
        <f>"4170052187                    "</f>
        <v xml:space="preserve">4170052187                    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17.649999999999999</v>
      </c>
      <c r="AR4803">
        <v>0</v>
      </c>
      <c r="AS4803">
        <v>0</v>
      </c>
      <c r="AT4803">
        <v>0</v>
      </c>
      <c r="AU4803">
        <v>0</v>
      </c>
      <c r="AV4803">
        <v>0</v>
      </c>
      <c r="AW4803">
        <v>0</v>
      </c>
      <c r="AX4803">
        <v>0</v>
      </c>
      <c r="AY4803">
        <v>0</v>
      </c>
      <c r="AZ4803">
        <v>0</v>
      </c>
      <c r="BA4803">
        <v>0</v>
      </c>
      <c r="BB4803">
        <v>0</v>
      </c>
      <c r="BC4803">
        <v>0</v>
      </c>
      <c r="BD4803">
        <v>0</v>
      </c>
      <c r="BE4803">
        <v>0</v>
      </c>
      <c r="BF4803">
        <v>0</v>
      </c>
      <c r="BG4803">
        <v>0</v>
      </c>
      <c r="BH4803">
        <v>1</v>
      </c>
      <c r="BI4803">
        <v>1</v>
      </c>
      <c r="BJ4803">
        <v>0.2</v>
      </c>
      <c r="BK4803">
        <v>1</v>
      </c>
      <c r="BL4803">
        <v>55.61</v>
      </c>
      <c r="BM4803">
        <v>8.34</v>
      </c>
      <c r="BN4803">
        <v>63.95</v>
      </c>
      <c r="BO4803">
        <v>63.95</v>
      </c>
      <c r="BQ4803" t="s">
        <v>119</v>
      </c>
      <c r="BR4803" t="s">
        <v>84</v>
      </c>
      <c r="BS4803" s="3">
        <v>45869</v>
      </c>
      <c r="BT4803" s="4">
        <v>0.31666666666666665</v>
      </c>
      <c r="BU4803" t="s">
        <v>212</v>
      </c>
      <c r="BV4803" t="s">
        <v>98</v>
      </c>
      <c r="BY4803">
        <v>1200</v>
      </c>
      <c r="CA4803" t="s">
        <v>213</v>
      </c>
      <c r="CC4803" t="s">
        <v>76</v>
      </c>
      <c r="CD4803">
        <v>1600</v>
      </c>
      <c r="CE4803" t="s">
        <v>121</v>
      </c>
      <c r="CI4803">
        <v>1</v>
      </c>
      <c r="CJ4803">
        <v>1</v>
      </c>
      <c r="CK4803">
        <v>22</v>
      </c>
      <c r="CL4803" t="s">
        <v>86</v>
      </c>
    </row>
    <row r="4804" spans="1:90" x14ac:dyDescent="0.3">
      <c r="A4804" t="s">
        <v>72</v>
      </c>
      <c r="B4804" t="s">
        <v>73</v>
      </c>
      <c r="C4804" t="s">
        <v>74</v>
      </c>
      <c r="E4804" t="str">
        <f>"080066895139"</f>
        <v>080066895139</v>
      </c>
      <c r="F4804" s="3">
        <v>45868</v>
      </c>
      <c r="G4804">
        <v>202604</v>
      </c>
      <c r="H4804" t="s">
        <v>75</v>
      </c>
      <c r="I4804" t="s">
        <v>76</v>
      </c>
      <c r="J4804" t="s">
        <v>77</v>
      </c>
      <c r="K4804" t="s">
        <v>78</v>
      </c>
      <c r="L4804" t="s">
        <v>79</v>
      </c>
      <c r="M4804" t="s">
        <v>80</v>
      </c>
      <c r="N4804" t="s">
        <v>1996</v>
      </c>
      <c r="O4804" t="s">
        <v>82</v>
      </c>
      <c r="P4804" t="str">
        <f>"4170052156                    "</f>
        <v xml:space="preserve">4170052156                    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22.6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>
        <v>0</v>
      </c>
      <c r="BC4804">
        <v>0</v>
      </c>
      <c r="BD4804">
        <v>0</v>
      </c>
      <c r="BE4804">
        <v>0</v>
      </c>
      <c r="BF4804">
        <v>0</v>
      </c>
      <c r="BG4804">
        <v>0</v>
      </c>
      <c r="BH4804">
        <v>1</v>
      </c>
      <c r="BI4804">
        <v>1</v>
      </c>
      <c r="BJ4804">
        <v>0.2</v>
      </c>
      <c r="BK4804">
        <v>1</v>
      </c>
      <c r="BL4804">
        <v>71.2</v>
      </c>
      <c r="BM4804">
        <v>10.68</v>
      </c>
      <c r="BN4804">
        <v>81.88</v>
      </c>
      <c r="BO4804">
        <v>81.88</v>
      </c>
      <c r="BQ4804" t="s">
        <v>1997</v>
      </c>
      <c r="BR4804" t="s">
        <v>84</v>
      </c>
      <c r="BS4804" t="s">
        <v>587</v>
      </c>
      <c r="BY4804">
        <v>1200</v>
      </c>
      <c r="CC4804" t="s">
        <v>80</v>
      </c>
      <c r="CD4804">
        <v>7405</v>
      </c>
      <c r="CE4804" t="s">
        <v>121</v>
      </c>
      <c r="CI4804">
        <v>1</v>
      </c>
      <c r="CJ4804" t="s">
        <v>587</v>
      </c>
      <c r="CK4804">
        <v>21</v>
      </c>
      <c r="CL4804" t="s">
        <v>86</v>
      </c>
    </row>
    <row r="4805" spans="1:90" x14ac:dyDescent="0.3">
      <c r="A4805" t="s">
        <v>72</v>
      </c>
      <c r="B4805" t="s">
        <v>73</v>
      </c>
      <c r="C4805" t="s">
        <v>74</v>
      </c>
      <c r="E4805" t="str">
        <f>"080066895187"</f>
        <v>080066895187</v>
      </c>
      <c r="F4805" s="3">
        <v>45868</v>
      </c>
      <c r="G4805">
        <v>202604</v>
      </c>
      <c r="H4805" t="s">
        <v>75</v>
      </c>
      <c r="I4805" t="s">
        <v>76</v>
      </c>
      <c r="J4805" t="s">
        <v>77</v>
      </c>
      <c r="K4805" t="s">
        <v>78</v>
      </c>
      <c r="L4805" t="s">
        <v>79</v>
      </c>
      <c r="M4805" t="s">
        <v>80</v>
      </c>
      <c r="N4805" t="s">
        <v>902</v>
      </c>
      <c r="O4805" t="s">
        <v>82</v>
      </c>
      <c r="P4805" t="str">
        <f>"4170052113                    "</f>
        <v xml:space="preserve">4170052113                    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22.6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0</v>
      </c>
      <c r="BB4805">
        <v>0</v>
      </c>
      <c r="BC4805">
        <v>0</v>
      </c>
      <c r="BD4805">
        <v>0</v>
      </c>
      <c r="BE4805">
        <v>0</v>
      </c>
      <c r="BF4805">
        <v>0</v>
      </c>
      <c r="BG4805">
        <v>0</v>
      </c>
      <c r="BH4805">
        <v>1</v>
      </c>
      <c r="BI4805">
        <v>1</v>
      </c>
      <c r="BJ4805">
        <v>0.2</v>
      </c>
      <c r="BK4805">
        <v>1</v>
      </c>
      <c r="BL4805">
        <v>71.2</v>
      </c>
      <c r="BM4805">
        <v>10.68</v>
      </c>
      <c r="BN4805">
        <v>81.88</v>
      </c>
      <c r="BO4805">
        <v>81.88</v>
      </c>
      <c r="BQ4805" t="s">
        <v>903</v>
      </c>
      <c r="BR4805" t="s">
        <v>84</v>
      </c>
      <c r="BS4805" t="s">
        <v>587</v>
      </c>
      <c r="BY4805">
        <v>1200</v>
      </c>
      <c r="CC4805" t="s">
        <v>80</v>
      </c>
      <c r="CD4805">
        <v>7530</v>
      </c>
      <c r="CE4805" t="s">
        <v>121</v>
      </c>
      <c r="CI4805">
        <v>1</v>
      </c>
      <c r="CJ4805" t="s">
        <v>587</v>
      </c>
      <c r="CK4805">
        <v>21</v>
      </c>
      <c r="CL4805" t="s">
        <v>86</v>
      </c>
    </row>
    <row r="4806" spans="1:90" x14ac:dyDescent="0.3">
      <c r="A4806" t="s">
        <v>72</v>
      </c>
      <c r="B4806" t="s">
        <v>73</v>
      </c>
      <c r="C4806" t="s">
        <v>74</v>
      </c>
      <c r="E4806" t="str">
        <f>"080066895220"</f>
        <v>080066895220</v>
      </c>
      <c r="F4806" s="3">
        <v>45868</v>
      </c>
      <c r="G4806">
        <v>202604</v>
      </c>
      <c r="H4806" t="s">
        <v>75</v>
      </c>
      <c r="I4806" t="s">
        <v>76</v>
      </c>
      <c r="J4806" t="s">
        <v>77</v>
      </c>
      <c r="K4806" t="s">
        <v>78</v>
      </c>
      <c r="L4806" t="s">
        <v>240</v>
      </c>
      <c r="M4806" t="s">
        <v>241</v>
      </c>
      <c r="N4806" t="s">
        <v>272</v>
      </c>
      <c r="O4806" t="s">
        <v>82</v>
      </c>
      <c r="P4806" t="str">
        <f>"4170052068                    "</f>
        <v xml:space="preserve">4170052068                    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22.6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16.739999999999998</v>
      </c>
      <c r="AX4806">
        <v>0</v>
      </c>
      <c r="AY4806">
        <v>0</v>
      </c>
      <c r="AZ4806">
        <v>0</v>
      </c>
      <c r="BA4806">
        <v>0</v>
      </c>
      <c r="BB4806">
        <v>0</v>
      </c>
      <c r="BC4806">
        <v>0</v>
      </c>
      <c r="BD4806">
        <v>0</v>
      </c>
      <c r="BE4806">
        <v>0</v>
      </c>
      <c r="BF4806">
        <v>0</v>
      </c>
      <c r="BG4806">
        <v>0</v>
      </c>
      <c r="BH4806">
        <v>1</v>
      </c>
      <c r="BI4806">
        <v>1</v>
      </c>
      <c r="BJ4806">
        <v>0.2</v>
      </c>
      <c r="BK4806">
        <v>1</v>
      </c>
      <c r="BL4806">
        <v>87.94</v>
      </c>
      <c r="BM4806">
        <v>13.19</v>
      </c>
      <c r="BN4806">
        <v>101.13</v>
      </c>
      <c r="BO4806">
        <v>101.13</v>
      </c>
      <c r="BQ4806" t="s">
        <v>273</v>
      </c>
      <c r="BR4806" t="s">
        <v>84</v>
      </c>
      <c r="BS4806" s="3">
        <v>45869</v>
      </c>
      <c r="BT4806" s="4">
        <v>0.55902777777777779</v>
      </c>
      <c r="BU4806" t="s">
        <v>3992</v>
      </c>
      <c r="BV4806" t="s">
        <v>86</v>
      </c>
      <c r="BY4806">
        <v>1200</v>
      </c>
      <c r="BZ4806" t="s">
        <v>30</v>
      </c>
      <c r="CA4806" t="s">
        <v>3993</v>
      </c>
      <c r="CC4806" t="s">
        <v>241</v>
      </c>
      <c r="CD4806">
        <v>1832</v>
      </c>
      <c r="CE4806" t="s">
        <v>121</v>
      </c>
      <c r="CI4806">
        <v>0</v>
      </c>
      <c r="CJ4806">
        <v>0</v>
      </c>
      <c r="CK4806">
        <v>21</v>
      </c>
      <c r="CL4806" t="s">
        <v>86</v>
      </c>
    </row>
    <row r="4807" spans="1:90" x14ac:dyDescent="0.3">
      <c r="A4807" t="s">
        <v>72</v>
      </c>
      <c r="B4807" t="s">
        <v>73</v>
      </c>
      <c r="C4807" t="s">
        <v>74</v>
      </c>
      <c r="E4807" t="str">
        <f>"080066895535"</f>
        <v>080066895535</v>
      </c>
      <c r="F4807" s="3">
        <v>45868</v>
      </c>
      <c r="G4807">
        <v>202604</v>
      </c>
      <c r="H4807" t="s">
        <v>75</v>
      </c>
      <c r="I4807" t="s">
        <v>76</v>
      </c>
      <c r="J4807" t="s">
        <v>77</v>
      </c>
      <c r="K4807" t="s">
        <v>78</v>
      </c>
      <c r="L4807" t="s">
        <v>135</v>
      </c>
      <c r="M4807" t="s">
        <v>136</v>
      </c>
      <c r="N4807" t="s">
        <v>379</v>
      </c>
      <c r="O4807" t="s">
        <v>82</v>
      </c>
      <c r="P4807" t="str">
        <f>"4170052073                    "</f>
        <v xml:space="preserve">4170052073                    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33.89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0</v>
      </c>
      <c r="BA4807">
        <v>0</v>
      </c>
      <c r="BB4807">
        <v>0</v>
      </c>
      <c r="BC4807">
        <v>0</v>
      </c>
      <c r="BD4807">
        <v>0</v>
      </c>
      <c r="BE4807">
        <v>0</v>
      </c>
      <c r="BF4807">
        <v>0</v>
      </c>
      <c r="BG4807">
        <v>0</v>
      </c>
      <c r="BH4807">
        <v>1</v>
      </c>
      <c r="BI4807">
        <v>3</v>
      </c>
      <c r="BJ4807">
        <v>0.6</v>
      </c>
      <c r="BK4807">
        <v>3</v>
      </c>
      <c r="BL4807">
        <v>106.77</v>
      </c>
      <c r="BM4807">
        <v>16.02</v>
      </c>
      <c r="BN4807">
        <v>122.79</v>
      </c>
      <c r="BO4807">
        <v>122.79</v>
      </c>
      <c r="BQ4807" t="s">
        <v>380</v>
      </c>
      <c r="BR4807" t="s">
        <v>84</v>
      </c>
      <c r="BS4807" t="s">
        <v>587</v>
      </c>
      <c r="BY4807">
        <v>3192</v>
      </c>
      <c r="CC4807" t="s">
        <v>136</v>
      </c>
      <c r="CD4807">
        <v>3212</v>
      </c>
      <c r="CE4807" t="s">
        <v>145</v>
      </c>
      <c r="CI4807">
        <v>2</v>
      </c>
      <c r="CJ4807" t="s">
        <v>587</v>
      </c>
      <c r="CK4807">
        <v>21</v>
      </c>
      <c r="CL4807" t="s">
        <v>86</v>
      </c>
    </row>
    <row r="4808" spans="1:90" x14ac:dyDescent="0.3">
      <c r="A4808" t="s">
        <v>72</v>
      </c>
      <c r="B4808" t="s">
        <v>73</v>
      </c>
      <c r="C4808" t="s">
        <v>74</v>
      </c>
      <c r="E4808" t="str">
        <f>"080066895606"</f>
        <v>080066895606</v>
      </c>
      <c r="F4808" s="3">
        <v>45868</v>
      </c>
      <c r="G4808">
        <v>202604</v>
      </c>
      <c r="H4808" t="s">
        <v>75</v>
      </c>
      <c r="I4808" t="s">
        <v>76</v>
      </c>
      <c r="J4808" t="s">
        <v>77</v>
      </c>
      <c r="K4808" t="s">
        <v>78</v>
      </c>
      <c r="L4808" t="s">
        <v>75</v>
      </c>
      <c r="M4808" t="s">
        <v>76</v>
      </c>
      <c r="N4808" t="s">
        <v>3571</v>
      </c>
      <c r="O4808" t="s">
        <v>82</v>
      </c>
      <c r="P4808" t="str">
        <f>"4170052162                    "</f>
        <v xml:space="preserve">4170052162                    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17.649999999999999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0</v>
      </c>
      <c r="BA4808">
        <v>0</v>
      </c>
      <c r="BB4808">
        <v>0</v>
      </c>
      <c r="BC4808">
        <v>0</v>
      </c>
      <c r="BD4808">
        <v>0</v>
      </c>
      <c r="BE4808">
        <v>0</v>
      </c>
      <c r="BF4808">
        <v>0</v>
      </c>
      <c r="BG4808">
        <v>0</v>
      </c>
      <c r="BH4808">
        <v>1</v>
      </c>
      <c r="BI4808">
        <v>2</v>
      </c>
      <c r="BJ4808">
        <v>0.6</v>
      </c>
      <c r="BK4808">
        <v>2</v>
      </c>
      <c r="BL4808">
        <v>55.61</v>
      </c>
      <c r="BM4808">
        <v>8.34</v>
      </c>
      <c r="BN4808">
        <v>63.95</v>
      </c>
      <c r="BO4808">
        <v>63.95</v>
      </c>
      <c r="BQ4808" t="s">
        <v>3572</v>
      </c>
      <c r="BR4808" t="s">
        <v>84</v>
      </c>
      <c r="BS4808" s="3">
        <v>45869</v>
      </c>
      <c r="BT4808" s="4">
        <v>0.39861111111111114</v>
      </c>
      <c r="BU4808" t="s">
        <v>3994</v>
      </c>
      <c r="BV4808" t="s">
        <v>98</v>
      </c>
      <c r="BY4808">
        <v>3192</v>
      </c>
      <c r="CA4808" t="s">
        <v>1799</v>
      </c>
      <c r="CC4808" t="s">
        <v>76</v>
      </c>
      <c r="CD4808">
        <v>1614</v>
      </c>
      <c r="CE4808" t="s">
        <v>145</v>
      </c>
      <c r="CI4808">
        <v>1</v>
      </c>
      <c r="CJ4808">
        <v>1</v>
      </c>
      <c r="CK4808">
        <v>22</v>
      </c>
      <c r="CL4808" t="s">
        <v>86</v>
      </c>
    </row>
    <row r="4809" spans="1:90" x14ac:dyDescent="0.3">
      <c r="A4809" t="s">
        <v>72</v>
      </c>
      <c r="B4809" t="s">
        <v>73</v>
      </c>
      <c r="C4809" t="s">
        <v>74</v>
      </c>
      <c r="E4809" t="str">
        <f>"080066895627"</f>
        <v>080066895627</v>
      </c>
      <c r="F4809" s="3">
        <v>45868</v>
      </c>
      <c r="G4809">
        <v>202604</v>
      </c>
      <c r="H4809" t="s">
        <v>75</v>
      </c>
      <c r="I4809" t="s">
        <v>76</v>
      </c>
      <c r="J4809" t="s">
        <v>77</v>
      </c>
      <c r="K4809" t="s">
        <v>78</v>
      </c>
      <c r="L4809" t="s">
        <v>179</v>
      </c>
      <c r="M4809" t="s">
        <v>180</v>
      </c>
      <c r="N4809" t="s">
        <v>3578</v>
      </c>
      <c r="O4809" t="s">
        <v>82</v>
      </c>
      <c r="P4809" t="str">
        <f>"4170052146                    "</f>
        <v xml:space="preserve">4170052146                    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43.78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0</v>
      </c>
      <c r="BB4809">
        <v>0</v>
      </c>
      <c r="BC4809">
        <v>0</v>
      </c>
      <c r="BD4809">
        <v>0</v>
      </c>
      <c r="BE4809">
        <v>0</v>
      </c>
      <c r="BF4809">
        <v>0</v>
      </c>
      <c r="BG4809">
        <v>0</v>
      </c>
      <c r="BH4809">
        <v>1</v>
      </c>
      <c r="BI4809">
        <v>1</v>
      </c>
      <c r="BJ4809">
        <v>0.2</v>
      </c>
      <c r="BK4809">
        <v>1</v>
      </c>
      <c r="BL4809">
        <v>137.94</v>
      </c>
      <c r="BM4809">
        <v>20.69</v>
      </c>
      <c r="BN4809">
        <v>158.63</v>
      </c>
      <c r="BO4809">
        <v>158.63</v>
      </c>
      <c r="BQ4809" t="s">
        <v>3579</v>
      </c>
      <c r="BR4809" t="s">
        <v>84</v>
      </c>
      <c r="BS4809" t="s">
        <v>587</v>
      </c>
      <c r="BY4809">
        <v>1200</v>
      </c>
      <c r="CC4809" t="s">
        <v>180</v>
      </c>
      <c r="CD4809">
        <v>3310</v>
      </c>
      <c r="CE4809" t="s">
        <v>121</v>
      </c>
      <c r="CI4809">
        <v>1</v>
      </c>
      <c r="CJ4809" t="s">
        <v>587</v>
      </c>
      <c r="CK4809">
        <v>23</v>
      </c>
      <c r="CL4809" t="s">
        <v>86</v>
      </c>
    </row>
    <row r="4810" spans="1:90" x14ac:dyDescent="0.3">
      <c r="A4810" t="s">
        <v>72</v>
      </c>
      <c r="B4810" t="s">
        <v>73</v>
      </c>
      <c r="C4810" t="s">
        <v>74</v>
      </c>
      <c r="E4810" t="str">
        <f>"080066895647"</f>
        <v>080066895647</v>
      </c>
      <c r="F4810" s="3">
        <v>45868</v>
      </c>
      <c r="G4810">
        <v>202604</v>
      </c>
      <c r="H4810" t="s">
        <v>75</v>
      </c>
      <c r="I4810" t="s">
        <v>76</v>
      </c>
      <c r="J4810" t="s">
        <v>77</v>
      </c>
      <c r="K4810" t="s">
        <v>78</v>
      </c>
      <c r="L4810" t="s">
        <v>92</v>
      </c>
      <c r="M4810" t="s">
        <v>93</v>
      </c>
      <c r="N4810" t="s">
        <v>737</v>
      </c>
      <c r="O4810" t="s">
        <v>82</v>
      </c>
      <c r="P4810" t="str">
        <f>"4170052054                    "</f>
        <v xml:space="preserve">4170052054                    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39.53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  <c r="BE4810">
        <v>0</v>
      </c>
      <c r="BF4810">
        <v>0</v>
      </c>
      <c r="BG4810">
        <v>0</v>
      </c>
      <c r="BH4810">
        <v>1</v>
      </c>
      <c r="BI4810">
        <v>3</v>
      </c>
      <c r="BJ4810">
        <v>3.4</v>
      </c>
      <c r="BK4810">
        <v>3.5</v>
      </c>
      <c r="BL4810">
        <v>124.55</v>
      </c>
      <c r="BM4810">
        <v>18.68</v>
      </c>
      <c r="BN4810">
        <v>143.22999999999999</v>
      </c>
      <c r="BO4810">
        <v>143.22999999999999</v>
      </c>
      <c r="BQ4810" t="s">
        <v>738</v>
      </c>
      <c r="BR4810" t="s">
        <v>84</v>
      </c>
      <c r="BS4810" t="s">
        <v>587</v>
      </c>
      <c r="BY4810">
        <v>16965</v>
      </c>
      <c r="CC4810" t="s">
        <v>93</v>
      </c>
      <c r="CD4810">
        <v>4001</v>
      </c>
      <c r="CE4810" t="s">
        <v>145</v>
      </c>
      <c r="CI4810">
        <v>1</v>
      </c>
      <c r="CJ4810" t="s">
        <v>587</v>
      </c>
      <c r="CK4810">
        <v>21</v>
      </c>
      <c r="CL4810" t="s">
        <v>86</v>
      </c>
    </row>
    <row r="4811" spans="1:90" x14ac:dyDescent="0.3">
      <c r="A4811" t="s">
        <v>72</v>
      </c>
      <c r="B4811" t="s">
        <v>73</v>
      </c>
      <c r="C4811" t="s">
        <v>74</v>
      </c>
      <c r="E4811" t="str">
        <f>"080066895653"</f>
        <v>080066895653</v>
      </c>
      <c r="F4811" s="3">
        <v>45868</v>
      </c>
      <c r="G4811">
        <v>202604</v>
      </c>
      <c r="H4811" t="s">
        <v>75</v>
      </c>
      <c r="I4811" t="s">
        <v>76</v>
      </c>
      <c r="J4811" t="s">
        <v>77</v>
      </c>
      <c r="K4811" t="s">
        <v>78</v>
      </c>
      <c r="L4811" t="s">
        <v>92</v>
      </c>
      <c r="M4811" t="s">
        <v>93</v>
      </c>
      <c r="N4811" t="s">
        <v>334</v>
      </c>
      <c r="O4811" t="s">
        <v>82</v>
      </c>
      <c r="P4811" t="str">
        <f>"4170052101                    "</f>
        <v xml:space="preserve">4170052101                    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22.6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0</v>
      </c>
      <c r="BA4811">
        <v>0</v>
      </c>
      <c r="BB4811">
        <v>0</v>
      </c>
      <c r="BC4811">
        <v>0</v>
      </c>
      <c r="BD4811">
        <v>0</v>
      </c>
      <c r="BE4811">
        <v>0</v>
      </c>
      <c r="BF4811">
        <v>0</v>
      </c>
      <c r="BG4811">
        <v>0</v>
      </c>
      <c r="BH4811">
        <v>1</v>
      </c>
      <c r="BI4811">
        <v>1</v>
      </c>
      <c r="BJ4811">
        <v>0.2</v>
      </c>
      <c r="BK4811">
        <v>1</v>
      </c>
      <c r="BL4811">
        <v>71.2</v>
      </c>
      <c r="BM4811">
        <v>10.68</v>
      </c>
      <c r="BN4811">
        <v>81.88</v>
      </c>
      <c r="BO4811">
        <v>81.88</v>
      </c>
      <c r="BQ4811" t="s">
        <v>335</v>
      </c>
      <c r="BR4811" t="s">
        <v>84</v>
      </c>
      <c r="BS4811" s="3">
        <v>45869</v>
      </c>
      <c r="BT4811" s="4">
        <v>0.38333333333333336</v>
      </c>
      <c r="BU4811" t="s">
        <v>2897</v>
      </c>
      <c r="BV4811" t="s">
        <v>98</v>
      </c>
      <c r="BY4811">
        <v>1200</v>
      </c>
      <c r="CA4811" t="s">
        <v>3829</v>
      </c>
      <c r="CC4811" t="s">
        <v>93</v>
      </c>
      <c r="CD4811">
        <v>4052</v>
      </c>
      <c r="CE4811" t="s">
        <v>121</v>
      </c>
      <c r="CI4811">
        <v>1</v>
      </c>
      <c r="CJ4811">
        <v>1</v>
      </c>
      <c r="CK4811">
        <v>21</v>
      </c>
      <c r="CL4811" t="s">
        <v>86</v>
      </c>
    </row>
    <row r="4812" spans="1:90" x14ac:dyDescent="0.3">
      <c r="A4812" t="s">
        <v>72</v>
      </c>
      <c r="B4812" t="s">
        <v>73</v>
      </c>
      <c r="C4812" t="s">
        <v>74</v>
      </c>
      <c r="E4812" t="str">
        <f>"080066895684"</f>
        <v>080066895684</v>
      </c>
      <c r="F4812" s="3">
        <v>45868</v>
      </c>
      <c r="G4812">
        <v>202604</v>
      </c>
      <c r="H4812" t="s">
        <v>75</v>
      </c>
      <c r="I4812" t="s">
        <v>76</v>
      </c>
      <c r="J4812" t="s">
        <v>77</v>
      </c>
      <c r="K4812" t="s">
        <v>78</v>
      </c>
      <c r="L4812" t="s">
        <v>92</v>
      </c>
      <c r="M4812" t="s">
        <v>93</v>
      </c>
      <c r="N4812" t="s">
        <v>334</v>
      </c>
      <c r="O4812" t="s">
        <v>82</v>
      </c>
      <c r="P4812" t="str">
        <f>"4170052089                    "</f>
        <v xml:space="preserve">4170052089                    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>
        <v>22.6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AZ4812">
        <v>0</v>
      </c>
      <c r="BA4812">
        <v>0</v>
      </c>
      <c r="BB4812">
        <v>0</v>
      </c>
      <c r="BC4812">
        <v>0</v>
      </c>
      <c r="BD4812">
        <v>0</v>
      </c>
      <c r="BE4812">
        <v>0</v>
      </c>
      <c r="BF4812">
        <v>0</v>
      </c>
      <c r="BG4812">
        <v>0</v>
      </c>
      <c r="BH4812">
        <v>1</v>
      </c>
      <c r="BI4812">
        <v>1</v>
      </c>
      <c r="BJ4812">
        <v>0.2</v>
      </c>
      <c r="BK4812">
        <v>1</v>
      </c>
      <c r="BL4812">
        <v>71.2</v>
      </c>
      <c r="BM4812">
        <v>10.68</v>
      </c>
      <c r="BN4812">
        <v>81.88</v>
      </c>
      <c r="BO4812">
        <v>81.88</v>
      </c>
      <c r="BQ4812" t="s">
        <v>335</v>
      </c>
      <c r="BR4812" t="s">
        <v>84</v>
      </c>
      <c r="BS4812" s="3">
        <v>45869</v>
      </c>
      <c r="BT4812" s="4">
        <v>0.3840277777777778</v>
      </c>
      <c r="BU4812" t="s">
        <v>2897</v>
      </c>
      <c r="BV4812" t="s">
        <v>98</v>
      </c>
      <c r="BY4812">
        <v>1200</v>
      </c>
      <c r="CA4812" t="s">
        <v>3829</v>
      </c>
      <c r="CC4812" t="s">
        <v>93</v>
      </c>
      <c r="CD4812">
        <v>4052</v>
      </c>
      <c r="CE4812" t="s">
        <v>121</v>
      </c>
      <c r="CI4812">
        <v>1</v>
      </c>
      <c r="CJ4812">
        <v>1</v>
      </c>
      <c r="CK4812">
        <v>21</v>
      </c>
      <c r="CL4812" t="s">
        <v>86</v>
      </c>
    </row>
    <row r="4813" spans="1:90" x14ac:dyDescent="0.3">
      <c r="A4813" t="s">
        <v>72</v>
      </c>
      <c r="B4813" t="s">
        <v>73</v>
      </c>
      <c r="C4813" t="s">
        <v>74</v>
      </c>
      <c r="E4813" t="str">
        <f>"080066895689"</f>
        <v>080066895689</v>
      </c>
      <c r="F4813" s="3">
        <v>45868</v>
      </c>
      <c r="G4813">
        <v>202604</v>
      </c>
      <c r="H4813" t="s">
        <v>75</v>
      </c>
      <c r="I4813" t="s">
        <v>76</v>
      </c>
      <c r="J4813" t="s">
        <v>77</v>
      </c>
      <c r="K4813" t="s">
        <v>78</v>
      </c>
      <c r="L4813" t="s">
        <v>168</v>
      </c>
      <c r="M4813" t="s">
        <v>169</v>
      </c>
      <c r="N4813" t="s">
        <v>191</v>
      </c>
      <c r="O4813" t="s">
        <v>82</v>
      </c>
      <c r="P4813" t="str">
        <f>"4170052041                    "</f>
        <v xml:space="preserve">4170052041                    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33.89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0</v>
      </c>
      <c r="BA4813">
        <v>0</v>
      </c>
      <c r="BB4813">
        <v>0</v>
      </c>
      <c r="BC4813">
        <v>0</v>
      </c>
      <c r="BD4813">
        <v>0</v>
      </c>
      <c r="BE4813">
        <v>0</v>
      </c>
      <c r="BF4813">
        <v>0</v>
      </c>
      <c r="BG4813">
        <v>0</v>
      </c>
      <c r="BH4813">
        <v>1</v>
      </c>
      <c r="BI4813">
        <v>3</v>
      </c>
      <c r="BJ4813">
        <v>1.4</v>
      </c>
      <c r="BK4813">
        <v>3</v>
      </c>
      <c r="BL4813">
        <v>106.77</v>
      </c>
      <c r="BM4813">
        <v>16.02</v>
      </c>
      <c r="BN4813">
        <v>122.79</v>
      </c>
      <c r="BO4813">
        <v>122.79</v>
      </c>
      <c r="BQ4813" t="s">
        <v>192</v>
      </c>
      <c r="BR4813" t="s">
        <v>84</v>
      </c>
      <c r="BS4813" s="3">
        <v>45869</v>
      </c>
      <c r="BT4813" s="4">
        <v>0.42986111111111114</v>
      </c>
      <c r="BU4813" t="s">
        <v>3986</v>
      </c>
      <c r="BV4813" t="s">
        <v>98</v>
      </c>
      <c r="BY4813">
        <v>7000</v>
      </c>
      <c r="CA4813" t="s">
        <v>3987</v>
      </c>
      <c r="CC4813" t="s">
        <v>169</v>
      </c>
      <c r="CD4813">
        <v>6056</v>
      </c>
      <c r="CE4813" t="s">
        <v>145</v>
      </c>
      <c r="CI4813">
        <v>1</v>
      </c>
      <c r="CJ4813">
        <v>1</v>
      </c>
      <c r="CK4813">
        <v>21</v>
      </c>
      <c r="CL4813" t="s">
        <v>86</v>
      </c>
    </row>
    <row r="4814" spans="1:90" x14ac:dyDescent="0.3">
      <c r="A4814" t="s">
        <v>72</v>
      </c>
      <c r="B4814" t="s">
        <v>73</v>
      </c>
      <c r="C4814" t="s">
        <v>74</v>
      </c>
      <c r="E4814" t="str">
        <f>"080066895710"</f>
        <v>080066895710</v>
      </c>
      <c r="F4814" s="3">
        <v>45868</v>
      </c>
      <c r="G4814">
        <v>202604</v>
      </c>
      <c r="H4814" t="s">
        <v>75</v>
      </c>
      <c r="I4814" t="s">
        <v>76</v>
      </c>
      <c r="J4814" t="s">
        <v>77</v>
      </c>
      <c r="K4814" t="s">
        <v>78</v>
      </c>
      <c r="L4814" t="s">
        <v>168</v>
      </c>
      <c r="M4814" t="s">
        <v>169</v>
      </c>
      <c r="N4814" t="s">
        <v>420</v>
      </c>
      <c r="O4814" t="s">
        <v>82</v>
      </c>
      <c r="P4814" t="str">
        <f>"4170052175                    "</f>
        <v xml:space="preserve">4170052175                    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22.6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</v>
      </c>
      <c r="BA4814">
        <v>0</v>
      </c>
      <c r="BB4814">
        <v>0</v>
      </c>
      <c r="BC4814">
        <v>0</v>
      </c>
      <c r="BD4814">
        <v>0</v>
      </c>
      <c r="BE4814">
        <v>0</v>
      </c>
      <c r="BF4814">
        <v>0</v>
      </c>
      <c r="BG4814">
        <v>0</v>
      </c>
      <c r="BH4814">
        <v>1</v>
      </c>
      <c r="BI4814">
        <v>1</v>
      </c>
      <c r="BJ4814">
        <v>0.2</v>
      </c>
      <c r="BK4814">
        <v>1</v>
      </c>
      <c r="BL4814">
        <v>71.2</v>
      </c>
      <c r="BM4814">
        <v>10.68</v>
      </c>
      <c r="BN4814">
        <v>81.88</v>
      </c>
      <c r="BO4814">
        <v>81.88</v>
      </c>
      <c r="BQ4814" t="s">
        <v>421</v>
      </c>
      <c r="BR4814" t="s">
        <v>84</v>
      </c>
      <c r="BS4814" s="3">
        <v>45869</v>
      </c>
      <c r="BT4814" s="4">
        <v>0.38819444444444445</v>
      </c>
      <c r="BU4814" t="s">
        <v>1121</v>
      </c>
      <c r="BV4814" t="s">
        <v>98</v>
      </c>
      <c r="BY4814">
        <v>1200</v>
      </c>
      <c r="CA4814" t="s">
        <v>423</v>
      </c>
      <c r="CC4814" t="s">
        <v>169</v>
      </c>
      <c r="CD4814">
        <v>6001</v>
      </c>
      <c r="CE4814" t="s">
        <v>121</v>
      </c>
      <c r="CI4814">
        <v>1</v>
      </c>
      <c r="CJ4814">
        <v>1</v>
      </c>
      <c r="CK4814">
        <v>21</v>
      </c>
      <c r="CL4814" t="s">
        <v>86</v>
      </c>
    </row>
    <row r="4815" spans="1:90" x14ac:dyDescent="0.3">
      <c r="A4815" t="s">
        <v>72</v>
      </c>
      <c r="B4815" t="s">
        <v>73</v>
      </c>
      <c r="C4815" t="s">
        <v>74</v>
      </c>
      <c r="E4815" t="str">
        <f>"080066895737"</f>
        <v>080066895737</v>
      </c>
      <c r="F4815" s="3">
        <v>45868</v>
      </c>
      <c r="G4815">
        <v>202604</v>
      </c>
      <c r="H4815" t="s">
        <v>75</v>
      </c>
      <c r="I4815" t="s">
        <v>76</v>
      </c>
      <c r="J4815" t="s">
        <v>77</v>
      </c>
      <c r="K4815" t="s">
        <v>78</v>
      </c>
      <c r="L4815" t="s">
        <v>135</v>
      </c>
      <c r="M4815" t="s">
        <v>136</v>
      </c>
      <c r="N4815" t="s">
        <v>1093</v>
      </c>
      <c r="O4815" t="s">
        <v>82</v>
      </c>
      <c r="P4815" t="str">
        <f>"4170052106                    "</f>
        <v xml:space="preserve">4170052106                    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22.6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  <c r="BA4815">
        <v>0</v>
      </c>
      <c r="BB4815">
        <v>0</v>
      </c>
      <c r="BC4815">
        <v>0</v>
      </c>
      <c r="BD4815">
        <v>0</v>
      </c>
      <c r="BE4815">
        <v>0</v>
      </c>
      <c r="BF4815">
        <v>0</v>
      </c>
      <c r="BG4815">
        <v>0</v>
      </c>
      <c r="BH4815">
        <v>1</v>
      </c>
      <c r="BI4815">
        <v>1</v>
      </c>
      <c r="BJ4815">
        <v>0.2</v>
      </c>
      <c r="BK4815">
        <v>1</v>
      </c>
      <c r="BL4815">
        <v>71.2</v>
      </c>
      <c r="BM4815">
        <v>10.68</v>
      </c>
      <c r="BN4815">
        <v>81.88</v>
      </c>
      <c r="BO4815">
        <v>81.88</v>
      </c>
      <c r="BQ4815" t="s">
        <v>1094</v>
      </c>
      <c r="BR4815" t="s">
        <v>84</v>
      </c>
      <c r="BS4815" s="3">
        <v>45869</v>
      </c>
      <c r="BT4815" s="4">
        <v>0.44027777777777777</v>
      </c>
      <c r="BU4815" t="s">
        <v>1103</v>
      </c>
      <c r="BV4815" t="s">
        <v>86</v>
      </c>
      <c r="BY4815">
        <v>1200</v>
      </c>
      <c r="CA4815" t="s">
        <v>1602</v>
      </c>
      <c r="CC4815" t="s">
        <v>136</v>
      </c>
      <c r="CD4815">
        <v>3201</v>
      </c>
      <c r="CE4815" t="s">
        <v>121</v>
      </c>
      <c r="CI4815">
        <v>1</v>
      </c>
      <c r="CJ4815">
        <v>1</v>
      </c>
      <c r="CK4815">
        <v>21</v>
      </c>
      <c r="CL4815" t="s">
        <v>86</v>
      </c>
    </row>
    <row r="4816" spans="1:90" x14ac:dyDescent="0.3">
      <c r="A4816" t="s">
        <v>72</v>
      </c>
      <c r="B4816" t="s">
        <v>73</v>
      </c>
      <c r="C4816" t="s">
        <v>74</v>
      </c>
      <c r="E4816" t="str">
        <f>"080066895742"</f>
        <v>080066895742</v>
      </c>
      <c r="F4816" s="3">
        <v>45868</v>
      </c>
      <c r="G4816">
        <v>202604</v>
      </c>
      <c r="H4816" t="s">
        <v>75</v>
      </c>
      <c r="I4816" t="s">
        <v>76</v>
      </c>
      <c r="J4816" t="s">
        <v>77</v>
      </c>
      <c r="K4816" t="s">
        <v>78</v>
      </c>
      <c r="L4816" t="s">
        <v>221</v>
      </c>
      <c r="M4816" t="s">
        <v>222</v>
      </c>
      <c r="N4816" t="s">
        <v>223</v>
      </c>
      <c r="O4816" t="s">
        <v>82</v>
      </c>
      <c r="P4816" t="str">
        <f>"4170052126                    "</f>
        <v xml:space="preserve">4170052126                    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320.58999999999997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AZ4816">
        <v>0</v>
      </c>
      <c r="BA4816">
        <v>0</v>
      </c>
      <c r="BB4816">
        <v>0</v>
      </c>
      <c r="BC4816">
        <v>0</v>
      </c>
      <c r="BD4816">
        <v>0</v>
      </c>
      <c r="BE4816">
        <v>0</v>
      </c>
      <c r="BF4816">
        <v>0</v>
      </c>
      <c r="BG4816">
        <v>0</v>
      </c>
      <c r="BH4816">
        <v>1</v>
      </c>
      <c r="BI4816">
        <v>16</v>
      </c>
      <c r="BJ4816">
        <v>7.9</v>
      </c>
      <c r="BK4816">
        <v>16</v>
      </c>
      <c r="BL4816">
        <v>1010.03</v>
      </c>
      <c r="BM4816">
        <v>151.5</v>
      </c>
      <c r="BN4816">
        <v>1161.53</v>
      </c>
      <c r="BO4816">
        <v>1161.53</v>
      </c>
      <c r="BQ4816" t="s">
        <v>224</v>
      </c>
      <c r="BR4816" t="s">
        <v>84</v>
      </c>
      <c r="BS4816" t="s">
        <v>587</v>
      </c>
      <c r="BY4816">
        <v>39672</v>
      </c>
      <c r="CC4816" t="s">
        <v>222</v>
      </c>
      <c r="CD4816">
        <v>2740</v>
      </c>
      <c r="CE4816" t="s">
        <v>145</v>
      </c>
      <c r="CI4816">
        <v>1</v>
      </c>
      <c r="CJ4816" t="s">
        <v>587</v>
      </c>
      <c r="CK4816">
        <v>23</v>
      </c>
      <c r="CL4816" t="s">
        <v>86</v>
      </c>
    </row>
    <row r="4817" spans="1:90" x14ac:dyDescent="0.3">
      <c r="A4817" t="s">
        <v>72</v>
      </c>
      <c r="B4817" t="s">
        <v>73</v>
      </c>
      <c r="C4817" t="s">
        <v>74</v>
      </c>
      <c r="E4817" t="str">
        <f>"080066895768"</f>
        <v>080066895768</v>
      </c>
      <c r="F4817" s="3">
        <v>45868</v>
      </c>
      <c r="G4817">
        <v>202604</v>
      </c>
      <c r="H4817" t="s">
        <v>75</v>
      </c>
      <c r="I4817" t="s">
        <v>76</v>
      </c>
      <c r="J4817" t="s">
        <v>77</v>
      </c>
      <c r="K4817" t="s">
        <v>78</v>
      </c>
      <c r="L4817" t="s">
        <v>122</v>
      </c>
      <c r="M4817" t="s">
        <v>123</v>
      </c>
      <c r="N4817" t="s">
        <v>283</v>
      </c>
      <c r="O4817" t="s">
        <v>82</v>
      </c>
      <c r="P4817" t="str">
        <f>"4170052152                    "</f>
        <v xml:space="preserve">4170052152                    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22.6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>
        <v>0</v>
      </c>
      <c r="BC4817">
        <v>0</v>
      </c>
      <c r="BD4817">
        <v>0</v>
      </c>
      <c r="BE4817">
        <v>0</v>
      </c>
      <c r="BF4817">
        <v>0</v>
      </c>
      <c r="BG4817">
        <v>0</v>
      </c>
      <c r="BH4817">
        <v>1</v>
      </c>
      <c r="BI4817">
        <v>1</v>
      </c>
      <c r="BJ4817">
        <v>0.2</v>
      </c>
      <c r="BK4817">
        <v>1</v>
      </c>
      <c r="BL4817">
        <v>71.2</v>
      </c>
      <c r="BM4817">
        <v>10.68</v>
      </c>
      <c r="BN4817">
        <v>81.88</v>
      </c>
      <c r="BO4817">
        <v>81.88</v>
      </c>
      <c r="BQ4817" t="s">
        <v>284</v>
      </c>
      <c r="BR4817" t="s">
        <v>84</v>
      </c>
      <c r="BS4817" s="3">
        <v>45869</v>
      </c>
      <c r="BT4817" s="4">
        <v>0.41041666666666665</v>
      </c>
      <c r="BU4817" t="s">
        <v>285</v>
      </c>
      <c r="BV4817" t="s">
        <v>98</v>
      </c>
      <c r="BY4817">
        <v>1200</v>
      </c>
      <c r="CA4817" t="s">
        <v>187</v>
      </c>
      <c r="CC4817" t="s">
        <v>123</v>
      </c>
      <c r="CD4817">
        <v>3608</v>
      </c>
      <c r="CE4817" t="s">
        <v>121</v>
      </c>
      <c r="CI4817">
        <v>1</v>
      </c>
      <c r="CJ4817">
        <v>1</v>
      </c>
      <c r="CK4817">
        <v>21</v>
      </c>
      <c r="CL4817" t="s">
        <v>86</v>
      </c>
    </row>
    <row r="4818" spans="1:90" x14ac:dyDescent="0.3">
      <c r="A4818" t="s">
        <v>72</v>
      </c>
      <c r="B4818" t="s">
        <v>73</v>
      </c>
      <c r="C4818" t="s">
        <v>74</v>
      </c>
      <c r="E4818" t="str">
        <f>"080066895790"</f>
        <v>080066895790</v>
      </c>
      <c r="F4818" s="3">
        <v>45868</v>
      </c>
      <c r="G4818">
        <v>202604</v>
      </c>
      <c r="H4818" t="s">
        <v>75</v>
      </c>
      <c r="I4818" t="s">
        <v>76</v>
      </c>
      <c r="J4818" t="s">
        <v>77</v>
      </c>
      <c r="K4818" t="s">
        <v>78</v>
      </c>
      <c r="L4818" t="s">
        <v>758</v>
      </c>
      <c r="M4818" t="s">
        <v>759</v>
      </c>
      <c r="N4818" t="s">
        <v>760</v>
      </c>
      <c r="O4818" t="s">
        <v>82</v>
      </c>
      <c r="P4818" t="str">
        <f>"4170052133                    "</f>
        <v xml:space="preserve">4170052133                    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43.78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AZ4818">
        <v>0</v>
      </c>
      <c r="BA4818">
        <v>0</v>
      </c>
      <c r="BB4818">
        <v>0</v>
      </c>
      <c r="BC4818">
        <v>0</v>
      </c>
      <c r="BD4818">
        <v>0</v>
      </c>
      <c r="BE4818">
        <v>0</v>
      </c>
      <c r="BF4818">
        <v>0</v>
      </c>
      <c r="BG4818">
        <v>0</v>
      </c>
      <c r="BH4818">
        <v>1</v>
      </c>
      <c r="BI4818">
        <v>1</v>
      </c>
      <c r="BJ4818">
        <v>0.2</v>
      </c>
      <c r="BK4818">
        <v>1</v>
      </c>
      <c r="BL4818">
        <v>137.94</v>
      </c>
      <c r="BM4818">
        <v>20.69</v>
      </c>
      <c r="BN4818">
        <v>158.63</v>
      </c>
      <c r="BO4818">
        <v>158.63</v>
      </c>
      <c r="BQ4818" t="s">
        <v>761</v>
      </c>
      <c r="BR4818" t="s">
        <v>84</v>
      </c>
      <c r="BS4818" s="3">
        <v>45869</v>
      </c>
      <c r="BT4818" s="4">
        <v>0.48402777777777778</v>
      </c>
      <c r="BU4818" t="s">
        <v>3967</v>
      </c>
      <c r="BV4818" t="s">
        <v>98</v>
      </c>
      <c r="BY4818">
        <v>1200</v>
      </c>
      <c r="CA4818" t="s">
        <v>3968</v>
      </c>
      <c r="CC4818" t="s">
        <v>759</v>
      </c>
      <c r="CD4818">
        <v>2531</v>
      </c>
      <c r="CE4818" t="s">
        <v>121</v>
      </c>
      <c r="CI4818">
        <v>1</v>
      </c>
      <c r="CJ4818">
        <v>1</v>
      </c>
      <c r="CK4818">
        <v>23</v>
      </c>
      <c r="CL4818" t="s">
        <v>86</v>
      </c>
    </row>
    <row r="4819" spans="1:90" x14ac:dyDescent="0.3">
      <c r="A4819" t="s">
        <v>72</v>
      </c>
      <c r="B4819" t="s">
        <v>73</v>
      </c>
      <c r="C4819" t="s">
        <v>74</v>
      </c>
      <c r="E4819" t="str">
        <f>"080066895823"</f>
        <v>080066895823</v>
      </c>
      <c r="F4819" s="3">
        <v>45868</v>
      </c>
      <c r="G4819">
        <v>202604</v>
      </c>
      <c r="H4819" t="s">
        <v>75</v>
      </c>
      <c r="I4819" t="s">
        <v>76</v>
      </c>
      <c r="J4819" t="s">
        <v>77</v>
      </c>
      <c r="K4819" t="s">
        <v>78</v>
      </c>
      <c r="L4819" t="s">
        <v>390</v>
      </c>
      <c r="M4819" t="s">
        <v>391</v>
      </c>
      <c r="N4819" t="s">
        <v>3627</v>
      </c>
      <c r="O4819" t="s">
        <v>82</v>
      </c>
      <c r="P4819" t="str">
        <f>"4170052131                    "</f>
        <v xml:space="preserve">4170052131                    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>
        <v>17.649999999999999</v>
      </c>
      <c r="AR4819">
        <v>0</v>
      </c>
      <c r="AS4819">
        <v>0</v>
      </c>
      <c r="AT4819">
        <v>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0</v>
      </c>
      <c r="BA4819">
        <v>0</v>
      </c>
      <c r="BB4819">
        <v>0</v>
      </c>
      <c r="BC4819">
        <v>0</v>
      </c>
      <c r="BD4819">
        <v>0</v>
      </c>
      <c r="BE4819">
        <v>0</v>
      </c>
      <c r="BF4819">
        <v>0</v>
      </c>
      <c r="BG4819">
        <v>0</v>
      </c>
      <c r="BH4819">
        <v>1</v>
      </c>
      <c r="BI4819">
        <v>1</v>
      </c>
      <c r="BJ4819">
        <v>0.2</v>
      </c>
      <c r="BK4819">
        <v>1</v>
      </c>
      <c r="BL4819">
        <v>55.61</v>
      </c>
      <c r="BM4819">
        <v>8.34</v>
      </c>
      <c r="BN4819">
        <v>63.95</v>
      </c>
      <c r="BO4819">
        <v>63.95</v>
      </c>
      <c r="BQ4819" t="s">
        <v>3628</v>
      </c>
      <c r="BR4819" t="s">
        <v>84</v>
      </c>
      <c r="BS4819" s="3">
        <v>45869</v>
      </c>
      <c r="BT4819" s="4">
        <v>0.47847222222222224</v>
      </c>
      <c r="BU4819" t="s">
        <v>3995</v>
      </c>
      <c r="BV4819" t="s">
        <v>86</v>
      </c>
      <c r="BY4819">
        <v>1200</v>
      </c>
      <c r="CA4819" t="s">
        <v>3996</v>
      </c>
      <c r="CC4819" t="s">
        <v>391</v>
      </c>
      <c r="CD4819">
        <v>1724</v>
      </c>
      <c r="CE4819" t="s">
        <v>121</v>
      </c>
      <c r="CI4819">
        <v>1</v>
      </c>
      <c r="CJ4819">
        <v>1</v>
      </c>
      <c r="CK4819">
        <v>22</v>
      </c>
      <c r="CL4819" t="s">
        <v>86</v>
      </c>
    </row>
    <row r="4820" spans="1:90" x14ac:dyDescent="0.3">
      <c r="A4820" t="s">
        <v>72</v>
      </c>
      <c r="B4820" t="s">
        <v>73</v>
      </c>
      <c r="C4820" t="s">
        <v>74</v>
      </c>
      <c r="E4820" t="str">
        <f>"080066895855"</f>
        <v>080066895855</v>
      </c>
      <c r="F4820" s="3">
        <v>45868</v>
      </c>
      <c r="G4820">
        <v>202604</v>
      </c>
      <c r="H4820" t="s">
        <v>75</v>
      </c>
      <c r="I4820" t="s">
        <v>76</v>
      </c>
      <c r="J4820" t="s">
        <v>77</v>
      </c>
      <c r="K4820" t="s">
        <v>78</v>
      </c>
      <c r="L4820" t="s">
        <v>135</v>
      </c>
      <c r="M4820" t="s">
        <v>136</v>
      </c>
      <c r="N4820" t="s">
        <v>416</v>
      </c>
      <c r="O4820" t="s">
        <v>82</v>
      </c>
      <c r="P4820" t="str">
        <f>"4170052149                    "</f>
        <v xml:space="preserve">4170052149                    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22.6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  <c r="BE4820">
        <v>0</v>
      </c>
      <c r="BF4820">
        <v>0</v>
      </c>
      <c r="BG4820">
        <v>0</v>
      </c>
      <c r="BH4820">
        <v>1</v>
      </c>
      <c r="BI4820">
        <v>1</v>
      </c>
      <c r="BJ4820">
        <v>0.2</v>
      </c>
      <c r="BK4820">
        <v>1</v>
      </c>
      <c r="BL4820">
        <v>71.2</v>
      </c>
      <c r="BM4820">
        <v>10.68</v>
      </c>
      <c r="BN4820">
        <v>81.88</v>
      </c>
      <c r="BO4820">
        <v>81.88</v>
      </c>
      <c r="BQ4820" t="s">
        <v>417</v>
      </c>
      <c r="BR4820" t="s">
        <v>84</v>
      </c>
      <c r="BS4820" t="s">
        <v>587</v>
      </c>
      <c r="BY4820">
        <v>1200</v>
      </c>
      <c r="CC4820" t="s">
        <v>136</v>
      </c>
      <c r="CD4820">
        <v>3201</v>
      </c>
      <c r="CE4820" t="s">
        <v>121</v>
      </c>
      <c r="CI4820">
        <v>1</v>
      </c>
      <c r="CJ4820" t="s">
        <v>587</v>
      </c>
      <c r="CK4820">
        <v>21</v>
      </c>
      <c r="CL4820" t="s">
        <v>86</v>
      </c>
    </row>
    <row r="4821" spans="1:90" x14ac:dyDescent="0.3">
      <c r="A4821" t="s">
        <v>72</v>
      </c>
      <c r="B4821" t="s">
        <v>73</v>
      </c>
      <c r="C4821" t="s">
        <v>74</v>
      </c>
      <c r="E4821" t="str">
        <f>"080066895882"</f>
        <v>080066895882</v>
      </c>
      <c r="F4821" s="3">
        <v>45868</v>
      </c>
      <c r="G4821">
        <v>202604</v>
      </c>
      <c r="H4821" t="s">
        <v>75</v>
      </c>
      <c r="I4821" t="s">
        <v>76</v>
      </c>
      <c r="J4821" t="s">
        <v>77</v>
      </c>
      <c r="K4821" t="s">
        <v>78</v>
      </c>
      <c r="L4821" t="s">
        <v>146</v>
      </c>
      <c r="M4821" t="s">
        <v>146</v>
      </c>
      <c r="N4821" t="s">
        <v>633</v>
      </c>
      <c r="O4821" t="s">
        <v>82</v>
      </c>
      <c r="P4821" t="str">
        <f>"4170052037                    "</f>
        <v xml:space="preserve">4170052037                    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43.78</v>
      </c>
      <c r="AR4821">
        <v>0</v>
      </c>
      <c r="AS4821">
        <v>0</v>
      </c>
      <c r="AT4821">
        <v>0</v>
      </c>
      <c r="AU4821">
        <v>0</v>
      </c>
      <c r="AV4821">
        <v>0</v>
      </c>
      <c r="AW4821">
        <v>0</v>
      </c>
      <c r="AX4821">
        <v>0</v>
      </c>
      <c r="AY4821">
        <v>0</v>
      </c>
      <c r="AZ4821">
        <v>0</v>
      </c>
      <c r="BA4821">
        <v>0</v>
      </c>
      <c r="BB4821">
        <v>0</v>
      </c>
      <c r="BC4821">
        <v>0</v>
      </c>
      <c r="BD4821">
        <v>0</v>
      </c>
      <c r="BE4821">
        <v>0</v>
      </c>
      <c r="BF4821">
        <v>0</v>
      </c>
      <c r="BG4821">
        <v>0</v>
      </c>
      <c r="BH4821">
        <v>1</v>
      </c>
      <c r="BI4821">
        <v>1</v>
      </c>
      <c r="BJ4821">
        <v>0.2</v>
      </c>
      <c r="BK4821">
        <v>1</v>
      </c>
      <c r="BL4821">
        <v>137.94</v>
      </c>
      <c r="BM4821">
        <v>20.69</v>
      </c>
      <c r="BN4821">
        <v>158.63</v>
      </c>
      <c r="BO4821">
        <v>158.63</v>
      </c>
      <c r="BQ4821" t="s">
        <v>634</v>
      </c>
      <c r="BR4821" t="s">
        <v>84</v>
      </c>
      <c r="BS4821" s="3">
        <v>45869</v>
      </c>
      <c r="BT4821" s="4">
        <v>0.53611111111111109</v>
      </c>
      <c r="BU4821" t="s">
        <v>635</v>
      </c>
      <c r="BV4821" t="s">
        <v>98</v>
      </c>
      <c r="BY4821">
        <v>1200</v>
      </c>
      <c r="CA4821" t="s">
        <v>150</v>
      </c>
      <c r="CC4821" t="s">
        <v>146</v>
      </c>
      <c r="CD4821">
        <v>7646</v>
      </c>
      <c r="CE4821" t="s">
        <v>121</v>
      </c>
      <c r="CI4821">
        <v>1</v>
      </c>
      <c r="CJ4821">
        <v>1</v>
      </c>
      <c r="CK4821">
        <v>23</v>
      </c>
      <c r="CL4821" t="s">
        <v>86</v>
      </c>
    </row>
    <row r="4822" spans="1:90" x14ac:dyDescent="0.3">
      <c r="A4822" t="s">
        <v>72</v>
      </c>
      <c r="B4822" t="s">
        <v>73</v>
      </c>
      <c r="C4822" t="s">
        <v>74</v>
      </c>
      <c r="E4822" t="str">
        <f>"080066895931"</f>
        <v>080066895931</v>
      </c>
      <c r="F4822" s="3">
        <v>45868</v>
      </c>
      <c r="G4822">
        <v>202604</v>
      </c>
      <c r="H4822" t="s">
        <v>75</v>
      </c>
      <c r="I4822" t="s">
        <v>76</v>
      </c>
      <c r="J4822" t="s">
        <v>77</v>
      </c>
      <c r="K4822" t="s">
        <v>78</v>
      </c>
      <c r="L4822" t="s">
        <v>75</v>
      </c>
      <c r="M4822" t="s">
        <v>76</v>
      </c>
      <c r="N4822" t="s">
        <v>1158</v>
      </c>
      <c r="O4822" t="s">
        <v>82</v>
      </c>
      <c r="P4822" t="str">
        <f>"4170052055                    "</f>
        <v xml:space="preserve">4170052055                    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>
        <v>17.649999999999999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  <c r="BA4822">
        <v>0</v>
      </c>
      <c r="BB4822">
        <v>0</v>
      </c>
      <c r="BC4822">
        <v>0</v>
      </c>
      <c r="BD4822">
        <v>0</v>
      </c>
      <c r="BE4822">
        <v>0</v>
      </c>
      <c r="BF4822">
        <v>0</v>
      </c>
      <c r="BG4822">
        <v>0</v>
      </c>
      <c r="BH4822">
        <v>1</v>
      </c>
      <c r="BI4822">
        <v>1</v>
      </c>
      <c r="BJ4822">
        <v>0.2</v>
      </c>
      <c r="BK4822">
        <v>1</v>
      </c>
      <c r="BL4822">
        <v>55.61</v>
      </c>
      <c r="BM4822">
        <v>8.34</v>
      </c>
      <c r="BN4822">
        <v>63.95</v>
      </c>
      <c r="BO4822">
        <v>63.95</v>
      </c>
      <c r="BQ4822" t="s">
        <v>1159</v>
      </c>
      <c r="BR4822" t="s">
        <v>84</v>
      </c>
      <c r="BS4822" s="3">
        <v>45869</v>
      </c>
      <c r="BT4822" s="4">
        <v>0.40902777777777777</v>
      </c>
      <c r="BU4822" t="s">
        <v>1718</v>
      </c>
      <c r="BV4822" t="s">
        <v>98</v>
      </c>
      <c r="BY4822">
        <v>1200</v>
      </c>
      <c r="CA4822" t="s">
        <v>304</v>
      </c>
      <c r="CC4822" t="s">
        <v>76</v>
      </c>
      <c r="CD4822">
        <v>1619</v>
      </c>
      <c r="CE4822" t="s">
        <v>121</v>
      </c>
      <c r="CI4822">
        <v>1</v>
      </c>
      <c r="CJ4822">
        <v>1</v>
      </c>
      <c r="CK4822">
        <v>22</v>
      </c>
      <c r="CL4822" t="s">
        <v>86</v>
      </c>
    </row>
    <row r="4823" spans="1:90" x14ac:dyDescent="0.3">
      <c r="A4823" t="s">
        <v>72</v>
      </c>
      <c r="B4823" t="s">
        <v>73</v>
      </c>
      <c r="C4823" t="s">
        <v>74</v>
      </c>
      <c r="E4823" t="str">
        <f>"080066895965"</f>
        <v>080066895965</v>
      </c>
      <c r="F4823" s="3">
        <v>45868</v>
      </c>
      <c r="G4823">
        <v>202604</v>
      </c>
      <c r="H4823" t="s">
        <v>75</v>
      </c>
      <c r="I4823" t="s">
        <v>76</v>
      </c>
      <c r="J4823" t="s">
        <v>77</v>
      </c>
      <c r="K4823" t="s">
        <v>78</v>
      </c>
      <c r="L4823" t="s">
        <v>854</v>
      </c>
      <c r="M4823" t="s">
        <v>855</v>
      </c>
      <c r="N4823" t="s">
        <v>429</v>
      </c>
      <c r="O4823" t="s">
        <v>82</v>
      </c>
      <c r="P4823" t="str">
        <f>"4170052059                    "</f>
        <v xml:space="preserve">4170052059                    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43.78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16.739999999999998</v>
      </c>
      <c r="AX4823">
        <v>0</v>
      </c>
      <c r="AY4823">
        <v>0</v>
      </c>
      <c r="AZ4823">
        <v>0</v>
      </c>
      <c r="BA4823">
        <v>0</v>
      </c>
      <c r="BB4823">
        <v>0</v>
      </c>
      <c r="BC4823">
        <v>0</v>
      </c>
      <c r="BD4823">
        <v>0</v>
      </c>
      <c r="BE4823">
        <v>0</v>
      </c>
      <c r="BF4823">
        <v>0</v>
      </c>
      <c r="BG4823">
        <v>0</v>
      </c>
      <c r="BH4823">
        <v>1</v>
      </c>
      <c r="BI4823">
        <v>1</v>
      </c>
      <c r="BJ4823">
        <v>0.2</v>
      </c>
      <c r="BK4823">
        <v>1</v>
      </c>
      <c r="BL4823">
        <v>154.68</v>
      </c>
      <c r="BM4823">
        <v>23.2</v>
      </c>
      <c r="BN4823">
        <v>177.88</v>
      </c>
      <c r="BO4823">
        <v>177.88</v>
      </c>
      <c r="BQ4823" t="s">
        <v>430</v>
      </c>
      <c r="BR4823" t="s">
        <v>84</v>
      </c>
      <c r="BS4823" t="s">
        <v>587</v>
      </c>
      <c r="BY4823">
        <v>1200</v>
      </c>
      <c r="BZ4823" t="s">
        <v>30</v>
      </c>
      <c r="CC4823" t="s">
        <v>855</v>
      </c>
      <c r="CD4823" s="5" t="s">
        <v>993</v>
      </c>
      <c r="CE4823" t="s">
        <v>121</v>
      </c>
      <c r="CI4823">
        <v>1</v>
      </c>
      <c r="CJ4823" t="s">
        <v>587</v>
      </c>
      <c r="CK4823">
        <v>23</v>
      </c>
      <c r="CL4823" t="s">
        <v>86</v>
      </c>
    </row>
    <row r="4824" spans="1:90" x14ac:dyDescent="0.3">
      <c r="A4824" t="s">
        <v>72</v>
      </c>
      <c r="B4824" t="s">
        <v>73</v>
      </c>
      <c r="C4824" t="s">
        <v>74</v>
      </c>
      <c r="E4824" t="str">
        <f>"080066895992"</f>
        <v>080066895992</v>
      </c>
      <c r="F4824" s="3">
        <v>45868</v>
      </c>
      <c r="G4824">
        <v>202604</v>
      </c>
      <c r="H4824" t="s">
        <v>75</v>
      </c>
      <c r="I4824" t="s">
        <v>76</v>
      </c>
      <c r="J4824" t="s">
        <v>77</v>
      </c>
      <c r="K4824" t="s">
        <v>78</v>
      </c>
      <c r="L4824" t="s">
        <v>350</v>
      </c>
      <c r="M4824" t="s">
        <v>351</v>
      </c>
      <c r="N4824" t="s">
        <v>352</v>
      </c>
      <c r="O4824" t="s">
        <v>82</v>
      </c>
      <c r="P4824" t="str">
        <f>"4170052115                    "</f>
        <v xml:space="preserve">4170052115                    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22.6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  <c r="AZ4824">
        <v>0</v>
      </c>
      <c r="BA4824">
        <v>0</v>
      </c>
      <c r="BB4824">
        <v>0</v>
      </c>
      <c r="BC4824">
        <v>0</v>
      </c>
      <c r="BD4824">
        <v>0</v>
      </c>
      <c r="BE4824">
        <v>0</v>
      </c>
      <c r="BF4824">
        <v>0</v>
      </c>
      <c r="BG4824">
        <v>0</v>
      </c>
      <c r="BH4824">
        <v>1</v>
      </c>
      <c r="BI4824">
        <v>1</v>
      </c>
      <c r="BJ4824">
        <v>0.2</v>
      </c>
      <c r="BK4824">
        <v>1</v>
      </c>
      <c r="BL4824">
        <v>71.2</v>
      </c>
      <c r="BM4824">
        <v>10.68</v>
      </c>
      <c r="BN4824">
        <v>81.88</v>
      </c>
      <c r="BO4824">
        <v>81.88</v>
      </c>
      <c r="BQ4824" t="s">
        <v>353</v>
      </c>
      <c r="BR4824" t="s">
        <v>84</v>
      </c>
      <c r="BS4824" t="s">
        <v>587</v>
      </c>
      <c r="BY4824">
        <v>1200</v>
      </c>
      <c r="CC4824" t="s">
        <v>351</v>
      </c>
      <c r="CD4824">
        <v>4133</v>
      </c>
      <c r="CE4824" t="s">
        <v>121</v>
      </c>
      <c r="CI4824">
        <v>1</v>
      </c>
      <c r="CJ4824" t="s">
        <v>587</v>
      </c>
      <c r="CK4824">
        <v>21</v>
      </c>
      <c r="CL4824" t="s">
        <v>86</v>
      </c>
    </row>
    <row r="4825" spans="1:90" x14ac:dyDescent="0.3">
      <c r="A4825" t="s">
        <v>72</v>
      </c>
      <c r="B4825" t="s">
        <v>73</v>
      </c>
      <c r="C4825" t="s">
        <v>74</v>
      </c>
      <c r="E4825" t="str">
        <f>"080066896027"</f>
        <v>080066896027</v>
      </c>
      <c r="F4825" s="3">
        <v>45868</v>
      </c>
      <c r="G4825">
        <v>202604</v>
      </c>
      <c r="H4825" t="s">
        <v>75</v>
      </c>
      <c r="I4825" t="s">
        <v>76</v>
      </c>
      <c r="J4825" t="s">
        <v>77</v>
      </c>
      <c r="K4825" t="s">
        <v>78</v>
      </c>
      <c r="L4825" t="s">
        <v>1128</v>
      </c>
      <c r="M4825" t="s">
        <v>1129</v>
      </c>
      <c r="N4825" t="s">
        <v>1130</v>
      </c>
      <c r="O4825" t="s">
        <v>82</v>
      </c>
      <c r="P4825" t="str">
        <f>"4170052086                    "</f>
        <v xml:space="preserve">4170052086                    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22.6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  <c r="BE4825">
        <v>0</v>
      </c>
      <c r="BF4825">
        <v>0</v>
      </c>
      <c r="BG4825">
        <v>0</v>
      </c>
      <c r="BH4825">
        <v>1</v>
      </c>
      <c r="BI4825">
        <v>1</v>
      </c>
      <c r="BJ4825">
        <v>0.2</v>
      </c>
      <c r="BK4825">
        <v>1</v>
      </c>
      <c r="BL4825">
        <v>71.2</v>
      </c>
      <c r="BM4825">
        <v>10.68</v>
      </c>
      <c r="BN4825">
        <v>81.88</v>
      </c>
      <c r="BO4825">
        <v>81.88</v>
      </c>
      <c r="BQ4825" t="s">
        <v>1131</v>
      </c>
      <c r="BR4825" t="s">
        <v>84</v>
      </c>
      <c r="BS4825" s="3">
        <v>45869</v>
      </c>
      <c r="BT4825" s="4">
        <v>0.43472222222222223</v>
      </c>
      <c r="BU4825" t="s">
        <v>953</v>
      </c>
      <c r="BV4825" t="s">
        <v>98</v>
      </c>
      <c r="BY4825">
        <v>1200</v>
      </c>
      <c r="CA4825" t="s">
        <v>1133</v>
      </c>
      <c r="CC4825" t="s">
        <v>1129</v>
      </c>
      <c r="CD4825">
        <v>7600</v>
      </c>
      <c r="CE4825" t="s">
        <v>3997</v>
      </c>
      <c r="CI4825">
        <v>1</v>
      </c>
      <c r="CJ4825">
        <v>1</v>
      </c>
      <c r="CK4825">
        <v>21</v>
      </c>
      <c r="CL4825" t="s">
        <v>86</v>
      </c>
    </row>
    <row r="4826" spans="1:90" x14ac:dyDescent="0.3">
      <c r="A4826" t="s">
        <v>72</v>
      </c>
      <c r="B4826" t="s">
        <v>73</v>
      </c>
      <c r="C4826" t="s">
        <v>74</v>
      </c>
      <c r="E4826" t="str">
        <f>"080066896049"</f>
        <v>080066896049</v>
      </c>
      <c r="F4826" s="3">
        <v>45868</v>
      </c>
      <c r="G4826">
        <v>202604</v>
      </c>
      <c r="H4826" t="s">
        <v>75</v>
      </c>
      <c r="I4826" t="s">
        <v>76</v>
      </c>
      <c r="J4826" t="s">
        <v>77</v>
      </c>
      <c r="K4826" t="s">
        <v>78</v>
      </c>
      <c r="L4826" t="s">
        <v>92</v>
      </c>
      <c r="M4826" t="s">
        <v>93</v>
      </c>
      <c r="N4826" t="s">
        <v>334</v>
      </c>
      <c r="O4826" t="s">
        <v>82</v>
      </c>
      <c r="P4826" t="str">
        <f>"4170052144                    "</f>
        <v xml:space="preserve">4170052144                    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22.6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0</v>
      </c>
      <c r="AX4826">
        <v>0</v>
      </c>
      <c r="AY4826">
        <v>0</v>
      </c>
      <c r="AZ4826">
        <v>0</v>
      </c>
      <c r="BA4826">
        <v>0</v>
      </c>
      <c r="BB4826">
        <v>0</v>
      </c>
      <c r="BC4826">
        <v>0</v>
      </c>
      <c r="BD4826">
        <v>0</v>
      </c>
      <c r="BE4826">
        <v>0</v>
      </c>
      <c r="BF4826">
        <v>0</v>
      </c>
      <c r="BG4826">
        <v>0</v>
      </c>
      <c r="BH4826">
        <v>1</v>
      </c>
      <c r="BI4826">
        <v>1</v>
      </c>
      <c r="BJ4826">
        <v>0.2</v>
      </c>
      <c r="BK4826">
        <v>1</v>
      </c>
      <c r="BL4826">
        <v>71.2</v>
      </c>
      <c r="BM4826">
        <v>10.68</v>
      </c>
      <c r="BN4826">
        <v>81.88</v>
      </c>
      <c r="BO4826">
        <v>81.88</v>
      </c>
      <c r="BQ4826" t="s">
        <v>335</v>
      </c>
      <c r="BR4826" t="s">
        <v>84</v>
      </c>
      <c r="BS4826" s="3">
        <v>45869</v>
      </c>
      <c r="BT4826" s="4">
        <v>0.38333333333333336</v>
      </c>
      <c r="BU4826" t="s">
        <v>2897</v>
      </c>
      <c r="BV4826" t="s">
        <v>98</v>
      </c>
      <c r="BY4826">
        <v>1200</v>
      </c>
      <c r="CA4826" t="s">
        <v>3829</v>
      </c>
      <c r="CC4826" t="s">
        <v>93</v>
      </c>
      <c r="CD4826">
        <v>4052</v>
      </c>
      <c r="CE4826" t="s">
        <v>121</v>
      </c>
      <c r="CI4826">
        <v>1</v>
      </c>
      <c r="CJ4826">
        <v>1</v>
      </c>
      <c r="CK4826">
        <v>21</v>
      </c>
      <c r="CL4826" t="s">
        <v>86</v>
      </c>
    </row>
    <row r="4827" spans="1:90" x14ac:dyDescent="0.3">
      <c r="A4827" t="s">
        <v>72</v>
      </c>
      <c r="B4827" t="s">
        <v>73</v>
      </c>
      <c r="C4827" t="s">
        <v>74</v>
      </c>
      <c r="E4827" t="str">
        <f>"080066896058"</f>
        <v>080066896058</v>
      </c>
      <c r="F4827" s="3">
        <v>45868</v>
      </c>
      <c r="G4827">
        <v>202604</v>
      </c>
      <c r="H4827" t="s">
        <v>75</v>
      </c>
      <c r="I4827" t="s">
        <v>76</v>
      </c>
      <c r="J4827" t="s">
        <v>77</v>
      </c>
      <c r="K4827" t="s">
        <v>78</v>
      </c>
      <c r="L4827" t="s">
        <v>503</v>
      </c>
      <c r="M4827" t="s">
        <v>504</v>
      </c>
      <c r="N4827" t="s">
        <v>505</v>
      </c>
      <c r="O4827" t="s">
        <v>82</v>
      </c>
      <c r="P4827" t="str">
        <f>"4170052116                    "</f>
        <v xml:space="preserve">4170052116                    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43.78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  <c r="AZ4827">
        <v>0</v>
      </c>
      <c r="BA4827">
        <v>0</v>
      </c>
      <c r="BB4827">
        <v>0</v>
      </c>
      <c r="BC4827">
        <v>0</v>
      </c>
      <c r="BD4827">
        <v>0</v>
      </c>
      <c r="BE4827">
        <v>0</v>
      </c>
      <c r="BF4827">
        <v>0</v>
      </c>
      <c r="BG4827">
        <v>0</v>
      </c>
      <c r="BH4827">
        <v>1</v>
      </c>
      <c r="BI4827">
        <v>1</v>
      </c>
      <c r="BJ4827">
        <v>0.2</v>
      </c>
      <c r="BK4827">
        <v>1</v>
      </c>
      <c r="BL4827">
        <v>137.94</v>
      </c>
      <c r="BM4827">
        <v>20.69</v>
      </c>
      <c r="BN4827">
        <v>158.63</v>
      </c>
      <c r="BO4827">
        <v>158.63</v>
      </c>
      <c r="BQ4827" t="s">
        <v>506</v>
      </c>
      <c r="BR4827" t="s">
        <v>84</v>
      </c>
      <c r="BS4827" s="3">
        <v>45869</v>
      </c>
      <c r="BT4827" s="4">
        <v>0.38958333333333334</v>
      </c>
      <c r="BU4827" t="s">
        <v>1235</v>
      </c>
      <c r="BV4827" t="s">
        <v>98</v>
      </c>
      <c r="BY4827">
        <v>1200</v>
      </c>
      <c r="CA4827" t="s">
        <v>508</v>
      </c>
      <c r="CC4827" t="s">
        <v>504</v>
      </c>
      <c r="CD4827">
        <v>7130</v>
      </c>
      <c r="CE4827" t="s">
        <v>121</v>
      </c>
      <c r="CI4827">
        <v>1</v>
      </c>
      <c r="CJ4827">
        <v>1</v>
      </c>
      <c r="CK4827">
        <v>23</v>
      </c>
      <c r="CL4827" t="s">
        <v>86</v>
      </c>
    </row>
    <row r="4828" spans="1:90" x14ac:dyDescent="0.3">
      <c r="A4828" t="s">
        <v>72</v>
      </c>
      <c r="B4828" t="s">
        <v>73</v>
      </c>
      <c r="C4828" t="s">
        <v>74</v>
      </c>
      <c r="E4828" t="str">
        <f>"080066896089"</f>
        <v>080066896089</v>
      </c>
      <c r="F4828" s="3">
        <v>45868</v>
      </c>
      <c r="G4828">
        <v>202604</v>
      </c>
      <c r="H4828" t="s">
        <v>75</v>
      </c>
      <c r="I4828" t="s">
        <v>76</v>
      </c>
      <c r="J4828" t="s">
        <v>77</v>
      </c>
      <c r="K4828" t="s">
        <v>78</v>
      </c>
      <c r="L4828" t="s">
        <v>135</v>
      </c>
      <c r="M4828" t="s">
        <v>136</v>
      </c>
      <c r="N4828" t="s">
        <v>416</v>
      </c>
      <c r="O4828" t="s">
        <v>82</v>
      </c>
      <c r="P4828" t="str">
        <f>"4170052128                    "</f>
        <v xml:space="preserve">4170052128                    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22.6</v>
      </c>
      <c r="AR4828">
        <v>0</v>
      </c>
      <c r="AS4828">
        <v>0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AZ4828">
        <v>0</v>
      </c>
      <c r="BA4828">
        <v>0</v>
      </c>
      <c r="BB4828">
        <v>0</v>
      </c>
      <c r="BC4828">
        <v>0</v>
      </c>
      <c r="BD4828">
        <v>0</v>
      </c>
      <c r="BE4828">
        <v>0</v>
      </c>
      <c r="BF4828">
        <v>0</v>
      </c>
      <c r="BG4828">
        <v>0</v>
      </c>
      <c r="BH4828">
        <v>1</v>
      </c>
      <c r="BI4828">
        <v>1</v>
      </c>
      <c r="BJ4828">
        <v>0.2</v>
      </c>
      <c r="BK4828">
        <v>1</v>
      </c>
      <c r="BL4828">
        <v>71.2</v>
      </c>
      <c r="BM4828">
        <v>10.68</v>
      </c>
      <c r="BN4828">
        <v>81.88</v>
      </c>
      <c r="BO4828">
        <v>81.88</v>
      </c>
      <c r="BQ4828" t="s">
        <v>417</v>
      </c>
      <c r="BR4828" t="s">
        <v>84</v>
      </c>
      <c r="BS4828" t="s">
        <v>587</v>
      </c>
      <c r="BY4828">
        <v>1200</v>
      </c>
      <c r="CC4828" t="s">
        <v>136</v>
      </c>
      <c r="CD4828">
        <v>3201</v>
      </c>
      <c r="CE4828" t="s">
        <v>121</v>
      </c>
      <c r="CI4828">
        <v>1</v>
      </c>
      <c r="CJ4828" t="s">
        <v>587</v>
      </c>
      <c r="CK4828">
        <v>21</v>
      </c>
      <c r="CL4828" t="s">
        <v>86</v>
      </c>
    </row>
    <row r="4829" spans="1:90" x14ac:dyDescent="0.3">
      <c r="A4829" t="s">
        <v>72</v>
      </c>
      <c r="B4829" t="s">
        <v>73</v>
      </c>
      <c r="C4829" t="s">
        <v>74</v>
      </c>
      <c r="E4829" t="str">
        <f>"080066896121"</f>
        <v>080066896121</v>
      </c>
      <c r="F4829" s="3">
        <v>45868</v>
      </c>
      <c r="G4829">
        <v>202604</v>
      </c>
      <c r="H4829" t="s">
        <v>75</v>
      </c>
      <c r="I4829" t="s">
        <v>76</v>
      </c>
      <c r="J4829" t="s">
        <v>77</v>
      </c>
      <c r="K4829" t="s">
        <v>78</v>
      </c>
      <c r="L4829" t="s">
        <v>102</v>
      </c>
      <c r="M4829" t="s">
        <v>103</v>
      </c>
      <c r="N4829" t="s">
        <v>2293</v>
      </c>
      <c r="O4829" t="s">
        <v>82</v>
      </c>
      <c r="P4829" t="str">
        <f>"4170052120                    "</f>
        <v xml:space="preserve">4170052120                    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31.78</v>
      </c>
      <c r="AR4829">
        <v>0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AZ4829">
        <v>0</v>
      </c>
      <c r="BA4829">
        <v>0</v>
      </c>
      <c r="BB4829">
        <v>0</v>
      </c>
      <c r="BC4829">
        <v>0</v>
      </c>
      <c r="BD4829">
        <v>0</v>
      </c>
      <c r="BE4829">
        <v>0</v>
      </c>
      <c r="BF4829">
        <v>0</v>
      </c>
      <c r="BG4829">
        <v>0</v>
      </c>
      <c r="BH4829">
        <v>1</v>
      </c>
      <c r="BI4829">
        <v>1</v>
      </c>
      <c r="BJ4829">
        <v>0.2</v>
      </c>
      <c r="BK4829">
        <v>1</v>
      </c>
      <c r="BL4829">
        <v>100.13</v>
      </c>
      <c r="BM4829">
        <v>15.02</v>
      </c>
      <c r="BN4829">
        <v>115.15</v>
      </c>
      <c r="BO4829">
        <v>115.15</v>
      </c>
      <c r="BQ4829" t="s">
        <v>2294</v>
      </c>
      <c r="BR4829" t="s">
        <v>84</v>
      </c>
      <c r="BS4829" s="3">
        <v>45869</v>
      </c>
      <c r="BT4829" s="4">
        <v>0.45902777777777776</v>
      </c>
      <c r="BU4829" t="s">
        <v>2295</v>
      </c>
      <c r="BV4829" t="s">
        <v>86</v>
      </c>
      <c r="BY4829">
        <v>1200</v>
      </c>
      <c r="CA4829" t="s">
        <v>2296</v>
      </c>
      <c r="CC4829" t="s">
        <v>103</v>
      </c>
      <c r="CD4829">
        <v>1739</v>
      </c>
      <c r="CE4829" t="s">
        <v>258</v>
      </c>
      <c r="CI4829">
        <v>1</v>
      </c>
      <c r="CJ4829">
        <v>1</v>
      </c>
      <c r="CK4829">
        <v>24</v>
      </c>
      <c r="CL4829" t="s">
        <v>86</v>
      </c>
    </row>
    <row r="4830" spans="1:90" x14ac:dyDescent="0.3">
      <c r="A4830" t="s">
        <v>72</v>
      </c>
      <c r="B4830" t="s">
        <v>73</v>
      </c>
      <c r="C4830" t="s">
        <v>74</v>
      </c>
      <c r="E4830" t="str">
        <f>"080066896210"</f>
        <v>080066896210</v>
      </c>
      <c r="F4830" s="3">
        <v>45868</v>
      </c>
      <c r="G4830">
        <v>202604</v>
      </c>
      <c r="H4830" t="s">
        <v>75</v>
      </c>
      <c r="I4830" t="s">
        <v>76</v>
      </c>
      <c r="J4830" t="s">
        <v>77</v>
      </c>
      <c r="K4830" t="s">
        <v>78</v>
      </c>
      <c r="L4830" t="s">
        <v>79</v>
      </c>
      <c r="M4830" t="s">
        <v>80</v>
      </c>
      <c r="N4830" t="s">
        <v>3998</v>
      </c>
      <c r="O4830" t="s">
        <v>82</v>
      </c>
      <c r="P4830" t="str">
        <f>"4170052038                    "</f>
        <v xml:space="preserve">4170052038                    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22.6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AZ4830">
        <v>0</v>
      </c>
      <c r="BA4830">
        <v>0</v>
      </c>
      <c r="BB4830">
        <v>0</v>
      </c>
      <c r="BC4830">
        <v>0</v>
      </c>
      <c r="BD4830">
        <v>0</v>
      </c>
      <c r="BE4830">
        <v>0</v>
      </c>
      <c r="BF4830">
        <v>0</v>
      </c>
      <c r="BG4830">
        <v>0</v>
      </c>
      <c r="BH4830">
        <v>1</v>
      </c>
      <c r="BI4830">
        <v>1</v>
      </c>
      <c r="BJ4830">
        <v>0.2</v>
      </c>
      <c r="BK4830">
        <v>1</v>
      </c>
      <c r="BL4830">
        <v>71.2</v>
      </c>
      <c r="BM4830">
        <v>10.68</v>
      </c>
      <c r="BN4830">
        <v>81.88</v>
      </c>
      <c r="BO4830">
        <v>81.88</v>
      </c>
      <c r="BQ4830" t="s">
        <v>3999</v>
      </c>
      <c r="BR4830" t="s">
        <v>84</v>
      </c>
      <c r="BS4830" s="3">
        <v>45869</v>
      </c>
      <c r="BT4830" s="4">
        <v>0.42499999999999999</v>
      </c>
      <c r="BU4830" t="s">
        <v>4000</v>
      </c>
      <c r="BV4830" t="s">
        <v>98</v>
      </c>
      <c r="BY4830">
        <v>1200</v>
      </c>
      <c r="CA4830" t="s">
        <v>495</v>
      </c>
      <c r="CC4830" t="s">
        <v>80</v>
      </c>
      <c r="CD4830">
        <v>7800</v>
      </c>
      <c r="CE4830" t="s">
        <v>258</v>
      </c>
      <c r="CI4830">
        <v>1</v>
      </c>
      <c r="CJ4830">
        <v>1</v>
      </c>
      <c r="CK4830">
        <v>21</v>
      </c>
      <c r="CL4830" t="s">
        <v>86</v>
      </c>
    </row>
    <row r="4831" spans="1:90" x14ac:dyDescent="0.3">
      <c r="A4831" t="s">
        <v>72</v>
      </c>
      <c r="B4831" t="s">
        <v>73</v>
      </c>
      <c r="C4831" t="s">
        <v>74</v>
      </c>
      <c r="E4831" t="str">
        <f>"080066896290"</f>
        <v>080066896290</v>
      </c>
      <c r="F4831" s="3">
        <v>45868</v>
      </c>
      <c r="G4831">
        <v>202604</v>
      </c>
      <c r="H4831" t="s">
        <v>75</v>
      </c>
      <c r="I4831" t="s">
        <v>76</v>
      </c>
      <c r="J4831" t="s">
        <v>77</v>
      </c>
      <c r="K4831" t="s">
        <v>78</v>
      </c>
      <c r="L4831" t="s">
        <v>79</v>
      </c>
      <c r="M4831" t="s">
        <v>80</v>
      </c>
      <c r="N4831" t="s">
        <v>286</v>
      </c>
      <c r="O4831" t="s">
        <v>82</v>
      </c>
      <c r="P4831" t="str">
        <f>"4170052121                    "</f>
        <v xml:space="preserve">4170052121                    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22.6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AZ4831">
        <v>0</v>
      </c>
      <c r="BA4831">
        <v>0</v>
      </c>
      <c r="BB4831">
        <v>0</v>
      </c>
      <c r="BC4831">
        <v>0</v>
      </c>
      <c r="BD4831">
        <v>0</v>
      </c>
      <c r="BE4831">
        <v>0</v>
      </c>
      <c r="BF4831">
        <v>0</v>
      </c>
      <c r="BG4831">
        <v>0</v>
      </c>
      <c r="BH4831">
        <v>1</v>
      </c>
      <c r="BI4831">
        <v>1</v>
      </c>
      <c r="BJ4831">
        <v>0.2</v>
      </c>
      <c r="BK4831">
        <v>1</v>
      </c>
      <c r="BL4831">
        <v>71.2</v>
      </c>
      <c r="BM4831">
        <v>10.68</v>
      </c>
      <c r="BN4831">
        <v>81.88</v>
      </c>
      <c r="BO4831">
        <v>81.88</v>
      </c>
      <c r="BQ4831" t="s">
        <v>287</v>
      </c>
      <c r="BR4831" t="s">
        <v>84</v>
      </c>
      <c r="BS4831" s="3">
        <v>45869</v>
      </c>
      <c r="BT4831" s="4">
        <v>0.56736111111111109</v>
      </c>
      <c r="BU4831" t="s">
        <v>4001</v>
      </c>
      <c r="BV4831" t="s">
        <v>86</v>
      </c>
      <c r="BY4831">
        <v>1200</v>
      </c>
      <c r="CA4831" t="s">
        <v>934</v>
      </c>
      <c r="CC4831" t="s">
        <v>80</v>
      </c>
      <c r="CD4831">
        <v>7530</v>
      </c>
      <c r="CE4831" t="s">
        <v>121</v>
      </c>
      <c r="CI4831">
        <v>1</v>
      </c>
      <c r="CJ4831">
        <v>1</v>
      </c>
      <c r="CK4831">
        <v>21</v>
      </c>
      <c r="CL4831" t="s">
        <v>86</v>
      </c>
    </row>
    <row r="4832" spans="1:90" x14ac:dyDescent="0.3">
      <c r="A4832" t="s">
        <v>72</v>
      </c>
      <c r="B4832" t="s">
        <v>73</v>
      </c>
      <c r="C4832" t="s">
        <v>74</v>
      </c>
      <c r="E4832" t="str">
        <f>"080066896341"</f>
        <v>080066896341</v>
      </c>
      <c r="F4832" s="3">
        <v>45868</v>
      </c>
      <c r="G4832">
        <v>202604</v>
      </c>
      <c r="H4832" t="s">
        <v>75</v>
      </c>
      <c r="I4832" t="s">
        <v>76</v>
      </c>
      <c r="J4832" t="s">
        <v>77</v>
      </c>
      <c r="K4832" t="s">
        <v>78</v>
      </c>
      <c r="L4832" t="s">
        <v>1462</v>
      </c>
      <c r="M4832" t="s">
        <v>1463</v>
      </c>
      <c r="N4832" t="s">
        <v>1464</v>
      </c>
      <c r="O4832" t="s">
        <v>82</v>
      </c>
      <c r="P4832" t="str">
        <f>"4170052136                    "</f>
        <v xml:space="preserve">4170052136                    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43.78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AZ4832">
        <v>0</v>
      </c>
      <c r="BA4832">
        <v>0</v>
      </c>
      <c r="BB4832">
        <v>0</v>
      </c>
      <c r="BC4832">
        <v>0</v>
      </c>
      <c r="BD4832">
        <v>0</v>
      </c>
      <c r="BE4832">
        <v>0</v>
      </c>
      <c r="BF4832">
        <v>0</v>
      </c>
      <c r="BG4832">
        <v>0</v>
      </c>
      <c r="BH4832">
        <v>1</v>
      </c>
      <c r="BI4832">
        <v>1</v>
      </c>
      <c r="BJ4832">
        <v>0.2</v>
      </c>
      <c r="BK4832">
        <v>1</v>
      </c>
      <c r="BL4832">
        <v>137.94</v>
      </c>
      <c r="BM4832">
        <v>20.69</v>
      </c>
      <c r="BN4832">
        <v>158.63</v>
      </c>
      <c r="BO4832">
        <v>158.63</v>
      </c>
      <c r="BQ4832" t="s">
        <v>1465</v>
      </c>
      <c r="BR4832" t="s">
        <v>84</v>
      </c>
      <c r="BS4832" t="s">
        <v>587</v>
      </c>
      <c r="BY4832">
        <v>1200</v>
      </c>
      <c r="CC4832" t="s">
        <v>1463</v>
      </c>
      <c r="CD4832">
        <v>3290</v>
      </c>
      <c r="CE4832" t="s">
        <v>121</v>
      </c>
      <c r="CI4832">
        <v>1</v>
      </c>
      <c r="CJ4832" t="s">
        <v>587</v>
      </c>
      <c r="CK4832">
        <v>23</v>
      </c>
      <c r="CL4832" t="s">
        <v>86</v>
      </c>
    </row>
    <row r="4833" spans="1:90" x14ac:dyDescent="0.3">
      <c r="A4833" t="s">
        <v>72</v>
      </c>
      <c r="B4833" t="s">
        <v>73</v>
      </c>
      <c r="C4833" t="s">
        <v>74</v>
      </c>
      <c r="E4833" t="str">
        <f>"080066896566"</f>
        <v>080066896566</v>
      </c>
      <c r="F4833" s="3">
        <v>45868</v>
      </c>
      <c r="G4833">
        <v>202604</v>
      </c>
      <c r="H4833" t="s">
        <v>75</v>
      </c>
      <c r="I4833" t="s">
        <v>76</v>
      </c>
      <c r="J4833" t="s">
        <v>77</v>
      </c>
      <c r="K4833" t="s">
        <v>78</v>
      </c>
      <c r="L4833" t="s">
        <v>102</v>
      </c>
      <c r="M4833" t="s">
        <v>103</v>
      </c>
      <c r="N4833" t="s">
        <v>104</v>
      </c>
      <c r="O4833" t="s">
        <v>311</v>
      </c>
      <c r="P4833" t="str">
        <f>"4170052066                    "</f>
        <v xml:space="preserve">4170052066                    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89.01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AZ4833">
        <v>0</v>
      </c>
      <c r="BA4833">
        <v>0</v>
      </c>
      <c r="BB4833">
        <v>0</v>
      </c>
      <c r="BC4833">
        <v>0</v>
      </c>
      <c r="BD4833">
        <v>0</v>
      </c>
      <c r="BE4833">
        <v>0</v>
      </c>
      <c r="BF4833">
        <v>0</v>
      </c>
      <c r="BG4833">
        <v>0</v>
      </c>
      <c r="BH4833">
        <v>1</v>
      </c>
      <c r="BI4833">
        <v>5</v>
      </c>
      <c r="BJ4833">
        <v>3.4</v>
      </c>
      <c r="BK4833">
        <v>5</v>
      </c>
      <c r="BL4833">
        <v>280.42</v>
      </c>
      <c r="BM4833">
        <v>42.06</v>
      </c>
      <c r="BN4833">
        <v>322.48</v>
      </c>
      <c r="BO4833">
        <v>322.48</v>
      </c>
      <c r="BQ4833" t="s">
        <v>833</v>
      </c>
      <c r="BR4833" t="s">
        <v>84</v>
      </c>
      <c r="BS4833" s="3">
        <v>45869</v>
      </c>
      <c r="BT4833" s="4">
        <v>0.39027777777777778</v>
      </c>
      <c r="BU4833" t="s">
        <v>107</v>
      </c>
      <c r="BV4833" t="s">
        <v>98</v>
      </c>
      <c r="BY4833">
        <v>16965</v>
      </c>
      <c r="CA4833" t="s">
        <v>109</v>
      </c>
      <c r="CC4833" t="s">
        <v>103</v>
      </c>
      <c r="CD4833">
        <v>1748</v>
      </c>
      <c r="CE4833" t="s">
        <v>145</v>
      </c>
      <c r="CI4833">
        <v>1</v>
      </c>
      <c r="CJ4833">
        <v>1</v>
      </c>
      <c r="CK4833">
        <v>34</v>
      </c>
      <c r="CL4833" t="s">
        <v>86</v>
      </c>
    </row>
    <row r="4834" spans="1:90" x14ac:dyDescent="0.3">
      <c r="A4834" t="s">
        <v>72</v>
      </c>
      <c r="B4834" t="s">
        <v>73</v>
      </c>
      <c r="C4834" t="s">
        <v>74</v>
      </c>
      <c r="E4834" t="str">
        <f>"080066896649"</f>
        <v>080066896649</v>
      </c>
      <c r="F4834" s="3">
        <v>45868</v>
      </c>
      <c r="G4834">
        <v>202604</v>
      </c>
      <c r="H4834" t="s">
        <v>75</v>
      </c>
      <c r="I4834" t="s">
        <v>76</v>
      </c>
      <c r="J4834" t="s">
        <v>77</v>
      </c>
      <c r="K4834" t="s">
        <v>78</v>
      </c>
      <c r="L4834" t="s">
        <v>79</v>
      </c>
      <c r="M4834" t="s">
        <v>80</v>
      </c>
      <c r="N4834" t="s">
        <v>1775</v>
      </c>
      <c r="O4834" t="s">
        <v>82</v>
      </c>
      <c r="P4834" t="str">
        <f>"4170052129                    "</f>
        <v xml:space="preserve">4170052129                    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22.6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0</v>
      </c>
      <c r="BA4834">
        <v>0</v>
      </c>
      <c r="BB4834">
        <v>0</v>
      </c>
      <c r="BC4834">
        <v>0</v>
      </c>
      <c r="BD4834">
        <v>0</v>
      </c>
      <c r="BE4834">
        <v>0</v>
      </c>
      <c r="BF4834">
        <v>0</v>
      </c>
      <c r="BG4834">
        <v>0</v>
      </c>
      <c r="BH4834">
        <v>1</v>
      </c>
      <c r="BI4834">
        <v>1</v>
      </c>
      <c r="BJ4834">
        <v>0.2</v>
      </c>
      <c r="BK4834">
        <v>1</v>
      </c>
      <c r="BL4834">
        <v>71.2</v>
      </c>
      <c r="BM4834">
        <v>10.68</v>
      </c>
      <c r="BN4834">
        <v>81.88</v>
      </c>
      <c r="BO4834">
        <v>81.88</v>
      </c>
      <c r="BQ4834" t="s">
        <v>1776</v>
      </c>
      <c r="BR4834" t="s">
        <v>84</v>
      </c>
      <c r="BS4834" t="s">
        <v>587</v>
      </c>
      <c r="BY4834">
        <v>1200</v>
      </c>
      <c r="CC4834" t="s">
        <v>80</v>
      </c>
      <c r="CD4834">
        <v>7530</v>
      </c>
      <c r="CE4834" t="s">
        <v>258</v>
      </c>
      <c r="CI4834">
        <v>1</v>
      </c>
      <c r="CJ4834" t="s">
        <v>587</v>
      </c>
      <c r="CK4834">
        <v>21</v>
      </c>
      <c r="CL4834" t="s">
        <v>86</v>
      </c>
    </row>
    <row r="4835" spans="1:90" x14ac:dyDescent="0.3">
      <c r="A4835" t="s">
        <v>72</v>
      </c>
      <c r="B4835" t="s">
        <v>73</v>
      </c>
      <c r="C4835" t="s">
        <v>74</v>
      </c>
      <c r="E4835" t="str">
        <f>"080066896754"</f>
        <v>080066896754</v>
      </c>
      <c r="F4835" s="3">
        <v>45868</v>
      </c>
      <c r="G4835">
        <v>202604</v>
      </c>
      <c r="H4835" t="s">
        <v>75</v>
      </c>
      <c r="I4835" t="s">
        <v>76</v>
      </c>
      <c r="J4835" t="s">
        <v>77</v>
      </c>
      <c r="K4835" t="s">
        <v>78</v>
      </c>
      <c r="L4835" t="s">
        <v>1128</v>
      </c>
      <c r="M4835" t="s">
        <v>1129</v>
      </c>
      <c r="N4835" t="s">
        <v>2083</v>
      </c>
      <c r="O4835" t="s">
        <v>95</v>
      </c>
      <c r="P4835" t="str">
        <f>"4170052078                    "</f>
        <v xml:space="preserve">4170052078                    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85.2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AZ4835">
        <v>0</v>
      </c>
      <c r="BA4835">
        <v>0</v>
      </c>
      <c r="BB4835">
        <v>0</v>
      </c>
      <c r="BC4835">
        <v>0</v>
      </c>
      <c r="BD4835">
        <v>0</v>
      </c>
      <c r="BE4835">
        <v>0</v>
      </c>
      <c r="BF4835">
        <v>0</v>
      </c>
      <c r="BG4835">
        <v>0</v>
      </c>
      <c r="BH4835">
        <v>3</v>
      </c>
      <c r="BI4835">
        <v>38</v>
      </c>
      <c r="BJ4835">
        <v>10.199999999999999</v>
      </c>
      <c r="BK4835">
        <v>38</v>
      </c>
      <c r="BL4835">
        <v>274.29000000000002</v>
      </c>
      <c r="BM4835">
        <v>41.14</v>
      </c>
      <c r="BN4835">
        <v>315.43</v>
      </c>
      <c r="BO4835">
        <v>315.43</v>
      </c>
      <c r="BQ4835" t="s">
        <v>2084</v>
      </c>
      <c r="BR4835" t="s">
        <v>84</v>
      </c>
      <c r="BS4835" t="s">
        <v>587</v>
      </c>
      <c r="BY4835">
        <v>33930</v>
      </c>
      <c r="CC4835" t="s">
        <v>1129</v>
      </c>
      <c r="CD4835">
        <v>7600</v>
      </c>
      <c r="CE4835" t="s">
        <v>2802</v>
      </c>
      <c r="CI4835">
        <v>3</v>
      </c>
      <c r="CJ4835" t="s">
        <v>587</v>
      </c>
      <c r="CK4835">
        <v>41</v>
      </c>
      <c r="CL4835" t="s">
        <v>86</v>
      </c>
    </row>
    <row r="4836" spans="1:90" x14ac:dyDescent="0.3">
      <c r="A4836" t="s">
        <v>72</v>
      </c>
      <c r="B4836" t="s">
        <v>73</v>
      </c>
      <c r="C4836" t="s">
        <v>74</v>
      </c>
      <c r="E4836" t="str">
        <f>"080066896811"</f>
        <v>080066896811</v>
      </c>
      <c r="F4836" s="3">
        <v>45868</v>
      </c>
      <c r="G4836">
        <v>202604</v>
      </c>
      <c r="H4836" t="s">
        <v>75</v>
      </c>
      <c r="I4836" t="s">
        <v>76</v>
      </c>
      <c r="J4836" t="s">
        <v>77</v>
      </c>
      <c r="K4836" t="s">
        <v>78</v>
      </c>
      <c r="L4836" t="s">
        <v>135</v>
      </c>
      <c r="M4836" t="s">
        <v>136</v>
      </c>
      <c r="N4836" t="s">
        <v>416</v>
      </c>
      <c r="O4836" t="s">
        <v>82</v>
      </c>
      <c r="P4836" t="str">
        <f>"4170052088                    "</f>
        <v xml:space="preserve">4170052088                    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22.6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AZ4836">
        <v>0</v>
      </c>
      <c r="BA4836">
        <v>0</v>
      </c>
      <c r="BB4836">
        <v>0</v>
      </c>
      <c r="BC4836">
        <v>0</v>
      </c>
      <c r="BD4836">
        <v>0</v>
      </c>
      <c r="BE4836">
        <v>0</v>
      </c>
      <c r="BF4836">
        <v>0</v>
      </c>
      <c r="BG4836">
        <v>0</v>
      </c>
      <c r="BH4836">
        <v>1</v>
      </c>
      <c r="BI4836">
        <v>2</v>
      </c>
      <c r="BJ4836">
        <v>1.4</v>
      </c>
      <c r="BK4836">
        <v>2</v>
      </c>
      <c r="BL4836">
        <v>71.2</v>
      </c>
      <c r="BM4836">
        <v>10.68</v>
      </c>
      <c r="BN4836">
        <v>81.88</v>
      </c>
      <c r="BO4836">
        <v>81.88</v>
      </c>
      <c r="BQ4836" t="s">
        <v>417</v>
      </c>
      <c r="BR4836" t="s">
        <v>84</v>
      </c>
      <c r="BS4836" t="s">
        <v>587</v>
      </c>
      <c r="BY4836">
        <v>7000</v>
      </c>
      <c r="CC4836" t="s">
        <v>136</v>
      </c>
      <c r="CD4836">
        <v>3201</v>
      </c>
      <c r="CE4836" t="s">
        <v>145</v>
      </c>
      <c r="CI4836">
        <v>1</v>
      </c>
      <c r="CJ4836" t="s">
        <v>587</v>
      </c>
      <c r="CK4836">
        <v>21</v>
      </c>
      <c r="CL4836" t="s">
        <v>86</v>
      </c>
    </row>
    <row r="4837" spans="1:90" x14ac:dyDescent="0.3">
      <c r="A4837" t="s">
        <v>72</v>
      </c>
      <c r="B4837" t="s">
        <v>73</v>
      </c>
      <c r="C4837" t="s">
        <v>74</v>
      </c>
      <c r="E4837" t="str">
        <f>"080066896898"</f>
        <v>080066896898</v>
      </c>
      <c r="F4837" s="3">
        <v>45868</v>
      </c>
      <c r="G4837">
        <v>202604</v>
      </c>
      <c r="H4837" t="s">
        <v>75</v>
      </c>
      <c r="I4837" t="s">
        <v>76</v>
      </c>
      <c r="J4837" t="s">
        <v>77</v>
      </c>
      <c r="K4837" t="s">
        <v>78</v>
      </c>
      <c r="L4837" t="s">
        <v>240</v>
      </c>
      <c r="M4837" t="s">
        <v>241</v>
      </c>
      <c r="N4837" t="s">
        <v>779</v>
      </c>
      <c r="O4837" t="s">
        <v>82</v>
      </c>
      <c r="P4837" t="str">
        <f>"4170052091                    "</f>
        <v xml:space="preserve">4170052091                    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17.649999999999999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0</v>
      </c>
      <c r="BA4837">
        <v>0</v>
      </c>
      <c r="BB4837">
        <v>0</v>
      </c>
      <c r="BC4837">
        <v>0</v>
      </c>
      <c r="BD4837">
        <v>0</v>
      </c>
      <c r="BE4837">
        <v>0</v>
      </c>
      <c r="BF4837">
        <v>0</v>
      </c>
      <c r="BG4837">
        <v>0</v>
      </c>
      <c r="BH4837">
        <v>1</v>
      </c>
      <c r="BI4837">
        <v>1</v>
      </c>
      <c r="BJ4837">
        <v>1.4</v>
      </c>
      <c r="BK4837">
        <v>2</v>
      </c>
      <c r="BL4837">
        <v>55.61</v>
      </c>
      <c r="BM4837">
        <v>8.34</v>
      </c>
      <c r="BN4837">
        <v>63.95</v>
      </c>
      <c r="BO4837">
        <v>63.95</v>
      </c>
      <c r="BQ4837" t="s">
        <v>780</v>
      </c>
      <c r="BR4837" t="s">
        <v>84</v>
      </c>
      <c r="BS4837" t="s">
        <v>587</v>
      </c>
      <c r="BY4837">
        <v>7000</v>
      </c>
      <c r="CC4837" t="s">
        <v>241</v>
      </c>
      <c r="CD4837">
        <v>2092</v>
      </c>
      <c r="CE4837" t="s">
        <v>145</v>
      </c>
      <c r="CI4837">
        <v>1</v>
      </c>
      <c r="CJ4837" t="s">
        <v>587</v>
      </c>
      <c r="CK4837">
        <v>22</v>
      </c>
      <c r="CL4837" t="s">
        <v>86</v>
      </c>
    </row>
    <row r="4838" spans="1:90" x14ac:dyDescent="0.3">
      <c r="A4838" t="s">
        <v>72</v>
      </c>
      <c r="B4838" t="s">
        <v>73</v>
      </c>
      <c r="C4838" t="s">
        <v>74</v>
      </c>
      <c r="E4838" t="str">
        <f>"R080066843691"</f>
        <v>R080066843691</v>
      </c>
      <c r="F4838" s="3">
        <v>45868</v>
      </c>
      <c r="G4838">
        <v>202604</v>
      </c>
      <c r="H4838" t="s">
        <v>390</v>
      </c>
      <c r="I4838" t="s">
        <v>391</v>
      </c>
      <c r="J4838" t="s">
        <v>3639</v>
      </c>
      <c r="K4838" t="s">
        <v>78</v>
      </c>
      <c r="L4838" t="s">
        <v>75</v>
      </c>
      <c r="M4838" t="s">
        <v>76</v>
      </c>
      <c r="N4838" t="s">
        <v>4002</v>
      </c>
      <c r="O4838" t="s">
        <v>95</v>
      </c>
      <c r="P4838" t="str">
        <f>"4170051632                    "</f>
        <v xml:space="preserve">4170051632                    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>
        <v>33.72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AZ4838">
        <v>0</v>
      </c>
      <c r="BA4838">
        <v>0</v>
      </c>
      <c r="BB4838">
        <v>0</v>
      </c>
      <c r="BC4838">
        <v>0</v>
      </c>
      <c r="BD4838">
        <v>0</v>
      </c>
      <c r="BE4838">
        <v>0</v>
      </c>
      <c r="BF4838">
        <v>0</v>
      </c>
      <c r="BG4838">
        <v>0</v>
      </c>
      <c r="BH4838">
        <v>1</v>
      </c>
      <c r="BI4838">
        <v>2</v>
      </c>
      <c r="BJ4838">
        <v>3.1</v>
      </c>
      <c r="BK4838">
        <v>4</v>
      </c>
      <c r="BL4838">
        <v>112.11</v>
      </c>
      <c r="BM4838">
        <v>16.82</v>
      </c>
      <c r="BN4838">
        <v>128.93</v>
      </c>
      <c r="BO4838">
        <v>128.93</v>
      </c>
      <c r="BQ4838" t="s">
        <v>4003</v>
      </c>
      <c r="BR4838" t="s">
        <v>3640</v>
      </c>
      <c r="BS4838" s="3">
        <v>45869</v>
      </c>
      <c r="BT4838" s="4">
        <v>0.35069444444444442</v>
      </c>
      <c r="BU4838" t="s">
        <v>2571</v>
      </c>
      <c r="BV4838" t="s">
        <v>98</v>
      </c>
      <c r="BY4838">
        <v>15708</v>
      </c>
      <c r="CA4838" t="s">
        <v>304</v>
      </c>
      <c r="CC4838" t="s">
        <v>76</v>
      </c>
      <c r="CD4838">
        <v>1600</v>
      </c>
      <c r="CE4838" t="s">
        <v>91</v>
      </c>
      <c r="CI4838">
        <v>1</v>
      </c>
      <c r="CJ4838">
        <v>1</v>
      </c>
      <c r="CK4838">
        <v>42</v>
      </c>
      <c r="CL4838" t="s">
        <v>86</v>
      </c>
    </row>
    <row r="4839" spans="1:90" x14ac:dyDescent="0.3">
      <c r="A4839" t="s">
        <v>72</v>
      </c>
      <c r="B4839" t="s">
        <v>73</v>
      </c>
      <c r="C4839" t="s">
        <v>74</v>
      </c>
      <c r="E4839" t="str">
        <f>"080066896984"</f>
        <v>080066896984</v>
      </c>
      <c r="F4839" s="3">
        <v>45868</v>
      </c>
      <c r="G4839">
        <v>202604</v>
      </c>
      <c r="H4839" t="s">
        <v>75</v>
      </c>
      <c r="I4839" t="s">
        <v>76</v>
      </c>
      <c r="J4839" t="s">
        <v>77</v>
      </c>
      <c r="K4839" t="s">
        <v>78</v>
      </c>
      <c r="L4839" t="s">
        <v>252</v>
      </c>
      <c r="M4839" t="s">
        <v>253</v>
      </c>
      <c r="N4839" t="s">
        <v>254</v>
      </c>
      <c r="O4839" t="s">
        <v>82</v>
      </c>
      <c r="P4839" t="str">
        <f>"4170052000                    "</f>
        <v xml:space="preserve">4170052000                    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271.16000000000003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AZ4839">
        <v>0</v>
      </c>
      <c r="BA4839">
        <v>0</v>
      </c>
      <c r="BB4839">
        <v>0</v>
      </c>
      <c r="BC4839">
        <v>0</v>
      </c>
      <c r="BD4839">
        <v>0</v>
      </c>
      <c r="BE4839">
        <v>0</v>
      </c>
      <c r="BF4839">
        <v>0</v>
      </c>
      <c r="BG4839">
        <v>0</v>
      </c>
      <c r="BH4839">
        <v>1</v>
      </c>
      <c r="BI4839">
        <v>8</v>
      </c>
      <c r="BJ4839">
        <v>13.4</v>
      </c>
      <c r="BK4839">
        <v>13.5</v>
      </c>
      <c r="BL4839">
        <v>854.3</v>
      </c>
      <c r="BM4839">
        <v>128.15</v>
      </c>
      <c r="BN4839">
        <v>982.45</v>
      </c>
      <c r="BO4839">
        <v>982.45</v>
      </c>
      <c r="BQ4839" t="s">
        <v>255</v>
      </c>
      <c r="BR4839" t="s">
        <v>84</v>
      </c>
      <c r="BS4839" s="3">
        <v>45869</v>
      </c>
      <c r="BT4839" s="4">
        <v>0.35625000000000001</v>
      </c>
      <c r="BU4839" t="s">
        <v>2512</v>
      </c>
      <c r="BV4839" t="s">
        <v>98</v>
      </c>
      <c r="BY4839">
        <v>67228</v>
      </c>
      <c r="CA4839" t="s">
        <v>2513</v>
      </c>
      <c r="CC4839" t="s">
        <v>253</v>
      </c>
      <c r="CD4839">
        <v>1947</v>
      </c>
      <c r="CE4839" t="s">
        <v>91</v>
      </c>
      <c r="CI4839">
        <v>1</v>
      </c>
      <c r="CJ4839">
        <v>1</v>
      </c>
      <c r="CK4839">
        <v>23</v>
      </c>
      <c r="CL4839" t="s">
        <v>86</v>
      </c>
    </row>
    <row r="4840" spans="1:90" x14ac:dyDescent="0.3">
      <c r="A4840" t="s">
        <v>72</v>
      </c>
      <c r="B4840" t="s">
        <v>73</v>
      </c>
      <c r="C4840" t="s">
        <v>74</v>
      </c>
      <c r="E4840" t="str">
        <f>"080066896992"</f>
        <v>080066896992</v>
      </c>
      <c r="F4840" s="3">
        <v>45868</v>
      </c>
      <c r="G4840">
        <v>202604</v>
      </c>
      <c r="H4840" t="s">
        <v>75</v>
      </c>
      <c r="I4840" t="s">
        <v>76</v>
      </c>
      <c r="J4840" t="s">
        <v>77</v>
      </c>
      <c r="K4840" t="s">
        <v>78</v>
      </c>
      <c r="L4840" t="s">
        <v>580</v>
      </c>
      <c r="M4840" t="s">
        <v>581</v>
      </c>
      <c r="N4840" t="s">
        <v>582</v>
      </c>
      <c r="O4840" t="s">
        <v>82</v>
      </c>
      <c r="P4840" t="str">
        <f>"4170052071                    "</f>
        <v xml:space="preserve">4170052071                    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50.82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AZ4840">
        <v>0</v>
      </c>
      <c r="BA4840">
        <v>0</v>
      </c>
      <c r="BB4840">
        <v>0</v>
      </c>
      <c r="BC4840">
        <v>0</v>
      </c>
      <c r="BD4840">
        <v>0</v>
      </c>
      <c r="BE4840">
        <v>0</v>
      </c>
      <c r="BF4840">
        <v>0</v>
      </c>
      <c r="BG4840">
        <v>0</v>
      </c>
      <c r="BH4840">
        <v>1</v>
      </c>
      <c r="BI4840">
        <v>2</v>
      </c>
      <c r="BJ4840">
        <v>4.0999999999999996</v>
      </c>
      <c r="BK4840">
        <v>4.5</v>
      </c>
      <c r="BL4840">
        <v>160.12</v>
      </c>
      <c r="BM4840">
        <v>24.02</v>
      </c>
      <c r="BN4840">
        <v>184.14</v>
      </c>
      <c r="BO4840">
        <v>184.14</v>
      </c>
      <c r="BQ4840" t="s">
        <v>583</v>
      </c>
      <c r="BR4840" t="s">
        <v>84</v>
      </c>
      <c r="BS4840" s="3">
        <v>45869</v>
      </c>
      <c r="BT4840" s="4">
        <v>0.41805555555555557</v>
      </c>
      <c r="BU4840" t="s">
        <v>584</v>
      </c>
      <c r="BV4840" t="s">
        <v>98</v>
      </c>
      <c r="BY4840">
        <v>20358</v>
      </c>
      <c r="CA4840" t="s">
        <v>585</v>
      </c>
      <c r="CC4840" t="s">
        <v>581</v>
      </c>
      <c r="CD4840">
        <v>4302</v>
      </c>
      <c r="CE4840" t="s">
        <v>145</v>
      </c>
      <c r="CI4840">
        <v>1</v>
      </c>
      <c r="CJ4840">
        <v>1</v>
      </c>
      <c r="CK4840">
        <v>21</v>
      </c>
      <c r="CL4840" t="s">
        <v>86</v>
      </c>
    </row>
    <row r="4841" spans="1:90" x14ac:dyDescent="0.3">
      <c r="A4841" t="s">
        <v>72</v>
      </c>
      <c r="B4841" t="s">
        <v>73</v>
      </c>
      <c r="C4841" t="s">
        <v>74</v>
      </c>
      <c r="E4841" t="str">
        <f>"080066897229"</f>
        <v>080066897229</v>
      </c>
      <c r="F4841" s="3">
        <v>45868</v>
      </c>
      <c r="G4841">
        <v>202604</v>
      </c>
      <c r="H4841" t="s">
        <v>75</v>
      </c>
      <c r="I4841" t="s">
        <v>76</v>
      </c>
      <c r="J4841" t="s">
        <v>77</v>
      </c>
      <c r="K4841" t="s">
        <v>78</v>
      </c>
      <c r="L4841" t="s">
        <v>135</v>
      </c>
      <c r="M4841" t="s">
        <v>136</v>
      </c>
      <c r="N4841" t="s">
        <v>1228</v>
      </c>
      <c r="O4841" t="s">
        <v>82</v>
      </c>
      <c r="P4841" t="str">
        <f>"4170052117                    "</f>
        <v xml:space="preserve">4170052117                    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112.92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AZ4841">
        <v>0</v>
      </c>
      <c r="BA4841">
        <v>0</v>
      </c>
      <c r="BB4841">
        <v>0</v>
      </c>
      <c r="BC4841">
        <v>0</v>
      </c>
      <c r="BD4841">
        <v>0</v>
      </c>
      <c r="BE4841">
        <v>0</v>
      </c>
      <c r="BF4841">
        <v>0</v>
      </c>
      <c r="BG4841">
        <v>0</v>
      </c>
      <c r="BH4841">
        <v>1</v>
      </c>
      <c r="BI4841">
        <v>10</v>
      </c>
      <c r="BJ4841">
        <v>4.0999999999999996</v>
      </c>
      <c r="BK4841">
        <v>10</v>
      </c>
      <c r="BL4841">
        <v>355.76</v>
      </c>
      <c r="BM4841">
        <v>53.36</v>
      </c>
      <c r="BN4841">
        <v>409.12</v>
      </c>
      <c r="BO4841">
        <v>409.12</v>
      </c>
      <c r="BQ4841" t="s">
        <v>1229</v>
      </c>
      <c r="BR4841" t="s">
        <v>84</v>
      </c>
      <c r="BS4841" t="s">
        <v>587</v>
      </c>
      <c r="BY4841">
        <v>20358</v>
      </c>
      <c r="CC4841" t="s">
        <v>136</v>
      </c>
      <c r="CD4841">
        <v>3212</v>
      </c>
      <c r="CE4841" t="s">
        <v>145</v>
      </c>
      <c r="CI4841">
        <v>2</v>
      </c>
      <c r="CJ4841" t="s">
        <v>587</v>
      </c>
      <c r="CK4841">
        <v>21</v>
      </c>
      <c r="CL4841" t="s">
        <v>86</v>
      </c>
    </row>
    <row r="4842" spans="1:90" x14ac:dyDescent="0.3">
      <c r="A4842" t="s">
        <v>72</v>
      </c>
      <c r="B4842" t="s">
        <v>73</v>
      </c>
      <c r="C4842" t="s">
        <v>74</v>
      </c>
      <c r="E4842" t="str">
        <f>"080066897322"</f>
        <v>080066897322</v>
      </c>
      <c r="F4842" s="3">
        <v>45868</v>
      </c>
      <c r="G4842">
        <v>202604</v>
      </c>
      <c r="H4842" t="s">
        <v>75</v>
      </c>
      <c r="I4842" t="s">
        <v>76</v>
      </c>
      <c r="J4842" t="s">
        <v>77</v>
      </c>
      <c r="K4842" t="s">
        <v>78</v>
      </c>
      <c r="L4842" t="s">
        <v>168</v>
      </c>
      <c r="M4842" t="s">
        <v>169</v>
      </c>
      <c r="N4842" t="s">
        <v>1125</v>
      </c>
      <c r="O4842" t="s">
        <v>82</v>
      </c>
      <c r="P4842" t="str">
        <f>"4170052181                    "</f>
        <v xml:space="preserve">4170052181                    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>
        <v>22.6</v>
      </c>
      <c r="AR4842">
        <v>0</v>
      </c>
      <c r="AS4842">
        <v>0</v>
      </c>
      <c r="AT4842">
        <v>0</v>
      </c>
      <c r="AU4842">
        <v>0</v>
      </c>
      <c r="AV4842">
        <v>0</v>
      </c>
      <c r="AW4842">
        <v>0</v>
      </c>
      <c r="AX4842">
        <v>0</v>
      </c>
      <c r="AY4842">
        <v>0</v>
      </c>
      <c r="AZ4842">
        <v>0</v>
      </c>
      <c r="BA4842">
        <v>0</v>
      </c>
      <c r="BB4842">
        <v>0</v>
      </c>
      <c r="BC4842">
        <v>0</v>
      </c>
      <c r="BD4842">
        <v>0</v>
      </c>
      <c r="BE4842">
        <v>0</v>
      </c>
      <c r="BF4842">
        <v>0</v>
      </c>
      <c r="BG4842">
        <v>0</v>
      </c>
      <c r="BH4842">
        <v>1</v>
      </c>
      <c r="BI4842">
        <v>1</v>
      </c>
      <c r="BJ4842">
        <v>0.2</v>
      </c>
      <c r="BK4842">
        <v>1</v>
      </c>
      <c r="BL4842">
        <v>71.2</v>
      </c>
      <c r="BM4842">
        <v>10.68</v>
      </c>
      <c r="BN4842">
        <v>81.88</v>
      </c>
      <c r="BO4842">
        <v>81.88</v>
      </c>
      <c r="BQ4842" t="s">
        <v>1126</v>
      </c>
      <c r="BR4842" t="s">
        <v>84</v>
      </c>
      <c r="BS4842" s="3">
        <v>45869</v>
      </c>
      <c r="BT4842" s="4">
        <v>0.38055555555555554</v>
      </c>
      <c r="BU4842" t="s">
        <v>1127</v>
      </c>
      <c r="BV4842" t="s">
        <v>98</v>
      </c>
      <c r="BY4842">
        <v>1200</v>
      </c>
      <c r="CA4842" t="s">
        <v>415</v>
      </c>
      <c r="CC4842" t="s">
        <v>169</v>
      </c>
      <c r="CD4842">
        <v>6012</v>
      </c>
      <c r="CE4842" t="s">
        <v>121</v>
      </c>
      <c r="CI4842">
        <v>1</v>
      </c>
      <c r="CJ4842">
        <v>1</v>
      </c>
      <c r="CK4842">
        <v>21</v>
      </c>
      <c r="CL4842" t="s">
        <v>86</v>
      </c>
    </row>
    <row r="4843" spans="1:90" x14ac:dyDescent="0.3">
      <c r="A4843" t="s">
        <v>72</v>
      </c>
      <c r="B4843" t="s">
        <v>73</v>
      </c>
      <c r="C4843" t="s">
        <v>74</v>
      </c>
      <c r="E4843" t="str">
        <f>"080066897355"</f>
        <v>080066897355</v>
      </c>
      <c r="F4843" s="3">
        <v>45868</v>
      </c>
      <c r="G4843">
        <v>202604</v>
      </c>
      <c r="H4843" t="s">
        <v>75</v>
      </c>
      <c r="I4843" t="s">
        <v>76</v>
      </c>
      <c r="J4843" t="s">
        <v>77</v>
      </c>
      <c r="K4843" t="s">
        <v>78</v>
      </c>
      <c r="L4843" t="s">
        <v>168</v>
      </c>
      <c r="M4843" t="s">
        <v>169</v>
      </c>
      <c r="N4843" t="s">
        <v>420</v>
      </c>
      <c r="O4843" t="s">
        <v>82</v>
      </c>
      <c r="P4843" t="str">
        <f>"4170052183                    "</f>
        <v xml:space="preserve">4170052183                    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22.6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AZ4843">
        <v>0</v>
      </c>
      <c r="BA4843">
        <v>0</v>
      </c>
      <c r="BB4843">
        <v>0</v>
      </c>
      <c r="BC4843">
        <v>0</v>
      </c>
      <c r="BD4843">
        <v>0</v>
      </c>
      <c r="BE4843">
        <v>0</v>
      </c>
      <c r="BF4843">
        <v>0</v>
      </c>
      <c r="BG4843">
        <v>0</v>
      </c>
      <c r="BH4843">
        <v>1</v>
      </c>
      <c r="BI4843">
        <v>1</v>
      </c>
      <c r="BJ4843">
        <v>0.2</v>
      </c>
      <c r="BK4843">
        <v>1</v>
      </c>
      <c r="BL4843">
        <v>71.2</v>
      </c>
      <c r="BM4843">
        <v>10.68</v>
      </c>
      <c r="BN4843">
        <v>81.88</v>
      </c>
      <c r="BO4843">
        <v>81.88</v>
      </c>
      <c r="BQ4843" t="s">
        <v>421</v>
      </c>
      <c r="BR4843" t="s">
        <v>84</v>
      </c>
      <c r="BS4843" s="3">
        <v>45869</v>
      </c>
      <c r="BT4843" s="4">
        <v>0.38819444444444445</v>
      </c>
      <c r="BU4843" t="s">
        <v>1121</v>
      </c>
      <c r="BV4843" t="s">
        <v>98</v>
      </c>
      <c r="BY4843">
        <v>1200</v>
      </c>
      <c r="CA4843" t="s">
        <v>423</v>
      </c>
      <c r="CC4843" t="s">
        <v>169</v>
      </c>
      <c r="CD4843">
        <v>6001</v>
      </c>
      <c r="CE4843" t="s">
        <v>121</v>
      </c>
      <c r="CI4843">
        <v>1</v>
      </c>
      <c r="CJ4843">
        <v>1</v>
      </c>
      <c r="CK4843">
        <v>21</v>
      </c>
      <c r="CL4843" t="s">
        <v>86</v>
      </c>
    </row>
    <row r="4844" spans="1:90" x14ac:dyDescent="0.3">
      <c r="A4844" t="s">
        <v>72</v>
      </c>
      <c r="B4844" t="s">
        <v>73</v>
      </c>
      <c r="C4844" t="s">
        <v>74</v>
      </c>
      <c r="E4844" t="str">
        <f>"080066897399"</f>
        <v>080066897399</v>
      </c>
      <c r="F4844" s="3">
        <v>45868</v>
      </c>
      <c r="G4844">
        <v>202604</v>
      </c>
      <c r="H4844" t="s">
        <v>75</v>
      </c>
      <c r="I4844" t="s">
        <v>76</v>
      </c>
      <c r="J4844" t="s">
        <v>77</v>
      </c>
      <c r="K4844" t="s">
        <v>78</v>
      </c>
      <c r="L4844" t="s">
        <v>151</v>
      </c>
      <c r="M4844" t="s">
        <v>152</v>
      </c>
      <c r="N4844" t="s">
        <v>1759</v>
      </c>
      <c r="O4844" t="s">
        <v>82</v>
      </c>
      <c r="P4844" t="str">
        <f>"4170052174                    "</f>
        <v xml:space="preserve">4170052174                    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22.6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  <c r="BE4844">
        <v>0</v>
      </c>
      <c r="BF4844">
        <v>0</v>
      </c>
      <c r="BG4844">
        <v>0</v>
      </c>
      <c r="BH4844">
        <v>1</v>
      </c>
      <c r="BI4844">
        <v>1</v>
      </c>
      <c r="BJ4844">
        <v>0.2</v>
      </c>
      <c r="BK4844">
        <v>1</v>
      </c>
      <c r="BL4844">
        <v>71.2</v>
      </c>
      <c r="BM4844">
        <v>10.68</v>
      </c>
      <c r="BN4844">
        <v>81.88</v>
      </c>
      <c r="BO4844">
        <v>81.88</v>
      </c>
      <c r="BQ4844" t="s">
        <v>1760</v>
      </c>
      <c r="BR4844" t="s">
        <v>84</v>
      </c>
      <c r="BS4844" s="3">
        <v>45869</v>
      </c>
      <c r="BT4844" s="4">
        <v>0.3576388888888889</v>
      </c>
      <c r="BU4844" t="s">
        <v>2393</v>
      </c>
      <c r="BV4844" t="s">
        <v>98</v>
      </c>
      <c r="BY4844">
        <v>1200</v>
      </c>
      <c r="CA4844" t="s">
        <v>3384</v>
      </c>
      <c r="CC4844" t="s">
        <v>152</v>
      </c>
      <c r="CD4844" s="5" t="s">
        <v>684</v>
      </c>
      <c r="CE4844" t="s">
        <v>121</v>
      </c>
      <c r="CF4844" s="3">
        <v>45869</v>
      </c>
      <c r="CI4844">
        <v>1</v>
      </c>
      <c r="CJ4844">
        <v>1</v>
      </c>
      <c r="CK4844">
        <v>21</v>
      </c>
      <c r="CL4844" t="s">
        <v>86</v>
      </c>
    </row>
    <row r="4845" spans="1:90" x14ac:dyDescent="0.3">
      <c r="A4845" t="s">
        <v>72</v>
      </c>
      <c r="B4845" t="s">
        <v>73</v>
      </c>
      <c r="C4845" t="s">
        <v>74</v>
      </c>
      <c r="E4845" t="str">
        <f>"080066897457"</f>
        <v>080066897457</v>
      </c>
      <c r="F4845" s="3">
        <v>45868</v>
      </c>
      <c r="G4845">
        <v>202604</v>
      </c>
      <c r="H4845" t="s">
        <v>75</v>
      </c>
      <c r="I4845" t="s">
        <v>76</v>
      </c>
      <c r="J4845" t="s">
        <v>77</v>
      </c>
      <c r="K4845" t="s">
        <v>78</v>
      </c>
      <c r="L4845" t="s">
        <v>530</v>
      </c>
      <c r="M4845" t="s">
        <v>531</v>
      </c>
      <c r="N4845" t="s">
        <v>4004</v>
      </c>
      <c r="O4845" t="s">
        <v>82</v>
      </c>
      <c r="P4845" t="str">
        <f>"4170052170                    "</f>
        <v xml:space="preserve">4170052170                    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>
        <v>17.649999999999999</v>
      </c>
      <c r="AR4845">
        <v>0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AZ4845">
        <v>0</v>
      </c>
      <c r="BA4845">
        <v>0</v>
      </c>
      <c r="BB4845">
        <v>0</v>
      </c>
      <c r="BC4845">
        <v>0</v>
      </c>
      <c r="BD4845">
        <v>0</v>
      </c>
      <c r="BE4845">
        <v>0</v>
      </c>
      <c r="BF4845">
        <v>0</v>
      </c>
      <c r="BG4845">
        <v>0</v>
      </c>
      <c r="BH4845">
        <v>1</v>
      </c>
      <c r="BI4845">
        <v>1</v>
      </c>
      <c r="BJ4845">
        <v>0.2</v>
      </c>
      <c r="BK4845">
        <v>1</v>
      </c>
      <c r="BL4845">
        <v>55.61</v>
      </c>
      <c r="BM4845">
        <v>8.34</v>
      </c>
      <c r="BN4845">
        <v>63.95</v>
      </c>
      <c r="BO4845">
        <v>63.95</v>
      </c>
      <c r="BQ4845" t="s">
        <v>4005</v>
      </c>
      <c r="BR4845" t="s">
        <v>84</v>
      </c>
      <c r="BS4845" t="s">
        <v>587</v>
      </c>
      <c r="BY4845">
        <v>1200</v>
      </c>
      <c r="CC4845" t="s">
        <v>531</v>
      </c>
      <c r="CD4845">
        <v>1554</v>
      </c>
      <c r="CE4845" t="s">
        <v>121</v>
      </c>
      <c r="CI4845">
        <v>1</v>
      </c>
      <c r="CJ4845" t="s">
        <v>587</v>
      </c>
      <c r="CK4845">
        <v>22</v>
      </c>
      <c r="CL4845" t="s">
        <v>86</v>
      </c>
    </row>
    <row r="4846" spans="1:90" x14ac:dyDescent="0.3">
      <c r="A4846" t="s">
        <v>72</v>
      </c>
      <c r="B4846" t="s">
        <v>73</v>
      </c>
      <c r="C4846" t="s">
        <v>74</v>
      </c>
      <c r="E4846" t="str">
        <f>"080066897527"</f>
        <v>080066897527</v>
      </c>
      <c r="F4846" s="3">
        <v>45868</v>
      </c>
      <c r="G4846">
        <v>202604</v>
      </c>
      <c r="H4846" t="s">
        <v>75</v>
      </c>
      <c r="I4846" t="s">
        <v>76</v>
      </c>
      <c r="J4846" t="s">
        <v>77</v>
      </c>
      <c r="K4846" t="s">
        <v>78</v>
      </c>
      <c r="L4846" t="s">
        <v>146</v>
      </c>
      <c r="M4846" t="s">
        <v>146</v>
      </c>
      <c r="N4846" t="s">
        <v>3306</v>
      </c>
      <c r="O4846" t="s">
        <v>82</v>
      </c>
      <c r="P4846" t="str">
        <f>"4170052076                    "</f>
        <v xml:space="preserve">4170052076                    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43.78</v>
      </c>
      <c r="AR4846">
        <v>0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0</v>
      </c>
      <c r="AY4846">
        <v>0</v>
      </c>
      <c r="AZ4846">
        <v>0</v>
      </c>
      <c r="BA4846">
        <v>0</v>
      </c>
      <c r="BB4846">
        <v>0</v>
      </c>
      <c r="BC4846">
        <v>0</v>
      </c>
      <c r="BD4846">
        <v>0</v>
      </c>
      <c r="BE4846">
        <v>0</v>
      </c>
      <c r="BF4846">
        <v>0</v>
      </c>
      <c r="BG4846">
        <v>0</v>
      </c>
      <c r="BH4846">
        <v>1</v>
      </c>
      <c r="BI4846">
        <v>1</v>
      </c>
      <c r="BJ4846">
        <v>0.2</v>
      </c>
      <c r="BK4846">
        <v>1</v>
      </c>
      <c r="BL4846">
        <v>137.94</v>
      </c>
      <c r="BM4846">
        <v>20.69</v>
      </c>
      <c r="BN4846">
        <v>158.63</v>
      </c>
      <c r="BO4846">
        <v>158.63</v>
      </c>
      <c r="BQ4846" t="s">
        <v>3307</v>
      </c>
      <c r="BR4846" t="s">
        <v>84</v>
      </c>
      <c r="BS4846" s="3">
        <v>45869</v>
      </c>
      <c r="BT4846" s="4">
        <v>0.56944444444444442</v>
      </c>
      <c r="BU4846" t="s">
        <v>4006</v>
      </c>
      <c r="BV4846" t="s">
        <v>98</v>
      </c>
      <c r="BY4846">
        <v>1200</v>
      </c>
      <c r="CA4846" t="s">
        <v>150</v>
      </c>
      <c r="CC4846" t="s">
        <v>146</v>
      </c>
      <c r="CD4846">
        <v>7646</v>
      </c>
      <c r="CE4846" t="s">
        <v>121</v>
      </c>
      <c r="CI4846">
        <v>1</v>
      </c>
      <c r="CJ4846">
        <v>1</v>
      </c>
      <c r="CK4846">
        <v>23</v>
      </c>
      <c r="CL4846" t="s">
        <v>86</v>
      </c>
    </row>
    <row r="4847" spans="1:90" x14ac:dyDescent="0.3">
      <c r="A4847" t="s">
        <v>72</v>
      </c>
      <c r="B4847" t="s">
        <v>73</v>
      </c>
      <c r="C4847" t="s">
        <v>74</v>
      </c>
      <c r="E4847" t="str">
        <f>"080066897601"</f>
        <v>080066897601</v>
      </c>
      <c r="F4847" s="3">
        <v>45868</v>
      </c>
      <c r="G4847">
        <v>202604</v>
      </c>
      <c r="H4847" t="s">
        <v>75</v>
      </c>
      <c r="I4847" t="s">
        <v>76</v>
      </c>
      <c r="J4847" t="s">
        <v>77</v>
      </c>
      <c r="K4847" t="s">
        <v>78</v>
      </c>
      <c r="L4847" t="s">
        <v>168</v>
      </c>
      <c r="M4847" t="s">
        <v>169</v>
      </c>
      <c r="N4847" t="s">
        <v>1252</v>
      </c>
      <c r="O4847" t="s">
        <v>82</v>
      </c>
      <c r="P4847" t="str">
        <f>"4170051991                    "</f>
        <v xml:space="preserve">4170051991                    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>
        <v>22.6</v>
      </c>
      <c r="AR4847">
        <v>0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AZ4847">
        <v>0</v>
      </c>
      <c r="BA4847">
        <v>0</v>
      </c>
      <c r="BB4847">
        <v>0</v>
      </c>
      <c r="BC4847">
        <v>0</v>
      </c>
      <c r="BD4847">
        <v>0</v>
      </c>
      <c r="BE4847">
        <v>0</v>
      </c>
      <c r="BF4847">
        <v>0</v>
      </c>
      <c r="BG4847">
        <v>0</v>
      </c>
      <c r="BH4847">
        <v>1</v>
      </c>
      <c r="BI4847">
        <v>1</v>
      </c>
      <c r="BJ4847">
        <v>0.2</v>
      </c>
      <c r="BK4847">
        <v>1</v>
      </c>
      <c r="BL4847">
        <v>71.2</v>
      </c>
      <c r="BM4847">
        <v>10.68</v>
      </c>
      <c r="BN4847">
        <v>81.88</v>
      </c>
      <c r="BO4847">
        <v>81.88</v>
      </c>
      <c r="BQ4847" t="s">
        <v>1545</v>
      </c>
      <c r="BR4847" t="s">
        <v>84</v>
      </c>
      <c r="BS4847" s="3">
        <v>45869</v>
      </c>
      <c r="BT4847" s="4">
        <v>0.33402777777777776</v>
      </c>
      <c r="BU4847" t="s">
        <v>459</v>
      </c>
      <c r="BV4847" t="s">
        <v>98</v>
      </c>
      <c r="BY4847">
        <v>1200</v>
      </c>
      <c r="CA4847" t="s">
        <v>423</v>
      </c>
      <c r="CC4847" t="s">
        <v>169</v>
      </c>
      <c r="CD4847">
        <v>6045</v>
      </c>
      <c r="CE4847" t="s">
        <v>121</v>
      </c>
      <c r="CI4847">
        <v>1</v>
      </c>
      <c r="CJ4847">
        <v>1</v>
      </c>
      <c r="CK4847">
        <v>21</v>
      </c>
      <c r="CL4847" t="s">
        <v>86</v>
      </c>
    </row>
    <row r="4848" spans="1:90" x14ac:dyDescent="0.3">
      <c r="A4848" t="s">
        <v>72</v>
      </c>
      <c r="B4848" t="s">
        <v>73</v>
      </c>
      <c r="C4848" t="s">
        <v>74</v>
      </c>
      <c r="E4848" t="str">
        <f>"080066897605"</f>
        <v>080066897605</v>
      </c>
      <c r="F4848" s="3">
        <v>45868</v>
      </c>
      <c r="G4848">
        <v>202604</v>
      </c>
      <c r="H4848" t="s">
        <v>75</v>
      </c>
      <c r="I4848" t="s">
        <v>76</v>
      </c>
      <c r="J4848" t="s">
        <v>77</v>
      </c>
      <c r="K4848" t="s">
        <v>78</v>
      </c>
      <c r="L4848" t="s">
        <v>122</v>
      </c>
      <c r="M4848" t="s">
        <v>123</v>
      </c>
      <c r="N4848" t="s">
        <v>1715</v>
      </c>
      <c r="O4848" t="s">
        <v>82</v>
      </c>
      <c r="P4848" t="str">
        <f>"4170052064                    "</f>
        <v xml:space="preserve">4170052064                    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22.6</v>
      </c>
      <c r="AR4848">
        <v>0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AZ4848">
        <v>0</v>
      </c>
      <c r="BA4848">
        <v>0</v>
      </c>
      <c r="BB4848">
        <v>0</v>
      </c>
      <c r="BC4848">
        <v>0</v>
      </c>
      <c r="BD4848">
        <v>0</v>
      </c>
      <c r="BE4848">
        <v>0</v>
      </c>
      <c r="BF4848">
        <v>0</v>
      </c>
      <c r="BG4848">
        <v>0</v>
      </c>
      <c r="BH4848">
        <v>1</v>
      </c>
      <c r="BI4848">
        <v>1</v>
      </c>
      <c r="BJ4848">
        <v>0.2</v>
      </c>
      <c r="BK4848">
        <v>1</v>
      </c>
      <c r="BL4848">
        <v>71.2</v>
      </c>
      <c r="BM4848">
        <v>10.68</v>
      </c>
      <c r="BN4848">
        <v>81.88</v>
      </c>
      <c r="BO4848">
        <v>81.88</v>
      </c>
      <c r="BQ4848" t="s">
        <v>1716</v>
      </c>
      <c r="BR4848" t="s">
        <v>84</v>
      </c>
      <c r="BS4848" s="3">
        <v>45869</v>
      </c>
      <c r="BT4848" s="4">
        <v>0.55277777777777781</v>
      </c>
      <c r="BU4848" t="s">
        <v>2364</v>
      </c>
      <c r="BV4848" t="s">
        <v>98</v>
      </c>
      <c r="BY4848">
        <v>1200</v>
      </c>
      <c r="CA4848" t="s">
        <v>166</v>
      </c>
      <c r="CC4848" t="s">
        <v>123</v>
      </c>
      <c r="CD4848">
        <v>3600</v>
      </c>
      <c r="CE4848" t="s">
        <v>121</v>
      </c>
      <c r="CI4848">
        <v>1</v>
      </c>
      <c r="CJ4848">
        <v>1</v>
      </c>
      <c r="CK4848">
        <v>21</v>
      </c>
      <c r="CL4848" t="s">
        <v>86</v>
      </c>
    </row>
    <row r="4849" spans="1:90" x14ac:dyDescent="0.3">
      <c r="A4849" t="s">
        <v>72</v>
      </c>
      <c r="B4849" t="s">
        <v>73</v>
      </c>
      <c r="C4849" t="s">
        <v>74</v>
      </c>
      <c r="E4849" t="str">
        <f>"080066897657"</f>
        <v>080066897657</v>
      </c>
      <c r="F4849" s="3">
        <v>45868</v>
      </c>
      <c r="G4849">
        <v>202604</v>
      </c>
      <c r="H4849" t="s">
        <v>75</v>
      </c>
      <c r="I4849" t="s">
        <v>76</v>
      </c>
      <c r="J4849" t="s">
        <v>77</v>
      </c>
      <c r="K4849" t="s">
        <v>78</v>
      </c>
      <c r="L4849" t="s">
        <v>2045</v>
      </c>
      <c r="M4849" t="s">
        <v>2046</v>
      </c>
      <c r="N4849" t="s">
        <v>1304</v>
      </c>
      <c r="O4849" t="s">
        <v>82</v>
      </c>
      <c r="P4849" t="str">
        <f>"4170052069                    "</f>
        <v xml:space="preserve">4170052069                    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22.6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0</v>
      </c>
      <c r="BA4849">
        <v>0</v>
      </c>
      <c r="BB4849">
        <v>0</v>
      </c>
      <c r="BC4849">
        <v>0</v>
      </c>
      <c r="BD4849">
        <v>0</v>
      </c>
      <c r="BE4849">
        <v>0</v>
      </c>
      <c r="BF4849">
        <v>0</v>
      </c>
      <c r="BG4849">
        <v>0</v>
      </c>
      <c r="BH4849">
        <v>1</v>
      </c>
      <c r="BI4849">
        <v>1</v>
      </c>
      <c r="BJ4849">
        <v>0.2</v>
      </c>
      <c r="BK4849">
        <v>1</v>
      </c>
      <c r="BL4849">
        <v>71.2</v>
      </c>
      <c r="BM4849">
        <v>10.68</v>
      </c>
      <c r="BN4849">
        <v>81.88</v>
      </c>
      <c r="BO4849">
        <v>81.88</v>
      </c>
      <c r="BQ4849" t="s">
        <v>1305</v>
      </c>
      <c r="BR4849" t="s">
        <v>84</v>
      </c>
      <c r="BS4849" s="3">
        <v>45869</v>
      </c>
      <c r="BT4849" s="4">
        <v>0.42083333333333334</v>
      </c>
      <c r="BU4849" t="s">
        <v>4007</v>
      </c>
      <c r="BV4849" t="s">
        <v>98</v>
      </c>
      <c r="BY4849">
        <v>1200</v>
      </c>
      <c r="CA4849" t="s">
        <v>2048</v>
      </c>
      <c r="CC4849" t="s">
        <v>2046</v>
      </c>
      <c r="CD4849">
        <v>4126</v>
      </c>
      <c r="CE4849" t="s">
        <v>121</v>
      </c>
      <c r="CI4849">
        <v>1</v>
      </c>
      <c r="CJ4849">
        <v>1</v>
      </c>
      <c r="CK4849">
        <v>21</v>
      </c>
      <c r="CL4849" t="s">
        <v>86</v>
      </c>
    </row>
    <row r="4850" spans="1:90" x14ac:dyDescent="0.3">
      <c r="A4850" t="s">
        <v>72</v>
      </c>
      <c r="B4850" t="s">
        <v>73</v>
      </c>
      <c r="C4850" t="s">
        <v>74</v>
      </c>
      <c r="E4850" t="str">
        <f>"080066897704"</f>
        <v>080066897704</v>
      </c>
      <c r="F4850" s="3">
        <v>45868</v>
      </c>
      <c r="G4850">
        <v>202604</v>
      </c>
      <c r="H4850" t="s">
        <v>75</v>
      </c>
      <c r="I4850" t="s">
        <v>76</v>
      </c>
      <c r="J4850" t="s">
        <v>77</v>
      </c>
      <c r="K4850" t="s">
        <v>78</v>
      </c>
      <c r="L4850" t="s">
        <v>135</v>
      </c>
      <c r="M4850" t="s">
        <v>136</v>
      </c>
      <c r="N4850" t="s">
        <v>416</v>
      </c>
      <c r="O4850" t="s">
        <v>82</v>
      </c>
      <c r="P4850" t="str">
        <f>"4170052119                    "</f>
        <v xml:space="preserve">4170052119                    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22.6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0</v>
      </c>
      <c r="AZ4850">
        <v>0</v>
      </c>
      <c r="BA4850">
        <v>0</v>
      </c>
      <c r="BB4850">
        <v>0</v>
      </c>
      <c r="BC4850">
        <v>0</v>
      </c>
      <c r="BD4850">
        <v>0</v>
      </c>
      <c r="BE4850">
        <v>0</v>
      </c>
      <c r="BF4850">
        <v>0</v>
      </c>
      <c r="BG4850">
        <v>0</v>
      </c>
      <c r="BH4850">
        <v>1</v>
      </c>
      <c r="BI4850">
        <v>1</v>
      </c>
      <c r="BJ4850">
        <v>0.2</v>
      </c>
      <c r="BK4850">
        <v>1</v>
      </c>
      <c r="BL4850">
        <v>71.2</v>
      </c>
      <c r="BM4850">
        <v>10.68</v>
      </c>
      <c r="BN4850">
        <v>81.88</v>
      </c>
      <c r="BO4850">
        <v>81.88</v>
      </c>
      <c r="BQ4850" t="s">
        <v>417</v>
      </c>
      <c r="BR4850" t="s">
        <v>84</v>
      </c>
      <c r="BS4850" t="s">
        <v>587</v>
      </c>
      <c r="BY4850">
        <v>1200</v>
      </c>
      <c r="CC4850" t="s">
        <v>136</v>
      </c>
      <c r="CD4850">
        <v>3201</v>
      </c>
      <c r="CE4850" t="s">
        <v>121</v>
      </c>
      <c r="CI4850">
        <v>1</v>
      </c>
      <c r="CJ4850" t="s">
        <v>587</v>
      </c>
      <c r="CK4850">
        <v>21</v>
      </c>
      <c r="CL4850" t="s">
        <v>86</v>
      </c>
    </row>
    <row r="4851" spans="1:90" x14ac:dyDescent="0.3">
      <c r="A4851" t="s">
        <v>72</v>
      </c>
      <c r="B4851" t="s">
        <v>73</v>
      </c>
      <c r="C4851" t="s">
        <v>74</v>
      </c>
      <c r="E4851" t="str">
        <f>"080066897915"</f>
        <v>080066897915</v>
      </c>
      <c r="F4851" s="3">
        <v>45868</v>
      </c>
      <c r="G4851">
        <v>202604</v>
      </c>
      <c r="H4851" t="s">
        <v>75</v>
      </c>
      <c r="I4851" t="s">
        <v>76</v>
      </c>
      <c r="J4851" t="s">
        <v>77</v>
      </c>
      <c r="K4851" t="s">
        <v>78</v>
      </c>
      <c r="L4851" t="s">
        <v>168</v>
      </c>
      <c r="M4851" t="s">
        <v>169</v>
      </c>
      <c r="N4851" t="s">
        <v>206</v>
      </c>
      <c r="O4851" t="s">
        <v>82</v>
      </c>
      <c r="P4851" t="str">
        <f>"4170052147                    "</f>
        <v xml:space="preserve">4170052147                    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22.6</v>
      </c>
      <c r="AR4851">
        <v>0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AZ4851">
        <v>0</v>
      </c>
      <c r="BA4851">
        <v>0</v>
      </c>
      <c r="BB4851">
        <v>0</v>
      </c>
      <c r="BC4851">
        <v>0</v>
      </c>
      <c r="BD4851">
        <v>0</v>
      </c>
      <c r="BE4851">
        <v>0</v>
      </c>
      <c r="BF4851">
        <v>0</v>
      </c>
      <c r="BG4851">
        <v>0</v>
      </c>
      <c r="BH4851">
        <v>1</v>
      </c>
      <c r="BI4851">
        <v>1</v>
      </c>
      <c r="BJ4851">
        <v>0.2</v>
      </c>
      <c r="BK4851">
        <v>1</v>
      </c>
      <c r="BL4851">
        <v>71.2</v>
      </c>
      <c r="BM4851">
        <v>10.68</v>
      </c>
      <c r="BN4851">
        <v>81.88</v>
      </c>
      <c r="BO4851">
        <v>81.88</v>
      </c>
      <c r="BQ4851" t="s">
        <v>207</v>
      </c>
      <c r="BR4851" t="s">
        <v>84</v>
      </c>
      <c r="BS4851" s="3">
        <v>45869</v>
      </c>
      <c r="BT4851" s="4">
        <v>0.40416666666666667</v>
      </c>
      <c r="BU4851" t="s">
        <v>208</v>
      </c>
      <c r="BV4851" t="s">
        <v>98</v>
      </c>
      <c r="BY4851">
        <v>1200</v>
      </c>
      <c r="CA4851" t="s">
        <v>196</v>
      </c>
      <c r="CC4851" t="s">
        <v>169</v>
      </c>
      <c r="CD4851">
        <v>6001</v>
      </c>
      <c r="CE4851" t="s">
        <v>110</v>
      </c>
      <c r="CI4851">
        <v>1</v>
      </c>
      <c r="CJ4851">
        <v>1</v>
      </c>
      <c r="CK4851">
        <v>21</v>
      </c>
      <c r="CL4851" t="s">
        <v>86</v>
      </c>
    </row>
    <row r="4852" spans="1:90" x14ac:dyDescent="0.3">
      <c r="A4852" t="s">
        <v>72</v>
      </c>
      <c r="B4852" t="s">
        <v>73</v>
      </c>
      <c r="C4852" t="s">
        <v>74</v>
      </c>
      <c r="E4852" t="str">
        <f>"080066897967"</f>
        <v>080066897967</v>
      </c>
      <c r="F4852" s="3">
        <v>45868</v>
      </c>
      <c r="G4852">
        <v>202604</v>
      </c>
      <c r="H4852" t="s">
        <v>75</v>
      </c>
      <c r="I4852" t="s">
        <v>76</v>
      </c>
      <c r="J4852" t="s">
        <v>77</v>
      </c>
      <c r="K4852" t="s">
        <v>78</v>
      </c>
      <c r="L4852" t="s">
        <v>246</v>
      </c>
      <c r="M4852" t="s">
        <v>247</v>
      </c>
      <c r="N4852" t="s">
        <v>2920</v>
      </c>
      <c r="O4852" t="s">
        <v>82</v>
      </c>
      <c r="P4852" t="str">
        <f>"4170052177                    "</f>
        <v xml:space="preserve">4170052177                    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31.78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AZ4852">
        <v>0</v>
      </c>
      <c r="BA4852">
        <v>0</v>
      </c>
      <c r="BB4852">
        <v>0</v>
      </c>
      <c r="BC4852">
        <v>0</v>
      </c>
      <c r="BD4852">
        <v>0</v>
      </c>
      <c r="BE4852">
        <v>0</v>
      </c>
      <c r="BF4852">
        <v>0</v>
      </c>
      <c r="BG4852">
        <v>0</v>
      </c>
      <c r="BH4852">
        <v>1</v>
      </c>
      <c r="BI4852">
        <v>1</v>
      </c>
      <c r="BJ4852">
        <v>0.2</v>
      </c>
      <c r="BK4852">
        <v>1</v>
      </c>
      <c r="BL4852">
        <v>100.13</v>
      </c>
      <c r="BM4852">
        <v>15.02</v>
      </c>
      <c r="BN4852">
        <v>115.15</v>
      </c>
      <c r="BO4852">
        <v>115.15</v>
      </c>
      <c r="BQ4852" t="s">
        <v>2921</v>
      </c>
      <c r="BR4852" t="s">
        <v>84</v>
      </c>
      <c r="BS4852" s="3">
        <v>45869</v>
      </c>
      <c r="BT4852" s="4">
        <v>0.42986111111111114</v>
      </c>
      <c r="BU4852" t="s">
        <v>4008</v>
      </c>
      <c r="BV4852" t="s">
        <v>98</v>
      </c>
      <c r="BY4852">
        <v>1200</v>
      </c>
      <c r="CA4852" t="s">
        <v>812</v>
      </c>
      <c r="CC4852" t="s">
        <v>247</v>
      </c>
      <c r="CD4852">
        <v>1441</v>
      </c>
      <c r="CE4852" t="s">
        <v>110</v>
      </c>
      <c r="CI4852">
        <v>1</v>
      </c>
      <c r="CJ4852">
        <v>1</v>
      </c>
      <c r="CK4852">
        <v>24</v>
      </c>
      <c r="CL4852" t="s">
        <v>86</v>
      </c>
    </row>
    <row r="4853" spans="1:90" x14ac:dyDescent="0.3">
      <c r="A4853" t="s">
        <v>72</v>
      </c>
      <c r="B4853" t="s">
        <v>73</v>
      </c>
      <c r="C4853" t="s">
        <v>74</v>
      </c>
      <c r="E4853" t="str">
        <f>"080066897999"</f>
        <v>080066897999</v>
      </c>
      <c r="F4853" s="3">
        <v>45868</v>
      </c>
      <c r="G4853">
        <v>202604</v>
      </c>
      <c r="H4853" t="s">
        <v>75</v>
      </c>
      <c r="I4853" t="s">
        <v>76</v>
      </c>
      <c r="J4853" t="s">
        <v>77</v>
      </c>
      <c r="K4853" t="s">
        <v>78</v>
      </c>
      <c r="L4853" t="s">
        <v>135</v>
      </c>
      <c r="M4853" t="s">
        <v>136</v>
      </c>
      <c r="N4853" t="s">
        <v>379</v>
      </c>
      <c r="O4853" t="s">
        <v>82</v>
      </c>
      <c r="P4853" t="str">
        <f>"4170052123                    "</f>
        <v xml:space="preserve">4170052123                    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33.89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AZ4853">
        <v>0</v>
      </c>
      <c r="BA4853">
        <v>0</v>
      </c>
      <c r="BB4853">
        <v>0</v>
      </c>
      <c r="BC4853">
        <v>0</v>
      </c>
      <c r="BD4853">
        <v>0</v>
      </c>
      <c r="BE4853">
        <v>0</v>
      </c>
      <c r="BF4853">
        <v>0</v>
      </c>
      <c r="BG4853">
        <v>0</v>
      </c>
      <c r="BH4853">
        <v>1</v>
      </c>
      <c r="BI4853">
        <v>3</v>
      </c>
      <c r="BJ4853">
        <v>0.6</v>
      </c>
      <c r="BK4853">
        <v>3</v>
      </c>
      <c r="BL4853">
        <v>106.77</v>
      </c>
      <c r="BM4853">
        <v>16.02</v>
      </c>
      <c r="BN4853">
        <v>122.79</v>
      </c>
      <c r="BO4853">
        <v>122.79</v>
      </c>
      <c r="BQ4853" t="s">
        <v>380</v>
      </c>
      <c r="BR4853" t="s">
        <v>84</v>
      </c>
      <c r="BS4853" t="s">
        <v>587</v>
      </c>
      <c r="BY4853">
        <v>3192</v>
      </c>
      <c r="CC4853" t="s">
        <v>136</v>
      </c>
      <c r="CD4853">
        <v>3212</v>
      </c>
      <c r="CE4853" t="s">
        <v>110</v>
      </c>
      <c r="CI4853">
        <v>2</v>
      </c>
      <c r="CJ4853" t="s">
        <v>587</v>
      </c>
      <c r="CK4853">
        <v>21</v>
      </c>
      <c r="CL4853" t="s">
        <v>86</v>
      </c>
    </row>
    <row r="4854" spans="1:90" x14ac:dyDescent="0.3">
      <c r="A4854" t="s">
        <v>72</v>
      </c>
      <c r="B4854" t="s">
        <v>73</v>
      </c>
      <c r="C4854" t="s">
        <v>74</v>
      </c>
      <c r="E4854" t="str">
        <f>"080066898038"</f>
        <v>080066898038</v>
      </c>
      <c r="F4854" s="3">
        <v>45868</v>
      </c>
      <c r="G4854">
        <v>202604</v>
      </c>
      <c r="H4854" t="s">
        <v>75</v>
      </c>
      <c r="I4854" t="s">
        <v>76</v>
      </c>
      <c r="J4854" t="s">
        <v>77</v>
      </c>
      <c r="K4854" t="s">
        <v>78</v>
      </c>
      <c r="L4854" t="s">
        <v>79</v>
      </c>
      <c r="M4854" t="s">
        <v>80</v>
      </c>
      <c r="N4854" t="s">
        <v>141</v>
      </c>
      <c r="O4854" t="s">
        <v>82</v>
      </c>
      <c r="P4854" t="str">
        <f>"4170052134                    "</f>
        <v xml:space="preserve">4170052134                    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22.6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0</v>
      </c>
      <c r="BA4854">
        <v>0</v>
      </c>
      <c r="BB4854">
        <v>0</v>
      </c>
      <c r="BC4854">
        <v>0</v>
      </c>
      <c r="BD4854">
        <v>0</v>
      </c>
      <c r="BE4854">
        <v>0</v>
      </c>
      <c r="BF4854">
        <v>0</v>
      </c>
      <c r="BG4854">
        <v>0</v>
      </c>
      <c r="BH4854">
        <v>1</v>
      </c>
      <c r="BI4854">
        <v>2</v>
      </c>
      <c r="BJ4854">
        <v>0.9</v>
      </c>
      <c r="BK4854">
        <v>2</v>
      </c>
      <c r="BL4854">
        <v>71.2</v>
      </c>
      <c r="BM4854">
        <v>10.68</v>
      </c>
      <c r="BN4854">
        <v>81.88</v>
      </c>
      <c r="BO4854">
        <v>81.88</v>
      </c>
      <c r="BQ4854" t="s">
        <v>142</v>
      </c>
      <c r="BR4854" t="s">
        <v>84</v>
      </c>
      <c r="BS4854" s="3">
        <v>45869</v>
      </c>
      <c r="BT4854" s="4">
        <v>0.42291666666666666</v>
      </c>
      <c r="BU4854" t="s">
        <v>143</v>
      </c>
      <c r="BV4854" t="s">
        <v>98</v>
      </c>
      <c r="BY4854">
        <v>4560</v>
      </c>
      <c r="CA4854" t="s">
        <v>144</v>
      </c>
      <c r="CC4854" t="s">
        <v>80</v>
      </c>
      <c r="CD4854">
        <v>7441</v>
      </c>
      <c r="CE4854" t="s">
        <v>110</v>
      </c>
      <c r="CI4854">
        <v>1</v>
      </c>
      <c r="CJ4854">
        <v>1</v>
      </c>
      <c r="CK4854">
        <v>21</v>
      </c>
      <c r="CL4854" t="s">
        <v>86</v>
      </c>
    </row>
    <row r="4855" spans="1:90" x14ac:dyDescent="0.3">
      <c r="A4855" t="s">
        <v>72</v>
      </c>
      <c r="B4855" t="s">
        <v>73</v>
      </c>
      <c r="C4855" t="s">
        <v>74</v>
      </c>
      <c r="E4855" t="str">
        <f>"080066898094"</f>
        <v>080066898094</v>
      </c>
      <c r="F4855" s="3">
        <v>45868</v>
      </c>
      <c r="G4855">
        <v>202604</v>
      </c>
      <c r="H4855" t="s">
        <v>75</v>
      </c>
      <c r="I4855" t="s">
        <v>76</v>
      </c>
      <c r="J4855" t="s">
        <v>77</v>
      </c>
      <c r="K4855" t="s">
        <v>78</v>
      </c>
      <c r="L4855" t="s">
        <v>277</v>
      </c>
      <c r="M4855" t="s">
        <v>278</v>
      </c>
      <c r="N4855" t="s">
        <v>462</v>
      </c>
      <c r="O4855" t="s">
        <v>82</v>
      </c>
      <c r="P4855" t="str">
        <f>"4170052179                    "</f>
        <v xml:space="preserve">4170052179                    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22.6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AZ4855">
        <v>0</v>
      </c>
      <c r="BA4855">
        <v>0</v>
      </c>
      <c r="BB4855">
        <v>0</v>
      </c>
      <c r="BC4855">
        <v>0</v>
      </c>
      <c r="BD4855">
        <v>0</v>
      </c>
      <c r="BE4855">
        <v>0</v>
      </c>
      <c r="BF4855">
        <v>0</v>
      </c>
      <c r="BG4855">
        <v>0</v>
      </c>
      <c r="BH4855">
        <v>1</v>
      </c>
      <c r="BI4855">
        <v>1</v>
      </c>
      <c r="BJ4855">
        <v>1.7</v>
      </c>
      <c r="BK4855">
        <v>2</v>
      </c>
      <c r="BL4855">
        <v>71.2</v>
      </c>
      <c r="BM4855">
        <v>10.68</v>
      </c>
      <c r="BN4855">
        <v>81.88</v>
      </c>
      <c r="BO4855">
        <v>81.88</v>
      </c>
      <c r="BQ4855" t="s">
        <v>463</v>
      </c>
      <c r="BR4855" t="s">
        <v>84</v>
      </c>
      <c r="BS4855" s="3">
        <v>45869</v>
      </c>
      <c r="BT4855" s="4">
        <v>0.34583333333333333</v>
      </c>
      <c r="BU4855" t="s">
        <v>2140</v>
      </c>
      <c r="BV4855" t="s">
        <v>98</v>
      </c>
      <c r="BY4855">
        <v>8512</v>
      </c>
      <c r="CA4855" t="s">
        <v>282</v>
      </c>
      <c r="CC4855" t="s">
        <v>278</v>
      </c>
      <c r="CD4855">
        <v>6229</v>
      </c>
      <c r="CE4855" t="s">
        <v>110</v>
      </c>
      <c r="CI4855">
        <v>1</v>
      </c>
      <c r="CJ4855">
        <v>1</v>
      </c>
      <c r="CK4855">
        <v>21</v>
      </c>
      <c r="CL4855" t="s">
        <v>86</v>
      </c>
    </row>
    <row r="4856" spans="1:90" x14ac:dyDescent="0.3">
      <c r="A4856" t="s">
        <v>72</v>
      </c>
      <c r="B4856" t="s">
        <v>73</v>
      </c>
      <c r="C4856" t="s">
        <v>74</v>
      </c>
      <c r="E4856" t="str">
        <f>"080066898164"</f>
        <v>080066898164</v>
      </c>
      <c r="F4856" s="3">
        <v>45868</v>
      </c>
      <c r="G4856">
        <v>202604</v>
      </c>
      <c r="H4856" t="s">
        <v>75</v>
      </c>
      <c r="I4856" t="s">
        <v>76</v>
      </c>
      <c r="J4856" t="s">
        <v>77</v>
      </c>
      <c r="K4856" t="s">
        <v>78</v>
      </c>
      <c r="L4856" t="s">
        <v>452</v>
      </c>
      <c r="M4856" t="s">
        <v>453</v>
      </c>
      <c r="N4856" t="s">
        <v>968</v>
      </c>
      <c r="O4856" t="s">
        <v>311</v>
      </c>
      <c r="P4856" t="str">
        <f>"4170052105                    "</f>
        <v xml:space="preserve">4170052105                    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17.66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</v>
      </c>
      <c r="AY4856">
        <v>0</v>
      </c>
      <c r="AZ4856">
        <v>0</v>
      </c>
      <c r="BA4856">
        <v>0</v>
      </c>
      <c r="BB4856">
        <v>0</v>
      </c>
      <c r="BC4856">
        <v>0</v>
      </c>
      <c r="BD4856">
        <v>0</v>
      </c>
      <c r="BE4856">
        <v>0</v>
      </c>
      <c r="BF4856">
        <v>0</v>
      </c>
      <c r="BG4856">
        <v>0</v>
      </c>
      <c r="BH4856">
        <v>1</v>
      </c>
      <c r="BI4856">
        <v>5</v>
      </c>
      <c r="BJ4856">
        <v>4.4000000000000004</v>
      </c>
      <c r="BK4856">
        <v>5</v>
      </c>
      <c r="BL4856">
        <v>55.63</v>
      </c>
      <c r="BM4856">
        <v>8.34</v>
      </c>
      <c r="BN4856">
        <v>63.97</v>
      </c>
      <c r="BO4856">
        <v>63.97</v>
      </c>
      <c r="BQ4856" t="s">
        <v>1098</v>
      </c>
      <c r="BR4856" t="s">
        <v>84</v>
      </c>
      <c r="BS4856" s="3">
        <v>45869</v>
      </c>
      <c r="BT4856" s="4">
        <v>0.50208333333333333</v>
      </c>
      <c r="BU4856" t="s">
        <v>1632</v>
      </c>
      <c r="BV4856" t="s">
        <v>98</v>
      </c>
      <c r="BY4856">
        <v>22050</v>
      </c>
      <c r="CA4856" t="s">
        <v>1541</v>
      </c>
      <c r="CC4856" t="s">
        <v>453</v>
      </c>
      <c r="CD4856">
        <v>1559</v>
      </c>
      <c r="CE4856" t="s">
        <v>110</v>
      </c>
      <c r="CI4856">
        <v>1</v>
      </c>
      <c r="CJ4856">
        <v>1</v>
      </c>
      <c r="CK4856">
        <v>32</v>
      </c>
      <c r="CL4856" t="s">
        <v>86</v>
      </c>
    </row>
    <row r="4857" spans="1:90" x14ac:dyDescent="0.3">
      <c r="A4857" t="s">
        <v>72</v>
      </c>
      <c r="B4857" t="s">
        <v>73</v>
      </c>
      <c r="C4857" t="s">
        <v>74</v>
      </c>
      <c r="E4857" t="str">
        <f>"080066898522"</f>
        <v>080066898522</v>
      </c>
      <c r="F4857" s="3">
        <v>45868</v>
      </c>
      <c r="G4857">
        <v>202604</v>
      </c>
      <c r="H4857" t="s">
        <v>75</v>
      </c>
      <c r="I4857" t="s">
        <v>76</v>
      </c>
      <c r="J4857" t="s">
        <v>77</v>
      </c>
      <c r="K4857" t="s">
        <v>78</v>
      </c>
      <c r="L4857" t="s">
        <v>92</v>
      </c>
      <c r="M4857" t="s">
        <v>93</v>
      </c>
      <c r="N4857" t="s">
        <v>4009</v>
      </c>
      <c r="O4857" t="s">
        <v>95</v>
      </c>
      <c r="P4857" t="str">
        <f>"1825589763                    "</f>
        <v xml:space="preserve">1825589763                    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787.03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AZ4857">
        <v>0</v>
      </c>
      <c r="BA4857">
        <v>0</v>
      </c>
      <c r="BB4857">
        <v>0</v>
      </c>
      <c r="BC4857">
        <v>0</v>
      </c>
      <c r="BD4857">
        <v>0</v>
      </c>
      <c r="BE4857">
        <v>0</v>
      </c>
      <c r="BF4857">
        <v>0</v>
      </c>
      <c r="BG4857">
        <v>0</v>
      </c>
      <c r="BH4857">
        <v>2</v>
      </c>
      <c r="BI4857">
        <v>301</v>
      </c>
      <c r="BJ4857">
        <v>426.2</v>
      </c>
      <c r="BK4857">
        <v>427</v>
      </c>
      <c r="BL4857">
        <v>2485.44</v>
      </c>
      <c r="BM4857">
        <v>372.82</v>
      </c>
      <c r="BN4857">
        <v>2858.26</v>
      </c>
      <c r="BO4857">
        <v>2858.26</v>
      </c>
      <c r="BQ4857" t="s">
        <v>4010</v>
      </c>
      <c r="BR4857" t="s">
        <v>84</v>
      </c>
      <c r="BS4857" t="s">
        <v>587</v>
      </c>
      <c r="BY4857">
        <v>2131084</v>
      </c>
      <c r="CC4857" t="s">
        <v>93</v>
      </c>
      <c r="CD4857">
        <v>4001</v>
      </c>
      <c r="CE4857" t="s">
        <v>3156</v>
      </c>
      <c r="CI4857">
        <v>1</v>
      </c>
      <c r="CJ4857" t="s">
        <v>587</v>
      </c>
      <c r="CK4857">
        <v>41</v>
      </c>
      <c r="CL4857" t="s">
        <v>86</v>
      </c>
    </row>
    <row r="4858" spans="1:90" x14ac:dyDescent="0.3">
      <c r="A4858" t="s">
        <v>72</v>
      </c>
      <c r="B4858" t="s">
        <v>73</v>
      </c>
      <c r="C4858" t="s">
        <v>74</v>
      </c>
      <c r="E4858" t="str">
        <f>"080066898918"</f>
        <v>080066898918</v>
      </c>
      <c r="F4858" s="3">
        <v>45868</v>
      </c>
      <c r="G4858">
        <v>202604</v>
      </c>
      <c r="H4858" t="s">
        <v>75</v>
      </c>
      <c r="I4858" t="s">
        <v>76</v>
      </c>
      <c r="J4858" t="s">
        <v>77</v>
      </c>
      <c r="K4858" t="s">
        <v>78</v>
      </c>
      <c r="L4858" t="s">
        <v>92</v>
      </c>
      <c r="M4858" t="s">
        <v>93</v>
      </c>
      <c r="N4858" t="s">
        <v>4011</v>
      </c>
      <c r="O4858" t="s">
        <v>82</v>
      </c>
      <c r="P4858" t="str">
        <f>"4170052070                    "</f>
        <v xml:space="preserve">4170052070                    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22.6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0</v>
      </c>
      <c r="AX4858">
        <v>0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  <c r="BE4858">
        <v>0</v>
      </c>
      <c r="BF4858">
        <v>0</v>
      </c>
      <c r="BG4858">
        <v>0</v>
      </c>
      <c r="BH4858">
        <v>1</v>
      </c>
      <c r="BI4858">
        <v>2</v>
      </c>
      <c r="BJ4858">
        <v>1.4</v>
      </c>
      <c r="BK4858">
        <v>2</v>
      </c>
      <c r="BL4858">
        <v>71.2</v>
      </c>
      <c r="BM4858">
        <v>10.68</v>
      </c>
      <c r="BN4858">
        <v>81.88</v>
      </c>
      <c r="BO4858">
        <v>81.88</v>
      </c>
      <c r="BQ4858" t="s">
        <v>4012</v>
      </c>
      <c r="BR4858" t="s">
        <v>84</v>
      </c>
      <c r="BS4858" s="3">
        <v>45869</v>
      </c>
      <c r="BT4858" s="4">
        <v>0.40625</v>
      </c>
      <c r="BU4858" t="s">
        <v>1273</v>
      </c>
      <c r="BV4858" t="s">
        <v>98</v>
      </c>
      <c r="BY4858">
        <v>7000</v>
      </c>
      <c r="CA4858" t="s">
        <v>100</v>
      </c>
      <c r="CC4858" t="s">
        <v>93</v>
      </c>
      <c r="CD4858">
        <v>4094</v>
      </c>
      <c r="CE4858" t="s">
        <v>145</v>
      </c>
      <c r="CI4858">
        <v>1</v>
      </c>
      <c r="CJ4858">
        <v>1</v>
      </c>
      <c r="CK4858">
        <v>21</v>
      </c>
      <c r="CL4858" t="s">
        <v>86</v>
      </c>
    </row>
    <row r="4859" spans="1:90" x14ac:dyDescent="0.3">
      <c r="A4859" t="s">
        <v>72</v>
      </c>
      <c r="B4859" t="s">
        <v>73</v>
      </c>
      <c r="C4859" t="s">
        <v>74</v>
      </c>
      <c r="E4859" t="str">
        <f>"080066898930"</f>
        <v>080066898930</v>
      </c>
      <c r="F4859" s="3">
        <v>45868</v>
      </c>
      <c r="G4859">
        <v>202604</v>
      </c>
      <c r="H4859" t="s">
        <v>75</v>
      </c>
      <c r="I4859" t="s">
        <v>76</v>
      </c>
      <c r="J4859" t="s">
        <v>77</v>
      </c>
      <c r="K4859" t="s">
        <v>78</v>
      </c>
      <c r="L4859" t="s">
        <v>135</v>
      </c>
      <c r="M4859" t="s">
        <v>136</v>
      </c>
      <c r="N4859" t="s">
        <v>416</v>
      </c>
      <c r="O4859" t="s">
        <v>82</v>
      </c>
      <c r="P4859" t="str">
        <f>"4170052062                    "</f>
        <v xml:space="preserve">4170052062                    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22.6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  <c r="BE4859">
        <v>0</v>
      </c>
      <c r="BF4859">
        <v>0</v>
      </c>
      <c r="BG4859">
        <v>0</v>
      </c>
      <c r="BH4859">
        <v>1</v>
      </c>
      <c r="BI4859">
        <v>1</v>
      </c>
      <c r="BJ4859">
        <v>0.2</v>
      </c>
      <c r="BK4859">
        <v>1</v>
      </c>
      <c r="BL4859">
        <v>71.2</v>
      </c>
      <c r="BM4859">
        <v>10.68</v>
      </c>
      <c r="BN4859">
        <v>81.88</v>
      </c>
      <c r="BO4859">
        <v>81.88</v>
      </c>
      <c r="BQ4859" t="s">
        <v>417</v>
      </c>
      <c r="BR4859" t="s">
        <v>84</v>
      </c>
      <c r="BS4859" t="s">
        <v>587</v>
      </c>
      <c r="BY4859">
        <v>1200</v>
      </c>
      <c r="CC4859" t="s">
        <v>136</v>
      </c>
      <c r="CD4859">
        <v>3201</v>
      </c>
      <c r="CE4859" t="s">
        <v>121</v>
      </c>
      <c r="CI4859">
        <v>1</v>
      </c>
      <c r="CJ4859" t="s">
        <v>587</v>
      </c>
      <c r="CK4859">
        <v>21</v>
      </c>
      <c r="CL4859" t="s">
        <v>86</v>
      </c>
    </row>
    <row r="4860" spans="1:90" x14ac:dyDescent="0.3">
      <c r="A4860" t="s">
        <v>72</v>
      </c>
      <c r="B4860" t="s">
        <v>73</v>
      </c>
      <c r="C4860" t="s">
        <v>74</v>
      </c>
      <c r="E4860" t="str">
        <f>"080066898944"</f>
        <v>080066898944</v>
      </c>
      <c r="F4860" s="3">
        <v>45868</v>
      </c>
      <c r="G4860">
        <v>202604</v>
      </c>
      <c r="H4860" t="s">
        <v>75</v>
      </c>
      <c r="I4860" t="s">
        <v>76</v>
      </c>
      <c r="J4860" t="s">
        <v>77</v>
      </c>
      <c r="K4860" t="s">
        <v>78</v>
      </c>
      <c r="L4860" t="s">
        <v>295</v>
      </c>
      <c r="M4860" t="s">
        <v>296</v>
      </c>
      <c r="N4860" t="s">
        <v>1063</v>
      </c>
      <c r="O4860" t="s">
        <v>82</v>
      </c>
      <c r="P4860" t="str">
        <f>"4170052195                    "</f>
        <v xml:space="preserve">4170052195                    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17.649999999999999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  <c r="BE4860">
        <v>0</v>
      </c>
      <c r="BF4860">
        <v>0</v>
      </c>
      <c r="BG4860">
        <v>0</v>
      </c>
      <c r="BH4860">
        <v>1</v>
      </c>
      <c r="BI4860">
        <v>1</v>
      </c>
      <c r="BJ4860">
        <v>0.6</v>
      </c>
      <c r="BK4860">
        <v>1</v>
      </c>
      <c r="BL4860">
        <v>55.61</v>
      </c>
      <c r="BM4860">
        <v>8.34</v>
      </c>
      <c r="BN4860">
        <v>63.95</v>
      </c>
      <c r="BO4860">
        <v>63.95</v>
      </c>
      <c r="BQ4860" t="s">
        <v>1064</v>
      </c>
      <c r="BR4860" t="s">
        <v>84</v>
      </c>
      <c r="BS4860" s="3">
        <v>45869</v>
      </c>
      <c r="BT4860" s="4">
        <v>0.36249999999999999</v>
      </c>
      <c r="BU4860" t="s">
        <v>1065</v>
      </c>
      <c r="BV4860" t="s">
        <v>98</v>
      </c>
      <c r="BY4860">
        <v>3192</v>
      </c>
      <c r="CA4860" t="s">
        <v>300</v>
      </c>
      <c r="CC4860" t="s">
        <v>296</v>
      </c>
      <c r="CD4860">
        <v>1459</v>
      </c>
      <c r="CE4860" t="s">
        <v>145</v>
      </c>
      <c r="CI4860">
        <v>1</v>
      </c>
      <c r="CJ4860">
        <v>1</v>
      </c>
      <c r="CK4860">
        <v>22</v>
      </c>
      <c r="CL4860" t="s">
        <v>86</v>
      </c>
    </row>
    <row r="4861" spans="1:90" x14ac:dyDescent="0.3">
      <c r="A4861" t="s">
        <v>72</v>
      </c>
      <c r="B4861" t="s">
        <v>73</v>
      </c>
      <c r="C4861" t="s">
        <v>74</v>
      </c>
      <c r="E4861" t="str">
        <f>"080066898972"</f>
        <v>080066898972</v>
      </c>
      <c r="F4861" s="3">
        <v>45868</v>
      </c>
      <c r="G4861">
        <v>202604</v>
      </c>
      <c r="H4861" t="s">
        <v>75</v>
      </c>
      <c r="I4861" t="s">
        <v>76</v>
      </c>
      <c r="J4861" t="s">
        <v>77</v>
      </c>
      <c r="K4861" t="s">
        <v>78</v>
      </c>
      <c r="L4861" t="s">
        <v>295</v>
      </c>
      <c r="M4861" t="s">
        <v>296</v>
      </c>
      <c r="N4861" t="s">
        <v>2790</v>
      </c>
      <c r="O4861" t="s">
        <v>82</v>
      </c>
      <c r="P4861" t="str">
        <f>"4170052196                    "</f>
        <v xml:space="preserve">4170052196                    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17.649999999999999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  <c r="BE4861">
        <v>0</v>
      </c>
      <c r="BF4861">
        <v>0</v>
      </c>
      <c r="BG4861">
        <v>0</v>
      </c>
      <c r="BH4861">
        <v>1</v>
      </c>
      <c r="BI4861">
        <v>1</v>
      </c>
      <c r="BJ4861">
        <v>0.2</v>
      </c>
      <c r="BK4861">
        <v>1</v>
      </c>
      <c r="BL4861">
        <v>55.61</v>
      </c>
      <c r="BM4861">
        <v>8.34</v>
      </c>
      <c r="BN4861">
        <v>63.95</v>
      </c>
      <c r="BO4861">
        <v>63.95</v>
      </c>
      <c r="BQ4861" t="s">
        <v>2791</v>
      </c>
      <c r="BR4861" t="s">
        <v>84</v>
      </c>
      <c r="BS4861" s="3">
        <v>45869</v>
      </c>
      <c r="BT4861" s="4">
        <v>0.41875000000000001</v>
      </c>
      <c r="BU4861" t="s">
        <v>2792</v>
      </c>
      <c r="BV4861" t="s">
        <v>98</v>
      </c>
      <c r="BY4861">
        <v>1200</v>
      </c>
      <c r="CA4861" t="s">
        <v>529</v>
      </c>
      <c r="CC4861" t="s">
        <v>296</v>
      </c>
      <c r="CD4861">
        <v>1459</v>
      </c>
      <c r="CE4861" t="s">
        <v>121</v>
      </c>
      <c r="CI4861">
        <v>1</v>
      </c>
      <c r="CJ4861">
        <v>1</v>
      </c>
      <c r="CK4861">
        <v>22</v>
      </c>
      <c r="CL4861" t="s">
        <v>86</v>
      </c>
    </row>
    <row r="4862" spans="1:90" x14ac:dyDescent="0.3">
      <c r="A4862" t="s">
        <v>72</v>
      </c>
      <c r="B4862" t="s">
        <v>73</v>
      </c>
      <c r="C4862" t="s">
        <v>74</v>
      </c>
      <c r="E4862" t="str">
        <f>"080066898990"</f>
        <v>080066898990</v>
      </c>
      <c r="F4862" s="3">
        <v>45868</v>
      </c>
      <c r="G4862">
        <v>202604</v>
      </c>
      <c r="H4862" t="s">
        <v>75</v>
      </c>
      <c r="I4862" t="s">
        <v>76</v>
      </c>
      <c r="J4862" t="s">
        <v>77</v>
      </c>
      <c r="K4862" t="s">
        <v>78</v>
      </c>
      <c r="L4862" t="s">
        <v>1762</v>
      </c>
      <c r="M4862" t="s">
        <v>1763</v>
      </c>
      <c r="N4862" t="s">
        <v>4013</v>
      </c>
      <c r="O4862" t="s">
        <v>82</v>
      </c>
      <c r="P4862" t="str">
        <f>"4170052092                    "</f>
        <v xml:space="preserve">4170052092                    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>
        <v>43.78</v>
      </c>
      <c r="AR4862">
        <v>0</v>
      </c>
      <c r="AS4862">
        <v>0</v>
      </c>
      <c r="AT4862">
        <v>0</v>
      </c>
      <c r="AU4862">
        <v>0</v>
      </c>
      <c r="AV4862">
        <v>0</v>
      </c>
      <c r="AW4862">
        <v>0</v>
      </c>
      <c r="AX4862">
        <v>0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  <c r="BE4862">
        <v>0</v>
      </c>
      <c r="BF4862">
        <v>0</v>
      </c>
      <c r="BG4862">
        <v>0</v>
      </c>
      <c r="BH4862">
        <v>1</v>
      </c>
      <c r="BI4862">
        <v>1</v>
      </c>
      <c r="BJ4862">
        <v>0.2</v>
      </c>
      <c r="BK4862">
        <v>1</v>
      </c>
      <c r="BL4862">
        <v>137.94</v>
      </c>
      <c r="BM4862">
        <v>20.69</v>
      </c>
      <c r="BN4862">
        <v>158.63</v>
      </c>
      <c r="BO4862">
        <v>158.63</v>
      </c>
      <c r="BQ4862" t="s">
        <v>4014</v>
      </c>
      <c r="BR4862" t="s">
        <v>84</v>
      </c>
      <c r="BS4862" s="3">
        <v>45869</v>
      </c>
      <c r="BT4862" s="4">
        <v>0.56597222222222221</v>
      </c>
      <c r="BU4862" t="s">
        <v>4015</v>
      </c>
      <c r="BV4862" t="s">
        <v>98</v>
      </c>
      <c r="BY4862">
        <v>1200</v>
      </c>
      <c r="CA4862" t="s">
        <v>1767</v>
      </c>
      <c r="CC4862" t="s">
        <v>1763</v>
      </c>
      <c r="CD4862">
        <v>1389</v>
      </c>
      <c r="CE4862" t="s">
        <v>121</v>
      </c>
      <c r="CI4862">
        <v>1</v>
      </c>
      <c r="CJ4862">
        <v>1</v>
      </c>
      <c r="CK4862">
        <v>23</v>
      </c>
      <c r="CL4862" t="s">
        <v>86</v>
      </c>
    </row>
    <row r="4863" spans="1:90" x14ac:dyDescent="0.3">
      <c r="A4863" t="s">
        <v>72</v>
      </c>
      <c r="B4863" t="s">
        <v>73</v>
      </c>
      <c r="C4863" t="s">
        <v>74</v>
      </c>
      <c r="E4863" t="str">
        <f>"080066899004"</f>
        <v>080066899004</v>
      </c>
      <c r="F4863" s="3">
        <v>45868</v>
      </c>
      <c r="G4863">
        <v>202604</v>
      </c>
      <c r="H4863" t="s">
        <v>75</v>
      </c>
      <c r="I4863" t="s">
        <v>76</v>
      </c>
      <c r="J4863" t="s">
        <v>77</v>
      </c>
      <c r="K4863" t="s">
        <v>78</v>
      </c>
      <c r="L4863" t="s">
        <v>135</v>
      </c>
      <c r="M4863" t="s">
        <v>136</v>
      </c>
      <c r="N4863" t="s">
        <v>416</v>
      </c>
      <c r="O4863" t="s">
        <v>82</v>
      </c>
      <c r="P4863" t="str">
        <f>"4170052096                    "</f>
        <v xml:space="preserve">4170052096                    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>
        <v>22.6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0</v>
      </c>
      <c r="AX4863">
        <v>0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  <c r="BE4863">
        <v>0</v>
      </c>
      <c r="BF4863">
        <v>0</v>
      </c>
      <c r="BG4863">
        <v>0</v>
      </c>
      <c r="BH4863">
        <v>1</v>
      </c>
      <c r="BI4863">
        <v>1</v>
      </c>
      <c r="BJ4863">
        <v>0.2</v>
      </c>
      <c r="BK4863">
        <v>1</v>
      </c>
      <c r="BL4863">
        <v>71.2</v>
      </c>
      <c r="BM4863">
        <v>10.68</v>
      </c>
      <c r="BN4863">
        <v>81.88</v>
      </c>
      <c r="BO4863">
        <v>81.88</v>
      </c>
      <c r="BQ4863" t="s">
        <v>417</v>
      </c>
      <c r="BR4863" t="s">
        <v>84</v>
      </c>
      <c r="BS4863" t="s">
        <v>587</v>
      </c>
      <c r="BY4863">
        <v>1200</v>
      </c>
      <c r="CC4863" t="s">
        <v>136</v>
      </c>
      <c r="CD4863">
        <v>3201</v>
      </c>
      <c r="CE4863" t="s">
        <v>121</v>
      </c>
      <c r="CI4863">
        <v>1</v>
      </c>
      <c r="CJ4863" t="s">
        <v>587</v>
      </c>
      <c r="CK4863">
        <v>21</v>
      </c>
      <c r="CL4863" t="s">
        <v>86</v>
      </c>
    </row>
    <row r="4864" spans="1:90" x14ac:dyDescent="0.3">
      <c r="A4864" t="s">
        <v>72</v>
      </c>
      <c r="B4864" t="s">
        <v>73</v>
      </c>
      <c r="C4864" t="s">
        <v>74</v>
      </c>
      <c r="E4864" t="str">
        <f>"080066899023"</f>
        <v>080066899023</v>
      </c>
      <c r="F4864" s="3">
        <v>45868</v>
      </c>
      <c r="G4864">
        <v>202604</v>
      </c>
      <c r="H4864" t="s">
        <v>75</v>
      </c>
      <c r="I4864" t="s">
        <v>76</v>
      </c>
      <c r="J4864" t="s">
        <v>77</v>
      </c>
      <c r="K4864" t="s">
        <v>78</v>
      </c>
      <c r="L4864" t="s">
        <v>92</v>
      </c>
      <c r="M4864" t="s">
        <v>93</v>
      </c>
      <c r="N4864" t="s">
        <v>749</v>
      </c>
      <c r="O4864" t="s">
        <v>82</v>
      </c>
      <c r="P4864" t="str">
        <f>"4170052151                    "</f>
        <v xml:space="preserve">4170052151                    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>
        <v>22.6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  <c r="BE4864">
        <v>0</v>
      </c>
      <c r="BF4864">
        <v>0</v>
      </c>
      <c r="BG4864">
        <v>0</v>
      </c>
      <c r="BH4864">
        <v>1</v>
      </c>
      <c r="BI4864">
        <v>1</v>
      </c>
      <c r="BJ4864">
        <v>0.2</v>
      </c>
      <c r="BK4864">
        <v>1</v>
      </c>
      <c r="BL4864">
        <v>71.2</v>
      </c>
      <c r="BM4864">
        <v>10.68</v>
      </c>
      <c r="BN4864">
        <v>81.88</v>
      </c>
      <c r="BO4864">
        <v>81.88</v>
      </c>
      <c r="BQ4864" t="s">
        <v>750</v>
      </c>
      <c r="BR4864" t="s">
        <v>84</v>
      </c>
      <c r="BS4864" s="3">
        <v>45869</v>
      </c>
      <c r="BT4864" s="4">
        <v>0.41041666666666665</v>
      </c>
      <c r="BU4864" t="s">
        <v>751</v>
      </c>
      <c r="BV4864" t="s">
        <v>98</v>
      </c>
      <c r="BY4864">
        <v>1200</v>
      </c>
      <c r="CA4864" t="s">
        <v>491</v>
      </c>
      <c r="CC4864" t="s">
        <v>93</v>
      </c>
      <c r="CD4864">
        <v>4001</v>
      </c>
      <c r="CE4864" t="s">
        <v>121</v>
      </c>
      <c r="CI4864">
        <v>1</v>
      </c>
      <c r="CJ4864">
        <v>1</v>
      </c>
      <c r="CK4864">
        <v>21</v>
      </c>
      <c r="CL4864" t="s">
        <v>86</v>
      </c>
    </row>
    <row r="4865" spans="1:90" x14ac:dyDescent="0.3">
      <c r="A4865" t="s">
        <v>72</v>
      </c>
      <c r="B4865" t="s">
        <v>73</v>
      </c>
      <c r="C4865" t="s">
        <v>74</v>
      </c>
      <c r="E4865" t="str">
        <f>"080066899203"</f>
        <v>080066899203</v>
      </c>
      <c r="F4865" s="3">
        <v>45868</v>
      </c>
      <c r="G4865">
        <v>202604</v>
      </c>
      <c r="H4865" t="s">
        <v>75</v>
      </c>
      <c r="I4865" t="s">
        <v>76</v>
      </c>
      <c r="J4865" t="s">
        <v>77</v>
      </c>
      <c r="K4865" t="s">
        <v>78</v>
      </c>
      <c r="L4865" t="s">
        <v>240</v>
      </c>
      <c r="M4865" t="s">
        <v>241</v>
      </c>
      <c r="N4865" t="s">
        <v>2314</v>
      </c>
      <c r="O4865" t="s">
        <v>82</v>
      </c>
      <c r="P4865" t="str">
        <f>"4170052161                    "</f>
        <v xml:space="preserve">4170052161                    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>
        <v>17.649999999999999</v>
      </c>
      <c r="AR4865">
        <v>0</v>
      </c>
      <c r="AS4865">
        <v>0</v>
      </c>
      <c r="AT4865">
        <v>0</v>
      </c>
      <c r="AU4865">
        <v>0</v>
      </c>
      <c r="AV4865">
        <v>0</v>
      </c>
      <c r="AW4865">
        <v>0</v>
      </c>
      <c r="AX4865">
        <v>0</v>
      </c>
      <c r="AY4865">
        <v>0</v>
      </c>
      <c r="AZ4865">
        <v>0</v>
      </c>
      <c r="BA4865">
        <v>0</v>
      </c>
      <c r="BB4865">
        <v>0</v>
      </c>
      <c r="BC4865">
        <v>0</v>
      </c>
      <c r="BD4865">
        <v>0</v>
      </c>
      <c r="BE4865">
        <v>0</v>
      </c>
      <c r="BF4865">
        <v>0</v>
      </c>
      <c r="BG4865">
        <v>0</v>
      </c>
      <c r="BH4865">
        <v>1</v>
      </c>
      <c r="BI4865">
        <v>3</v>
      </c>
      <c r="BJ4865">
        <v>1.7</v>
      </c>
      <c r="BK4865">
        <v>3</v>
      </c>
      <c r="BL4865">
        <v>55.61</v>
      </c>
      <c r="BM4865">
        <v>8.34</v>
      </c>
      <c r="BN4865">
        <v>63.95</v>
      </c>
      <c r="BO4865">
        <v>63.95</v>
      </c>
      <c r="BQ4865" t="s">
        <v>2315</v>
      </c>
      <c r="BR4865" t="s">
        <v>84</v>
      </c>
      <c r="BS4865" s="3">
        <v>45869</v>
      </c>
      <c r="BT4865" s="4">
        <v>0.39513888888888887</v>
      </c>
      <c r="BU4865" t="s">
        <v>4016</v>
      </c>
      <c r="BV4865" t="s">
        <v>98</v>
      </c>
      <c r="BY4865">
        <v>8512</v>
      </c>
      <c r="CA4865" t="s">
        <v>451</v>
      </c>
      <c r="CC4865" t="s">
        <v>241</v>
      </c>
      <c r="CD4865">
        <v>2094</v>
      </c>
      <c r="CE4865" t="s">
        <v>145</v>
      </c>
      <c r="CI4865">
        <v>1</v>
      </c>
      <c r="CJ4865">
        <v>1</v>
      </c>
      <c r="CK4865">
        <v>22</v>
      </c>
      <c r="CL4865" t="s">
        <v>86</v>
      </c>
    </row>
    <row r="4866" spans="1:90" x14ac:dyDescent="0.3">
      <c r="A4866" t="s">
        <v>72</v>
      </c>
      <c r="B4866" t="s">
        <v>73</v>
      </c>
      <c r="C4866" t="s">
        <v>74</v>
      </c>
      <c r="E4866" t="str">
        <f>"080066899227"</f>
        <v>080066899227</v>
      </c>
      <c r="F4866" s="3">
        <v>45868</v>
      </c>
      <c r="G4866">
        <v>202604</v>
      </c>
      <c r="H4866" t="s">
        <v>75</v>
      </c>
      <c r="I4866" t="s">
        <v>76</v>
      </c>
      <c r="J4866" t="s">
        <v>77</v>
      </c>
      <c r="K4866" t="s">
        <v>78</v>
      </c>
      <c r="L4866" t="s">
        <v>102</v>
      </c>
      <c r="M4866" t="s">
        <v>103</v>
      </c>
      <c r="N4866" t="s">
        <v>4017</v>
      </c>
      <c r="O4866" t="s">
        <v>82</v>
      </c>
      <c r="P4866" t="str">
        <f>"4170052168                    "</f>
        <v xml:space="preserve">4170052168                    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>
        <v>31.78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0</v>
      </c>
      <c r="AZ4866">
        <v>0</v>
      </c>
      <c r="BA4866">
        <v>0</v>
      </c>
      <c r="BB4866">
        <v>0</v>
      </c>
      <c r="BC4866">
        <v>0</v>
      </c>
      <c r="BD4866">
        <v>0</v>
      </c>
      <c r="BE4866">
        <v>0</v>
      </c>
      <c r="BF4866">
        <v>0</v>
      </c>
      <c r="BG4866">
        <v>0</v>
      </c>
      <c r="BH4866">
        <v>1</v>
      </c>
      <c r="BI4866">
        <v>1</v>
      </c>
      <c r="BJ4866">
        <v>1.7</v>
      </c>
      <c r="BK4866">
        <v>2</v>
      </c>
      <c r="BL4866">
        <v>100.13</v>
      </c>
      <c r="BM4866">
        <v>15.02</v>
      </c>
      <c r="BN4866">
        <v>115.15</v>
      </c>
      <c r="BO4866">
        <v>115.15</v>
      </c>
      <c r="BQ4866" t="s">
        <v>4018</v>
      </c>
      <c r="BR4866" t="s">
        <v>84</v>
      </c>
      <c r="BS4866" s="3">
        <v>45869</v>
      </c>
      <c r="BT4866" s="4">
        <v>0.3923611111111111</v>
      </c>
      <c r="BU4866" t="s">
        <v>4019</v>
      </c>
      <c r="BV4866" t="s">
        <v>98</v>
      </c>
      <c r="BY4866">
        <v>8512</v>
      </c>
      <c r="CA4866" t="s">
        <v>109</v>
      </c>
      <c r="CC4866" t="s">
        <v>103</v>
      </c>
      <c r="CD4866">
        <v>1748</v>
      </c>
      <c r="CE4866" t="s">
        <v>145</v>
      </c>
      <c r="CI4866">
        <v>1</v>
      </c>
      <c r="CJ4866">
        <v>1</v>
      </c>
      <c r="CK4866">
        <v>24</v>
      </c>
      <c r="CL4866" t="s">
        <v>86</v>
      </c>
    </row>
    <row r="4867" spans="1:90" x14ac:dyDescent="0.3">
      <c r="A4867" t="s">
        <v>72</v>
      </c>
      <c r="B4867" t="s">
        <v>73</v>
      </c>
      <c r="C4867" t="s">
        <v>74</v>
      </c>
      <c r="E4867" t="str">
        <f>"080066899487"</f>
        <v>080066899487</v>
      </c>
      <c r="F4867" s="3">
        <v>45868</v>
      </c>
      <c r="G4867">
        <v>202604</v>
      </c>
      <c r="H4867" t="s">
        <v>75</v>
      </c>
      <c r="I4867" t="s">
        <v>76</v>
      </c>
      <c r="J4867" t="s">
        <v>77</v>
      </c>
      <c r="K4867" t="s">
        <v>78</v>
      </c>
      <c r="L4867" t="s">
        <v>75</v>
      </c>
      <c r="M4867" t="s">
        <v>76</v>
      </c>
      <c r="N4867" t="s">
        <v>562</v>
      </c>
      <c r="O4867" t="s">
        <v>95</v>
      </c>
      <c r="P4867" t="str">
        <f>"4170052203                    "</f>
        <v xml:space="preserve">4170052203                    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>
        <v>81.040000000000006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AZ4867">
        <v>0</v>
      </c>
      <c r="BA4867">
        <v>0</v>
      </c>
      <c r="BB4867">
        <v>0</v>
      </c>
      <c r="BC4867">
        <v>0</v>
      </c>
      <c r="BD4867">
        <v>0</v>
      </c>
      <c r="BE4867">
        <v>0</v>
      </c>
      <c r="BF4867">
        <v>0</v>
      </c>
      <c r="BG4867">
        <v>0</v>
      </c>
      <c r="BH4867">
        <v>3</v>
      </c>
      <c r="BI4867">
        <v>63</v>
      </c>
      <c r="BJ4867">
        <v>28.2</v>
      </c>
      <c r="BK4867">
        <v>63</v>
      </c>
      <c r="BL4867">
        <v>261.19</v>
      </c>
      <c r="BM4867">
        <v>39.18</v>
      </c>
      <c r="BN4867">
        <v>300.37</v>
      </c>
      <c r="BO4867">
        <v>300.37</v>
      </c>
      <c r="BQ4867" t="s">
        <v>563</v>
      </c>
      <c r="BR4867" t="s">
        <v>84</v>
      </c>
      <c r="BS4867" s="3">
        <v>45869</v>
      </c>
      <c r="BT4867" s="4">
        <v>0.40763888888888888</v>
      </c>
      <c r="BU4867" t="s">
        <v>4020</v>
      </c>
      <c r="BV4867" t="s">
        <v>98</v>
      </c>
      <c r="BY4867">
        <v>140880</v>
      </c>
      <c r="CA4867" t="s">
        <v>2902</v>
      </c>
      <c r="CC4867" t="s">
        <v>76</v>
      </c>
      <c r="CD4867">
        <v>1619</v>
      </c>
      <c r="CE4867" t="s">
        <v>91</v>
      </c>
      <c r="CI4867">
        <v>1</v>
      </c>
      <c r="CJ4867">
        <v>1</v>
      </c>
      <c r="CK4867">
        <v>42</v>
      </c>
      <c r="CL4867" t="s">
        <v>86</v>
      </c>
    </row>
    <row r="4868" spans="1:90" x14ac:dyDescent="0.3">
      <c r="A4868" t="s">
        <v>72</v>
      </c>
      <c r="B4868" t="s">
        <v>73</v>
      </c>
      <c r="C4868" t="s">
        <v>74</v>
      </c>
      <c r="E4868" t="str">
        <f>"080066899864"</f>
        <v>080066899864</v>
      </c>
      <c r="F4868" s="3">
        <v>45868</v>
      </c>
      <c r="G4868">
        <v>202604</v>
      </c>
      <c r="H4868" t="s">
        <v>75</v>
      </c>
      <c r="I4868" t="s">
        <v>76</v>
      </c>
      <c r="J4868" t="s">
        <v>77</v>
      </c>
      <c r="K4868" t="s">
        <v>78</v>
      </c>
      <c r="L4868" t="s">
        <v>92</v>
      </c>
      <c r="M4868" t="s">
        <v>93</v>
      </c>
      <c r="N4868" t="s">
        <v>291</v>
      </c>
      <c r="O4868" t="s">
        <v>82</v>
      </c>
      <c r="P4868" t="str">
        <f>"4170052198                    "</f>
        <v xml:space="preserve">4170052198                    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>
        <v>22.6</v>
      </c>
      <c r="AR4868">
        <v>0</v>
      </c>
      <c r="AS4868">
        <v>0</v>
      </c>
      <c r="AT4868">
        <v>0</v>
      </c>
      <c r="AU4868">
        <v>0</v>
      </c>
      <c r="AV4868">
        <v>0</v>
      </c>
      <c r="AW4868">
        <v>0</v>
      </c>
      <c r="AX4868">
        <v>0</v>
      </c>
      <c r="AY4868">
        <v>0</v>
      </c>
      <c r="AZ4868">
        <v>0</v>
      </c>
      <c r="BA4868">
        <v>0</v>
      </c>
      <c r="BB4868">
        <v>0</v>
      </c>
      <c r="BC4868">
        <v>0</v>
      </c>
      <c r="BD4868">
        <v>0</v>
      </c>
      <c r="BE4868">
        <v>0</v>
      </c>
      <c r="BF4868">
        <v>0</v>
      </c>
      <c r="BG4868">
        <v>0</v>
      </c>
      <c r="BH4868">
        <v>1</v>
      </c>
      <c r="BI4868">
        <v>1</v>
      </c>
      <c r="BJ4868">
        <v>0.2</v>
      </c>
      <c r="BK4868">
        <v>1</v>
      </c>
      <c r="BL4868">
        <v>71.2</v>
      </c>
      <c r="BM4868">
        <v>10.68</v>
      </c>
      <c r="BN4868">
        <v>81.88</v>
      </c>
      <c r="BO4868">
        <v>81.88</v>
      </c>
      <c r="BQ4868" t="s">
        <v>292</v>
      </c>
      <c r="BR4868" t="s">
        <v>84</v>
      </c>
      <c r="BS4868" s="3">
        <v>45869</v>
      </c>
      <c r="BT4868" s="4">
        <v>0.34027777777777779</v>
      </c>
      <c r="BU4868" t="s">
        <v>847</v>
      </c>
      <c r="BV4868" t="s">
        <v>98</v>
      </c>
      <c r="BY4868">
        <v>1200</v>
      </c>
      <c r="CA4868" t="s">
        <v>294</v>
      </c>
      <c r="CC4868" t="s">
        <v>93</v>
      </c>
      <c r="CD4868">
        <v>4051</v>
      </c>
      <c r="CE4868" t="s">
        <v>121</v>
      </c>
      <c r="CI4868">
        <v>1</v>
      </c>
      <c r="CJ4868">
        <v>1</v>
      </c>
      <c r="CK4868">
        <v>21</v>
      </c>
      <c r="CL4868" t="s">
        <v>86</v>
      </c>
    </row>
    <row r="4869" spans="1:90" x14ac:dyDescent="0.3">
      <c r="A4869" t="s">
        <v>72</v>
      </c>
      <c r="B4869" t="s">
        <v>73</v>
      </c>
      <c r="C4869" t="s">
        <v>74</v>
      </c>
      <c r="E4869" t="str">
        <f>"080066899874"</f>
        <v>080066899874</v>
      </c>
      <c r="F4869" s="3">
        <v>45868</v>
      </c>
      <c r="G4869">
        <v>202604</v>
      </c>
      <c r="H4869" t="s">
        <v>75</v>
      </c>
      <c r="I4869" t="s">
        <v>76</v>
      </c>
      <c r="J4869" t="s">
        <v>77</v>
      </c>
      <c r="K4869" t="s">
        <v>78</v>
      </c>
      <c r="L4869" t="s">
        <v>168</v>
      </c>
      <c r="M4869" t="s">
        <v>169</v>
      </c>
      <c r="N4869" t="s">
        <v>202</v>
      </c>
      <c r="O4869" t="s">
        <v>82</v>
      </c>
      <c r="P4869" t="str">
        <f>"4170052103                    "</f>
        <v xml:space="preserve">4170052103                    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>
        <v>22.6</v>
      </c>
      <c r="AR4869">
        <v>0</v>
      </c>
      <c r="AS4869">
        <v>0</v>
      </c>
      <c r="AT4869">
        <v>0</v>
      </c>
      <c r="AU4869">
        <v>0</v>
      </c>
      <c r="AV4869">
        <v>0</v>
      </c>
      <c r="AW4869">
        <v>0</v>
      </c>
      <c r="AX4869">
        <v>0</v>
      </c>
      <c r="AY4869">
        <v>0</v>
      </c>
      <c r="AZ4869">
        <v>0</v>
      </c>
      <c r="BA4869">
        <v>0</v>
      </c>
      <c r="BB4869">
        <v>0</v>
      </c>
      <c r="BC4869">
        <v>0</v>
      </c>
      <c r="BD4869">
        <v>0</v>
      </c>
      <c r="BE4869">
        <v>0</v>
      </c>
      <c r="BF4869">
        <v>0</v>
      </c>
      <c r="BG4869">
        <v>0</v>
      </c>
      <c r="BH4869">
        <v>1</v>
      </c>
      <c r="BI4869">
        <v>1</v>
      </c>
      <c r="BJ4869">
        <v>0.2</v>
      </c>
      <c r="BK4869">
        <v>1</v>
      </c>
      <c r="BL4869">
        <v>71.2</v>
      </c>
      <c r="BM4869">
        <v>10.68</v>
      </c>
      <c r="BN4869">
        <v>81.88</v>
      </c>
      <c r="BO4869">
        <v>81.88</v>
      </c>
      <c r="BQ4869" t="s">
        <v>203</v>
      </c>
      <c r="BR4869" t="s">
        <v>84</v>
      </c>
      <c r="BS4869" s="3">
        <v>45869</v>
      </c>
      <c r="BT4869" s="4">
        <v>0.40138888888888891</v>
      </c>
      <c r="BU4869" t="s">
        <v>1127</v>
      </c>
      <c r="BV4869" t="s">
        <v>98</v>
      </c>
      <c r="BY4869">
        <v>1200</v>
      </c>
      <c r="CA4869" t="s">
        <v>3850</v>
      </c>
      <c r="CC4869" t="s">
        <v>169</v>
      </c>
      <c r="CD4869">
        <v>6001</v>
      </c>
      <c r="CE4869" t="s">
        <v>121</v>
      </c>
      <c r="CI4869">
        <v>1</v>
      </c>
      <c r="CJ4869">
        <v>1</v>
      </c>
      <c r="CK4869">
        <v>21</v>
      </c>
      <c r="CL4869" t="s">
        <v>86</v>
      </c>
    </row>
    <row r="4870" spans="1:90" x14ac:dyDescent="0.3">
      <c r="A4870" t="s">
        <v>72</v>
      </c>
      <c r="B4870" t="s">
        <v>73</v>
      </c>
      <c r="C4870" t="s">
        <v>74</v>
      </c>
      <c r="E4870" t="str">
        <f>"080066899886"</f>
        <v>080066899886</v>
      </c>
      <c r="F4870" s="3">
        <v>45868</v>
      </c>
      <c r="G4870">
        <v>202604</v>
      </c>
      <c r="H4870" t="s">
        <v>75</v>
      </c>
      <c r="I4870" t="s">
        <v>76</v>
      </c>
      <c r="J4870" t="s">
        <v>77</v>
      </c>
      <c r="K4870" t="s">
        <v>78</v>
      </c>
      <c r="L4870" t="s">
        <v>135</v>
      </c>
      <c r="M4870" t="s">
        <v>136</v>
      </c>
      <c r="N4870" t="s">
        <v>416</v>
      </c>
      <c r="O4870" t="s">
        <v>82</v>
      </c>
      <c r="P4870" t="str">
        <f>"4170052114                    "</f>
        <v xml:space="preserve">4170052114                    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>
        <v>22.6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  <c r="AZ4870">
        <v>0</v>
      </c>
      <c r="BA4870">
        <v>0</v>
      </c>
      <c r="BB4870">
        <v>0</v>
      </c>
      <c r="BC4870">
        <v>0</v>
      </c>
      <c r="BD4870">
        <v>0</v>
      </c>
      <c r="BE4870">
        <v>0</v>
      </c>
      <c r="BF4870">
        <v>0</v>
      </c>
      <c r="BG4870">
        <v>0</v>
      </c>
      <c r="BH4870">
        <v>1</v>
      </c>
      <c r="BI4870">
        <v>1</v>
      </c>
      <c r="BJ4870">
        <v>0.2</v>
      </c>
      <c r="BK4870">
        <v>1</v>
      </c>
      <c r="BL4870">
        <v>71.2</v>
      </c>
      <c r="BM4870">
        <v>10.68</v>
      </c>
      <c r="BN4870">
        <v>81.88</v>
      </c>
      <c r="BO4870">
        <v>81.88</v>
      </c>
      <c r="BQ4870" t="s">
        <v>417</v>
      </c>
      <c r="BR4870" t="s">
        <v>84</v>
      </c>
      <c r="BS4870" t="s">
        <v>587</v>
      </c>
      <c r="BY4870">
        <v>1200</v>
      </c>
      <c r="CC4870" t="s">
        <v>136</v>
      </c>
      <c r="CD4870">
        <v>3201</v>
      </c>
      <c r="CE4870" t="s">
        <v>110</v>
      </c>
      <c r="CI4870">
        <v>1</v>
      </c>
      <c r="CJ4870" t="s">
        <v>587</v>
      </c>
      <c r="CK4870">
        <v>21</v>
      </c>
      <c r="CL4870" t="s">
        <v>86</v>
      </c>
    </row>
    <row r="4871" spans="1:90" x14ac:dyDescent="0.3">
      <c r="A4871" t="s">
        <v>72</v>
      </c>
      <c r="B4871" t="s">
        <v>73</v>
      </c>
      <c r="C4871" t="s">
        <v>74</v>
      </c>
      <c r="E4871" t="str">
        <f>"080066899893"</f>
        <v>080066899893</v>
      </c>
      <c r="F4871" s="3">
        <v>45868</v>
      </c>
      <c r="G4871">
        <v>202604</v>
      </c>
      <c r="H4871" t="s">
        <v>75</v>
      </c>
      <c r="I4871" t="s">
        <v>76</v>
      </c>
      <c r="J4871" t="s">
        <v>77</v>
      </c>
      <c r="K4871" t="s">
        <v>78</v>
      </c>
      <c r="L4871" t="s">
        <v>295</v>
      </c>
      <c r="M4871" t="s">
        <v>296</v>
      </c>
      <c r="N4871" t="s">
        <v>1063</v>
      </c>
      <c r="O4871" t="s">
        <v>82</v>
      </c>
      <c r="P4871" t="str">
        <f>"4170052197                    "</f>
        <v xml:space="preserve">4170052197                    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>
        <v>17.649999999999999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  <c r="BE4871">
        <v>0</v>
      </c>
      <c r="BF4871">
        <v>0</v>
      </c>
      <c r="BG4871">
        <v>0</v>
      </c>
      <c r="BH4871">
        <v>1</v>
      </c>
      <c r="BI4871">
        <v>1</v>
      </c>
      <c r="BJ4871">
        <v>0.2</v>
      </c>
      <c r="BK4871">
        <v>1</v>
      </c>
      <c r="BL4871">
        <v>55.61</v>
      </c>
      <c r="BM4871">
        <v>8.34</v>
      </c>
      <c r="BN4871">
        <v>63.95</v>
      </c>
      <c r="BO4871">
        <v>63.95</v>
      </c>
      <c r="BQ4871" t="s">
        <v>1064</v>
      </c>
      <c r="BR4871" t="s">
        <v>84</v>
      </c>
      <c r="BS4871" s="3">
        <v>45869</v>
      </c>
      <c r="BT4871" s="4">
        <v>0.35902777777777778</v>
      </c>
      <c r="BU4871" t="s">
        <v>1065</v>
      </c>
      <c r="BV4871" t="s">
        <v>98</v>
      </c>
      <c r="BY4871">
        <v>1200</v>
      </c>
      <c r="CA4871" t="s">
        <v>300</v>
      </c>
      <c r="CC4871" t="s">
        <v>296</v>
      </c>
      <c r="CD4871">
        <v>1459</v>
      </c>
      <c r="CE4871" t="s">
        <v>110</v>
      </c>
      <c r="CI4871">
        <v>1</v>
      </c>
      <c r="CJ4871">
        <v>1</v>
      </c>
      <c r="CK4871">
        <v>22</v>
      </c>
      <c r="CL4871" t="s">
        <v>86</v>
      </c>
    </row>
    <row r="4872" spans="1:90" x14ac:dyDescent="0.3">
      <c r="A4872" t="s">
        <v>72</v>
      </c>
      <c r="B4872" t="s">
        <v>73</v>
      </c>
      <c r="C4872" t="s">
        <v>74</v>
      </c>
      <c r="E4872" t="str">
        <f>"080066899912"</f>
        <v>080066899912</v>
      </c>
      <c r="F4872" s="3">
        <v>45868</v>
      </c>
      <c r="G4872">
        <v>202604</v>
      </c>
      <c r="H4872" t="s">
        <v>75</v>
      </c>
      <c r="I4872" t="s">
        <v>76</v>
      </c>
      <c r="J4872" t="s">
        <v>77</v>
      </c>
      <c r="K4872" t="s">
        <v>78</v>
      </c>
      <c r="L4872" t="s">
        <v>151</v>
      </c>
      <c r="M4872" t="s">
        <v>152</v>
      </c>
      <c r="N4872" t="s">
        <v>2250</v>
      </c>
      <c r="O4872" t="s">
        <v>82</v>
      </c>
      <c r="P4872" t="str">
        <f>"4170052077                    "</f>
        <v xml:space="preserve">4170052077                    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>
        <v>22.6</v>
      </c>
      <c r="AR4872">
        <v>0</v>
      </c>
      <c r="AS4872">
        <v>0</v>
      </c>
      <c r="AT4872">
        <v>0</v>
      </c>
      <c r="AU4872">
        <v>0</v>
      </c>
      <c r="AV4872">
        <v>0</v>
      </c>
      <c r="AW4872">
        <v>0</v>
      </c>
      <c r="AX4872">
        <v>0</v>
      </c>
      <c r="AY4872">
        <v>0</v>
      </c>
      <c r="AZ4872">
        <v>0</v>
      </c>
      <c r="BA4872">
        <v>0</v>
      </c>
      <c r="BB4872">
        <v>0</v>
      </c>
      <c r="BC4872">
        <v>0</v>
      </c>
      <c r="BD4872">
        <v>0</v>
      </c>
      <c r="BE4872">
        <v>0</v>
      </c>
      <c r="BF4872">
        <v>0</v>
      </c>
      <c r="BG4872">
        <v>0</v>
      </c>
      <c r="BH4872">
        <v>1</v>
      </c>
      <c r="BI4872">
        <v>1</v>
      </c>
      <c r="BJ4872">
        <v>0.2</v>
      </c>
      <c r="BK4872">
        <v>1</v>
      </c>
      <c r="BL4872">
        <v>71.2</v>
      </c>
      <c r="BM4872">
        <v>10.68</v>
      </c>
      <c r="BN4872">
        <v>81.88</v>
      </c>
      <c r="BO4872">
        <v>81.88</v>
      </c>
      <c r="BQ4872" t="s">
        <v>2251</v>
      </c>
      <c r="BR4872" t="s">
        <v>84</v>
      </c>
      <c r="BS4872" s="3">
        <v>45869</v>
      </c>
      <c r="BT4872" s="4">
        <v>0.33888888888888891</v>
      </c>
      <c r="BU4872" t="s">
        <v>2744</v>
      </c>
      <c r="BV4872" t="s">
        <v>98</v>
      </c>
      <c r="BY4872">
        <v>1200</v>
      </c>
      <c r="CA4872" t="s">
        <v>518</v>
      </c>
      <c r="CC4872" t="s">
        <v>152</v>
      </c>
      <c r="CD4872" s="5" t="s">
        <v>1141</v>
      </c>
      <c r="CE4872" t="s">
        <v>110</v>
      </c>
      <c r="CI4872">
        <v>1</v>
      </c>
      <c r="CJ4872">
        <v>1</v>
      </c>
      <c r="CK4872">
        <v>21</v>
      </c>
      <c r="CL4872" t="s">
        <v>86</v>
      </c>
    </row>
    <row r="4873" spans="1:90" x14ac:dyDescent="0.3">
      <c r="A4873" t="s">
        <v>72</v>
      </c>
      <c r="B4873" t="s">
        <v>73</v>
      </c>
      <c r="C4873" t="s">
        <v>74</v>
      </c>
      <c r="E4873" t="str">
        <f>"080066899929"</f>
        <v>080066899929</v>
      </c>
      <c r="F4873" s="3">
        <v>45868</v>
      </c>
      <c r="G4873">
        <v>202604</v>
      </c>
      <c r="H4873" t="s">
        <v>75</v>
      </c>
      <c r="I4873" t="s">
        <v>76</v>
      </c>
      <c r="J4873" t="s">
        <v>77</v>
      </c>
      <c r="K4873" t="s">
        <v>78</v>
      </c>
      <c r="L4873" t="s">
        <v>79</v>
      </c>
      <c r="M4873" t="s">
        <v>80</v>
      </c>
      <c r="N4873" t="s">
        <v>286</v>
      </c>
      <c r="O4873" t="s">
        <v>82</v>
      </c>
      <c r="P4873" t="str">
        <f>"4170052164                    "</f>
        <v xml:space="preserve">4170052164                    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22.6</v>
      </c>
      <c r="AR4873">
        <v>0</v>
      </c>
      <c r="AS4873">
        <v>0</v>
      </c>
      <c r="AT4873">
        <v>0</v>
      </c>
      <c r="AU4873">
        <v>0</v>
      </c>
      <c r="AV4873">
        <v>0</v>
      </c>
      <c r="AW4873">
        <v>0</v>
      </c>
      <c r="AX4873">
        <v>0</v>
      </c>
      <c r="AY4873">
        <v>0</v>
      </c>
      <c r="AZ4873">
        <v>0</v>
      </c>
      <c r="BA4873">
        <v>0</v>
      </c>
      <c r="BB4873">
        <v>0</v>
      </c>
      <c r="BC4873">
        <v>0</v>
      </c>
      <c r="BD4873">
        <v>0</v>
      </c>
      <c r="BE4873">
        <v>0</v>
      </c>
      <c r="BF4873">
        <v>0</v>
      </c>
      <c r="BG4873">
        <v>0</v>
      </c>
      <c r="BH4873">
        <v>1</v>
      </c>
      <c r="BI4873">
        <v>1</v>
      </c>
      <c r="BJ4873">
        <v>0.2</v>
      </c>
      <c r="BK4873">
        <v>1</v>
      </c>
      <c r="BL4873">
        <v>71.2</v>
      </c>
      <c r="BM4873">
        <v>10.68</v>
      </c>
      <c r="BN4873">
        <v>81.88</v>
      </c>
      <c r="BO4873">
        <v>81.88</v>
      </c>
      <c r="BQ4873" t="s">
        <v>287</v>
      </c>
      <c r="BR4873" t="s">
        <v>84</v>
      </c>
      <c r="BS4873" s="3">
        <v>45869</v>
      </c>
      <c r="BT4873" s="4">
        <v>0.33541666666666664</v>
      </c>
      <c r="BU4873" t="s">
        <v>2322</v>
      </c>
      <c r="BV4873" t="s">
        <v>98</v>
      </c>
      <c r="BY4873">
        <v>1200</v>
      </c>
      <c r="CA4873" t="s">
        <v>289</v>
      </c>
      <c r="CC4873" t="s">
        <v>80</v>
      </c>
      <c r="CD4873">
        <v>7530</v>
      </c>
      <c r="CE4873" t="s">
        <v>110</v>
      </c>
      <c r="CI4873">
        <v>1</v>
      </c>
      <c r="CJ4873">
        <v>1</v>
      </c>
      <c r="CK4873">
        <v>21</v>
      </c>
      <c r="CL4873" t="s">
        <v>86</v>
      </c>
    </row>
    <row r="4874" spans="1:90" x14ac:dyDescent="0.3">
      <c r="A4874" t="s">
        <v>72</v>
      </c>
      <c r="B4874" t="s">
        <v>73</v>
      </c>
      <c r="C4874" t="s">
        <v>74</v>
      </c>
      <c r="E4874" t="str">
        <f>"080066899934"</f>
        <v>080066899934</v>
      </c>
      <c r="F4874" s="3">
        <v>45868</v>
      </c>
      <c r="G4874">
        <v>202604</v>
      </c>
      <c r="H4874" t="s">
        <v>75</v>
      </c>
      <c r="I4874" t="s">
        <v>76</v>
      </c>
      <c r="J4874" t="s">
        <v>77</v>
      </c>
      <c r="K4874" t="s">
        <v>78</v>
      </c>
      <c r="L4874" t="s">
        <v>79</v>
      </c>
      <c r="M4874" t="s">
        <v>80</v>
      </c>
      <c r="N4874" t="s">
        <v>141</v>
      </c>
      <c r="O4874" t="s">
        <v>82</v>
      </c>
      <c r="P4874" t="str">
        <f>"4170052107                    "</f>
        <v xml:space="preserve">4170052107                    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22.6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0</v>
      </c>
      <c r="AZ4874">
        <v>0</v>
      </c>
      <c r="BA4874">
        <v>0</v>
      </c>
      <c r="BB4874">
        <v>0</v>
      </c>
      <c r="BC4874">
        <v>0</v>
      </c>
      <c r="BD4874">
        <v>0</v>
      </c>
      <c r="BE4874">
        <v>0</v>
      </c>
      <c r="BF4874">
        <v>0</v>
      </c>
      <c r="BG4874">
        <v>0</v>
      </c>
      <c r="BH4874">
        <v>1</v>
      </c>
      <c r="BI4874">
        <v>1</v>
      </c>
      <c r="BJ4874">
        <v>0.2</v>
      </c>
      <c r="BK4874">
        <v>1</v>
      </c>
      <c r="BL4874">
        <v>71.2</v>
      </c>
      <c r="BM4874">
        <v>10.68</v>
      </c>
      <c r="BN4874">
        <v>81.88</v>
      </c>
      <c r="BO4874">
        <v>81.88</v>
      </c>
      <c r="BQ4874" t="s">
        <v>142</v>
      </c>
      <c r="BR4874" t="s">
        <v>84</v>
      </c>
      <c r="BS4874" s="3">
        <v>45869</v>
      </c>
      <c r="BT4874" s="4">
        <v>0.42291666666666666</v>
      </c>
      <c r="BU4874" t="s">
        <v>143</v>
      </c>
      <c r="BV4874" t="s">
        <v>98</v>
      </c>
      <c r="BY4874">
        <v>1200</v>
      </c>
      <c r="CA4874" t="s">
        <v>144</v>
      </c>
      <c r="CC4874" t="s">
        <v>80</v>
      </c>
      <c r="CD4874">
        <v>7441</v>
      </c>
      <c r="CE4874" t="s">
        <v>110</v>
      </c>
      <c r="CI4874">
        <v>1</v>
      </c>
      <c r="CJ4874">
        <v>1</v>
      </c>
      <c r="CK4874">
        <v>21</v>
      </c>
      <c r="CL4874" t="s">
        <v>86</v>
      </c>
    </row>
    <row r="4875" spans="1:90" x14ac:dyDescent="0.3">
      <c r="A4875" t="s">
        <v>72</v>
      </c>
      <c r="B4875" t="s">
        <v>73</v>
      </c>
      <c r="C4875" t="s">
        <v>74</v>
      </c>
      <c r="E4875" t="str">
        <f>"080066899946"</f>
        <v>080066899946</v>
      </c>
      <c r="F4875" s="3">
        <v>45868</v>
      </c>
      <c r="G4875">
        <v>202604</v>
      </c>
      <c r="H4875" t="s">
        <v>75</v>
      </c>
      <c r="I4875" t="s">
        <v>76</v>
      </c>
      <c r="J4875" t="s">
        <v>77</v>
      </c>
      <c r="K4875" t="s">
        <v>78</v>
      </c>
      <c r="L4875" t="s">
        <v>452</v>
      </c>
      <c r="M4875" t="s">
        <v>453</v>
      </c>
      <c r="N4875" t="s">
        <v>1192</v>
      </c>
      <c r="O4875" t="s">
        <v>82</v>
      </c>
      <c r="P4875" t="str">
        <f>"4170052143                    "</f>
        <v xml:space="preserve">4170052143                    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17.649999999999999</v>
      </c>
      <c r="AR4875">
        <v>0</v>
      </c>
      <c r="AS4875">
        <v>0</v>
      </c>
      <c r="AT4875">
        <v>0</v>
      </c>
      <c r="AU4875">
        <v>0</v>
      </c>
      <c r="AV4875">
        <v>0</v>
      </c>
      <c r="AW4875">
        <v>0</v>
      </c>
      <c r="AX4875">
        <v>0</v>
      </c>
      <c r="AY4875">
        <v>0</v>
      </c>
      <c r="AZ4875">
        <v>0</v>
      </c>
      <c r="BA4875">
        <v>0</v>
      </c>
      <c r="BB4875">
        <v>0</v>
      </c>
      <c r="BC4875">
        <v>0</v>
      </c>
      <c r="BD4875">
        <v>0</v>
      </c>
      <c r="BE4875">
        <v>0</v>
      </c>
      <c r="BF4875">
        <v>0</v>
      </c>
      <c r="BG4875">
        <v>0</v>
      </c>
      <c r="BH4875">
        <v>1</v>
      </c>
      <c r="BI4875">
        <v>1</v>
      </c>
      <c r="BJ4875">
        <v>0.2</v>
      </c>
      <c r="BK4875">
        <v>1</v>
      </c>
      <c r="BL4875">
        <v>55.61</v>
      </c>
      <c r="BM4875">
        <v>8.34</v>
      </c>
      <c r="BN4875">
        <v>63.95</v>
      </c>
      <c r="BO4875">
        <v>63.95</v>
      </c>
      <c r="BQ4875" t="s">
        <v>1193</v>
      </c>
      <c r="BR4875" t="s">
        <v>84</v>
      </c>
      <c r="BS4875" s="3">
        <v>45869</v>
      </c>
      <c r="BT4875" s="4">
        <v>0.50208333333333333</v>
      </c>
      <c r="BU4875" t="s">
        <v>1710</v>
      </c>
      <c r="BV4875" t="s">
        <v>86</v>
      </c>
      <c r="BY4875">
        <v>1200</v>
      </c>
      <c r="CA4875" t="s">
        <v>1541</v>
      </c>
      <c r="CC4875" t="s">
        <v>453</v>
      </c>
      <c r="CD4875">
        <v>1559</v>
      </c>
      <c r="CE4875" t="s">
        <v>110</v>
      </c>
      <c r="CI4875">
        <v>1</v>
      </c>
      <c r="CJ4875">
        <v>1</v>
      </c>
      <c r="CK4875">
        <v>22</v>
      </c>
      <c r="CL4875" t="s">
        <v>86</v>
      </c>
    </row>
    <row r="4876" spans="1:90" x14ac:dyDescent="0.3">
      <c r="A4876" t="s">
        <v>72</v>
      </c>
      <c r="B4876" t="s">
        <v>73</v>
      </c>
      <c r="C4876" t="s">
        <v>74</v>
      </c>
      <c r="E4876" t="str">
        <f>"080066899951"</f>
        <v>080066899951</v>
      </c>
      <c r="F4876" s="3">
        <v>45868</v>
      </c>
      <c r="G4876">
        <v>202604</v>
      </c>
      <c r="H4876" t="s">
        <v>75</v>
      </c>
      <c r="I4876" t="s">
        <v>76</v>
      </c>
      <c r="J4876" t="s">
        <v>77</v>
      </c>
      <c r="K4876" t="s">
        <v>78</v>
      </c>
      <c r="L4876" t="s">
        <v>295</v>
      </c>
      <c r="M4876" t="s">
        <v>296</v>
      </c>
      <c r="N4876" t="s">
        <v>1063</v>
      </c>
      <c r="O4876" t="s">
        <v>82</v>
      </c>
      <c r="P4876" t="str">
        <f>"4170052193                    "</f>
        <v xml:space="preserve">4170052193                    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17.649999999999999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  <c r="AZ4876">
        <v>0</v>
      </c>
      <c r="BA4876">
        <v>0</v>
      </c>
      <c r="BB4876">
        <v>0</v>
      </c>
      <c r="BC4876">
        <v>0</v>
      </c>
      <c r="BD4876">
        <v>0</v>
      </c>
      <c r="BE4876">
        <v>0</v>
      </c>
      <c r="BF4876">
        <v>0</v>
      </c>
      <c r="BG4876">
        <v>0</v>
      </c>
      <c r="BH4876">
        <v>1</v>
      </c>
      <c r="BI4876">
        <v>8</v>
      </c>
      <c r="BJ4876">
        <v>3.2</v>
      </c>
      <c r="BK4876">
        <v>8</v>
      </c>
      <c r="BL4876">
        <v>55.61</v>
      </c>
      <c r="BM4876">
        <v>8.34</v>
      </c>
      <c r="BN4876">
        <v>63.95</v>
      </c>
      <c r="BO4876">
        <v>63.95</v>
      </c>
      <c r="BQ4876" t="s">
        <v>1064</v>
      </c>
      <c r="BR4876" t="s">
        <v>84</v>
      </c>
      <c r="BS4876" s="3">
        <v>45869</v>
      </c>
      <c r="BT4876" s="4">
        <v>0.36388888888888887</v>
      </c>
      <c r="BU4876" t="s">
        <v>1065</v>
      </c>
      <c r="BV4876" t="s">
        <v>98</v>
      </c>
      <c r="BY4876">
        <v>16200</v>
      </c>
      <c r="CA4876" t="s">
        <v>300</v>
      </c>
      <c r="CC4876" t="s">
        <v>296</v>
      </c>
      <c r="CD4876">
        <v>1459</v>
      </c>
      <c r="CE4876" t="s">
        <v>145</v>
      </c>
      <c r="CI4876">
        <v>1</v>
      </c>
      <c r="CJ4876">
        <v>1</v>
      </c>
      <c r="CK4876">
        <v>22</v>
      </c>
      <c r="CL4876" t="s">
        <v>86</v>
      </c>
    </row>
    <row r="4877" spans="1:90" x14ac:dyDescent="0.3">
      <c r="A4877" t="s">
        <v>72</v>
      </c>
      <c r="B4877" t="s">
        <v>73</v>
      </c>
      <c r="C4877" t="s">
        <v>74</v>
      </c>
      <c r="E4877" t="str">
        <f>"080066899953"</f>
        <v>080066899953</v>
      </c>
      <c r="F4877" s="3">
        <v>45868</v>
      </c>
      <c r="G4877">
        <v>202604</v>
      </c>
      <c r="H4877" t="s">
        <v>75</v>
      </c>
      <c r="I4877" t="s">
        <v>76</v>
      </c>
      <c r="J4877" t="s">
        <v>77</v>
      </c>
      <c r="K4877" t="s">
        <v>78</v>
      </c>
      <c r="L4877" t="s">
        <v>580</v>
      </c>
      <c r="M4877" t="s">
        <v>581</v>
      </c>
      <c r="N4877" t="s">
        <v>582</v>
      </c>
      <c r="O4877" t="s">
        <v>82</v>
      </c>
      <c r="P4877" t="str">
        <f>"4170052142                    "</f>
        <v xml:space="preserve">4170052142                    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>
        <v>22.6</v>
      </c>
      <c r="AR4877">
        <v>0</v>
      </c>
      <c r="AS4877">
        <v>0</v>
      </c>
      <c r="AT4877">
        <v>0</v>
      </c>
      <c r="AU4877">
        <v>0</v>
      </c>
      <c r="AV4877">
        <v>0</v>
      </c>
      <c r="AW4877">
        <v>0</v>
      </c>
      <c r="AX4877">
        <v>0</v>
      </c>
      <c r="AY4877">
        <v>0</v>
      </c>
      <c r="AZ4877">
        <v>0</v>
      </c>
      <c r="BA4877">
        <v>0</v>
      </c>
      <c r="BB4877">
        <v>0</v>
      </c>
      <c r="BC4877">
        <v>0</v>
      </c>
      <c r="BD4877">
        <v>0</v>
      </c>
      <c r="BE4877">
        <v>0</v>
      </c>
      <c r="BF4877">
        <v>0</v>
      </c>
      <c r="BG4877">
        <v>0</v>
      </c>
      <c r="BH4877">
        <v>1</v>
      </c>
      <c r="BI4877">
        <v>1</v>
      </c>
      <c r="BJ4877">
        <v>0.2</v>
      </c>
      <c r="BK4877">
        <v>1</v>
      </c>
      <c r="BL4877">
        <v>71.2</v>
      </c>
      <c r="BM4877">
        <v>10.68</v>
      </c>
      <c r="BN4877">
        <v>81.88</v>
      </c>
      <c r="BO4877">
        <v>81.88</v>
      </c>
      <c r="BQ4877" t="s">
        <v>583</v>
      </c>
      <c r="BR4877" t="s">
        <v>84</v>
      </c>
      <c r="BS4877" s="3">
        <v>45869</v>
      </c>
      <c r="BT4877" s="4">
        <v>0.41805555555555557</v>
      </c>
      <c r="BU4877" t="s">
        <v>584</v>
      </c>
      <c r="BV4877" t="s">
        <v>98</v>
      </c>
      <c r="BY4877">
        <v>1200</v>
      </c>
      <c r="CA4877" t="s">
        <v>585</v>
      </c>
      <c r="CC4877" t="s">
        <v>581</v>
      </c>
      <c r="CD4877">
        <v>4302</v>
      </c>
      <c r="CE4877" t="s">
        <v>121</v>
      </c>
      <c r="CI4877">
        <v>1</v>
      </c>
      <c r="CJ4877">
        <v>1</v>
      </c>
      <c r="CK4877">
        <v>21</v>
      </c>
      <c r="CL4877" t="s">
        <v>86</v>
      </c>
    </row>
    <row r="4878" spans="1:90" x14ac:dyDescent="0.3">
      <c r="A4878" t="s">
        <v>72</v>
      </c>
      <c r="B4878" t="s">
        <v>73</v>
      </c>
      <c r="C4878" t="s">
        <v>74</v>
      </c>
      <c r="E4878" t="str">
        <f>"080066899971"</f>
        <v>080066899971</v>
      </c>
      <c r="F4878" s="3">
        <v>45868</v>
      </c>
      <c r="G4878">
        <v>202604</v>
      </c>
      <c r="H4878" t="s">
        <v>75</v>
      </c>
      <c r="I4878" t="s">
        <v>76</v>
      </c>
      <c r="J4878" t="s">
        <v>77</v>
      </c>
      <c r="K4878" t="s">
        <v>78</v>
      </c>
      <c r="L4878" t="s">
        <v>92</v>
      </c>
      <c r="M4878" t="s">
        <v>93</v>
      </c>
      <c r="N4878" t="s">
        <v>334</v>
      </c>
      <c r="O4878" t="s">
        <v>82</v>
      </c>
      <c r="P4878" t="str">
        <f>"4170052118                    "</f>
        <v xml:space="preserve">4170052118                    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22.6</v>
      </c>
      <c r="AR4878">
        <v>0</v>
      </c>
      <c r="AS4878">
        <v>0</v>
      </c>
      <c r="AT4878">
        <v>0</v>
      </c>
      <c r="AU4878">
        <v>0</v>
      </c>
      <c r="AV4878">
        <v>0</v>
      </c>
      <c r="AW4878">
        <v>0</v>
      </c>
      <c r="AX4878">
        <v>0</v>
      </c>
      <c r="AY4878">
        <v>0</v>
      </c>
      <c r="AZ4878">
        <v>0</v>
      </c>
      <c r="BA4878">
        <v>0</v>
      </c>
      <c r="BB4878">
        <v>0</v>
      </c>
      <c r="BC4878">
        <v>0</v>
      </c>
      <c r="BD4878">
        <v>0</v>
      </c>
      <c r="BE4878">
        <v>0</v>
      </c>
      <c r="BF4878">
        <v>0</v>
      </c>
      <c r="BG4878">
        <v>0</v>
      </c>
      <c r="BH4878">
        <v>1</v>
      </c>
      <c r="BI4878">
        <v>1</v>
      </c>
      <c r="BJ4878">
        <v>0.2</v>
      </c>
      <c r="BK4878">
        <v>1</v>
      </c>
      <c r="BL4878">
        <v>71.2</v>
      </c>
      <c r="BM4878">
        <v>10.68</v>
      </c>
      <c r="BN4878">
        <v>81.88</v>
      </c>
      <c r="BO4878">
        <v>81.88</v>
      </c>
      <c r="BQ4878" t="s">
        <v>335</v>
      </c>
      <c r="BR4878" t="s">
        <v>84</v>
      </c>
      <c r="BS4878" s="3">
        <v>45869</v>
      </c>
      <c r="BT4878" s="4">
        <v>0.38263888888888886</v>
      </c>
      <c r="BU4878" t="s">
        <v>2897</v>
      </c>
      <c r="BV4878" t="s">
        <v>98</v>
      </c>
      <c r="BY4878">
        <v>1200</v>
      </c>
      <c r="CA4878" t="s">
        <v>3829</v>
      </c>
      <c r="CC4878" t="s">
        <v>93</v>
      </c>
      <c r="CD4878">
        <v>4052</v>
      </c>
      <c r="CE4878" t="s">
        <v>121</v>
      </c>
      <c r="CI4878">
        <v>1</v>
      </c>
      <c r="CJ4878">
        <v>1</v>
      </c>
      <c r="CK4878">
        <v>21</v>
      </c>
      <c r="CL4878" t="s">
        <v>86</v>
      </c>
    </row>
    <row r="4879" spans="1:90" x14ac:dyDescent="0.3">
      <c r="A4879" t="s">
        <v>72</v>
      </c>
      <c r="B4879" t="s">
        <v>73</v>
      </c>
      <c r="C4879" t="s">
        <v>74</v>
      </c>
      <c r="E4879" t="str">
        <f>"080066899982"</f>
        <v>080066899982</v>
      </c>
      <c r="F4879" s="3">
        <v>45868</v>
      </c>
      <c r="G4879">
        <v>202604</v>
      </c>
      <c r="H4879" t="s">
        <v>75</v>
      </c>
      <c r="I4879" t="s">
        <v>76</v>
      </c>
      <c r="J4879" t="s">
        <v>77</v>
      </c>
      <c r="K4879" t="s">
        <v>78</v>
      </c>
      <c r="L4879" t="s">
        <v>1651</v>
      </c>
      <c r="M4879" t="s">
        <v>1652</v>
      </c>
      <c r="N4879" t="s">
        <v>1653</v>
      </c>
      <c r="O4879" t="s">
        <v>82</v>
      </c>
      <c r="P4879" t="str">
        <f>"4170052228                    "</f>
        <v xml:space="preserve">4170052228                    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43.78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  <c r="AZ4879">
        <v>0</v>
      </c>
      <c r="BA4879">
        <v>0</v>
      </c>
      <c r="BB4879">
        <v>0</v>
      </c>
      <c r="BC4879">
        <v>0</v>
      </c>
      <c r="BD4879">
        <v>0</v>
      </c>
      <c r="BE4879">
        <v>0</v>
      </c>
      <c r="BF4879">
        <v>0</v>
      </c>
      <c r="BG4879">
        <v>0</v>
      </c>
      <c r="BH4879">
        <v>1</v>
      </c>
      <c r="BI4879">
        <v>1</v>
      </c>
      <c r="BJ4879">
        <v>1.9</v>
      </c>
      <c r="BK4879">
        <v>2</v>
      </c>
      <c r="BL4879">
        <v>137.94</v>
      </c>
      <c r="BM4879">
        <v>20.69</v>
      </c>
      <c r="BN4879">
        <v>158.63</v>
      </c>
      <c r="BO4879">
        <v>158.63</v>
      </c>
      <c r="BQ4879" t="s">
        <v>1654</v>
      </c>
      <c r="BR4879" t="s">
        <v>84</v>
      </c>
      <c r="BS4879" s="3">
        <v>45869</v>
      </c>
      <c r="BT4879" s="4">
        <v>0.49236111111111114</v>
      </c>
      <c r="BU4879" t="s">
        <v>1655</v>
      </c>
      <c r="BV4879" t="s">
        <v>98</v>
      </c>
      <c r="BY4879">
        <v>9576</v>
      </c>
      <c r="CA4879" t="s">
        <v>1656</v>
      </c>
      <c r="CC4879" t="s">
        <v>1652</v>
      </c>
      <c r="CD4879">
        <v>6715</v>
      </c>
      <c r="CE4879" t="s">
        <v>145</v>
      </c>
      <c r="CI4879">
        <v>2</v>
      </c>
      <c r="CJ4879">
        <v>1</v>
      </c>
      <c r="CK4879">
        <v>23</v>
      </c>
      <c r="CL4879" t="s">
        <v>86</v>
      </c>
    </row>
    <row r="4880" spans="1:90" x14ac:dyDescent="0.3">
      <c r="A4880" t="s">
        <v>72</v>
      </c>
      <c r="B4880" t="s">
        <v>73</v>
      </c>
      <c r="C4880" t="s">
        <v>74</v>
      </c>
      <c r="E4880" t="str">
        <f>"080066899990"</f>
        <v>080066899990</v>
      </c>
      <c r="F4880" s="3">
        <v>45868</v>
      </c>
      <c r="G4880">
        <v>202604</v>
      </c>
      <c r="H4880" t="s">
        <v>75</v>
      </c>
      <c r="I4880" t="s">
        <v>76</v>
      </c>
      <c r="J4880" t="s">
        <v>77</v>
      </c>
      <c r="K4880" t="s">
        <v>78</v>
      </c>
      <c r="L4880" t="s">
        <v>240</v>
      </c>
      <c r="M4880" t="s">
        <v>241</v>
      </c>
      <c r="N4880" t="s">
        <v>457</v>
      </c>
      <c r="O4880" t="s">
        <v>82</v>
      </c>
      <c r="P4880" t="str">
        <f>"4170052178                    "</f>
        <v xml:space="preserve">4170052178                    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17.649999999999999</v>
      </c>
      <c r="AR4880">
        <v>0</v>
      </c>
      <c r="AS4880">
        <v>0</v>
      </c>
      <c r="AT4880">
        <v>0</v>
      </c>
      <c r="AU4880">
        <v>0</v>
      </c>
      <c r="AV4880">
        <v>0</v>
      </c>
      <c r="AW4880">
        <v>16.739999999999998</v>
      </c>
      <c r="AX4880">
        <v>0</v>
      </c>
      <c r="AY4880">
        <v>0</v>
      </c>
      <c r="AZ4880">
        <v>0</v>
      </c>
      <c r="BA4880">
        <v>0</v>
      </c>
      <c r="BB4880">
        <v>0</v>
      </c>
      <c r="BC4880">
        <v>0</v>
      </c>
      <c r="BD4880">
        <v>0</v>
      </c>
      <c r="BE4880">
        <v>0</v>
      </c>
      <c r="BF4880">
        <v>0</v>
      </c>
      <c r="BG4880">
        <v>0</v>
      </c>
      <c r="BH4880">
        <v>1</v>
      </c>
      <c r="BI4880">
        <v>1</v>
      </c>
      <c r="BJ4880">
        <v>0.2</v>
      </c>
      <c r="BK4880">
        <v>1</v>
      </c>
      <c r="BL4880">
        <v>72.349999999999994</v>
      </c>
      <c r="BM4880">
        <v>10.85</v>
      </c>
      <c r="BN4880">
        <v>83.2</v>
      </c>
      <c r="BO4880">
        <v>83.2</v>
      </c>
      <c r="BQ4880" t="s">
        <v>458</v>
      </c>
      <c r="BR4880" t="s">
        <v>84</v>
      </c>
      <c r="BS4880" s="3">
        <v>45869</v>
      </c>
      <c r="BT4880" s="4">
        <v>0.38819444444444445</v>
      </c>
      <c r="BU4880" t="s">
        <v>3826</v>
      </c>
      <c r="BV4880" t="s">
        <v>98</v>
      </c>
      <c r="BY4880">
        <v>1200</v>
      </c>
      <c r="BZ4880" t="s">
        <v>30</v>
      </c>
      <c r="CA4880" t="s">
        <v>461</v>
      </c>
      <c r="CC4880" t="s">
        <v>241</v>
      </c>
      <c r="CD4880">
        <v>2188</v>
      </c>
      <c r="CE4880" t="s">
        <v>121</v>
      </c>
      <c r="CI4880">
        <v>1</v>
      </c>
      <c r="CJ4880">
        <v>1</v>
      </c>
      <c r="CK4880">
        <v>22</v>
      </c>
      <c r="CL4880" t="s">
        <v>86</v>
      </c>
    </row>
    <row r="4881" spans="1:90" x14ac:dyDescent="0.3">
      <c r="A4881" t="s">
        <v>72</v>
      </c>
      <c r="B4881" t="s">
        <v>73</v>
      </c>
      <c r="C4881" t="s">
        <v>74</v>
      </c>
      <c r="E4881" t="str">
        <f>"080066900003"</f>
        <v>080066900003</v>
      </c>
      <c r="F4881" s="3">
        <v>45868</v>
      </c>
      <c r="G4881">
        <v>202604</v>
      </c>
      <c r="H4881" t="s">
        <v>75</v>
      </c>
      <c r="I4881" t="s">
        <v>76</v>
      </c>
      <c r="J4881" t="s">
        <v>77</v>
      </c>
      <c r="K4881" t="s">
        <v>78</v>
      </c>
      <c r="L4881" t="s">
        <v>151</v>
      </c>
      <c r="M4881" t="s">
        <v>152</v>
      </c>
      <c r="N4881" t="s">
        <v>2250</v>
      </c>
      <c r="O4881" t="s">
        <v>82</v>
      </c>
      <c r="P4881" t="str">
        <f>"4170052085                    "</f>
        <v xml:space="preserve">4170052085                    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22.6</v>
      </c>
      <c r="AR4881">
        <v>0</v>
      </c>
      <c r="AS4881">
        <v>0</v>
      </c>
      <c r="AT4881">
        <v>0</v>
      </c>
      <c r="AU4881">
        <v>0</v>
      </c>
      <c r="AV4881">
        <v>0</v>
      </c>
      <c r="AW4881">
        <v>0</v>
      </c>
      <c r="AX4881">
        <v>0</v>
      </c>
      <c r="AY4881">
        <v>0</v>
      </c>
      <c r="AZ4881">
        <v>0</v>
      </c>
      <c r="BA4881">
        <v>0</v>
      </c>
      <c r="BB4881">
        <v>0</v>
      </c>
      <c r="BC4881">
        <v>0</v>
      </c>
      <c r="BD4881">
        <v>0</v>
      </c>
      <c r="BE4881">
        <v>0</v>
      </c>
      <c r="BF4881">
        <v>0</v>
      </c>
      <c r="BG4881">
        <v>0</v>
      </c>
      <c r="BH4881">
        <v>1</v>
      </c>
      <c r="BI4881">
        <v>1</v>
      </c>
      <c r="BJ4881">
        <v>0.9</v>
      </c>
      <c r="BK4881">
        <v>1</v>
      </c>
      <c r="BL4881">
        <v>71.2</v>
      </c>
      <c r="BM4881">
        <v>10.68</v>
      </c>
      <c r="BN4881">
        <v>81.88</v>
      </c>
      <c r="BO4881">
        <v>81.88</v>
      </c>
      <c r="BQ4881" t="s">
        <v>2251</v>
      </c>
      <c r="BR4881" t="s">
        <v>84</v>
      </c>
      <c r="BS4881" s="3">
        <v>45869</v>
      </c>
      <c r="BT4881" s="4">
        <v>0.33888888888888891</v>
      </c>
      <c r="BU4881" t="s">
        <v>2744</v>
      </c>
      <c r="BV4881" t="s">
        <v>98</v>
      </c>
      <c r="BY4881">
        <v>4275</v>
      </c>
      <c r="CA4881" t="s">
        <v>518</v>
      </c>
      <c r="CC4881" t="s">
        <v>152</v>
      </c>
      <c r="CD4881" s="5" t="s">
        <v>1141</v>
      </c>
      <c r="CE4881" t="s">
        <v>145</v>
      </c>
      <c r="CI4881">
        <v>1</v>
      </c>
      <c r="CJ4881">
        <v>1</v>
      </c>
      <c r="CK4881">
        <v>21</v>
      </c>
      <c r="CL4881" t="s">
        <v>86</v>
      </c>
    </row>
    <row r="4882" spans="1:90" x14ac:dyDescent="0.3">
      <c r="A4882" t="s">
        <v>72</v>
      </c>
      <c r="B4882" t="s">
        <v>73</v>
      </c>
      <c r="C4882" t="s">
        <v>74</v>
      </c>
      <c r="E4882" t="str">
        <f>"080066900009"</f>
        <v>080066900009</v>
      </c>
      <c r="F4882" s="3">
        <v>45868</v>
      </c>
      <c r="G4882">
        <v>202604</v>
      </c>
      <c r="H4882" t="s">
        <v>75</v>
      </c>
      <c r="I4882" t="s">
        <v>76</v>
      </c>
      <c r="J4882" t="s">
        <v>77</v>
      </c>
      <c r="K4882" t="s">
        <v>78</v>
      </c>
      <c r="L4882" t="s">
        <v>179</v>
      </c>
      <c r="M4882" t="s">
        <v>180</v>
      </c>
      <c r="N4882" t="s">
        <v>3583</v>
      </c>
      <c r="O4882" t="s">
        <v>82</v>
      </c>
      <c r="P4882" t="str">
        <f>"4170052227                    "</f>
        <v xml:space="preserve">4170052227                    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43.78</v>
      </c>
      <c r="AR4882">
        <v>0</v>
      </c>
      <c r="AS4882">
        <v>0</v>
      </c>
      <c r="AT4882">
        <v>0</v>
      </c>
      <c r="AU4882">
        <v>0</v>
      </c>
      <c r="AV4882">
        <v>0</v>
      </c>
      <c r="AW4882">
        <v>0</v>
      </c>
      <c r="AX4882">
        <v>0</v>
      </c>
      <c r="AY4882">
        <v>0</v>
      </c>
      <c r="AZ4882">
        <v>0</v>
      </c>
      <c r="BA4882">
        <v>0</v>
      </c>
      <c r="BB4882">
        <v>0</v>
      </c>
      <c r="BC4882">
        <v>0</v>
      </c>
      <c r="BD4882">
        <v>0</v>
      </c>
      <c r="BE4882">
        <v>0</v>
      </c>
      <c r="BF4882">
        <v>0</v>
      </c>
      <c r="BG4882">
        <v>0</v>
      </c>
      <c r="BH4882">
        <v>1</v>
      </c>
      <c r="BI4882">
        <v>1</v>
      </c>
      <c r="BJ4882">
        <v>0.2</v>
      </c>
      <c r="BK4882">
        <v>1</v>
      </c>
      <c r="BL4882">
        <v>137.94</v>
      </c>
      <c r="BM4882">
        <v>20.69</v>
      </c>
      <c r="BN4882">
        <v>158.63</v>
      </c>
      <c r="BO4882">
        <v>158.63</v>
      </c>
      <c r="BQ4882" t="s">
        <v>3584</v>
      </c>
      <c r="BR4882" t="s">
        <v>84</v>
      </c>
      <c r="BS4882" t="s">
        <v>587</v>
      </c>
      <c r="BY4882">
        <v>1200</v>
      </c>
      <c r="CC4882" t="s">
        <v>180</v>
      </c>
      <c r="CD4882">
        <v>3310</v>
      </c>
      <c r="CE4882" t="s">
        <v>258</v>
      </c>
      <c r="CI4882">
        <v>1</v>
      </c>
      <c r="CJ4882" t="s">
        <v>587</v>
      </c>
      <c r="CK4882">
        <v>23</v>
      </c>
      <c r="CL4882" t="s">
        <v>86</v>
      </c>
    </row>
    <row r="4883" spans="1:90" x14ac:dyDescent="0.3">
      <c r="A4883" t="s">
        <v>72</v>
      </c>
      <c r="B4883" t="s">
        <v>73</v>
      </c>
      <c r="C4883" t="s">
        <v>74</v>
      </c>
      <c r="E4883" t="str">
        <f>"080066900035"</f>
        <v>080066900035</v>
      </c>
      <c r="F4883" s="3">
        <v>45868</v>
      </c>
      <c r="G4883">
        <v>202604</v>
      </c>
      <c r="H4883" t="s">
        <v>75</v>
      </c>
      <c r="I4883" t="s">
        <v>76</v>
      </c>
      <c r="J4883" t="s">
        <v>77</v>
      </c>
      <c r="K4883" t="s">
        <v>78</v>
      </c>
      <c r="L4883" t="s">
        <v>79</v>
      </c>
      <c r="M4883" t="s">
        <v>80</v>
      </c>
      <c r="N4883" t="s">
        <v>1050</v>
      </c>
      <c r="O4883" t="s">
        <v>82</v>
      </c>
      <c r="P4883" t="str">
        <f>"4170052207                    "</f>
        <v xml:space="preserve">4170052207                    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22.6</v>
      </c>
      <c r="AR4883">
        <v>0</v>
      </c>
      <c r="AS4883">
        <v>0</v>
      </c>
      <c r="AT4883">
        <v>0</v>
      </c>
      <c r="AU4883">
        <v>0</v>
      </c>
      <c r="AV4883">
        <v>0</v>
      </c>
      <c r="AW4883">
        <v>0</v>
      </c>
      <c r="AX4883">
        <v>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  <c r="BE4883">
        <v>0</v>
      </c>
      <c r="BF4883">
        <v>0</v>
      </c>
      <c r="BG4883">
        <v>0</v>
      </c>
      <c r="BH4883">
        <v>1</v>
      </c>
      <c r="BI4883">
        <v>1</v>
      </c>
      <c r="BJ4883">
        <v>0.2</v>
      </c>
      <c r="BK4883">
        <v>1</v>
      </c>
      <c r="BL4883">
        <v>71.2</v>
      </c>
      <c r="BM4883">
        <v>10.68</v>
      </c>
      <c r="BN4883">
        <v>81.88</v>
      </c>
      <c r="BO4883">
        <v>81.88</v>
      </c>
      <c r="BQ4883" t="s">
        <v>1051</v>
      </c>
      <c r="BR4883" t="s">
        <v>84</v>
      </c>
      <c r="BS4883" t="s">
        <v>587</v>
      </c>
      <c r="BW4883" t="s">
        <v>1053</v>
      </c>
      <c r="BX4883" t="s">
        <v>1420</v>
      </c>
      <c r="BY4883">
        <v>1200</v>
      </c>
      <c r="CC4883" t="s">
        <v>80</v>
      </c>
      <c r="CD4883">
        <v>7490</v>
      </c>
      <c r="CE4883" t="s">
        <v>121</v>
      </c>
      <c r="CI4883">
        <v>1</v>
      </c>
      <c r="CJ4883" t="s">
        <v>587</v>
      </c>
      <c r="CK4883">
        <v>21</v>
      </c>
      <c r="CL4883" t="s">
        <v>86</v>
      </c>
    </row>
    <row r="4884" spans="1:90" x14ac:dyDescent="0.3">
      <c r="A4884" t="s">
        <v>72</v>
      </c>
      <c r="B4884" t="s">
        <v>73</v>
      </c>
      <c r="C4884" t="s">
        <v>74</v>
      </c>
      <c r="E4884" t="str">
        <f>"080066900055"</f>
        <v>080066900055</v>
      </c>
      <c r="F4884" s="3">
        <v>45868</v>
      </c>
      <c r="G4884">
        <v>202604</v>
      </c>
      <c r="H4884" t="s">
        <v>75</v>
      </c>
      <c r="I4884" t="s">
        <v>76</v>
      </c>
      <c r="J4884" t="s">
        <v>77</v>
      </c>
      <c r="K4884" t="s">
        <v>78</v>
      </c>
      <c r="L4884" t="s">
        <v>151</v>
      </c>
      <c r="M4884" t="s">
        <v>152</v>
      </c>
      <c r="N4884" t="s">
        <v>1484</v>
      </c>
      <c r="O4884" t="s">
        <v>82</v>
      </c>
      <c r="P4884" t="str">
        <f>"4170052223                    "</f>
        <v xml:space="preserve">4170052223                    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22.6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0</v>
      </c>
      <c r="AX4884">
        <v>0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  <c r="BE4884">
        <v>0</v>
      </c>
      <c r="BF4884">
        <v>0</v>
      </c>
      <c r="BG4884">
        <v>0</v>
      </c>
      <c r="BH4884">
        <v>1</v>
      </c>
      <c r="BI4884">
        <v>1</v>
      </c>
      <c r="BJ4884">
        <v>0.2</v>
      </c>
      <c r="BK4884">
        <v>1</v>
      </c>
      <c r="BL4884">
        <v>71.2</v>
      </c>
      <c r="BM4884">
        <v>10.68</v>
      </c>
      <c r="BN4884">
        <v>81.88</v>
      </c>
      <c r="BO4884">
        <v>81.88</v>
      </c>
      <c r="BQ4884" t="s">
        <v>1485</v>
      </c>
      <c r="BR4884" t="s">
        <v>84</v>
      </c>
      <c r="BS4884" t="s">
        <v>587</v>
      </c>
      <c r="BY4884">
        <v>1200</v>
      </c>
      <c r="CC4884" t="s">
        <v>152</v>
      </c>
      <c r="CD4884" s="5" t="s">
        <v>1487</v>
      </c>
      <c r="CE4884" t="s">
        <v>121</v>
      </c>
      <c r="CI4884">
        <v>1</v>
      </c>
      <c r="CJ4884" t="s">
        <v>587</v>
      </c>
      <c r="CK4884">
        <v>21</v>
      </c>
      <c r="CL4884" t="s">
        <v>86</v>
      </c>
    </row>
    <row r="4885" spans="1:90" x14ac:dyDescent="0.3">
      <c r="A4885" t="s">
        <v>72</v>
      </c>
      <c r="B4885" t="s">
        <v>73</v>
      </c>
      <c r="C4885" t="s">
        <v>74</v>
      </c>
      <c r="E4885" t="str">
        <f>"080066900071"</f>
        <v>080066900071</v>
      </c>
      <c r="F4885" s="3">
        <v>45868</v>
      </c>
      <c r="G4885">
        <v>202604</v>
      </c>
      <c r="H4885" t="s">
        <v>75</v>
      </c>
      <c r="I4885" t="s">
        <v>76</v>
      </c>
      <c r="J4885" t="s">
        <v>77</v>
      </c>
      <c r="K4885" t="s">
        <v>78</v>
      </c>
      <c r="L4885" t="s">
        <v>240</v>
      </c>
      <c r="M4885" t="s">
        <v>241</v>
      </c>
      <c r="N4885" t="s">
        <v>457</v>
      </c>
      <c r="O4885" t="s">
        <v>82</v>
      </c>
      <c r="P4885" t="str">
        <f>"4170052238                    "</f>
        <v xml:space="preserve">4170052238                    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>
        <v>17.649999999999999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16.739999999999998</v>
      </c>
      <c r="AX4885">
        <v>0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  <c r="BE4885">
        <v>0</v>
      </c>
      <c r="BF4885">
        <v>0</v>
      </c>
      <c r="BG4885">
        <v>0</v>
      </c>
      <c r="BH4885">
        <v>1</v>
      </c>
      <c r="BI4885">
        <v>1</v>
      </c>
      <c r="BJ4885">
        <v>0.2</v>
      </c>
      <c r="BK4885">
        <v>1</v>
      </c>
      <c r="BL4885">
        <v>72.349999999999994</v>
      </c>
      <c r="BM4885">
        <v>10.85</v>
      </c>
      <c r="BN4885">
        <v>83.2</v>
      </c>
      <c r="BO4885">
        <v>83.2</v>
      </c>
      <c r="BQ4885" t="s">
        <v>458</v>
      </c>
      <c r="BR4885" t="s">
        <v>84</v>
      </c>
      <c r="BS4885" s="3">
        <v>45869</v>
      </c>
      <c r="BT4885" s="4">
        <v>0.38819444444444445</v>
      </c>
      <c r="BU4885" t="s">
        <v>3826</v>
      </c>
      <c r="BV4885" t="s">
        <v>98</v>
      </c>
      <c r="BY4885">
        <v>1200</v>
      </c>
      <c r="BZ4885" t="s">
        <v>30</v>
      </c>
      <c r="CA4885" t="s">
        <v>461</v>
      </c>
      <c r="CC4885" t="s">
        <v>241</v>
      </c>
      <c r="CD4885">
        <v>2188</v>
      </c>
      <c r="CE4885" t="s">
        <v>121</v>
      </c>
      <c r="CI4885">
        <v>1</v>
      </c>
      <c r="CJ4885">
        <v>1</v>
      </c>
      <c r="CK4885">
        <v>22</v>
      </c>
      <c r="CL4885" t="s">
        <v>86</v>
      </c>
    </row>
    <row r="4886" spans="1:90" x14ac:dyDescent="0.3">
      <c r="A4886" t="s">
        <v>72</v>
      </c>
      <c r="B4886" t="s">
        <v>73</v>
      </c>
      <c r="C4886" t="s">
        <v>74</v>
      </c>
      <c r="E4886" t="str">
        <f>"080066900088"</f>
        <v>080066900088</v>
      </c>
      <c r="F4886" s="3">
        <v>45868</v>
      </c>
      <c r="G4886">
        <v>202604</v>
      </c>
      <c r="H4886" t="s">
        <v>75</v>
      </c>
      <c r="I4886" t="s">
        <v>76</v>
      </c>
      <c r="J4886" t="s">
        <v>77</v>
      </c>
      <c r="K4886" t="s">
        <v>78</v>
      </c>
      <c r="L4886" t="s">
        <v>670</v>
      </c>
      <c r="M4886" t="s">
        <v>671</v>
      </c>
      <c r="N4886" t="s">
        <v>3150</v>
      </c>
      <c r="O4886" t="s">
        <v>82</v>
      </c>
      <c r="P4886" t="str">
        <f>"4170052222                    "</f>
        <v xml:space="preserve">4170052222                    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>
        <v>17.649999999999999</v>
      </c>
      <c r="AR4886">
        <v>0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  <c r="BE4886">
        <v>0</v>
      </c>
      <c r="BF4886">
        <v>0</v>
      </c>
      <c r="BG4886">
        <v>0</v>
      </c>
      <c r="BH4886">
        <v>1</v>
      </c>
      <c r="BI4886">
        <v>1</v>
      </c>
      <c r="BJ4886">
        <v>0.2</v>
      </c>
      <c r="BK4886">
        <v>1</v>
      </c>
      <c r="BL4886">
        <v>55.61</v>
      </c>
      <c r="BM4886">
        <v>8.34</v>
      </c>
      <c r="BN4886">
        <v>63.95</v>
      </c>
      <c r="BO4886">
        <v>63.95</v>
      </c>
      <c r="BQ4886" t="s">
        <v>3151</v>
      </c>
      <c r="BR4886" t="s">
        <v>84</v>
      </c>
      <c r="BS4886" t="s">
        <v>587</v>
      </c>
      <c r="BY4886">
        <v>1200</v>
      </c>
      <c r="CC4886" t="s">
        <v>671</v>
      </c>
      <c r="CD4886">
        <v>2163</v>
      </c>
      <c r="CE4886" t="s">
        <v>121</v>
      </c>
      <c r="CI4886">
        <v>1</v>
      </c>
      <c r="CJ4886" t="s">
        <v>587</v>
      </c>
      <c r="CK4886">
        <v>22</v>
      </c>
      <c r="CL4886" t="s">
        <v>86</v>
      </c>
    </row>
    <row r="4887" spans="1:90" x14ac:dyDescent="0.3">
      <c r="A4887" t="s">
        <v>72</v>
      </c>
      <c r="B4887" t="s">
        <v>73</v>
      </c>
      <c r="C4887" t="s">
        <v>74</v>
      </c>
      <c r="E4887" t="str">
        <f>"080066900101"</f>
        <v>080066900101</v>
      </c>
      <c r="F4887" s="3">
        <v>45868</v>
      </c>
      <c r="G4887">
        <v>202604</v>
      </c>
      <c r="H4887" t="s">
        <v>75</v>
      </c>
      <c r="I4887" t="s">
        <v>76</v>
      </c>
      <c r="J4887" t="s">
        <v>77</v>
      </c>
      <c r="K4887" t="s">
        <v>78</v>
      </c>
      <c r="L4887" t="s">
        <v>75</v>
      </c>
      <c r="M4887" t="s">
        <v>76</v>
      </c>
      <c r="N4887" t="s">
        <v>1324</v>
      </c>
      <c r="O4887" t="s">
        <v>82</v>
      </c>
      <c r="P4887" t="str">
        <f>"4170052094                    "</f>
        <v xml:space="preserve">4170052094                    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>
        <v>17.649999999999999</v>
      </c>
      <c r="AR4887">
        <v>0</v>
      </c>
      <c r="AS4887">
        <v>0</v>
      </c>
      <c r="AT4887">
        <v>0</v>
      </c>
      <c r="AU4887">
        <v>0</v>
      </c>
      <c r="AV4887">
        <v>0</v>
      </c>
      <c r="AW4887">
        <v>0</v>
      </c>
      <c r="AX4887">
        <v>0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  <c r="BE4887">
        <v>0</v>
      </c>
      <c r="BF4887">
        <v>0</v>
      </c>
      <c r="BG4887">
        <v>0</v>
      </c>
      <c r="BH4887">
        <v>1</v>
      </c>
      <c r="BI4887">
        <v>1</v>
      </c>
      <c r="BJ4887">
        <v>0.2</v>
      </c>
      <c r="BK4887">
        <v>1</v>
      </c>
      <c r="BL4887">
        <v>55.61</v>
      </c>
      <c r="BM4887">
        <v>8.34</v>
      </c>
      <c r="BN4887">
        <v>63.95</v>
      </c>
      <c r="BO4887">
        <v>63.95</v>
      </c>
      <c r="BQ4887" t="s">
        <v>1325</v>
      </c>
      <c r="BR4887" t="s">
        <v>84</v>
      </c>
      <c r="BS4887" s="3">
        <v>45869</v>
      </c>
      <c r="BT4887" s="4">
        <v>0.29652777777777778</v>
      </c>
      <c r="BU4887" t="s">
        <v>1797</v>
      </c>
      <c r="BV4887" t="s">
        <v>98</v>
      </c>
      <c r="BY4887">
        <v>1200</v>
      </c>
      <c r="CA4887" t="s">
        <v>213</v>
      </c>
      <c r="CC4887" t="s">
        <v>76</v>
      </c>
      <c r="CD4887">
        <v>1600</v>
      </c>
      <c r="CE4887" t="s">
        <v>121</v>
      </c>
      <c r="CI4887">
        <v>1</v>
      </c>
      <c r="CJ4887">
        <v>1</v>
      </c>
      <c r="CK4887">
        <v>22</v>
      </c>
      <c r="CL4887" t="s">
        <v>86</v>
      </c>
    </row>
    <row r="4888" spans="1:90" x14ac:dyDescent="0.3">
      <c r="A4888" t="s">
        <v>72</v>
      </c>
      <c r="B4888" t="s">
        <v>73</v>
      </c>
      <c r="C4888" t="s">
        <v>74</v>
      </c>
      <c r="E4888" t="str">
        <f>"080066900118"</f>
        <v>080066900118</v>
      </c>
      <c r="F4888" s="3">
        <v>45868</v>
      </c>
      <c r="G4888">
        <v>202604</v>
      </c>
      <c r="H4888" t="s">
        <v>75</v>
      </c>
      <c r="I4888" t="s">
        <v>76</v>
      </c>
      <c r="J4888" t="s">
        <v>77</v>
      </c>
      <c r="K4888" t="s">
        <v>78</v>
      </c>
      <c r="L4888" t="s">
        <v>92</v>
      </c>
      <c r="M4888" t="s">
        <v>93</v>
      </c>
      <c r="N4888" t="s">
        <v>723</v>
      </c>
      <c r="O4888" t="s">
        <v>82</v>
      </c>
      <c r="P4888" t="str">
        <f>"4170052185                    "</f>
        <v xml:space="preserve">4170052185                    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>
        <v>22.6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  <c r="BE4888">
        <v>0</v>
      </c>
      <c r="BF4888">
        <v>0</v>
      </c>
      <c r="BG4888">
        <v>0</v>
      </c>
      <c r="BH4888">
        <v>1</v>
      </c>
      <c r="BI4888">
        <v>1</v>
      </c>
      <c r="BJ4888">
        <v>0.2</v>
      </c>
      <c r="BK4888">
        <v>1</v>
      </c>
      <c r="BL4888">
        <v>71.2</v>
      </c>
      <c r="BM4888">
        <v>10.68</v>
      </c>
      <c r="BN4888">
        <v>81.88</v>
      </c>
      <c r="BO4888">
        <v>81.88</v>
      </c>
      <c r="BQ4888" t="s">
        <v>724</v>
      </c>
      <c r="BR4888" t="s">
        <v>84</v>
      </c>
      <c r="BS4888" t="s">
        <v>587</v>
      </c>
      <c r="BY4888">
        <v>1200</v>
      </c>
      <c r="CC4888" t="s">
        <v>93</v>
      </c>
      <c r="CD4888">
        <v>4000</v>
      </c>
      <c r="CE4888" t="s">
        <v>121</v>
      </c>
      <c r="CI4888">
        <v>1</v>
      </c>
      <c r="CJ4888" t="s">
        <v>587</v>
      </c>
      <c r="CK4888">
        <v>21</v>
      </c>
      <c r="CL4888" t="s">
        <v>86</v>
      </c>
    </row>
    <row r="4889" spans="1:90" x14ac:dyDescent="0.3">
      <c r="A4889" t="s">
        <v>72</v>
      </c>
      <c r="B4889" t="s">
        <v>73</v>
      </c>
      <c r="C4889" t="s">
        <v>74</v>
      </c>
      <c r="E4889" t="str">
        <f>"080066900128"</f>
        <v>080066900128</v>
      </c>
      <c r="F4889" s="3">
        <v>45868</v>
      </c>
      <c r="G4889">
        <v>202604</v>
      </c>
      <c r="H4889" t="s">
        <v>75</v>
      </c>
      <c r="I4889" t="s">
        <v>76</v>
      </c>
      <c r="J4889" t="s">
        <v>77</v>
      </c>
      <c r="K4889" t="s">
        <v>78</v>
      </c>
      <c r="L4889" t="s">
        <v>122</v>
      </c>
      <c r="M4889" t="s">
        <v>123</v>
      </c>
      <c r="N4889" t="s">
        <v>2931</v>
      </c>
      <c r="O4889" t="s">
        <v>82</v>
      </c>
      <c r="P4889" t="str">
        <f>"4170051985                    "</f>
        <v xml:space="preserve">4170051985                    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>
        <v>22.6</v>
      </c>
      <c r="AR4889">
        <v>0</v>
      </c>
      <c r="AS4889">
        <v>0</v>
      </c>
      <c r="AT4889">
        <v>0</v>
      </c>
      <c r="AU4889">
        <v>0</v>
      </c>
      <c r="AV4889">
        <v>0</v>
      </c>
      <c r="AW4889">
        <v>0</v>
      </c>
      <c r="AX4889">
        <v>0</v>
      </c>
      <c r="AY4889">
        <v>0</v>
      </c>
      <c r="AZ4889">
        <v>0</v>
      </c>
      <c r="BA4889">
        <v>0</v>
      </c>
      <c r="BB4889">
        <v>0</v>
      </c>
      <c r="BC4889">
        <v>0</v>
      </c>
      <c r="BD4889">
        <v>0</v>
      </c>
      <c r="BE4889">
        <v>0</v>
      </c>
      <c r="BF4889">
        <v>0</v>
      </c>
      <c r="BG4889">
        <v>0</v>
      </c>
      <c r="BH4889">
        <v>1</v>
      </c>
      <c r="BI4889">
        <v>1</v>
      </c>
      <c r="BJ4889">
        <v>0.2</v>
      </c>
      <c r="BK4889">
        <v>1</v>
      </c>
      <c r="BL4889">
        <v>71.2</v>
      </c>
      <c r="BM4889">
        <v>10.68</v>
      </c>
      <c r="BN4889">
        <v>81.88</v>
      </c>
      <c r="BO4889">
        <v>81.88</v>
      </c>
      <c r="BQ4889" t="s">
        <v>2932</v>
      </c>
      <c r="BR4889" t="s">
        <v>84</v>
      </c>
      <c r="BS4889" s="3">
        <v>45869</v>
      </c>
      <c r="BT4889" s="4">
        <v>0.60763888888888884</v>
      </c>
      <c r="BU4889" t="s">
        <v>4021</v>
      </c>
      <c r="BV4889" t="s">
        <v>86</v>
      </c>
      <c r="BY4889">
        <v>1200</v>
      </c>
      <c r="CA4889" t="s">
        <v>166</v>
      </c>
      <c r="CC4889" t="s">
        <v>123</v>
      </c>
      <c r="CD4889">
        <v>3610</v>
      </c>
      <c r="CE4889" t="s">
        <v>258</v>
      </c>
      <c r="CI4889">
        <v>1</v>
      </c>
      <c r="CJ4889">
        <v>1</v>
      </c>
      <c r="CK4889">
        <v>21</v>
      </c>
      <c r="CL4889" t="s">
        <v>86</v>
      </c>
    </row>
    <row r="4890" spans="1:90" x14ac:dyDescent="0.3">
      <c r="A4890" t="s">
        <v>72</v>
      </c>
      <c r="B4890" t="s">
        <v>73</v>
      </c>
      <c r="C4890" t="s">
        <v>74</v>
      </c>
      <c r="E4890" t="str">
        <f>"080066900132"</f>
        <v>080066900132</v>
      </c>
      <c r="F4890" s="3">
        <v>45868</v>
      </c>
      <c r="G4890">
        <v>202604</v>
      </c>
      <c r="H4890" t="s">
        <v>75</v>
      </c>
      <c r="I4890" t="s">
        <v>76</v>
      </c>
      <c r="J4890" t="s">
        <v>77</v>
      </c>
      <c r="K4890" t="s">
        <v>78</v>
      </c>
      <c r="L4890" t="s">
        <v>135</v>
      </c>
      <c r="M4890" t="s">
        <v>136</v>
      </c>
      <c r="N4890" t="s">
        <v>2825</v>
      </c>
      <c r="O4890" t="s">
        <v>82</v>
      </c>
      <c r="P4890" t="str">
        <f>"4170052169                    "</f>
        <v xml:space="preserve">4170052169                    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>
        <v>22.6</v>
      </c>
      <c r="AR4890">
        <v>0</v>
      </c>
      <c r="AS4890">
        <v>0</v>
      </c>
      <c r="AT4890">
        <v>0</v>
      </c>
      <c r="AU4890">
        <v>0</v>
      </c>
      <c r="AV4890">
        <v>0</v>
      </c>
      <c r="AW4890">
        <v>0</v>
      </c>
      <c r="AX4890">
        <v>0</v>
      </c>
      <c r="AY4890">
        <v>0</v>
      </c>
      <c r="AZ4890">
        <v>0</v>
      </c>
      <c r="BA4890">
        <v>0</v>
      </c>
      <c r="BB4890">
        <v>0</v>
      </c>
      <c r="BC4890">
        <v>0</v>
      </c>
      <c r="BD4890">
        <v>0</v>
      </c>
      <c r="BE4890">
        <v>0</v>
      </c>
      <c r="BF4890">
        <v>0</v>
      </c>
      <c r="BG4890">
        <v>0</v>
      </c>
      <c r="BH4890">
        <v>1</v>
      </c>
      <c r="BI4890">
        <v>1</v>
      </c>
      <c r="BJ4890">
        <v>0.2</v>
      </c>
      <c r="BK4890">
        <v>1</v>
      </c>
      <c r="BL4890">
        <v>71.2</v>
      </c>
      <c r="BM4890">
        <v>10.68</v>
      </c>
      <c r="BN4890">
        <v>81.88</v>
      </c>
      <c r="BO4890">
        <v>81.88</v>
      </c>
      <c r="BQ4890" t="s">
        <v>2826</v>
      </c>
      <c r="BR4890" t="s">
        <v>84</v>
      </c>
      <c r="BS4890" t="s">
        <v>587</v>
      </c>
      <c r="BY4890">
        <v>1200</v>
      </c>
      <c r="CC4890" t="s">
        <v>136</v>
      </c>
      <c r="CD4890">
        <v>3201</v>
      </c>
      <c r="CE4890" t="s">
        <v>258</v>
      </c>
      <c r="CI4890">
        <v>5</v>
      </c>
      <c r="CJ4890" t="s">
        <v>587</v>
      </c>
      <c r="CK4890">
        <v>21</v>
      </c>
      <c r="CL4890" t="s">
        <v>86</v>
      </c>
    </row>
    <row r="4891" spans="1:90" x14ac:dyDescent="0.3">
      <c r="A4891" t="s">
        <v>72</v>
      </c>
      <c r="B4891" t="s">
        <v>73</v>
      </c>
      <c r="C4891" t="s">
        <v>74</v>
      </c>
      <c r="E4891" t="str">
        <f>"080066900150"</f>
        <v>080066900150</v>
      </c>
      <c r="F4891" s="3">
        <v>45868</v>
      </c>
      <c r="G4891">
        <v>202604</v>
      </c>
      <c r="H4891" t="s">
        <v>75</v>
      </c>
      <c r="I4891" t="s">
        <v>76</v>
      </c>
      <c r="J4891" t="s">
        <v>77</v>
      </c>
      <c r="K4891" t="s">
        <v>78</v>
      </c>
      <c r="L4891" t="s">
        <v>122</v>
      </c>
      <c r="M4891" t="s">
        <v>123</v>
      </c>
      <c r="N4891" t="s">
        <v>2097</v>
      </c>
      <c r="O4891" t="s">
        <v>82</v>
      </c>
      <c r="P4891" t="str">
        <f>"4170052139                    "</f>
        <v xml:space="preserve">4170052139                    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>
        <v>22.6</v>
      </c>
      <c r="AR4891">
        <v>0</v>
      </c>
      <c r="AS4891">
        <v>0</v>
      </c>
      <c r="AT4891">
        <v>0</v>
      </c>
      <c r="AU4891">
        <v>0</v>
      </c>
      <c r="AV4891">
        <v>0</v>
      </c>
      <c r="AW4891">
        <v>0</v>
      </c>
      <c r="AX4891">
        <v>0</v>
      </c>
      <c r="AY4891">
        <v>0</v>
      </c>
      <c r="AZ4891">
        <v>0</v>
      </c>
      <c r="BA4891">
        <v>0</v>
      </c>
      <c r="BB4891">
        <v>0</v>
      </c>
      <c r="BC4891">
        <v>0</v>
      </c>
      <c r="BD4891">
        <v>0</v>
      </c>
      <c r="BE4891">
        <v>0</v>
      </c>
      <c r="BF4891">
        <v>0</v>
      </c>
      <c r="BG4891">
        <v>0</v>
      </c>
      <c r="BH4891">
        <v>1</v>
      </c>
      <c r="BI4891">
        <v>1</v>
      </c>
      <c r="BJ4891">
        <v>0.2</v>
      </c>
      <c r="BK4891">
        <v>1</v>
      </c>
      <c r="BL4891">
        <v>71.2</v>
      </c>
      <c r="BM4891">
        <v>10.68</v>
      </c>
      <c r="BN4891">
        <v>81.88</v>
      </c>
      <c r="BO4891">
        <v>81.88</v>
      </c>
      <c r="BQ4891" t="s">
        <v>2098</v>
      </c>
      <c r="BR4891" t="s">
        <v>84</v>
      </c>
      <c r="BS4891" t="s">
        <v>587</v>
      </c>
      <c r="BY4891">
        <v>1200</v>
      </c>
      <c r="CC4891" t="s">
        <v>123</v>
      </c>
      <c r="CD4891">
        <v>3600</v>
      </c>
      <c r="CE4891" t="s">
        <v>258</v>
      </c>
      <c r="CI4891">
        <v>1</v>
      </c>
      <c r="CJ4891" t="s">
        <v>587</v>
      </c>
      <c r="CK4891">
        <v>21</v>
      </c>
      <c r="CL4891" t="s">
        <v>86</v>
      </c>
    </row>
    <row r="4892" spans="1:90" x14ac:dyDescent="0.3">
      <c r="A4892" t="s">
        <v>72</v>
      </c>
      <c r="B4892" t="s">
        <v>73</v>
      </c>
      <c r="C4892" t="s">
        <v>74</v>
      </c>
      <c r="E4892" t="str">
        <f>"080066900166"</f>
        <v>080066900166</v>
      </c>
      <c r="F4892" s="3">
        <v>45868</v>
      </c>
      <c r="G4892">
        <v>202604</v>
      </c>
      <c r="H4892" t="s">
        <v>75</v>
      </c>
      <c r="I4892" t="s">
        <v>76</v>
      </c>
      <c r="J4892" t="s">
        <v>77</v>
      </c>
      <c r="K4892" t="s">
        <v>78</v>
      </c>
      <c r="L4892" t="s">
        <v>670</v>
      </c>
      <c r="M4892" t="s">
        <v>671</v>
      </c>
      <c r="N4892" t="s">
        <v>3150</v>
      </c>
      <c r="O4892" t="s">
        <v>82</v>
      </c>
      <c r="P4892" t="str">
        <f>"4170052140                    "</f>
        <v xml:space="preserve">4170052140                    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>
        <v>17.649999999999999</v>
      </c>
      <c r="AR4892">
        <v>0</v>
      </c>
      <c r="AS4892">
        <v>0</v>
      </c>
      <c r="AT4892">
        <v>0</v>
      </c>
      <c r="AU4892">
        <v>0</v>
      </c>
      <c r="AV4892">
        <v>0</v>
      </c>
      <c r="AW4892">
        <v>0</v>
      </c>
      <c r="AX4892">
        <v>0</v>
      </c>
      <c r="AY4892">
        <v>0</v>
      </c>
      <c r="AZ4892">
        <v>0</v>
      </c>
      <c r="BA4892">
        <v>0</v>
      </c>
      <c r="BB4892">
        <v>0</v>
      </c>
      <c r="BC4892">
        <v>0</v>
      </c>
      <c r="BD4892">
        <v>0</v>
      </c>
      <c r="BE4892">
        <v>0</v>
      </c>
      <c r="BF4892">
        <v>0</v>
      </c>
      <c r="BG4892">
        <v>0</v>
      </c>
      <c r="BH4892">
        <v>1</v>
      </c>
      <c r="BI4892">
        <v>1</v>
      </c>
      <c r="BJ4892">
        <v>0.2</v>
      </c>
      <c r="BK4892">
        <v>1</v>
      </c>
      <c r="BL4892">
        <v>55.61</v>
      </c>
      <c r="BM4892">
        <v>8.34</v>
      </c>
      <c r="BN4892">
        <v>63.95</v>
      </c>
      <c r="BO4892">
        <v>63.95</v>
      </c>
      <c r="BQ4892" t="s">
        <v>3151</v>
      </c>
      <c r="BR4892" t="s">
        <v>84</v>
      </c>
      <c r="BS4892" t="s">
        <v>587</v>
      </c>
      <c r="BY4892">
        <v>1200</v>
      </c>
      <c r="CC4892" t="s">
        <v>671</v>
      </c>
      <c r="CD4892">
        <v>2163</v>
      </c>
      <c r="CE4892" t="s">
        <v>258</v>
      </c>
      <c r="CI4892">
        <v>1</v>
      </c>
      <c r="CJ4892" t="s">
        <v>587</v>
      </c>
      <c r="CK4892">
        <v>22</v>
      </c>
      <c r="CL4892" t="s">
        <v>86</v>
      </c>
    </row>
    <row r="4893" spans="1:90" x14ac:dyDescent="0.3">
      <c r="A4893" t="s">
        <v>72</v>
      </c>
      <c r="B4893" t="s">
        <v>73</v>
      </c>
      <c r="C4893" t="s">
        <v>74</v>
      </c>
      <c r="E4893" t="str">
        <f>"080066900165"</f>
        <v>080066900165</v>
      </c>
      <c r="F4893" s="3">
        <v>45868</v>
      </c>
      <c r="G4893">
        <v>202604</v>
      </c>
      <c r="H4893" t="s">
        <v>75</v>
      </c>
      <c r="I4893" t="s">
        <v>76</v>
      </c>
      <c r="J4893" t="s">
        <v>77</v>
      </c>
      <c r="K4893" t="s">
        <v>78</v>
      </c>
      <c r="L4893" t="s">
        <v>92</v>
      </c>
      <c r="M4893" t="s">
        <v>93</v>
      </c>
      <c r="N4893" t="s">
        <v>334</v>
      </c>
      <c r="O4893" t="s">
        <v>82</v>
      </c>
      <c r="P4893" t="str">
        <f>"4170052172                    "</f>
        <v xml:space="preserve">4170052172                    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22.6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  <c r="AZ4893">
        <v>0</v>
      </c>
      <c r="BA4893">
        <v>0</v>
      </c>
      <c r="BB4893">
        <v>0</v>
      </c>
      <c r="BC4893">
        <v>0</v>
      </c>
      <c r="BD4893">
        <v>0</v>
      </c>
      <c r="BE4893">
        <v>0</v>
      </c>
      <c r="BF4893">
        <v>0</v>
      </c>
      <c r="BG4893">
        <v>0</v>
      </c>
      <c r="BH4893">
        <v>1</v>
      </c>
      <c r="BI4893">
        <v>1</v>
      </c>
      <c r="BJ4893">
        <v>0.2</v>
      </c>
      <c r="BK4893">
        <v>1</v>
      </c>
      <c r="BL4893">
        <v>71.2</v>
      </c>
      <c r="BM4893">
        <v>10.68</v>
      </c>
      <c r="BN4893">
        <v>81.88</v>
      </c>
      <c r="BO4893">
        <v>81.88</v>
      </c>
      <c r="BQ4893" t="s">
        <v>335</v>
      </c>
      <c r="BR4893" t="s">
        <v>84</v>
      </c>
      <c r="BS4893" s="3">
        <v>45869</v>
      </c>
      <c r="BT4893" s="4">
        <v>0.3840277777777778</v>
      </c>
      <c r="BU4893" t="s">
        <v>2897</v>
      </c>
      <c r="BV4893" t="s">
        <v>98</v>
      </c>
      <c r="BY4893">
        <v>1200</v>
      </c>
      <c r="CA4893" t="s">
        <v>3829</v>
      </c>
      <c r="CC4893" t="s">
        <v>93</v>
      </c>
      <c r="CD4893">
        <v>4052</v>
      </c>
      <c r="CE4893" t="s">
        <v>121</v>
      </c>
      <c r="CI4893">
        <v>1</v>
      </c>
      <c r="CJ4893">
        <v>1</v>
      </c>
      <c r="CK4893">
        <v>21</v>
      </c>
      <c r="CL4893" t="s">
        <v>86</v>
      </c>
    </row>
    <row r="4894" spans="1:90" x14ac:dyDescent="0.3">
      <c r="A4894" t="s">
        <v>72</v>
      </c>
      <c r="B4894" t="s">
        <v>73</v>
      </c>
      <c r="C4894" t="s">
        <v>74</v>
      </c>
      <c r="E4894" t="str">
        <f>"080066900188"</f>
        <v>080066900188</v>
      </c>
      <c r="F4894" s="3">
        <v>45868</v>
      </c>
      <c r="G4894">
        <v>202604</v>
      </c>
      <c r="H4894" t="s">
        <v>75</v>
      </c>
      <c r="I4894" t="s">
        <v>76</v>
      </c>
      <c r="J4894" t="s">
        <v>77</v>
      </c>
      <c r="K4894" t="s">
        <v>78</v>
      </c>
      <c r="L4894" t="s">
        <v>305</v>
      </c>
      <c r="M4894" t="s">
        <v>306</v>
      </c>
      <c r="N4894" t="s">
        <v>1320</v>
      </c>
      <c r="O4894" t="s">
        <v>82</v>
      </c>
      <c r="P4894" t="str">
        <f>"4170052211                    "</f>
        <v xml:space="preserve">4170052211                    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>
        <v>22.6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</v>
      </c>
      <c r="AZ4894">
        <v>0</v>
      </c>
      <c r="BA4894">
        <v>0</v>
      </c>
      <c r="BB4894">
        <v>0</v>
      </c>
      <c r="BC4894">
        <v>0</v>
      </c>
      <c r="BD4894">
        <v>0</v>
      </c>
      <c r="BE4894">
        <v>0</v>
      </c>
      <c r="BF4894">
        <v>0</v>
      </c>
      <c r="BG4894">
        <v>0</v>
      </c>
      <c r="BH4894">
        <v>1</v>
      </c>
      <c r="BI4894">
        <v>1</v>
      </c>
      <c r="BJ4894">
        <v>0.2</v>
      </c>
      <c r="BK4894">
        <v>1</v>
      </c>
      <c r="BL4894">
        <v>71.2</v>
      </c>
      <c r="BM4894">
        <v>10.68</v>
      </c>
      <c r="BN4894">
        <v>81.88</v>
      </c>
      <c r="BO4894">
        <v>81.88</v>
      </c>
      <c r="BQ4894" t="s">
        <v>308</v>
      </c>
      <c r="BR4894" t="s">
        <v>84</v>
      </c>
      <c r="BS4894" s="3">
        <v>45869</v>
      </c>
      <c r="BT4894" s="4">
        <v>0.46180555555555558</v>
      </c>
      <c r="BU4894" t="s">
        <v>1378</v>
      </c>
      <c r="BV4894" t="s">
        <v>86</v>
      </c>
      <c r="BY4894">
        <v>1200</v>
      </c>
      <c r="CA4894" t="s">
        <v>310</v>
      </c>
      <c r="CC4894" t="s">
        <v>306</v>
      </c>
      <c r="CD4894">
        <v>5200</v>
      </c>
      <c r="CE4894" t="s">
        <v>121</v>
      </c>
      <c r="CI4894">
        <v>1</v>
      </c>
      <c r="CJ4894">
        <v>1</v>
      </c>
      <c r="CK4894">
        <v>21</v>
      </c>
      <c r="CL4894" t="s">
        <v>86</v>
      </c>
    </row>
    <row r="4895" spans="1:90" x14ac:dyDescent="0.3">
      <c r="A4895" t="s">
        <v>72</v>
      </c>
      <c r="B4895" t="s">
        <v>73</v>
      </c>
      <c r="C4895" t="s">
        <v>74</v>
      </c>
      <c r="E4895" t="str">
        <f>"080066900191"</f>
        <v>080066900191</v>
      </c>
      <c r="F4895" s="3">
        <v>45868</v>
      </c>
      <c r="G4895">
        <v>202604</v>
      </c>
      <c r="H4895" t="s">
        <v>75</v>
      </c>
      <c r="I4895" t="s">
        <v>76</v>
      </c>
      <c r="J4895" t="s">
        <v>77</v>
      </c>
      <c r="K4895" t="s">
        <v>78</v>
      </c>
      <c r="L4895" t="s">
        <v>1768</v>
      </c>
      <c r="M4895" t="s">
        <v>1769</v>
      </c>
      <c r="N4895" t="s">
        <v>1928</v>
      </c>
      <c r="O4895" t="s">
        <v>82</v>
      </c>
      <c r="P4895" t="str">
        <f>"4170052204                    "</f>
        <v xml:space="preserve">4170052204                    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>
        <v>43.78</v>
      </c>
      <c r="AR4895">
        <v>0</v>
      </c>
      <c r="AS4895">
        <v>0</v>
      </c>
      <c r="AT4895">
        <v>0</v>
      </c>
      <c r="AU4895">
        <v>0</v>
      </c>
      <c r="AV4895">
        <v>0</v>
      </c>
      <c r="AW4895">
        <v>0</v>
      </c>
      <c r="AX4895">
        <v>0</v>
      </c>
      <c r="AY4895">
        <v>0</v>
      </c>
      <c r="AZ4895">
        <v>0</v>
      </c>
      <c r="BA4895">
        <v>0</v>
      </c>
      <c r="BB4895">
        <v>0</v>
      </c>
      <c r="BC4895">
        <v>0</v>
      </c>
      <c r="BD4895">
        <v>0</v>
      </c>
      <c r="BE4895">
        <v>0</v>
      </c>
      <c r="BF4895">
        <v>0</v>
      </c>
      <c r="BG4895">
        <v>0</v>
      </c>
      <c r="BH4895">
        <v>1</v>
      </c>
      <c r="BI4895">
        <v>1</v>
      </c>
      <c r="BJ4895">
        <v>0.2</v>
      </c>
      <c r="BK4895">
        <v>1</v>
      </c>
      <c r="BL4895">
        <v>137.94</v>
      </c>
      <c r="BM4895">
        <v>20.69</v>
      </c>
      <c r="BN4895">
        <v>158.63</v>
      </c>
      <c r="BO4895">
        <v>158.63</v>
      </c>
      <c r="BQ4895" t="s">
        <v>1929</v>
      </c>
      <c r="BR4895" t="s">
        <v>84</v>
      </c>
      <c r="BS4895" t="s">
        <v>587</v>
      </c>
      <c r="BY4895">
        <v>1200</v>
      </c>
      <c r="CC4895" t="s">
        <v>1769</v>
      </c>
      <c r="CD4895">
        <v>2302</v>
      </c>
      <c r="CE4895" t="s">
        <v>258</v>
      </c>
      <c r="CI4895">
        <v>1</v>
      </c>
      <c r="CJ4895" t="s">
        <v>587</v>
      </c>
      <c r="CK4895">
        <v>23</v>
      </c>
      <c r="CL4895" t="s">
        <v>86</v>
      </c>
    </row>
    <row r="4896" spans="1:90" x14ac:dyDescent="0.3">
      <c r="A4896" t="s">
        <v>72</v>
      </c>
      <c r="B4896" t="s">
        <v>73</v>
      </c>
      <c r="C4896" t="s">
        <v>74</v>
      </c>
      <c r="E4896" t="str">
        <f>"080066900199"</f>
        <v>080066900199</v>
      </c>
      <c r="F4896" s="3">
        <v>45868</v>
      </c>
      <c r="G4896">
        <v>202604</v>
      </c>
      <c r="H4896" t="s">
        <v>75</v>
      </c>
      <c r="I4896" t="s">
        <v>76</v>
      </c>
      <c r="J4896" t="s">
        <v>77</v>
      </c>
      <c r="K4896" t="s">
        <v>78</v>
      </c>
      <c r="L4896" t="s">
        <v>221</v>
      </c>
      <c r="M4896" t="s">
        <v>222</v>
      </c>
      <c r="N4896" t="s">
        <v>223</v>
      </c>
      <c r="O4896" t="s">
        <v>82</v>
      </c>
      <c r="P4896" t="str">
        <f>"4170052191                    "</f>
        <v xml:space="preserve">4170052191                    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>
        <v>43.78</v>
      </c>
      <c r="AR4896">
        <v>0</v>
      </c>
      <c r="AS4896">
        <v>0</v>
      </c>
      <c r="AT4896">
        <v>0</v>
      </c>
      <c r="AU4896">
        <v>0</v>
      </c>
      <c r="AV4896">
        <v>0</v>
      </c>
      <c r="AW4896">
        <v>0</v>
      </c>
      <c r="AX4896">
        <v>0</v>
      </c>
      <c r="AY4896">
        <v>0</v>
      </c>
      <c r="AZ4896">
        <v>0</v>
      </c>
      <c r="BA4896">
        <v>0</v>
      </c>
      <c r="BB4896">
        <v>0</v>
      </c>
      <c r="BC4896">
        <v>0</v>
      </c>
      <c r="BD4896">
        <v>0</v>
      </c>
      <c r="BE4896">
        <v>0</v>
      </c>
      <c r="BF4896">
        <v>0</v>
      </c>
      <c r="BG4896">
        <v>0</v>
      </c>
      <c r="BH4896">
        <v>1</v>
      </c>
      <c r="BI4896">
        <v>1</v>
      </c>
      <c r="BJ4896">
        <v>0.2</v>
      </c>
      <c r="BK4896">
        <v>1</v>
      </c>
      <c r="BL4896">
        <v>137.94</v>
      </c>
      <c r="BM4896">
        <v>20.69</v>
      </c>
      <c r="BN4896">
        <v>158.63</v>
      </c>
      <c r="BO4896">
        <v>158.63</v>
      </c>
      <c r="BQ4896" t="s">
        <v>224</v>
      </c>
      <c r="BR4896" t="s">
        <v>84</v>
      </c>
      <c r="BS4896" t="s">
        <v>587</v>
      </c>
      <c r="BY4896">
        <v>1200</v>
      </c>
      <c r="CC4896" t="s">
        <v>222</v>
      </c>
      <c r="CD4896">
        <v>2740</v>
      </c>
      <c r="CE4896" t="s">
        <v>121</v>
      </c>
      <c r="CI4896">
        <v>1</v>
      </c>
      <c r="CJ4896" t="s">
        <v>587</v>
      </c>
      <c r="CK4896">
        <v>23</v>
      </c>
      <c r="CL4896" t="s">
        <v>86</v>
      </c>
    </row>
    <row r="4897" spans="1:90" x14ac:dyDescent="0.3">
      <c r="A4897" t="s">
        <v>72</v>
      </c>
      <c r="B4897" t="s">
        <v>73</v>
      </c>
      <c r="C4897" t="s">
        <v>74</v>
      </c>
      <c r="E4897" t="str">
        <f>"080066900203"</f>
        <v>080066900203</v>
      </c>
      <c r="F4897" s="3">
        <v>45868</v>
      </c>
      <c r="G4897">
        <v>202604</v>
      </c>
      <c r="H4897" t="s">
        <v>75</v>
      </c>
      <c r="I4897" t="s">
        <v>76</v>
      </c>
      <c r="J4897" t="s">
        <v>77</v>
      </c>
      <c r="K4897" t="s">
        <v>78</v>
      </c>
      <c r="L4897" t="s">
        <v>79</v>
      </c>
      <c r="M4897" t="s">
        <v>80</v>
      </c>
      <c r="N4897" t="s">
        <v>286</v>
      </c>
      <c r="O4897" t="s">
        <v>82</v>
      </c>
      <c r="P4897" t="str">
        <f>"4170052145                    "</f>
        <v xml:space="preserve">4170052145                    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22.6</v>
      </c>
      <c r="AR4897">
        <v>0</v>
      </c>
      <c r="AS4897">
        <v>0</v>
      </c>
      <c r="AT4897">
        <v>0</v>
      </c>
      <c r="AU4897">
        <v>0</v>
      </c>
      <c r="AV4897">
        <v>0</v>
      </c>
      <c r="AW4897">
        <v>0</v>
      </c>
      <c r="AX4897">
        <v>0</v>
      </c>
      <c r="AY4897">
        <v>0</v>
      </c>
      <c r="AZ4897">
        <v>0</v>
      </c>
      <c r="BA4897">
        <v>0</v>
      </c>
      <c r="BB4897">
        <v>0</v>
      </c>
      <c r="BC4897">
        <v>0</v>
      </c>
      <c r="BD4897">
        <v>0</v>
      </c>
      <c r="BE4897">
        <v>0</v>
      </c>
      <c r="BF4897">
        <v>0</v>
      </c>
      <c r="BG4897">
        <v>0</v>
      </c>
      <c r="BH4897">
        <v>1</v>
      </c>
      <c r="BI4897">
        <v>1</v>
      </c>
      <c r="BJ4897">
        <v>0.2</v>
      </c>
      <c r="BK4897">
        <v>1</v>
      </c>
      <c r="BL4897">
        <v>71.2</v>
      </c>
      <c r="BM4897">
        <v>10.68</v>
      </c>
      <c r="BN4897">
        <v>81.88</v>
      </c>
      <c r="BO4897">
        <v>81.88</v>
      </c>
      <c r="BQ4897" t="s">
        <v>287</v>
      </c>
      <c r="BR4897" t="s">
        <v>84</v>
      </c>
      <c r="BS4897" s="3">
        <v>45869</v>
      </c>
      <c r="BT4897" s="4">
        <v>0.33541666666666664</v>
      </c>
      <c r="BU4897" t="s">
        <v>2322</v>
      </c>
      <c r="BV4897" t="s">
        <v>98</v>
      </c>
      <c r="BY4897">
        <v>1200</v>
      </c>
      <c r="CA4897" t="s">
        <v>289</v>
      </c>
      <c r="CC4897" t="s">
        <v>80</v>
      </c>
      <c r="CD4897">
        <v>7530</v>
      </c>
      <c r="CE4897" t="s">
        <v>258</v>
      </c>
      <c r="CI4897">
        <v>1</v>
      </c>
      <c r="CJ4897">
        <v>1</v>
      </c>
      <c r="CK4897">
        <v>21</v>
      </c>
      <c r="CL4897" t="s">
        <v>86</v>
      </c>
    </row>
    <row r="4898" spans="1:90" x14ac:dyDescent="0.3">
      <c r="A4898" t="s">
        <v>72</v>
      </c>
      <c r="B4898" t="s">
        <v>73</v>
      </c>
      <c r="C4898" t="s">
        <v>74</v>
      </c>
      <c r="E4898" t="str">
        <f>"080066900222"</f>
        <v>080066900222</v>
      </c>
      <c r="F4898" s="3">
        <v>45868</v>
      </c>
      <c r="G4898">
        <v>202604</v>
      </c>
      <c r="H4898" t="s">
        <v>75</v>
      </c>
      <c r="I4898" t="s">
        <v>76</v>
      </c>
      <c r="J4898" t="s">
        <v>77</v>
      </c>
      <c r="K4898" t="s">
        <v>78</v>
      </c>
      <c r="L4898" t="s">
        <v>1768</v>
      </c>
      <c r="M4898" t="s">
        <v>1769</v>
      </c>
      <c r="N4898" t="s">
        <v>3247</v>
      </c>
      <c r="O4898" t="s">
        <v>82</v>
      </c>
      <c r="P4898" t="str">
        <f>"4170052208                    "</f>
        <v xml:space="preserve">4170052208                    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43.78</v>
      </c>
      <c r="AR4898">
        <v>0</v>
      </c>
      <c r="AS4898">
        <v>0</v>
      </c>
      <c r="AT4898">
        <v>0</v>
      </c>
      <c r="AU4898">
        <v>0</v>
      </c>
      <c r="AV4898">
        <v>0</v>
      </c>
      <c r="AW4898">
        <v>0</v>
      </c>
      <c r="AX4898">
        <v>0</v>
      </c>
      <c r="AY4898">
        <v>0</v>
      </c>
      <c r="AZ4898">
        <v>0</v>
      </c>
      <c r="BA4898">
        <v>0</v>
      </c>
      <c r="BB4898">
        <v>0</v>
      </c>
      <c r="BC4898">
        <v>0</v>
      </c>
      <c r="BD4898">
        <v>0</v>
      </c>
      <c r="BE4898">
        <v>0</v>
      </c>
      <c r="BF4898">
        <v>0</v>
      </c>
      <c r="BG4898">
        <v>0</v>
      </c>
      <c r="BH4898">
        <v>1</v>
      </c>
      <c r="BI4898">
        <v>1</v>
      </c>
      <c r="BJ4898">
        <v>0.2</v>
      </c>
      <c r="BK4898">
        <v>1</v>
      </c>
      <c r="BL4898">
        <v>137.94</v>
      </c>
      <c r="BM4898">
        <v>20.69</v>
      </c>
      <c r="BN4898">
        <v>158.63</v>
      </c>
      <c r="BO4898">
        <v>158.63</v>
      </c>
      <c r="BQ4898" t="s">
        <v>3248</v>
      </c>
      <c r="BR4898" t="s">
        <v>84</v>
      </c>
      <c r="BS4898" s="3">
        <v>45869</v>
      </c>
      <c r="BT4898" s="4">
        <v>0.375</v>
      </c>
      <c r="BU4898" t="s">
        <v>4022</v>
      </c>
      <c r="BV4898" t="s">
        <v>98</v>
      </c>
      <c r="BY4898">
        <v>1200</v>
      </c>
      <c r="CA4898" t="s">
        <v>3249</v>
      </c>
      <c r="CC4898" t="s">
        <v>1769</v>
      </c>
      <c r="CD4898">
        <v>2302</v>
      </c>
      <c r="CE4898" t="s">
        <v>121</v>
      </c>
      <c r="CI4898">
        <v>1</v>
      </c>
      <c r="CJ4898">
        <v>1</v>
      </c>
      <c r="CK4898">
        <v>23</v>
      </c>
      <c r="CL4898" t="s">
        <v>86</v>
      </c>
    </row>
    <row r="4899" spans="1:90" x14ac:dyDescent="0.3">
      <c r="A4899" t="s">
        <v>72</v>
      </c>
      <c r="B4899" t="s">
        <v>73</v>
      </c>
      <c r="C4899" t="s">
        <v>74</v>
      </c>
      <c r="E4899" t="str">
        <f>"080066900226"</f>
        <v>080066900226</v>
      </c>
      <c r="F4899" s="3">
        <v>45868</v>
      </c>
      <c r="G4899">
        <v>202604</v>
      </c>
      <c r="H4899" t="s">
        <v>75</v>
      </c>
      <c r="I4899" t="s">
        <v>76</v>
      </c>
      <c r="J4899" t="s">
        <v>77</v>
      </c>
      <c r="K4899" t="s">
        <v>78</v>
      </c>
      <c r="L4899" t="s">
        <v>168</v>
      </c>
      <c r="M4899" t="s">
        <v>169</v>
      </c>
      <c r="N4899" t="s">
        <v>4023</v>
      </c>
      <c r="O4899" t="s">
        <v>82</v>
      </c>
      <c r="P4899" t="str">
        <f>"4170052219                    "</f>
        <v xml:space="preserve">4170052219                    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22.6</v>
      </c>
      <c r="AR4899">
        <v>0</v>
      </c>
      <c r="AS4899">
        <v>0</v>
      </c>
      <c r="AT4899">
        <v>0</v>
      </c>
      <c r="AU4899">
        <v>0</v>
      </c>
      <c r="AV4899">
        <v>0</v>
      </c>
      <c r="AW4899">
        <v>0</v>
      </c>
      <c r="AX4899">
        <v>0</v>
      </c>
      <c r="AY4899">
        <v>0</v>
      </c>
      <c r="AZ4899">
        <v>0</v>
      </c>
      <c r="BA4899">
        <v>0</v>
      </c>
      <c r="BB4899">
        <v>0</v>
      </c>
      <c r="BC4899">
        <v>0</v>
      </c>
      <c r="BD4899">
        <v>0</v>
      </c>
      <c r="BE4899">
        <v>0</v>
      </c>
      <c r="BF4899">
        <v>0</v>
      </c>
      <c r="BG4899">
        <v>0</v>
      </c>
      <c r="BH4899">
        <v>1</v>
      </c>
      <c r="BI4899">
        <v>1</v>
      </c>
      <c r="BJ4899">
        <v>1.9</v>
      </c>
      <c r="BK4899">
        <v>2</v>
      </c>
      <c r="BL4899">
        <v>71.2</v>
      </c>
      <c r="BM4899">
        <v>10.68</v>
      </c>
      <c r="BN4899">
        <v>81.88</v>
      </c>
      <c r="BO4899">
        <v>81.88</v>
      </c>
      <c r="BQ4899" t="s">
        <v>4024</v>
      </c>
      <c r="BR4899" t="s">
        <v>84</v>
      </c>
      <c r="BS4899" s="3">
        <v>45869</v>
      </c>
      <c r="BT4899" s="4">
        <v>0.52430555555555558</v>
      </c>
      <c r="BU4899" t="s">
        <v>4025</v>
      </c>
      <c r="BV4899" t="s">
        <v>86</v>
      </c>
      <c r="BY4899">
        <v>9450</v>
      </c>
      <c r="CA4899" t="s">
        <v>1731</v>
      </c>
      <c r="CC4899" t="s">
        <v>169</v>
      </c>
      <c r="CD4899">
        <v>6001</v>
      </c>
      <c r="CE4899" t="s">
        <v>91</v>
      </c>
      <c r="CI4899">
        <v>1</v>
      </c>
      <c r="CJ4899">
        <v>1</v>
      </c>
      <c r="CK4899">
        <v>21</v>
      </c>
      <c r="CL4899" t="s">
        <v>86</v>
      </c>
    </row>
    <row r="4900" spans="1:90" x14ac:dyDescent="0.3">
      <c r="A4900" t="s">
        <v>72</v>
      </c>
      <c r="B4900" t="s">
        <v>73</v>
      </c>
      <c r="C4900" t="s">
        <v>74</v>
      </c>
      <c r="E4900" t="str">
        <f>"080066900235"</f>
        <v>080066900235</v>
      </c>
      <c r="F4900" s="3">
        <v>45868</v>
      </c>
      <c r="G4900">
        <v>202604</v>
      </c>
      <c r="H4900" t="s">
        <v>75</v>
      </c>
      <c r="I4900" t="s">
        <v>76</v>
      </c>
      <c r="J4900" t="s">
        <v>77</v>
      </c>
      <c r="K4900" t="s">
        <v>78</v>
      </c>
      <c r="L4900" t="s">
        <v>168</v>
      </c>
      <c r="M4900" t="s">
        <v>169</v>
      </c>
      <c r="N4900" t="s">
        <v>206</v>
      </c>
      <c r="O4900" t="s">
        <v>82</v>
      </c>
      <c r="P4900" t="str">
        <f>"4170052098                    "</f>
        <v xml:space="preserve">4170052098                    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22.6</v>
      </c>
      <c r="AR4900">
        <v>0</v>
      </c>
      <c r="AS4900">
        <v>0</v>
      </c>
      <c r="AT4900">
        <v>0</v>
      </c>
      <c r="AU4900">
        <v>0</v>
      </c>
      <c r="AV4900">
        <v>0</v>
      </c>
      <c r="AW4900">
        <v>0</v>
      </c>
      <c r="AX4900">
        <v>0</v>
      </c>
      <c r="AY4900">
        <v>0</v>
      </c>
      <c r="AZ4900">
        <v>0</v>
      </c>
      <c r="BA4900">
        <v>0</v>
      </c>
      <c r="BB4900">
        <v>0</v>
      </c>
      <c r="BC4900">
        <v>0</v>
      </c>
      <c r="BD4900">
        <v>0</v>
      </c>
      <c r="BE4900">
        <v>0</v>
      </c>
      <c r="BF4900">
        <v>0</v>
      </c>
      <c r="BG4900">
        <v>0</v>
      </c>
      <c r="BH4900">
        <v>1</v>
      </c>
      <c r="BI4900">
        <v>1</v>
      </c>
      <c r="BJ4900">
        <v>0.2</v>
      </c>
      <c r="BK4900">
        <v>1</v>
      </c>
      <c r="BL4900">
        <v>71.2</v>
      </c>
      <c r="BM4900">
        <v>10.68</v>
      </c>
      <c r="BN4900">
        <v>81.88</v>
      </c>
      <c r="BO4900">
        <v>81.88</v>
      </c>
      <c r="BQ4900" t="s">
        <v>207</v>
      </c>
      <c r="BR4900" t="s">
        <v>84</v>
      </c>
      <c r="BS4900" s="3">
        <v>45869</v>
      </c>
      <c r="BT4900" s="4">
        <v>0.40416666666666667</v>
      </c>
      <c r="BU4900" t="s">
        <v>208</v>
      </c>
      <c r="BV4900" t="s">
        <v>98</v>
      </c>
      <c r="BY4900">
        <v>1200</v>
      </c>
      <c r="CA4900" t="s">
        <v>196</v>
      </c>
      <c r="CC4900" t="s">
        <v>169</v>
      </c>
      <c r="CD4900">
        <v>6001</v>
      </c>
      <c r="CE4900" t="s">
        <v>121</v>
      </c>
      <c r="CI4900">
        <v>1</v>
      </c>
      <c r="CJ4900">
        <v>1</v>
      </c>
      <c r="CK4900">
        <v>21</v>
      </c>
      <c r="CL4900" t="s">
        <v>86</v>
      </c>
    </row>
    <row r="4901" spans="1:90" x14ac:dyDescent="0.3">
      <c r="A4901" t="s">
        <v>72</v>
      </c>
      <c r="B4901" t="s">
        <v>73</v>
      </c>
      <c r="C4901" t="s">
        <v>74</v>
      </c>
      <c r="E4901" t="str">
        <f>"080066900244"</f>
        <v>080066900244</v>
      </c>
      <c r="F4901" s="3">
        <v>45868</v>
      </c>
      <c r="G4901">
        <v>202604</v>
      </c>
      <c r="H4901" t="s">
        <v>75</v>
      </c>
      <c r="I4901" t="s">
        <v>76</v>
      </c>
      <c r="J4901" t="s">
        <v>77</v>
      </c>
      <c r="K4901" t="s">
        <v>78</v>
      </c>
      <c r="L4901" t="s">
        <v>79</v>
      </c>
      <c r="M4901" t="s">
        <v>80</v>
      </c>
      <c r="N4901" t="s">
        <v>576</v>
      </c>
      <c r="O4901" t="s">
        <v>82</v>
      </c>
      <c r="P4901" t="str">
        <f>"4170052173                    "</f>
        <v xml:space="preserve">4170052173                    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22.6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AZ4901">
        <v>0</v>
      </c>
      <c r="BA4901">
        <v>0</v>
      </c>
      <c r="BB4901">
        <v>0</v>
      </c>
      <c r="BC4901">
        <v>0</v>
      </c>
      <c r="BD4901">
        <v>0</v>
      </c>
      <c r="BE4901">
        <v>0</v>
      </c>
      <c r="BF4901">
        <v>0</v>
      </c>
      <c r="BG4901">
        <v>0</v>
      </c>
      <c r="BH4901">
        <v>1</v>
      </c>
      <c r="BI4901">
        <v>1</v>
      </c>
      <c r="BJ4901">
        <v>1.7</v>
      </c>
      <c r="BK4901">
        <v>2</v>
      </c>
      <c r="BL4901">
        <v>71.2</v>
      </c>
      <c r="BM4901">
        <v>10.68</v>
      </c>
      <c r="BN4901">
        <v>81.88</v>
      </c>
      <c r="BO4901">
        <v>81.88</v>
      </c>
      <c r="BQ4901" t="s">
        <v>577</v>
      </c>
      <c r="BR4901" t="s">
        <v>84</v>
      </c>
      <c r="BS4901" s="3">
        <v>45869</v>
      </c>
      <c r="BT4901" s="4">
        <v>0.43888888888888888</v>
      </c>
      <c r="BU4901" t="s">
        <v>1092</v>
      </c>
      <c r="BV4901" t="s">
        <v>86</v>
      </c>
      <c r="BY4901">
        <v>8512</v>
      </c>
      <c r="CA4901" t="s">
        <v>579</v>
      </c>
      <c r="CC4901" t="s">
        <v>80</v>
      </c>
      <c r="CD4901">
        <v>7480</v>
      </c>
      <c r="CE4901" t="s">
        <v>145</v>
      </c>
      <c r="CI4901">
        <v>1</v>
      </c>
      <c r="CJ4901">
        <v>1</v>
      </c>
      <c r="CK4901">
        <v>21</v>
      </c>
      <c r="CL4901" t="s">
        <v>86</v>
      </c>
    </row>
    <row r="4902" spans="1:90" x14ac:dyDescent="0.3">
      <c r="A4902" t="s">
        <v>72</v>
      </c>
      <c r="B4902" t="s">
        <v>73</v>
      </c>
      <c r="C4902" t="s">
        <v>74</v>
      </c>
      <c r="E4902" t="str">
        <f>"080066900264"</f>
        <v>080066900264</v>
      </c>
      <c r="F4902" s="3">
        <v>45868</v>
      </c>
      <c r="G4902">
        <v>202604</v>
      </c>
      <c r="H4902" t="s">
        <v>75</v>
      </c>
      <c r="I4902" t="s">
        <v>76</v>
      </c>
      <c r="J4902" t="s">
        <v>77</v>
      </c>
      <c r="K4902" t="s">
        <v>78</v>
      </c>
      <c r="L4902" t="s">
        <v>246</v>
      </c>
      <c r="M4902" t="s">
        <v>247</v>
      </c>
      <c r="N4902" t="s">
        <v>1359</v>
      </c>
      <c r="O4902" t="s">
        <v>82</v>
      </c>
      <c r="P4902" t="str">
        <f>"4170052205                    "</f>
        <v xml:space="preserve">4170052205                    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31.78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</v>
      </c>
      <c r="AY4902">
        <v>0</v>
      </c>
      <c r="AZ4902">
        <v>0</v>
      </c>
      <c r="BA4902">
        <v>0</v>
      </c>
      <c r="BB4902">
        <v>0</v>
      </c>
      <c r="BC4902">
        <v>0</v>
      </c>
      <c r="BD4902">
        <v>0</v>
      </c>
      <c r="BE4902">
        <v>0</v>
      </c>
      <c r="BF4902">
        <v>0</v>
      </c>
      <c r="BG4902">
        <v>0</v>
      </c>
      <c r="BH4902">
        <v>1</v>
      </c>
      <c r="BI4902">
        <v>1</v>
      </c>
      <c r="BJ4902">
        <v>0.2</v>
      </c>
      <c r="BK4902">
        <v>1</v>
      </c>
      <c r="BL4902">
        <v>100.13</v>
      </c>
      <c r="BM4902">
        <v>15.02</v>
      </c>
      <c r="BN4902">
        <v>115.15</v>
      </c>
      <c r="BO4902">
        <v>115.15</v>
      </c>
      <c r="BQ4902" t="s">
        <v>1360</v>
      </c>
      <c r="BR4902" t="s">
        <v>84</v>
      </c>
      <c r="BS4902" s="3">
        <v>45869</v>
      </c>
      <c r="BT4902" s="4">
        <v>0.44930555555555557</v>
      </c>
      <c r="BU4902" t="s">
        <v>3971</v>
      </c>
      <c r="BV4902" t="s">
        <v>98</v>
      </c>
      <c r="BY4902">
        <v>1200</v>
      </c>
      <c r="CA4902" t="s">
        <v>251</v>
      </c>
      <c r="CC4902" t="s">
        <v>247</v>
      </c>
      <c r="CD4902">
        <v>1438</v>
      </c>
      <c r="CE4902" t="s">
        <v>121</v>
      </c>
      <c r="CI4902">
        <v>1</v>
      </c>
      <c r="CJ4902">
        <v>1</v>
      </c>
      <c r="CK4902">
        <v>24</v>
      </c>
      <c r="CL4902" t="s">
        <v>86</v>
      </c>
    </row>
    <row r="4903" spans="1:90" x14ac:dyDescent="0.3">
      <c r="A4903" t="s">
        <v>72</v>
      </c>
      <c r="B4903" t="s">
        <v>73</v>
      </c>
      <c r="C4903" t="s">
        <v>74</v>
      </c>
      <c r="E4903" t="str">
        <f>"080066900275"</f>
        <v>080066900275</v>
      </c>
      <c r="F4903" s="3">
        <v>45868</v>
      </c>
      <c r="G4903">
        <v>202604</v>
      </c>
      <c r="H4903" t="s">
        <v>75</v>
      </c>
      <c r="I4903" t="s">
        <v>76</v>
      </c>
      <c r="J4903" t="s">
        <v>77</v>
      </c>
      <c r="K4903" t="s">
        <v>78</v>
      </c>
      <c r="L4903" t="s">
        <v>305</v>
      </c>
      <c r="M4903" t="s">
        <v>306</v>
      </c>
      <c r="N4903" t="s">
        <v>1304</v>
      </c>
      <c r="O4903" t="s">
        <v>82</v>
      </c>
      <c r="P4903" t="str">
        <f>"4170052188                    "</f>
        <v xml:space="preserve">4170052188                    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22.6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0</v>
      </c>
      <c r="BA4903">
        <v>0</v>
      </c>
      <c r="BB4903">
        <v>0</v>
      </c>
      <c r="BC4903">
        <v>0</v>
      </c>
      <c r="BD4903">
        <v>0</v>
      </c>
      <c r="BE4903">
        <v>0</v>
      </c>
      <c r="BF4903">
        <v>0</v>
      </c>
      <c r="BG4903">
        <v>0</v>
      </c>
      <c r="BH4903">
        <v>1</v>
      </c>
      <c r="BI4903">
        <v>1</v>
      </c>
      <c r="BJ4903">
        <v>0.6</v>
      </c>
      <c r="BK4903">
        <v>1</v>
      </c>
      <c r="BL4903">
        <v>71.2</v>
      </c>
      <c r="BM4903">
        <v>10.68</v>
      </c>
      <c r="BN4903">
        <v>81.88</v>
      </c>
      <c r="BO4903">
        <v>81.88</v>
      </c>
      <c r="BQ4903" t="s">
        <v>1305</v>
      </c>
      <c r="BR4903" t="s">
        <v>84</v>
      </c>
      <c r="BS4903" s="3">
        <v>45869</v>
      </c>
      <c r="BT4903" s="4">
        <v>0.48333333333333334</v>
      </c>
      <c r="BU4903" t="s">
        <v>4026</v>
      </c>
      <c r="BV4903" t="s">
        <v>86</v>
      </c>
      <c r="BY4903">
        <v>3192</v>
      </c>
      <c r="CA4903" t="s">
        <v>575</v>
      </c>
      <c r="CC4903" t="s">
        <v>306</v>
      </c>
      <c r="CD4903">
        <v>5201</v>
      </c>
      <c r="CE4903" t="s">
        <v>145</v>
      </c>
      <c r="CI4903">
        <v>5</v>
      </c>
      <c r="CJ4903">
        <v>1</v>
      </c>
      <c r="CK4903">
        <v>21</v>
      </c>
      <c r="CL4903" t="s">
        <v>86</v>
      </c>
    </row>
    <row r="4904" spans="1:90" x14ac:dyDescent="0.3">
      <c r="A4904" t="s">
        <v>72</v>
      </c>
      <c r="B4904" t="s">
        <v>73</v>
      </c>
      <c r="C4904" t="s">
        <v>74</v>
      </c>
      <c r="E4904" t="str">
        <f>"080066900276"</f>
        <v>080066900276</v>
      </c>
      <c r="F4904" s="3">
        <v>45868</v>
      </c>
      <c r="G4904">
        <v>202604</v>
      </c>
      <c r="H4904" t="s">
        <v>75</v>
      </c>
      <c r="I4904" t="s">
        <v>76</v>
      </c>
      <c r="J4904" t="s">
        <v>77</v>
      </c>
      <c r="K4904" t="s">
        <v>78</v>
      </c>
      <c r="L4904" t="s">
        <v>102</v>
      </c>
      <c r="M4904" t="s">
        <v>103</v>
      </c>
      <c r="N4904" t="s">
        <v>2293</v>
      </c>
      <c r="O4904" t="s">
        <v>82</v>
      </c>
      <c r="P4904" t="str">
        <f>"4170052221                    "</f>
        <v xml:space="preserve">4170052221                    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31.78</v>
      </c>
      <c r="AR4904">
        <v>0</v>
      </c>
      <c r="AS4904">
        <v>0</v>
      </c>
      <c r="AT4904">
        <v>0</v>
      </c>
      <c r="AU4904">
        <v>0</v>
      </c>
      <c r="AV4904">
        <v>0</v>
      </c>
      <c r="AW4904">
        <v>0</v>
      </c>
      <c r="AX4904">
        <v>0</v>
      </c>
      <c r="AY4904">
        <v>0</v>
      </c>
      <c r="AZ4904">
        <v>0</v>
      </c>
      <c r="BA4904">
        <v>0</v>
      </c>
      <c r="BB4904">
        <v>0</v>
      </c>
      <c r="BC4904">
        <v>0</v>
      </c>
      <c r="BD4904">
        <v>0</v>
      </c>
      <c r="BE4904">
        <v>0</v>
      </c>
      <c r="BF4904">
        <v>0</v>
      </c>
      <c r="BG4904">
        <v>0</v>
      </c>
      <c r="BH4904">
        <v>1</v>
      </c>
      <c r="BI4904">
        <v>1</v>
      </c>
      <c r="BJ4904">
        <v>0.2</v>
      </c>
      <c r="BK4904">
        <v>1</v>
      </c>
      <c r="BL4904">
        <v>100.13</v>
      </c>
      <c r="BM4904">
        <v>15.02</v>
      </c>
      <c r="BN4904">
        <v>115.15</v>
      </c>
      <c r="BO4904">
        <v>115.15</v>
      </c>
      <c r="BQ4904" t="s">
        <v>2294</v>
      </c>
      <c r="BR4904" t="s">
        <v>84</v>
      </c>
      <c r="BS4904" s="3">
        <v>45869</v>
      </c>
      <c r="BT4904" s="4">
        <v>0.45833333333333331</v>
      </c>
      <c r="BU4904" t="s">
        <v>2295</v>
      </c>
      <c r="BV4904" t="s">
        <v>86</v>
      </c>
      <c r="BY4904">
        <v>1200</v>
      </c>
      <c r="CA4904" t="s">
        <v>2296</v>
      </c>
      <c r="CC4904" t="s">
        <v>103</v>
      </c>
      <c r="CD4904">
        <v>1739</v>
      </c>
      <c r="CE4904" t="s">
        <v>121</v>
      </c>
      <c r="CI4904">
        <v>1</v>
      </c>
      <c r="CJ4904">
        <v>1</v>
      </c>
      <c r="CK4904">
        <v>24</v>
      </c>
      <c r="CL4904" t="s">
        <v>86</v>
      </c>
    </row>
    <row r="4905" spans="1:90" x14ac:dyDescent="0.3">
      <c r="A4905" t="s">
        <v>72</v>
      </c>
      <c r="B4905" t="s">
        <v>73</v>
      </c>
      <c r="C4905" t="s">
        <v>74</v>
      </c>
      <c r="E4905" t="str">
        <f>"080066900292"</f>
        <v>080066900292</v>
      </c>
      <c r="F4905" s="3">
        <v>45868</v>
      </c>
      <c r="G4905">
        <v>202604</v>
      </c>
      <c r="H4905" t="s">
        <v>75</v>
      </c>
      <c r="I4905" t="s">
        <v>76</v>
      </c>
      <c r="J4905" t="s">
        <v>77</v>
      </c>
      <c r="K4905" t="s">
        <v>78</v>
      </c>
      <c r="L4905" t="s">
        <v>295</v>
      </c>
      <c r="M4905" t="s">
        <v>296</v>
      </c>
      <c r="N4905" t="s">
        <v>1063</v>
      </c>
      <c r="O4905" t="s">
        <v>82</v>
      </c>
      <c r="P4905" t="str">
        <f>"4170052194                    "</f>
        <v xml:space="preserve">4170052194                    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17.649999999999999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</v>
      </c>
      <c r="AZ4905">
        <v>0</v>
      </c>
      <c r="BA4905">
        <v>0</v>
      </c>
      <c r="BB4905">
        <v>0</v>
      </c>
      <c r="BC4905">
        <v>0</v>
      </c>
      <c r="BD4905">
        <v>0</v>
      </c>
      <c r="BE4905">
        <v>0</v>
      </c>
      <c r="BF4905">
        <v>0</v>
      </c>
      <c r="BG4905">
        <v>0</v>
      </c>
      <c r="BH4905">
        <v>1</v>
      </c>
      <c r="BI4905">
        <v>1</v>
      </c>
      <c r="BJ4905">
        <v>0.2</v>
      </c>
      <c r="BK4905">
        <v>1</v>
      </c>
      <c r="BL4905">
        <v>55.61</v>
      </c>
      <c r="BM4905">
        <v>8.34</v>
      </c>
      <c r="BN4905">
        <v>63.95</v>
      </c>
      <c r="BO4905">
        <v>63.95</v>
      </c>
      <c r="BQ4905" t="s">
        <v>1064</v>
      </c>
      <c r="BR4905" t="s">
        <v>84</v>
      </c>
      <c r="BS4905" s="3">
        <v>45869</v>
      </c>
      <c r="BT4905" s="4">
        <v>0.3611111111111111</v>
      </c>
      <c r="BU4905" t="s">
        <v>1065</v>
      </c>
      <c r="BV4905" t="s">
        <v>98</v>
      </c>
      <c r="BY4905">
        <v>1200</v>
      </c>
      <c r="CA4905" t="s">
        <v>300</v>
      </c>
      <c r="CC4905" t="s">
        <v>296</v>
      </c>
      <c r="CD4905">
        <v>1459</v>
      </c>
      <c r="CE4905" t="s">
        <v>121</v>
      </c>
      <c r="CI4905">
        <v>1</v>
      </c>
      <c r="CJ4905">
        <v>1</v>
      </c>
      <c r="CK4905">
        <v>22</v>
      </c>
      <c r="CL4905" t="s">
        <v>86</v>
      </c>
    </row>
    <row r="4906" spans="1:90" x14ac:dyDescent="0.3">
      <c r="A4906" t="s">
        <v>72</v>
      </c>
      <c r="B4906" t="s">
        <v>73</v>
      </c>
      <c r="C4906" t="s">
        <v>74</v>
      </c>
      <c r="E4906" t="str">
        <f>"080066900295"</f>
        <v>080066900295</v>
      </c>
      <c r="F4906" s="3">
        <v>45868</v>
      </c>
      <c r="G4906">
        <v>202604</v>
      </c>
      <c r="H4906" t="s">
        <v>75</v>
      </c>
      <c r="I4906" t="s">
        <v>76</v>
      </c>
      <c r="J4906" t="s">
        <v>77</v>
      </c>
      <c r="K4906" t="s">
        <v>78</v>
      </c>
      <c r="L4906" t="s">
        <v>277</v>
      </c>
      <c r="M4906" t="s">
        <v>278</v>
      </c>
      <c r="N4906" t="s">
        <v>279</v>
      </c>
      <c r="O4906" t="s">
        <v>82</v>
      </c>
      <c r="P4906" t="str">
        <f>"4170052097                    "</f>
        <v xml:space="preserve">4170052097                    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22.6</v>
      </c>
      <c r="AR4906">
        <v>0</v>
      </c>
      <c r="AS4906">
        <v>0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  <c r="AZ4906">
        <v>0</v>
      </c>
      <c r="BA4906">
        <v>0</v>
      </c>
      <c r="BB4906">
        <v>0</v>
      </c>
      <c r="BC4906">
        <v>0</v>
      </c>
      <c r="BD4906">
        <v>0</v>
      </c>
      <c r="BE4906">
        <v>0</v>
      </c>
      <c r="BF4906">
        <v>0</v>
      </c>
      <c r="BG4906">
        <v>0</v>
      </c>
      <c r="BH4906">
        <v>1</v>
      </c>
      <c r="BI4906">
        <v>1</v>
      </c>
      <c r="BJ4906">
        <v>0.6</v>
      </c>
      <c r="BK4906">
        <v>1</v>
      </c>
      <c r="BL4906">
        <v>71.2</v>
      </c>
      <c r="BM4906">
        <v>10.68</v>
      </c>
      <c r="BN4906">
        <v>81.88</v>
      </c>
      <c r="BO4906">
        <v>81.88</v>
      </c>
      <c r="BQ4906" t="s">
        <v>280</v>
      </c>
      <c r="BR4906" t="s">
        <v>84</v>
      </c>
      <c r="BS4906" s="3">
        <v>45869</v>
      </c>
      <c r="BT4906" s="4">
        <v>0.33333333333333331</v>
      </c>
      <c r="BU4906" t="s">
        <v>1124</v>
      </c>
      <c r="BV4906" t="s">
        <v>98</v>
      </c>
      <c r="BY4906">
        <v>3192</v>
      </c>
      <c r="CA4906" t="s">
        <v>282</v>
      </c>
      <c r="CC4906" t="s">
        <v>278</v>
      </c>
      <c r="CD4906">
        <v>6230</v>
      </c>
      <c r="CE4906" t="s">
        <v>145</v>
      </c>
      <c r="CI4906">
        <v>1</v>
      </c>
      <c r="CJ4906">
        <v>1</v>
      </c>
      <c r="CK4906">
        <v>21</v>
      </c>
      <c r="CL4906" t="s">
        <v>86</v>
      </c>
    </row>
    <row r="4907" spans="1:90" x14ac:dyDescent="0.3">
      <c r="A4907" t="s">
        <v>72</v>
      </c>
      <c r="B4907" t="s">
        <v>73</v>
      </c>
      <c r="C4907" t="s">
        <v>74</v>
      </c>
      <c r="E4907" t="str">
        <f>"080066900311"</f>
        <v>080066900311</v>
      </c>
      <c r="F4907" s="3">
        <v>45868</v>
      </c>
      <c r="G4907">
        <v>202604</v>
      </c>
      <c r="H4907" t="s">
        <v>75</v>
      </c>
      <c r="I4907" t="s">
        <v>76</v>
      </c>
      <c r="J4907" t="s">
        <v>77</v>
      </c>
      <c r="K4907" t="s">
        <v>78</v>
      </c>
      <c r="L4907" t="s">
        <v>427</v>
      </c>
      <c r="M4907" t="s">
        <v>428</v>
      </c>
      <c r="N4907" t="s">
        <v>429</v>
      </c>
      <c r="O4907" t="s">
        <v>82</v>
      </c>
      <c r="P4907" t="str">
        <f>"4170052111                    "</f>
        <v xml:space="preserve">4170052111                    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43.78</v>
      </c>
      <c r="AR4907">
        <v>0</v>
      </c>
      <c r="AS4907">
        <v>0</v>
      </c>
      <c r="AT4907">
        <v>0</v>
      </c>
      <c r="AU4907">
        <v>0</v>
      </c>
      <c r="AV4907">
        <v>0</v>
      </c>
      <c r="AW4907">
        <v>0</v>
      </c>
      <c r="AX4907">
        <v>0</v>
      </c>
      <c r="AY4907">
        <v>0</v>
      </c>
      <c r="AZ4907">
        <v>0</v>
      </c>
      <c r="BA4907">
        <v>0</v>
      </c>
      <c r="BB4907">
        <v>0</v>
      </c>
      <c r="BC4907">
        <v>0</v>
      </c>
      <c r="BD4907">
        <v>0</v>
      </c>
      <c r="BE4907">
        <v>0</v>
      </c>
      <c r="BF4907">
        <v>0</v>
      </c>
      <c r="BG4907">
        <v>0</v>
      </c>
      <c r="BH4907">
        <v>1</v>
      </c>
      <c r="BI4907">
        <v>1</v>
      </c>
      <c r="BJ4907">
        <v>1.7</v>
      </c>
      <c r="BK4907">
        <v>2</v>
      </c>
      <c r="BL4907">
        <v>137.94</v>
      </c>
      <c r="BM4907">
        <v>20.69</v>
      </c>
      <c r="BN4907">
        <v>158.63</v>
      </c>
      <c r="BO4907">
        <v>158.63</v>
      </c>
      <c r="BQ4907" t="s">
        <v>430</v>
      </c>
      <c r="BR4907" t="s">
        <v>84</v>
      </c>
      <c r="BS4907" t="s">
        <v>587</v>
      </c>
      <c r="BY4907">
        <v>8512</v>
      </c>
      <c r="CC4907" t="s">
        <v>428</v>
      </c>
      <c r="CD4907">
        <v>9880</v>
      </c>
      <c r="CE4907" t="s">
        <v>145</v>
      </c>
      <c r="CI4907">
        <v>1</v>
      </c>
      <c r="CJ4907" t="s">
        <v>587</v>
      </c>
      <c r="CK4907">
        <v>23</v>
      </c>
      <c r="CL4907" t="s">
        <v>86</v>
      </c>
    </row>
    <row r="4908" spans="1:90" x14ac:dyDescent="0.3">
      <c r="A4908" t="s">
        <v>72</v>
      </c>
      <c r="B4908" t="s">
        <v>73</v>
      </c>
      <c r="C4908" t="s">
        <v>74</v>
      </c>
      <c r="E4908" t="str">
        <f>"080066900312"</f>
        <v>080066900312</v>
      </c>
      <c r="F4908" s="3">
        <v>45868</v>
      </c>
      <c r="G4908">
        <v>202604</v>
      </c>
      <c r="H4908" t="s">
        <v>75</v>
      </c>
      <c r="I4908" t="s">
        <v>76</v>
      </c>
      <c r="J4908" t="s">
        <v>77</v>
      </c>
      <c r="K4908" t="s">
        <v>78</v>
      </c>
      <c r="L4908" t="s">
        <v>240</v>
      </c>
      <c r="M4908" t="s">
        <v>241</v>
      </c>
      <c r="N4908" t="s">
        <v>798</v>
      </c>
      <c r="O4908" t="s">
        <v>82</v>
      </c>
      <c r="P4908" t="str">
        <f>"4170052093                    "</f>
        <v xml:space="preserve">4170052093                    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>
        <v>17.649999999999999</v>
      </c>
      <c r="AR4908">
        <v>0</v>
      </c>
      <c r="AS4908">
        <v>0</v>
      </c>
      <c r="AT4908">
        <v>0</v>
      </c>
      <c r="AU4908">
        <v>0</v>
      </c>
      <c r="AV4908">
        <v>0</v>
      </c>
      <c r="AW4908">
        <v>0</v>
      </c>
      <c r="AX4908">
        <v>0</v>
      </c>
      <c r="AY4908">
        <v>0</v>
      </c>
      <c r="AZ4908">
        <v>0</v>
      </c>
      <c r="BA4908">
        <v>0</v>
      </c>
      <c r="BB4908">
        <v>0</v>
      </c>
      <c r="BC4908">
        <v>0</v>
      </c>
      <c r="BD4908">
        <v>0</v>
      </c>
      <c r="BE4908">
        <v>0</v>
      </c>
      <c r="BF4908">
        <v>0</v>
      </c>
      <c r="BG4908">
        <v>0</v>
      </c>
      <c r="BH4908">
        <v>1</v>
      </c>
      <c r="BI4908">
        <v>1</v>
      </c>
      <c r="BJ4908">
        <v>0.9</v>
      </c>
      <c r="BK4908">
        <v>1</v>
      </c>
      <c r="BL4908">
        <v>55.61</v>
      </c>
      <c r="BM4908">
        <v>8.34</v>
      </c>
      <c r="BN4908">
        <v>63.95</v>
      </c>
      <c r="BO4908">
        <v>63.95</v>
      </c>
      <c r="BQ4908" t="s">
        <v>799</v>
      </c>
      <c r="BR4908" t="s">
        <v>84</v>
      </c>
      <c r="BS4908" s="3">
        <v>45869</v>
      </c>
      <c r="BT4908" s="4">
        <v>0.40902777777777777</v>
      </c>
      <c r="BU4908" t="s">
        <v>3724</v>
      </c>
      <c r="BV4908" t="s">
        <v>98</v>
      </c>
      <c r="BY4908">
        <v>4256</v>
      </c>
      <c r="CA4908" t="s">
        <v>245</v>
      </c>
      <c r="CC4908" t="s">
        <v>241</v>
      </c>
      <c r="CD4908">
        <v>2013</v>
      </c>
      <c r="CE4908" t="s">
        <v>145</v>
      </c>
      <c r="CI4908">
        <v>1</v>
      </c>
      <c r="CJ4908">
        <v>1</v>
      </c>
      <c r="CK4908">
        <v>22</v>
      </c>
      <c r="CL4908" t="s">
        <v>86</v>
      </c>
    </row>
    <row r="4909" spans="1:90" x14ac:dyDescent="0.3">
      <c r="A4909" t="s">
        <v>72</v>
      </c>
      <c r="B4909" t="s">
        <v>73</v>
      </c>
      <c r="C4909" t="s">
        <v>74</v>
      </c>
      <c r="E4909" t="str">
        <f>"080066900323"</f>
        <v>080066900323</v>
      </c>
      <c r="F4909" s="3">
        <v>45868</v>
      </c>
      <c r="G4909">
        <v>202604</v>
      </c>
      <c r="H4909" t="s">
        <v>75</v>
      </c>
      <c r="I4909" t="s">
        <v>76</v>
      </c>
      <c r="J4909" t="s">
        <v>77</v>
      </c>
      <c r="K4909" t="s">
        <v>78</v>
      </c>
      <c r="L4909" t="s">
        <v>1768</v>
      </c>
      <c r="M4909" t="s">
        <v>1769</v>
      </c>
      <c r="N4909" t="s">
        <v>3684</v>
      </c>
      <c r="O4909" t="s">
        <v>82</v>
      </c>
      <c r="P4909" t="str">
        <f>"4170052226                    "</f>
        <v xml:space="preserve">4170052226                    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43.78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AZ4909">
        <v>0</v>
      </c>
      <c r="BA4909">
        <v>0</v>
      </c>
      <c r="BB4909">
        <v>0</v>
      </c>
      <c r="BC4909">
        <v>0</v>
      </c>
      <c r="BD4909">
        <v>0</v>
      </c>
      <c r="BE4909">
        <v>0</v>
      </c>
      <c r="BF4909">
        <v>0</v>
      </c>
      <c r="BG4909">
        <v>0</v>
      </c>
      <c r="BH4909">
        <v>1</v>
      </c>
      <c r="BI4909">
        <v>1</v>
      </c>
      <c r="BJ4909">
        <v>2</v>
      </c>
      <c r="BK4909">
        <v>2</v>
      </c>
      <c r="BL4909">
        <v>137.94</v>
      </c>
      <c r="BM4909">
        <v>20.69</v>
      </c>
      <c r="BN4909">
        <v>158.63</v>
      </c>
      <c r="BO4909">
        <v>158.63</v>
      </c>
      <c r="BQ4909" t="s">
        <v>3685</v>
      </c>
      <c r="BR4909" t="s">
        <v>84</v>
      </c>
      <c r="BS4909" s="3">
        <v>45869</v>
      </c>
      <c r="BT4909" s="4">
        <v>0.36319444444444443</v>
      </c>
      <c r="BU4909" t="s">
        <v>3686</v>
      </c>
      <c r="BV4909" t="s">
        <v>98</v>
      </c>
      <c r="BY4909">
        <v>9900</v>
      </c>
      <c r="CA4909" t="s">
        <v>4027</v>
      </c>
      <c r="CC4909" t="s">
        <v>1769</v>
      </c>
      <c r="CD4909">
        <v>2302</v>
      </c>
      <c r="CE4909" t="s">
        <v>145</v>
      </c>
      <c r="CI4909">
        <v>1</v>
      </c>
      <c r="CJ4909">
        <v>1</v>
      </c>
      <c r="CK4909">
        <v>23</v>
      </c>
      <c r="CL4909" t="s">
        <v>86</v>
      </c>
    </row>
    <row r="4910" spans="1:90" x14ac:dyDescent="0.3">
      <c r="A4910" t="s">
        <v>72</v>
      </c>
      <c r="B4910" t="s">
        <v>73</v>
      </c>
      <c r="C4910" t="s">
        <v>74</v>
      </c>
      <c r="E4910" t="str">
        <f>"080066900356"</f>
        <v>080066900356</v>
      </c>
      <c r="F4910" s="3">
        <v>45868</v>
      </c>
      <c r="G4910">
        <v>202604</v>
      </c>
      <c r="H4910" t="s">
        <v>75</v>
      </c>
      <c r="I4910" t="s">
        <v>76</v>
      </c>
      <c r="J4910" t="s">
        <v>77</v>
      </c>
      <c r="K4910" t="s">
        <v>78</v>
      </c>
      <c r="L4910" t="s">
        <v>168</v>
      </c>
      <c r="M4910" t="s">
        <v>169</v>
      </c>
      <c r="N4910" t="s">
        <v>206</v>
      </c>
      <c r="O4910" t="s">
        <v>82</v>
      </c>
      <c r="P4910" t="str">
        <f>"4170052225                    "</f>
        <v xml:space="preserve">4170052225                    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>
        <v>22.6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0</v>
      </c>
      <c r="AX4910">
        <v>0</v>
      </c>
      <c r="AY4910">
        <v>0</v>
      </c>
      <c r="AZ4910">
        <v>0</v>
      </c>
      <c r="BA4910">
        <v>0</v>
      </c>
      <c r="BB4910">
        <v>0</v>
      </c>
      <c r="BC4910">
        <v>0</v>
      </c>
      <c r="BD4910">
        <v>0</v>
      </c>
      <c r="BE4910">
        <v>0</v>
      </c>
      <c r="BF4910">
        <v>0</v>
      </c>
      <c r="BG4910">
        <v>0</v>
      </c>
      <c r="BH4910">
        <v>1</v>
      </c>
      <c r="BI4910">
        <v>2</v>
      </c>
      <c r="BJ4910">
        <v>1.5</v>
      </c>
      <c r="BK4910">
        <v>2</v>
      </c>
      <c r="BL4910">
        <v>71.2</v>
      </c>
      <c r="BM4910">
        <v>10.68</v>
      </c>
      <c r="BN4910">
        <v>81.88</v>
      </c>
      <c r="BO4910">
        <v>81.88</v>
      </c>
      <c r="BQ4910" t="s">
        <v>207</v>
      </c>
      <c r="BR4910" t="s">
        <v>84</v>
      </c>
      <c r="BS4910" s="3">
        <v>45869</v>
      </c>
      <c r="BT4910" s="4">
        <v>0.40416666666666667</v>
      </c>
      <c r="BU4910" t="s">
        <v>208</v>
      </c>
      <c r="BV4910" t="s">
        <v>98</v>
      </c>
      <c r="BY4910">
        <v>7540</v>
      </c>
      <c r="CA4910" t="s">
        <v>196</v>
      </c>
      <c r="CC4910" t="s">
        <v>169</v>
      </c>
      <c r="CD4910">
        <v>6001</v>
      </c>
      <c r="CE4910" t="s">
        <v>145</v>
      </c>
      <c r="CI4910">
        <v>1</v>
      </c>
      <c r="CJ4910">
        <v>1</v>
      </c>
      <c r="CK4910">
        <v>21</v>
      </c>
      <c r="CL4910" t="s">
        <v>86</v>
      </c>
    </row>
    <row r="4911" spans="1:90" x14ac:dyDescent="0.3">
      <c r="A4911" t="s">
        <v>72</v>
      </c>
      <c r="B4911" t="s">
        <v>73</v>
      </c>
      <c r="C4911" t="s">
        <v>74</v>
      </c>
      <c r="E4911" t="str">
        <f>"080066900401"</f>
        <v>080066900401</v>
      </c>
      <c r="F4911" s="3">
        <v>45868</v>
      </c>
      <c r="G4911">
        <v>202604</v>
      </c>
      <c r="H4911" t="s">
        <v>75</v>
      </c>
      <c r="I4911" t="s">
        <v>76</v>
      </c>
      <c r="J4911" t="s">
        <v>77</v>
      </c>
      <c r="K4911" t="s">
        <v>78</v>
      </c>
      <c r="L4911" t="s">
        <v>79</v>
      </c>
      <c r="M4911" t="s">
        <v>80</v>
      </c>
      <c r="N4911" t="s">
        <v>931</v>
      </c>
      <c r="O4911" t="s">
        <v>82</v>
      </c>
      <c r="P4911" t="str">
        <f>"4170052081                    "</f>
        <v xml:space="preserve">4170052081                    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107.28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AZ4911">
        <v>0</v>
      </c>
      <c r="BA4911">
        <v>0</v>
      </c>
      <c r="BB4911">
        <v>0</v>
      </c>
      <c r="BC4911">
        <v>0</v>
      </c>
      <c r="BD4911">
        <v>0</v>
      </c>
      <c r="BE4911">
        <v>0</v>
      </c>
      <c r="BF4911">
        <v>0</v>
      </c>
      <c r="BG4911">
        <v>0</v>
      </c>
      <c r="BH4911">
        <v>1</v>
      </c>
      <c r="BI4911">
        <v>6</v>
      </c>
      <c r="BJ4911">
        <v>9.1</v>
      </c>
      <c r="BK4911">
        <v>9.5</v>
      </c>
      <c r="BL4911">
        <v>337.98</v>
      </c>
      <c r="BM4911">
        <v>50.7</v>
      </c>
      <c r="BN4911">
        <v>388.68</v>
      </c>
      <c r="BO4911">
        <v>388.68</v>
      </c>
      <c r="BQ4911" t="s">
        <v>932</v>
      </c>
      <c r="BR4911" t="s">
        <v>84</v>
      </c>
      <c r="BS4911" t="s">
        <v>587</v>
      </c>
      <c r="BY4911">
        <v>45632</v>
      </c>
      <c r="CC4911" t="s">
        <v>80</v>
      </c>
      <c r="CD4911">
        <v>7535</v>
      </c>
      <c r="CE4911" t="s">
        <v>145</v>
      </c>
      <c r="CI4911">
        <v>1</v>
      </c>
      <c r="CJ4911" t="s">
        <v>587</v>
      </c>
      <c r="CK4911">
        <v>21</v>
      </c>
      <c r="CL4911" t="s">
        <v>86</v>
      </c>
    </row>
    <row r="4912" spans="1:90" x14ac:dyDescent="0.3">
      <c r="A4912" t="s">
        <v>72</v>
      </c>
      <c r="B4912" t="s">
        <v>73</v>
      </c>
      <c r="C4912" t="s">
        <v>74</v>
      </c>
      <c r="E4912" t="str">
        <f>"080066900419"</f>
        <v>080066900419</v>
      </c>
      <c r="F4912" s="3">
        <v>45868</v>
      </c>
      <c r="G4912">
        <v>202604</v>
      </c>
      <c r="H4912" t="s">
        <v>75</v>
      </c>
      <c r="I4912" t="s">
        <v>76</v>
      </c>
      <c r="J4912" t="s">
        <v>77</v>
      </c>
      <c r="K4912" t="s">
        <v>78</v>
      </c>
      <c r="L4912" t="s">
        <v>1768</v>
      </c>
      <c r="M4912" t="s">
        <v>1769</v>
      </c>
      <c r="N4912" t="s">
        <v>1770</v>
      </c>
      <c r="O4912" t="s">
        <v>82</v>
      </c>
      <c r="P4912" t="str">
        <f>"4170052215                    "</f>
        <v xml:space="preserve">4170052215                    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>
        <v>122.87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AZ4912">
        <v>0</v>
      </c>
      <c r="BA4912">
        <v>0</v>
      </c>
      <c r="BB4912">
        <v>0</v>
      </c>
      <c r="BC4912">
        <v>0</v>
      </c>
      <c r="BD4912">
        <v>0</v>
      </c>
      <c r="BE4912">
        <v>0</v>
      </c>
      <c r="BF4912">
        <v>0</v>
      </c>
      <c r="BG4912">
        <v>0</v>
      </c>
      <c r="BH4912">
        <v>1</v>
      </c>
      <c r="BI4912">
        <v>6</v>
      </c>
      <c r="BJ4912">
        <v>4.0999999999999996</v>
      </c>
      <c r="BK4912">
        <v>6</v>
      </c>
      <c r="BL4912">
        <v>387.11</v>
      </c>
      <c r="BM4912">
        <v>58.07</v>
      </c>
      <c r="BN4912">
        <v>445.18</v>
      </c>
      <c r="BO4912">
        <v>445.18</v>
      </c>
      <c r="BQ4912" t="s">
        <v>1771</v>
      </c>
      <c r="BR4912" t="s">
        <v>84</v>
      </c>
      <c r="BS4912" t="s">
        <v>587</v>
      </c>
      <c r="BY4912">
        <v>20358</v>
      </c>
      <c r="CC4912" t="s">
        <v>1769</v>
      </c>
      <c r="CD4912">
        <v>2302</v>
      </c>
      <c r="CE4912" t="s">
        <v>145</v>
      </c>
      <c r="CI4912">
        <v>1</v>
      </c>
      <c r="CJ4912" t="s">
        <v>587</v>
      </c>
      <c r="CK4912">
        <v>23</v>
      </c>
      <c r="CL4912" t="s">
        <v>86</v>
      </c>
    </row>
    <row r="4913" spans="1:90" x14ac:dyDescent="0.3">
      <c r="A4913" t="s">
        <v>72</v>
      </c>
      <c r="B4913" t="s">
        <v>73</v>
      </c>
      <c r="C4913" t="s">
        <v>74</v>
      </c>
      <c r="E4913" t="str">
        <f>"080066900541"</f>
        <v>080066900541</v>
      </c>
      <c r="F4913" s="3">
        <v>45868</v>
      </c>
      <c r="G4913">
        <v>202604</v>
      </c>
      <c r="H4913" t="s">
        <v>75</v>
      </c>
      <c r="I4913" t="s">
        <v>76</v>
      </c>
      <c r="J4913" t="s">
        <v>77</v>
      </c>
      <c r="K4913" t="s">
        <v>78</v>
      </c>
      <c r="L4913" t="s">
        <v>79</v>
      </c>
      <c r="M4913" t="s">
        <v>80</v>
      </c>
      <c r="N4913" t="s">
        <v>159</v>
      </c>
      <c r="O4913" t="s">
        <v>82</v>
      </c>
      <c r="P4913" t="str">
        <f>"4170052200                    "</f>
        <v xml:space="preserve">4170052200                    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>
        <v>33.89</v>
      </c>
      <c r="AR4913">
        <v>0</v>
      </c>
      <c r="AS4913">
        <v>0</v>
      </c>
      <c r="AT4913">
        <v>0</v>
      </c>
      <c r="AU4913">
        <v>0</v>
      </c>
      <c r="AV4913">
        <v>0</v>
      </c>
      <c r="AW4913">
        <v>0</v>
      </c>
      <c r="AX4913">
        <v>0</v>
      </c>
      <c r="AY4913">
        <v>0</v>
      </c>
      <c r="AZ4913">
        <v>0</v>
      </c>
      <c r="BA4913">
        <v>0</v>
      </c>
      <c r="BB4913">
        <v>0</v>
      </c>
      <c r="BC4913">
        <v>0</v>
      </c>
      <c r="BD4913">
        <v>0</v>
      </c>
      <c r="BE4913">
        <v>0</v>
      </c>
      <c r="BF4913">
        <v>0</v>
      </c>
      <c r="BG4913">
        <v>0</v>
      </c>
      <c r="BH4913">
        <v>1</v>
      </c>
      <c r="BI4913">
        <v>3</v>
      </c>
      <c r="BJ4913">
        <v>1.4</v>
      </c>
      <c r="BK4913">
        <v>3</v>
      </c>
      <c r="BL4913">
        <v>106.77</v>
      </c>
      <c r="BM4913">
        <v>16.02</v>
      </c>
      <c r="BN4913">
        <v>122.79</v>
      </c>
      <c r="BO4913">
        <v>122.79</v>
      </c>
      <c r="BQ4913" t="s">
        <v>160</v>
      </c>
      <c r="BR4913" t="s">
        <v>84</v>
      </c>
      <c r="BS4913" s="3">
        <v>45869</v>
      </c>
      <c r="BT4913" s="4">
        <v>0.4152777777777778</v>
      </c>
      <c r="BU4913" t="s">
        <v>4028</v>
      </c>
      <c r="BV4913" t="s">
        <v>98</v>
      </c>
      <c r="BY4913">
        <v>7000</v>
      </c>
      <c r="CA4913" t="s">
        <v>3896</v>
      </c>
      <c r="CC4913" t="s">
        <v>80</v>
      </c>
      <c r="CD4913">
        <v>7441</v>
      </c>
      <c r="CE4913" t="s">
        <v>145</v>
      </c>
      <c r="CI4913">
        <v>1</v>
      </c>
      <c r="CJ4913">
        <v>1</v>
      </c>
      <c r="CK4913">
        <v>21</v>
      </c>
      <c r="CL4913" t="s">
        <v>86</v>
      </c>
    </row>
    <row r="4914" spans="1:90" x14ac:dyDescent="0.3">
      <c r="A4914" t="s">
        <v>72</v>
      </c>
      <c r="B4914" t="s">
        <v>73</v>
      </c>
      <c r="C4914" t="s">
        <v>74</v>
      </c>
      <c r="E4914" t="str">
        <f>"080066900551"</f>
        <v>080066900551</v>
      </c>
      <c r="F4914" s="3">
        <v>45868</v>
      </c>
      <c r="G4914">
        <v>202604</v>
      </c>
      <c r="H4914" t="s">
        <v>75</v>
      </c>
      <c r="I4914" t="s">
        <v>76</v>
      </c>
      <c r="J4914" t="s">
        <v>77</v>
      </c>
      <c r="K4914" t="s">
        <v>78</v>
      </c>
      <c r="L4914" t="s">
        <v>452</v>
      </c>
      <c r="M4914" t="s">
        <v>453</v>
      </c>
      <c r="N4914" t="s">
        <v>968</v>
      </c>
      <c r="O4914" t="s">
        <v>82</v>
      </c>
      <c r="P4914" t="str">
        <f>"4170052236                    "</f>
        <v xml:space="preserve">4170052236                    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>
        <v>17.649999999999999</v>
      </c>
      <c r="AR4914">
        <v>0</v>
      </c>
      <c r="AS4914">
        <v>0</v>
      </c>
      <c r="AT4914">
        <v>0</v>
      </c>
      <c r="AU4914">
        <v>0</v>
      </c>
      <c r="AV4914">
        <v>0</v>
      </c>
      <c r="AW4914">
        <v>0</v>
      </c>
      <c r="AX4914">
        <v>0</v>
      </c>
      <c r="AY4914">
        <v>0</v>
      </c>
      <c r="AZ4914">
        <v>0</v>
      </c>
      <c r="BA4914">
        <v>0</v>
      </c>
      <c r="BB4914">
        <v>0</v>
      </c>
      <c r="BC4914">
        <v>0</v>
      </c>
      <c r="BD4914">
        <v>0</v>
      </c>
      <c r="BE4914">
        <v>0</v>
      </c>
      <c r="BF4914">
        <v>0</v>
      </c>
      <c r="BG4914">
        <v>0</v>
      </c>
      <c r="BH4914">
        <v>1</v>
      </c>
      <c r="BI4914">
        <v>1</v>
      </c>
      <c r="BJ4914">
        <v>0.2</v>
      </c>
      <c r="BK4914">
        <v>1</v>
      </c>
      <c r="BL4914">
        <v>55.61</v>
      </c>
      <c r="BM4914">
        <v>8.34</v>
      </c>
      <c r="BN4914">
        <v>63.95</v>
      </c>
      <c r="BO4914">
        <v>63.95</v>
      </c>
      <c r="BQ4914" t="s">
        <v>1098</v>
      </c>
      <c r="BR4914" t="s">
        <v>84</v>
      </c>
      <c r="BS4914" t="s">
        <v>587</v>
      </c>
      <c r="BW4914" t="s">
        <v>2110</v>
      </c>
      <c r="BX4914" t="s">
        <v>1420</v>
      </c>
      <c r="BY4914">
        <v>1200</v>
      </c>
      <c r="CC4914" t="s">
        <v>453</v>
      </c>
      <c r="CD4914">
        <v>1559</v>
      </c>
      <c r="CE4914" t="s">
        <v>121</v>
      </c>
      <c r="CI4914">
        <v>1</v>
      </c>
      <c r="CJ4914" t="s">
        <v>587</v>
      </c>
      <c r="CK4914">
        <v>22</v>
      </c>
      <c r="CL4914" t="s">
        <v>86</v>
      </c>
    </row>
    <row r="4915" spans="1:90" x14ac:dyDescent="0.3">
      <c r="A4915" t="s">
        <v>72</v>
      </c>
      <c r="B4915" t="s">
        <v>73</v>
      </c>
      <c r="C4915" t="s">
        <v>74</v>
      </c>
      <c r="E4915" t="str">
        <f>"080066900573"</f>
        <v>080066900573</v>
      </c>
      <c r="F4915" s="3">
        <v>45868</v>
      </c>
      <c r="G4915">
        <v>202604</v>
      </c>
      <c r="H4915" t="s">
        <v>75</v>
      </c>
      <c r="I4915" t="s">
        <v>76</v>
      </c>
      <c r="J4915" t="s">
        <v>77</v>
      </c>
      <c r="K4915" t="s">
        <v>78</v>
      </c>
      <c r="L4915" t="s">
        <v>1861</v>
      </c>
      <c r="M4915" t="s">
        <v>1862</v>
      </c>
      <c r="N4915" t="s">
        <v>1863</v>
      </c>
      <c r="O4915" t="s">
        <v>82</v>
      </c>
      <c r="P4915" t="str">
        <f>"4170052233                    "</f>
        <v xml:space="preserve">4170052233                    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43.78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  <c r="AZ4915">
        <v>0</v>
      </c>
      <c r="BA4915">
        <v>0</v>
      </c>
      <c r="BB4915">
        <v>0</v>
      </c>
      <c r="BC4915">
        <v>0</v>
      </c>
      <c r="BD4915">
        <v>0</v>
      </c>
      <c r="BE4915">
        <v>0</v>
      </c>
      <c r="BF4915">
        <v>0</v>
      </c>
      <c r="BG4915">
        <v>0</v>
      </c>
      <c r="BH4915">
        <v>1</v>
      </c>
      <c r="BI4915">
        <v>1</v>
      </c>
      <c r="BJ4915">
        <v>0.2</v>
      </c>
      <c r="BK4915">
        <v>1</v>
      </c>
      <c r="BL4915">
        <v>137.94</v>
      </c>
      <c r="BM4915">
        <v>20.69</v>
      </c>
      <c r="BN4915">
        <v>158.63</v>
      </c>
      <c r="BO4915">
        <v>158.63</v>
      </c>
      <c r="BQ4915" t="s">
        <v>1864</v>
      </c>
      <c r="BR4915" t="s">
        <v>84</v>
      </c>
      <c r="BS4915" s="3">
        <v>45869</v>
      </c>
      <c r="BT4915" s="4">
        <v>0.53402777777777777</v>
      </c>
      <c r="BU4915" t="s">
        <v>2410</v>
      </c>
      <c r="BV4915" t="s">
        <v>98</v>
      </c>
      <c r="BY4915">
        <v>1200</v>
      </c>
      <c r="CA4915" t="s">
        <v>1866</v>
      </c>
      <c r="CC4915" t="s">
        <v>1862</v>
      </c>
      <c r="CD4915">
        <v>6500</v>
      </c>
      <c r="CE4915" t="s">
        <v>121</v>
      </c>
      <c r="CI4915">
        <v>1</v>
      </c>
      <c r="CJ4915">
        <v>1</v>
      </c>
      <c r="CK4915">
        <v>23</v>
      </c>
      <c r="CL4915" t="s">
        <v>86</v>
      </c>
    </row>
    <row r="4916" spans="1:90" x14ac:dyDescent="0.3">
      <c r="A4916" t="s">
        <v>72</v>
      </c>
      <c r="B4916" t="s">
        <v>73</v>
      </c>
      <c r="C4916" t="s">
        <v>74</v>
      </c>
      <c r="E4916" t="str">
        <f>"080066900575"</f>
        <v>080066900575</v>
      </c>
      <c r="F4916" s="3">
        <v>45868</v>
      </c>
      <c r="G4916">
        <v>202604</v>
      </c>
      <c r="H4916" t="s">
        <v>75</v>
      </c>
      <c r="I4916" t="s">
        <v>76</v>
      </c>
      <c r="J4916" t="s">
        <v>77</v>
      </c>
      <c r="K4916" t="s">
        <v>78</v>
      </c>
      <c r="L4916" t="s">
        <v>75</v>
      </c>
      <c r="M4916" t="s">
        <v>76</v>
      </c>
      <c r="N4916" t="s">
        <v>2343</v>
      </c>
      <c r="O4916" t="s">
        <v>82</v>
      </c>
      <c r="P4916" t="str">
        <f>"4170052160                    "</f>
        <v xml:space="preserve">4170052160                    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17.649999999999999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0</v>
      </c>
      <c r="AZ4916">
        <v>0</v>
      </c>
      <c r="BA4916">
        <v>0</v>
      </c>
      <c r="BB4916">
        <v>0</v>
      </c>
      <c r="BC4916">
        <v>0</v>
      </c>
      <c r="BD4916">
        <v>0</v>
      </c>
      <c r="BE4916">
        <v>0</v>
      </c>
      <c r="BF4916">
        <v>0</v>
      </c>
      <c r="BG4916">
        <v>0</v>
      </c>
      <c r="BH4916">
        <v>1</v>
      </c>
      <c r="BI4916">
        <v>1</v>
      </c>
      <c r="BJ4916">
        <v>1.7</v>
      </c>
      <c r="BK4916">
        <v>2</v>
      </c>
      <c r="BL4916">
        <v>55.61</v>
      </c>
      <c r="BM4916">
        <v>8.34</v>
      </c>
      <c r="BN4916">
        <v>63.95</v>
      </c>
      <c r="BO4916">
        <v>63.95</v>
      </c>
      <c r="BQ4916" t="s">
        <v>2344</v>
      </c>
      <c r="BR4916" t="s">
        <v>84</v>
      </c>
      <c r="BS4916" s="3">
        <v>45869</v>
      </c>
      <c r="BT4916" s="4">
        <v>0.41736111111111113</v>
      </c>
      <c r="BU4916" t="s">
        <v>4029</v>
      </c>
      <c r="BV4916" t="s">
        <v>98</v>
      </c>
      <c r="BY4916">
        <v>8512</v>
      </c>
      <c r="CA4916" t="s">
        <v>1799</v>
      </c>
      <c r="CC4916" t="s">
        <v>76</v>
      </c>
      <c r="CD4916">
        <v>1614</v>
      </c>
      <c r="CE4916" t="s">
        <v>145</v>
      </c>
      <c r="CI4916">
        <v>1</v>
      </c>
      <c r="CJ4916">
        <v>1</v>
      </c>
      <c r="CK4916">
        <v>22</v>
      </c>
      <c r="CL4916" t="s">
        <v>86</v>
      </c>
    </row>
    <row r="4917" spans="1:90" x14ac:dyDescent="0.3">
      <c r="A4917" t="s">
        <v>72</v>
      </c>
      <c r="B4917" t="s">
        <v>73</v>
      </c>
      <c r="C4917" t="s">
        <v>74</v>
      </c>
      <c r="E4917" t="str">
        <f>"080066900590"</f>
        <v>080066900590</v>
      </c>
      <c r="F4917" s="3">
        <v>45868</v>
      </c>
      <c r="G4917">
        <v>202604</v>
      </c>
      <c r="H4917" t="s">
        <v>75</v>
      </c>
      <c r="I4917" t="s">
        <v>76</v>
      </c>
      <c r="J4917" t="s">
        <v>77</v>
      </c>
      <c r="K4917" t="s">
        <v>78</v>
      </c>
      <c r="L4917" t="s">
        <v>1400</v>
      </c>
      <c r="M4917" t="s">
        <v>1401</v>
      </c>
      <c r="N4917" t="s">
        <v>606</v>
      </c>
      <c r="O4917" t="s">
        <v>82</v>
      </c>
      <c r="P4917" t="str">
        <f>"4170052231                    "</f>
        <v xml:space="preserve">4170052231                    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43.78</v>
      </c>
      <c r="AR4917">
        <v>0</v>
      </c>
      <c r="AS4917">
        <v>0</v>
      </c>
      <c r="AT4917">
        <v>0</v>
      </c>
      <c r="AU4917">
        <v>0</v>
      </c>
      <c r="AV4917">
        <v>0</v>
      </c>
      <c r="AW4917">
        <v>0</v>
      </c>
      <c r="AX4917">
        <v>0</v>
      </c>
      <c r="AY4917">
        <v>0</v>
      </c>
      <c r="AZ4917">
        <v>0</v>
      </c>
      <c r="BA4917">
        <v>0</v>
      </c>
      <c r="BB4917">
        <v>0</v>
      </c>
      <c r="BC4917">
        <v>0</v>
      </c>
      <c r="BD4917">
        <v>0</v>
      </c>
      <c r="BE4917">
        <v>0</v>
      </c>
      <c r="BF4917">
        <v>0</v>
      </c>
      <c r="BG4917">
        <v>0</v>
      </c>
      <c r="BH4917">
        <v>1</v>
      </c>
      <c r="BI4917">
        <v>1</v>
      </c>
      <c r="BJ4917">
        <v>0.2</v>
      </c>
      <c r="BK4917">
        <v>1</v>
      </c>
      <c r="BL4917">
        <v>137.94</v>
      </c>
      <c r="BM4917">
        <v>20.69</v>
      </c>
      <c r="BN4917">
        <v>158.63</v>
      </c>
      <c r="BO4917">
        <v>158.63</v>
      </c>
      <c r="BQ4917" t="s">
        <v>1403</v>
      </c>
      <c r="BR4917" t="s">
        <v>84</v>
      </c>
      <c r="BS4917" t="s">
        <v>587</v>
      </c>
      <c r="BY4917">
        <v>1200</v>
      </c>
      <c r="CC4917" t="s">
        <v>1401</v>
      </c>
      <c r="CD4917">
        <v>4449</v>
      </c>
      <c r="CE4917" t="s">
        <v>121</v>
      </c>
      <c r="CI4917">
        <v>1</v>
      </c>
      <c r="CJ4917" t="s">
        <v>587</v>
      </c>
      <c r="CK4917">
        <v>23</v>
      </c>
      <c r="CL4917" t="s">
        <v>86</v>
      </c>
    </row>
    <row r="4918" spans="1:90" x14ac:dyDescent="0.3">
      <c r="A4918" t="s">
        <v>72</v>
      </c>
      <c r="B4918" t="s">
        <v>73</v>
      </c>
      <c r="C4918" t="s">
        <v>74</v>
      </c>
      <c r="E4918" t="str">
        <f>"080066900596"</f>
        <v>080066900596</v>
      </c>
      <c r="F4918" s="3">
        <v>45868</v>
      </c>
      <c r="G4918">
        <v>202604</v>
      </c>
      <c r="H4918" t="s">
        <v>75</v>
      </c>
      <c r="I4918" t="s">
        <v>76</v>
      </c>
      <c r="J4918" t="s">
        <v>77</v>
      </c>
      <c r="K4918" t="s">
        <v>78</v>
      </c>
      <c r="L4918" t="s">
        <v>197</v>
      </c>
      <c r="M4918" t="s">
        <v>198</v>
      </c>
      <c r="N4918" t="s">
        <v>2862</v>
      </c>
      <c r="O4918" t="s">
        <v>311</v>
      </c>
      <c r="P4918" t="str">
        <f>"4170052235                    "</f>
        <v xml:space="preserve">4170052235                    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17.66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0</v>
      </c>
      <c r="AZ4918">
        <v>0</v>
      </c>
      <c r="BA4918">
        <v>0</v>
      </c>
      <c r="BB4918">
        <v>0</v>
      </c>
      <c r="BC4918">
        <v>0</v>
      </c>
      <c r="BD4918">
        <v>0</v>
      </c>
      <c r="BE4918">
        <v>0</v>
      </c>
      <c r="BF4918">
        <v>0</v>
      </c>
      <c r="BG4918">
        <v>0</v>
      </c>
      <c r="BH4918">
        <v>1</v>
      </c>
      <c r="BI4918">
        <v>8</v>
      </c>
      <c r="BJ4918">
        <v>3.8</v>
      </c>
      <c r="BK4918">
        <v>8</v>
      </c>
      <c r="BL4918">
        <v>55.63</v>
      </c>
      <c r="BM4918">
        <v>8.34</v>
      </c>
      <c r="BN4918">
        <v>63.97</v>
      </c>
      <c r="BO4918">
        <v>63.97</v>
      </c>
      <c r="BQ4918" t="s">
        <v>2863</v>
      </c>
      <c r="BR4918" t="s">
        <v>84</v>
      </c>
      <c r="BS4918" s="3">
        <v>45869</v>
      </c>
      <c r="BT4918" s="4">
        <v>0.36666666666666664</v>
      </c>
      <c r="BU4918" t="s">
        <v>3965</v>
      </c>
      <c r="BV4918" t="s">
        <v>98</v>
      </c>
      <c r="BY4918">
        <v>18944</v>
      </c>
      <c r="CA4918" t="s">
        <v>1799</v>
      </c>
      <c r="CC4918" t="s">
        <v>198</v>
      </c>
      <c r="CD4918">
        <v>1406</v>
      </c>
      <c r="CE4918" t="s">
        <v>91</v>
      </c>
      <c r="CI4918">
        <v>1</v>
      </c>
      <c r="CJ4918">
        <v>1</v>
      </c>
      <c r="CK4918">
        <v>32</v>
      </c>
      <c r="CL4918" t="s">
        <v>86</v>
      </c>
    </row>
    <row r="4919" spans="1:90" x14ac:dyDescent="0.3">
      <c r="A4919" t="s">
        <v>72</v>
      </c>
      <c r="B4919" t="s">
        <v>73</v>
      </c>
      <c r="C4919" t="s">
        <v>74</v>
      </c>
      <c r="E4919" t="str">
        <f>"080066900607"</f>
        <v>080066900607</v>
      </c>
      <c r="F4919" s="3">
        <v>45868</v>
      </c>
      <c r="G4919">
        <v>202604</v>
      </c>
      <c r="H4919" t="s">
        <v>75</v>
      </c>
      <c r="I4919" t="s">
        <v>76</v>
      </c>
      <c r="J4919" t="s">
        <v>77</v>
      </c>
      <c r="K4919" t="s">
        <v>78</v>
      </c>
      <c r="L4919" t="s">
        <v>246</v>
      </c>
      <c r="M4919" t="s">
        <v>247</v>
      </c>
      <c r="N4919" t="s">
        <v>1359</v>
      </c>
      <c r="O4919" t="s">
        <v>82</v>
      </c>
      <c r="P4919" t="str">
        <f>"4170052016                    "</f>
        <v xml:space="preserve">4170052016                    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>
        <v>31.78</v>
      </c>
      <c r="AR4919">
        <v>0</v>
      </c>
      <c r="AS4919">
        <v>0</v>
      </c>
      <c r="AT4919">
        <v>0</v>
      </c>
      <c r="AU4919">
        <v>0</v>
      </c>
      <c r="AV4919">
        <v>0</v>
      </c>
      <c r="AW4919">
        <v>0</v>
      </c>
      <c r="AX4919">
        <v>0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  <c r="BE4919">
        <v>0</v>
      </c>
      <c r="BF4919">
        <v>0</v>
      </c>
      <c r="BG4919">
        <v>0</v>
      </c>
      <c r="BH4919">
        <v>1</v>
      </c>
      <c r="BI4919">
        <v>1</v>
      </c>
      <c r="BJ4919">
        <v>0.2</v>
      </c>
      <c r="BK4919">
        <v>1</v>
      </c>
      <c r="BL4919">
        <v>100.13</v>
      </c>
      <c r="BM4919">
        <v>15.02</v>
      </c>
      <c r="BN4919">
        <v>115.15</v>
      </c>
      <c r="BO4919">
        <v>115.15</v>
      </c>
      <c r="BQ4919" t="s">
        <v>1360</v>
      </c>
      <c r="BR4919" t="s">
        <v>84</v>
      </c>
      <c r="BS4919" s="3">
        <v>45869</v>
      </c>
      <c r="BT4919" s="4">
        <v>0.44861111111111113</v>
      </c>
      <c r="BU4919" t="s">
        <v>3971</v>
      </c>
      <c r="BV4919" t="s">
        <v>98</v>
      </c>
      <c r="BY4919">
        <v>1200</v>
      </c>
      <c r="CA4919" t="s">
        <v>251</v>
      </c>
      <c r="CC4919" t="s">
        <v>247</v>
      </c>
      <c r="CD4919">
        <v>1438</v>
      </c>
      <c r="CE4919" t="s">
        <v>121</v>
      </c>
      <c r="CI4919">
        <v>1</v>
      </c>
      <c r="CJ4919">
        <v>1</v>
      </c>
      <c r="CK4919">
        <v>24</v>
      </c>
      <c r="CL4919" t="s">
        <v>86</v>
      </c>
    </row>
    <row r="4920" spans="1:90" x14ac:dyDescent="0.3">
      <c r="A4920" t="s">
        <v>72</v>
      </c>
      <c r="B4920" t="s">
        <v>73</v>
      </c>
      <c r="C4920" t="s">
        <v>74</v>
      </c>
      <c r="E4920" t="str">
        <f>"080066900615"</f>
        <v>080066900615</v>
      </c>
      <c r="F4920" s="3">
        <v>45868</v>
      </c>
      <c r="G4920">
        <v>202604</v>
      </c>
      <c r="H4920" t="s">
        <v>75</v>
      </c>
      <c r="I4920" t="s">
        <v>76</v>
      </c>
      <c r="J4920" t="s">
        <v>77</v>
      </c>
      <c r="K4920" t="s">
        <v>78</v>
      </c>
      <c r="L4920" t="s">
        <v>75</v>
      </c>
      <c r="M4920" t="s">
        <v>76</v>
      </c>
      <c r="N4920" t="s">
        <v>2343</v>
      </c>
      <c r="O4920" t="s">
        <v>82</v>
      </c>
      <c r="P4920" t="str">
        <f>"4170052110                    "</f>
        <v xml:space="preserve">4170052110                    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>
        <v>17.649999999999999</v>
      </c>
      <c r="AR4920">
        <v>0</v>
      </c>
      <c r="AS4920">
        <v>0</v>
      </c>
      <c r="AT4920">
        <v>0</v>
      </c>
      <c r="AU4920">
        <v>0</v>
      </c>
      <c r="AV4920">
        <v>0</v>
      </c>
      <c r="AW4920">
        <v>0</v>
      </c>
      <c r="AX4920">
        <v>0</v>
      </c>
      <c r="AY4920">
        <v>0</v>
      </c>
      <c r="AZ4920">
        <v>0</v>
      </c>
      <c r="BA4920">
        <v>0</v>
      </c>
      <c r="BB4920">
        <v>0</v>
      </c>
      <c r="BC4920">
        <v>0</v>
      </c>
      <c r="BD4920">
        <v>0</v>
      </c>
      <c r="BE4920">
        <v>0</v>
      </c>
      <c r="BF4920">
        <v>0</v>
      </c>
      <c r="BG4920">
        <v>0</v>
      </c>
      <c r="BH4920">
        <v>1</v>
      </c>
      <c r="BI4920">
        <v>2</v>
      </c>
      <c r="BJ4920">
        <v>1.9</v>
      </c>
      <c r="BK4920">
        <v>2</v>
      </c>
      <c r="BL4920">
        <v>55.61</v>
      </c>
      <c r="BM4920">
        <v>8.34</v>
      </c>
      <c r="BN4920">
        <v>63.95</v>
      </c>
      <c r="BO4920">
        <v>63.95</v>
      </c>
      <c r="BQ4920" t="s">
        <v>2344</v>
      </c>
      <c r="BR4920" t="s">
        <v>84</v>
      </c>
      <c r="BS4920" s="3">
        <v>45869</v>
      </c>
      <c r="BT4920" s="4">
        <v>0.41736111111111113</v>
      </c>
      <c r="BU4920" t="s">
        <v>4029</v>
      </c>
      <c r="BV4920" t="s">
        <v>98</v>
      </c>
      <c r="BY4920">
        <v>9450</v>
      </c>
      <c r="CA4920" t="s">
        <v>1799</v>
      </c>
      <c r="CC4920" t="s">
        <v>76</v>
      </c>
      <c r="CD4920">
        <v>1614</v>
      </c>
      <c r="CE4920" t="s">
        <v>91</v>
      </c>
      <c r="CI4920">
        <v>1</v>
      </c>
      <c r="CJ4920">
        <v>1</v>
      </c>
      <c r="CK4920">
        <v>22</v>
      </c>
      <c r="CL4920" t="s">
        <v>86</v>
      </c>
    </row>
    <row r="4921" spans="1:90" x14ac:dyDescent="0.3">
      <c r="A4921" t="s">
        <v>72</v>
      </c>
      <c r="B4921" t="s">
        <v>73</v>
      </c>
      <c r="C4921" t="s">
        <v>74</v>
      </c>
      <c r="E4921" t="str">
        <f>"080066900619"</f>
        <v>080066900619</v>
      </c>
      <c r="F4921" s="3">
        <v>45868</v>
      </c>
      <c r="G4921">
        <v>202604</v>
      </c>
      <c r="H4921" t="s">
        <v>75</v>
      </c>
      <c r="I4921" t="s">
        <v>76</v>
      </c>
      <c r="J4921" t="s">
        <v>77</v>
      </c>
      <c r="K4921" t="s">
        <v>78</v>
      </c>
      <c r="L4921" t="s">
        <v>135</v>
      </c>
      <c r="M4921" t="s">
        <v>136</v>
      </c>
      <c r="N4921" t="s">
        <v>1093</v>
      </c>
      <c r="O4921" t="s">
        <v>82</v>
      </c>
      <c r="P4921" t="str">
        <f>"4170052230                    "</f>
        <v xml:space="preserve">4170052230                    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22.6</v>
      </c>
      <c r="AR4921">
        <v>0</v>
      </c>
      <c r="AS4921">
        <v>0</v>
      </c>
      <c r="AT4921">
        <v>0</v>
      </c>
      <c r="AU4921">
        <v>0</v>
      </c>
      <c r="AV4921">
        <v>0</v>
      </c>
      <c r="AW4921">
        <v>0</v>
      </c>
      <c r="AX4921">
        <v>0</v>
      </c>
      <c r="AY4921">
        <v>0</v>
      </c>
      <c r="AZ4921">
        <v>0</v>
      </c>
      <c r="BA4921">
        <v>0</v>
      </c>
      <c r="BB4921">
        <v>0</v>
      </c>
      <c r="BC4921">
        <v>0</v>
      </c>
      <c r="BD4921">
        <v>0</v>
      </c>
      <c r="BE4921">
        <v>0</v>
      </c>
      <c r="BF4921">
        <v>0</v>
      </c>
      <c r="BG4921">
        <v>0</v>
      </c>
      <c r="BH4921">
        <v>1</v>
      </c>
      <c r="BI4921">
        <v>1</v>
      </c>
      <c r="BJ4921">
        <v>0.2</v>
      </c>
      <c r="BK4921">
        <v>1</v>
      </c>
      <c r="BL4921">
        <v>71.2</v>
      </c>
      <c r="BM4921">
        <v>10.68</v>
      </c>
      <c r="BN4921">
        <v>81.88</v>
      </c>
      <c r="BO4921">
        <v>81.88</v>
      </c>
      <c r="BQ4921" t="s">
        <v>1094</v>
      </c>
      <c r="BR4921" t="s">
        <v>84</v>
      </c>
      <c r="BS4921" s="3">
        <v>45869</v>
      </c>
      <c r="BT4921" s="4">
        <v>0.44027777777777777</v>
      </c>
      <c r="BU4921" t="s">
        <v>1103</v>
      </c>
      <c r="BV4921" t="s">
        <v>86</v>
      </c>
      <c r="BY4921">
        <v>1200</v>
      </c>
      <c r="CA4921" t="s">
        <v>1602</v>
      </c>
      <c r="CC4921" t="s">
        <v>136</v>
      </c>
      <c r="CD4921">
        <v>3201</v>
      </c>
      <c r="CE4921" t="s">
        <v>121</v>
      </c>
      <c r="CI4921">
        <v>1</v>
      </c>
      <c r="CJ4921">
        <v>1</v>
      </c>
      <c r="CK4921">
        <v>21</v>
      </c>
      <c r="CL4921" t="s">
        <v>86</v>
      </c>
    </row>
    <row r="4922" spans="1:90" x14ac:dyDescent="0.3">
      <c r="A4922" t="s">
        <v>72</v>
      </c>
      <c r="B4922" t="s">
        <v>73</v>
      </c>
      <c r="C4922" t="s">
        <v>74</v>
      </c>
      <c r="E4922" t="str">
        <f>"080066900643"</f>
        <v>080066900643</v>
      </c>
      <c r="F4922" s="3">
        <v>45868</v>
      </c>
      <c r="G4922">
        <v>202604</v>
      </c>
      <c r="H4922" t="s">
        <v>75</v>
      </c>
      <c r="I4922" t="s">
        <v>76</v>
      </c>
      <c r="J4922" t="s">
        <v>77</v>
      </c>
      <c r="K4922" t="s">
        <v>78</v>
      </c>
      <c r="L4922" t="s">
        <v>135</v>
      </c>
      <c r="M4922" t="s">
        <v>136</v>
      </c>
      <c r="N4922" t="s">
        <v>416</v>
      </c>
      <c r="O4922" t="s">
        <v>82</v>
      </c>
      <c r="P4922" t="str">
        <f>"4170052206                    "</f>
        <v xml:space="preserve">4170052206                    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22.6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0</v>
      </c>
      <c r="AX4922">
        <v>0</v>
      </c>
      <c r="AY4922">
        <v>0</v>
      </c>
      <c r="AZ4922">
        <v>0</v>
      </c>
      <c r="BA4922">
        <v>0</v>
      </c>
      <c r="BB4922">
        <v>0</v>
      </c>
      <c r="BC4922">
        <v>0</v>
      </c>
      <c r="BD4922">
        <v>0</v>
      </c>
      <c r="BE4922">
        <v>0</v>
      </c>
      <c r="BF4922">
        <v>0</v>
      </c>
      <c r="BG4922">
        <v>0</v>
      </c>
      <c r="BH4922">
        <v>1</v>
      </c>
      <c r="BI4922">
        <v>1</v>
      </c>
      <c r="BJ4922">
        <v>0.2</v>
      </c>
      <c r="BK4922">
        <v>1</v>
      </c>
      <c r="BL4922">
        <v>71.2</v>
      </c>
      <c r="BM4922">
        <v>10.68</v>
      </c>
      <c r="BN4922">
        <v>81.88</v>
      </c>
      <c r="BO4922">
        <v>81.88</v>
      </c>
      <c r="BQ4922" t="s">
        <v>417</v>
      </c>
      <c r="BR4922" t="s">
        <v>84</v>
      </c>
      <c r="BS4922" t="s">
        <v>587</v>
      </c>
      <c r="BY4922">
        <v>1200</v>
      </c>
      <c r="CC4922" t="s">
        <v>136</v>
      </c>
      <c r="CD4922">
        <v>3201</v>
      </c>
      <c r="CE4922" t="s">
        <v>121</v>
      </c>
      <c r="CI4922">
        <v>1</v>
      </c>
      <c r="CJ4922" t="s">
        <v>587</v>
      </c>
      <c r="CK4922">
        <v>21</v>
      </c>
      <c r="CL4922" t="s">
        <v>86</v>
      </c>
    </row>
    <row r="4923" spans="1:90" x14ac:dyDescent="0.3">
      <c r="A4923" t="s">
        <v>72</v>
      </c>
      <c r="B4923" t="s">
        <v>73</v>
      </c>
      <c r="C4923" t="s">
        <v>74</v>
      </c>
      <c r="E4923" t="str">
        <f>"080066900660"</f>
        <v>080066900660</v>
      </c>
      <c r="F4923" s="3">
        <v>45868</v>
      </c>
      <c r="G4923">
        <v>202604</v>
      </c>
      <c r="H4923" t="s">
        <v>75</v>
      </c>
      <c r="I4923" t="s">
        <v>76</v>
      </c>
      <c r="J4923" t="s">
        <v>77</v>
      </c>
      <c r="K4923" t="s">
        <v>78</v>
      </c>
      <c r="L4923" t="s">
        <v>240</v>
      </c>
      <c r="M4923" t="s">
        <v>241</v>
      </c>
      <c r="N4923" t="s">
        <v>242</v>
      </c>
      <c r="O4923" t="s">
        <v>82</v>
      </c>
      <c r="P4923" t="str">
        <f>"4170052232                    "</f>
        <v xml:space="preserve">4170052232                    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17.649999999999999</v>
      </c>
      <c r="AR4923">
        <v>0</v>
      </c>
      <c r="AS4923">
        <v>0</v>
      </c>
      <c r="AT4923">
        <v>0</v>
      </c>
      <c r="AU4923">
        <v>0</v>
      </c>
      <c r="AV4923">
        <v>0</v>
      </c>
      <c r="AW4923">
        <v>0</v>
      </c>
      <c r="AX4923">
        <v>0</v>
      </c>
      <c r="AY4923">
        <v>0</v>
      </c>
      <c r="AZ4923">
        <v>0</v>
      </c>
      <c r="BA4923">
        <v>0</v>
      </c>
      <c r="BB4923">
        <v>0</v>
      </c>
      <c r="BC4923">
        <v>0</v>
      </c>
      <c r="BD4923">
        <v>0</v>
      </c>
      <c r="BE4923">
        <v>0</v>
      </c>
      <c r="BF4923">
        <v>0</v>
      </c>
      <c r="BG4923">
        <v>0</v>
      </c>
      <c r="BH4923">
        <v>1</v>
      </c>
      <c r="BI4923">
        <v>1</v>
      </c>
      <c r="BJ4923">
        <v>0.9</v>
      </c>
      <c r="BK4923">
        <v>1</v>
      </c>
      <c r="BL4923">
        <v>55.61</v>
      </c>
      <c r="BM4923">
        <v>8.34</v>
      </c>
      <c r="BN4923">
        <v>63.95</v>
      </c>
      <c r="BO4923">
        <v>63.95</v>
      </c>
      <c r="BQ4923" t="s">
        <v>243</v>
      </c>
      <c r="BR4923" t="s">
        <v>84</v>
      </c>
      <c r="BS4923" s="3">
        <v>45869</v>
      </c>
      <c r="BT4923" s="4">
        <v>0.36249999999999999</v>
      </c>
      <c r="BU4923" t="s">
        <v>244</v>
      </c>
      <c r="BV4923" t="s">
        <v>98</v>
      </c>
      <c r="BY4923">
        <v>4560</v>
      </c>
      <c r="CA4923" t="s">
        <v>245</v>
      </c>
      <c r="CC4923" t="s">
        <v>241</v>
      </c>
      <c r="CD4923">
        <v>2091</v>
      </c>
      <c r="CE4923" t="s">
        <v>145</v>
      </c>
      <c r="CI4923">
        <v>1</v>
      </c>
      <c r="CJ4923">
        <v>1</v>
      </c>
      <c r="CK4923">
        <v>22</v>
      </c>
      <c r="CL4923" t="s">
        <v>86</v>
      </c>
    </row>
    <row r="4924" spans="1:90" x14ac:dyDescent="0.3">
      <c r="A4924" t="s">
        <v>72</v>
      </c>
      <c r="B4924" t="s">
        <v>73</v>
      </c>
      <c r="C4924" t="s">
        <v>74</v>
      </c>
      <c r="E4924" t="str">
        <f>"080066900686"</f>
        <v>080066900686</v>
      </c>
      <c r="F4924" s="3">
        <v>45868</v>
      </c>
      <c r="G4924">
        <v>202604</v>
      </c>
      <c r="H4924" t="s">
        <v>75</v>
      </c>
      <c r="I4924" t="s">
        <v>76</v>
      </c>
      <c r="J4924" t="s">
        <v>77</v>
      </c>
      <c r="K4924" t="s">
        <v>78</v>
      </c>
      <c r="L4924" t="s">
        <v>151</v>
      </c>
      <c r="M4924" t="s">
        <v>152</v>
      </c>
      <c r="N4924" t="s">
        <v>1484</v>
      </c>
      <c r="O4924" t="s">
        <v>82</v>
      </c>
      <c r="P4924" t="str">
        <f>"4170052171                    "</f>
        <v xml:space="preserve">4170052171                    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22.6</v>
      </c>
      <c r="AR4924">
        <v>0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AZ4924">
        <v>0</v>
      </c>
      <c r="BA4924">
        <v>0</v>
      </c>
      <c r="BB4924">
        <v>0</v>
      </c>
      <c r="BC4924">
        <v>0</v>
      </c>
      <c r="BD4924">
        <v>0</v>
      </c>
      <c r="BE4924">
        <v>0</v>
      </c>
      <c r="BF4924">
        <v>0</v>
      </c>
      <c r="BG4924">
        <v>0</v>
      </c>
      <c r="BH4924">
        <v>1</v>
      </c>
      <c r="BI4924">
        <v>1</v>
      </c>
      <c r="BJ4924">
        <v>0.2</v>
      </c>
      <c r="BK4924">
        <v>1</v>
      </c>
      <c r="BL4924">
        <v>71.2</v>
      </c>
      <c r="BM4924">
        <v>10.68</v>
      </c>
      <c r="BN4924">
        <v>81.88</v>
      </c>
      <c r="BO4924">
        <v>81.88</v>
      </c>
      <c r="BQ4924" t="s">
        <v>1485</v>
      </c>
      <c r="BR4924" t="s">
        <v>84</v>
      </c>
      <c r="BS4924" t="s">
        <v>587</v>
      </c>
      <c r="BY4924">
        <v>1200</v>
      </c>
      <c r="CC4924" t="s">
        <v>152</v>
      </c>
      <c r="CD4924" s="5" t="s">
        <v>1487</v>
      </c>
      <c r="CE4924" t="s">
        <v>121</v>
      </c>
      <c r="CI4924">
        <v>1</v>
      </c>
      <c r="CJ4924" t="s">
        <v>587</v>
      </c>
      <c r="CK4924">
        <v>21</v>
      </c>
      <c r="CL4924" t="s">
        <v>86</v>
      </c>
    </row>
    <row r="4925" spans="1:90" x14ac:dyDescent="0.3">
      <c r="A4925" t="s">
        <v>72</v>
      </c>
      <c r="B4925" t="s">
        <v>73</v>
      </c>
      <c r="C4925" t="s">
        <v>74</v>
      </c>
      <c r="E4925" t="str">
        <f>"080066900729"</f>
        <v>080066900729</v>
      </c>
      <c r="F4925" s="3">
        <v>45868</v>
      </c>
      <c r="G4925">
        <v>202604</v>
      </c>
      <c r="H4925" t="s">
        <v>75</v>
      </c>
      <c r="I4925" t="s">
        <v>76</v>
      </c>
      <c r="J4925" t="s">
        <v>77</v>
      </c>
      <c r="K4925" t="s">
        <v>78</v>
      </c>
      <c r="L4925" t="s">
        <v>390</v>
      </c>
      <c r="M4925" t="s">
        <v>391</v>
      </c>
      <c r="N4925" t="s">
        <v>3490</v>
      </c>
      <c r="O4925" t="s">
        <v>311</v>
      </c>
      <c r="P4925" t="str">
        <f>"4170052239                    "</f>
        <v xml:space="preserve">4170052239                    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25.58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AZ4925">
        <v>0</v>
      </c>
      <c r="BA4925">
        <v>0</v>
      </c>
      <c r="BB4925">
        <v>0</v>
      </c>
      <c r="BC4925">
        <v>0</v>
      </c>
      <c r="BD4925">
        <v>0</v>
      </c>
      <c r="BE4925">
        <v>0</v>
      </c>
      <c r="BF4925">
        <v>0</v>
      </c>
      <c r="BG4925">
        <v>0</v>
      </c>
      <c r="BH4925">
        <v>1</v>
      </c>
      <c r="BI4925">
        <v>12</v>
      </c>
      <c r="BJ4925">
        <v>5</v>
      </c>
      <c r="BK4925">
        <v>12</v>
      </c>
      <c r="BL4925">
        <v>80.59</v>
      </c>
      <c r="BM4925">
        <v>12.09</v>
      </c>
      <c r="BN4925">
        <v>92.68</v>
      </c>
      <c r="BO4925">
        <v>92.68</v>
      </c>
      <c r="BQ4925" t="s">
        <v>3491</v>
      </c>
      <c r="BR4925" t="s">
        <v>84</v>
      </c>
      <c r="BS4925" s="3">
        <v>45869</v>
      </c>
      <c r="BT4925" s="4">
        <v>0.35208333333333336</v>
      </c>
      <c r="BU4925" t="s">
        <v>2716</v>
      </c>
      <c r="BV4925" t="s">
        <v>98</v>
      </c>
      <c r="BY4925">
        <v>24816</v>
      </c>
      <c r="CA4925" t="s">
        <v>1943</v>
      </c>
      <c r="CC4925" t="s">
        <v>391</v>
      </c>
      <c r="CD4925">
        <v>1724</v>
      </c>
      <c r="CE4925" t="s">
        <v>91</v>
      </c>
      <c r="CI4925">
        <v>1</v>
      </c>
      <c r="CJ4925">
        <v>1</v>
      </c>
      <c r="CK4925">
        <v>32</v>
      </c>
      <c r="CL4925" t="s">
        <v>86</v>
      </c>
    </row>
    <row r="4926" spans="1:90" x14ac:dyDescent="0.3">
      <c r="A4926" t="s">
        <v>72</v>
      </c>
      <c r="B4926" t="s">
        <v>73</v>
      </c>
      <c r="C4926" t="s">
        <v>74</v>
      </c>
      <c r="E4926" t="str">
        <f>"080066900742"</f>
        <v>080066900742</v>
      </c>
      <c r="F4926" s="3">
        <v>45868</v>
      </c>
      <c r="G4926">
        <v>202604</v>
      </c>
      <c r="H4926" t="s">
        <v>75</v>
      </c>
      <c r="I4926" t="s">
        <v>76</v>
      </c>
      <c r="J4926" t="s">
        <v>77</v>
      </c>
      <c r="K4926" t="s">
        <v>78</v>
      </c>
      <c r="L4926" t="s">
        <v>122</v>
      </c>
      <c r="M4926" t="s">
        <v>123</v>
      </c>
      <c r="N4926" t="s">
        <v>267</v>
      </c>
      <c r="O4926" t="s">
        <v>82</v>
      </c>
      <c r="P4926" t="str">
        <f>"4170052099                    "</f>
        <v xml:space="preserve">4170052099                    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22.6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AZ4926">
        <v>0</v>
      </c>
      <c r="BA4926">
        <v>0</v>
      </c>
      <c r="BB4926">
        <v>0</v>
      </c>
      <c r="BC4926">
        <v>0</v>
      </c>
      <c r="BD4926">
        <v>0</v>
      </c>
      <c r="BE4926">
        <v>0</v>
      </c>
      <c r="BF4926">
        <v>0</v>
      </c>
      <c r="BG4926">
        <v>0</v>
      </c>
      <c r="BH4926">
        <v>1</v>
      </c>
      <c r="BI4926">
        <v>1</v>
      </c>
      <c r="BJ4926">
        <v>0.2</v>
      </c>
      <c r="BK4926">
        <v>1</v>
      </c>
      <c r="BL4926">
        <v>71.2</v>
      </c>
      <c r="BM4926">
        <v>10.68</v>
      </c>
      <c r="BN4926">
        <v>81.88</v>
      </c>
      <c r="BO4926">
        <v>81.88</v>
      </c>
      <c r="BQ4926" t="s">
        <v>268</v>
      </c>
      <c r="BR4926" t="s">
        <v>84</v>
      </c>
      <c r="BS4926" s="3">
        <v>45869</v>
      </c>
      <c r="BT4926" s="4">
        <v>0.61597222222222225</v>
      </c>
      <c r="BU4926" t="s">
        <v>4030</v>
      </c>
      <c r="BV4926" t="s">
        <v>86</v>
      </c>
      <c r="BY4926">
        <v>1200</v>
      </c>
      <c r="CA4926" t="s">
        <v>166</v>
      </c>
      <c r="CC4926" t="s">
        <v>123</v>
      </c>
      <c r="CD4926">
        <v>3610</v>
      </c>
      <c r="CE4926" t="s">
        <v>121</v>
      </c>
      <c r="CI4926">
        <v>1</v>
      </c>
      <c r="CJ4926">
        <v>1</v>
      </c>
      <c r="CK4926">
        <v>21</v>
      </c>
      <c r="CL4926" t="s">
        <v>86</v>
      </c>
    </row>
    <row r="4927" spans="1:90" x14ac:dyDescent="0.3">
      <c r="A4927" t="s">
        <v>72</v>
      </c>
      <c r="B4927" t="s">
        <v>73</v>
      </c>
      <c r="C4927" t="s">
        <v>74</v>
      </c>
      <c r="E4927" t="str">
        <f>"080066900780"</f>
        <v>080066900780</v>
      </c>
      <c r="F4927" s="3">
        <v>45868</v>
      </c>
      <c r="G4927">
        <v>202604</v>
      </c>
      <c r="H4927" t="s">
        <v>75</v>
      </c>
      <c r="I4927" t="s">
        <v>76</v>
      </c>
      <c r="J4927" t="s">
        <v>77</v>
      </c>
      <c r="K4927" t="s">
        <v>78</v>
      </c>
      <c r="L4927" t="s">
        <v>146</v>
      </c>
      <c r="M4927" t="s">
        <v>146</v>
      </c>
      <c r="N4927" t="s">
        <v>1801</v>
      </c>
      <c r="O4927" t="s">
        <v>82</v>
      </c>
      <c r="P4927" t="str">
        <f>"4170052180                    "</f>
        <v xml:space="preserve">4170052180                    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63.56</v>
      </c>
      <c r="AR4927">
        <v>0</v>
      </c>
      <c r="AS4927">
        <v>0</v>
      </c>
      <c r="AT4927">
        <v>0</v>
      </c>
      <c r="AU4927">
        <v>0</v>
      </c>
      <c r="AV4927">
        <v>0</v>
      </c>
      <c r="AW4927">
        <v>0</v>
      </c>
      <c r="AX4927">
        <v>0</v>
      </c>
      <c r="AY4927">
        <v>0</v>
      </c>
      <c r="AZ4927">
        <v>0</v>
      </c>
      <c r="BA4927">
        <v>0</v>
      </c>
      <c r="BB4927">
        <v>0</v>
      </c>
      <c r="BC4927">
        <v>0</v>
      </c>
      <c r="BD4927">
        <v>0</v>
      </c>
      <c r="BE4927">
        <v>0</v>
      </c>
      <c r="BF4927">
        <v>0</v>
      </c>
      <c r="BG4927">
        <v>0</v>
      </c>
      <c r="BH4927">
        <v>1</v>
      </c>
      <c r="BI4927">
        <v>2</v>
      </c>
      <c r="BJ4927">
        <v>2.9</v>
      </c>
      <c r="BK4927">
        <v>3</v>
      </c>
      <c r="BL4927">
        <v>200.24</v>
      </c>
      <c r="BM4927">
        <v>30.04</v>
      </c>
      <c r="BN4927">
        <v>230.28</v>
      </c>
      <c r="BO4927">
        <v>230.28</v>
      </c>
      <c r="BQ4927" t="s">
        <v>1802</v>
      </c>
      <c r="BR4927" t="s">
        <v>84</v>
      </c>
      <c r="BS4927" s="3">
        <v>45869</v>
      </c>
      <c r="BT4927" s="4">
        <v>0.5395833333333333</v>
      </c>
      <c r="BU4927" t="s">
        <v>4031</v>
      </c>
      <c r="BV4927" t="s">
        <v>98</v>
      </c>
      <c r="BY4927">
        <v>14688</v>
      </c>
      <c r="CA4927" t="s">
        <v>150</v>
      </c>
      <c r="CC4927" t="s">
        <v>146</v>
      </c>
      <c r="CD4927">
        <v>7646</v>
      </c>
      <c r="CE4927" t="s">
        <v>91</v>
      </c>
      <c r="CI4927">
        <v>1</v>
      </c>
      <c r="CJ4927">
        <v>1</v>
      </c>
      <c r="CK4927">
        <v>23</v>
      </c>
      <c r="CL4927" t="s">
        <v>86</v>
      </c>
    </row>
    <row r="4928" spans="1:90" x14ac:dyDescent="0.3">
      <c r="A4928" t="s">
        <v>72</v>
      </c>
      <c r="B4928" t="s">
        <v>73</v>
      </c>
      <c r="C4928" t="s">
        <v>74</v>
      </c>
      <c r="E4928" t="str">
        <f>"080066900786"</f>
        <v>080066900786</v>
      </c>
      <c r="F4928" s="3">
        <v>45868</v>
      </c>
      <c r="G4928">
        <v>202604</v>
      </c>
      <c r="H4928" t="s">
        <v>75</v>
      </c>
      <c r="I4928" t="s">
        <v>76</v>
      </c>
      <c r="J4928" t="s">
        <v>77</v>
      </c>
      <c r="K4928" t="s">
        <v>78</v>
      </c>
      <c r="L4928" t="s">
        <v>135</v>
      </c>
      <c r="M4928" t="s">
        <v>136</v>
      </c>
      <c r="N4928" t="s">
        <v>1093</v>
      </c>
      <c r="O4928" t="s">
        <v>82</v>
      </c>
      <c r="P4928" t="str">
        <f>"4170052189                    "</f>
        <v xml:space="preserve">4170052189                    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22.6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AZ4928">
        <v>0</v>
      </c>
      <c r="BA4928">
        <v>0</v>
      </c>
      <c r="BB4928">
        <v>0</v>
      </c>
      <c r="BC4928">
        <v>0</v>
      </c>
      <c r="BD4928">
        <v>0</v>
      </c>
      <c r="BE4928">
        <v>0</v>
      </c>
      <c r="BF4928">
        <v>0</v>
      </c>
      <c r="BG4928">
        <v>0</v>
      </c>
      <c r="BH4928">
        <v>1</v>
      </c>
      <c r="BI4928">
        <v>1</v>
      </c>
      <c r="BJ4928">
        <v>0.2</v>
      </c>
      <c r="BK4928">
        <v>1</v>
      </c>
      <c r="BL4928">
        <v>71.2</v>
      </c>
      <c r="BM4928">
        <v>10.68</v>
      </c>
      <c r="BN4928">
        <v>81.88</v>
      </c>
      <c r="BO4928">
        <v>81.88</v>
      </c>
      <c r="BQ4928" t="s">
        <v>1094</v>
      </c>
      <c r="BR4928" t="s">
        <v>84</v>
      </c>
      <c r="BS4928" s="3">
        <v>45869</v>
      </c>
      <c r="BT4928" s="4">
        <v>0.44027777777777777</v>
      </c>
      <c r="BU4928" t="s">
        <v>1103</v>
      </c>
      <c r="BV4928" t="s">
        <v>86</v>
      </c>
      <c r="BY4928">
        <v>1200</v>
      </c>
      <c r="CA4928" t="s">
        <v>1602</v>
      </c>
      <c r="CC4928" t="s">
        <v>136</v>
      </c>
      <c r="CD4928">
        <v>3201</v>
      </c>
      <c r="CE4928" t="s">
        <v>121</v>
      </c>
      <c r="CI4928">
        <v>1</v>
      </c>
      <c r="CJ4928">
        <v>1</v>
      </c>
      <c r="CK4928">
        <v>21</v>
      </c>
      <c r="CL4928" t="s">
        <v>86</v>
      </c>
    </row>
    <row r="4929" spans="1:90" x14ac:dyDescent="0.3">
      <c r="A4929" t="s">
        <v>72</v>
      </c>
      <c r="B4929" t="s">
        <v>73</v>
      </c>
      <c r="C4929" t="s">
        <v>74</v>
      </c>
      <c r="E4929" t="str">
        <f>"080066900830"</f>
        <v>080066900830</v>
      </c>
      <c r="F4929" s="3">
        <v>45868</v>
      </c>
      <c r="G4929">
        <v>202604</v>
      </c>
      <c r="H4929" t="s">
        <v>75</v>
      </c>
      <c r="I4929" t="s">
        <v>76</v>
      </c>
      <c r="J4929" t="s">
        <v>77</v>
      </c>
      <c r="K4929" t="s">
        <v>78</v>
      </c>
      <c r="L4929" t="s">
        <v>79</v>
      </c>
      <c r="M4929" t="s">
        <v>80</v>
      </c>
      <c r="N4929" t="s">
        <v>1816</v>
      </c>
      <c r="O4929" t="s">
        <v>82</v>
      </c>
      <c r="P4929" t="str">
        <f>"4170052199                    "</f>
        <v xml:space="preserve">4170052199                    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22.6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0</v>
      </c>
      <c r="AZ4929">
        <v>0</v>
      </c>
      <c r="BA4929">
        <v>0</v>
      </c>
      <c r="BB4929">
        <v>0</v>
      </c>
      <c r="BC4929">
        <v>0</v>
      </c>
      <c r="BD4929">
        <v>0</v>
      </c>
      <c r="BE4929">
        <v>0</v>
      </c>
      <c r="BF4929">
        <v>0</v>
      </c>
      <c r="BG4929">
        <v>0</v>
      </c>
      <c r="BH4929">
        <v>1</v>
      </c>
      <c r="BI4929">
        <v>1</v>
      </c>
      <c r="BJ4929">
        <v>2</v>
      </c>
      <c r="BK4929">
        <v>2</v>
      </c>
      <c r="BL4929">
        <v>71.2</v>
      </c>
      <c r="BM4929">
        <v>10.68</v>
      </c>
      <c r="BN4929">
        <v>81.88</v>
      </c>
      <c r="BO4929">
        <v>81.88</v>
      </c>
      <c r="BQ4929" t="s">
        <v>1817</v>
      </c>
      <c r="BR4929" t="s">
        <v>84</v>
      </c>
      <c r="BS4929" t="s">
        <v>587</v>
      </c>
      <c r="BW4929" t="s">
        <v>1395</v>
      </c>
      <c r="BX4929" t="s">
        <v>1420</v>
      </c>
      <c r="BY4929">
        <v>9880</v>
      </c>
      <c r="CC4929" t="s">
        <v>80</v>
      </c>
      <c r="CD4929">
        <v>7550</v>
      </c>
      <c r="CE4929" t="s">
        <v>91</v>
      </c>
      <c r="CI4929">
        <v>1</v>
      </c>
      <c r="CJ4929" t="s">
        <v>587</v>
      </c>
      <c r="CK4929">
        <v>21</v>
      </c>
      <c r="CL4929" t="s">
        <v>86</v>
      </c>
    </row>
    <row r="4930" spans="1:90" x14ac:dyDescent="0.3">
      <c r="A4930" t="s">
        <v>72</v>
      </c>
      <c r="B4930" t="s">
        <v>73</v>
      </c>
      <c r="C4930" t="s">
        <v>74</v>
      </c>
      <c r="E4930" t="str">
        <f>"080066900906"</f>
        <v>080066900906</v>
      </c>
      <c r="F4930" s="3">
        <v>45868</v>
      </c>
      <c r="G4930">
        <v>202604</v>
      </c>
      <c r="H4930" t="s">
        <v>75</v>
      </c>
      <c r="I4930" t="s">
        <v>76</v>
      </c>
      <c r="J4930" t="s">
        <v>77</v>
      </c>
      <c r="K4930" t="s">
        <v>78</v>
      </c>
      <c r="L4930" t="s">
        <v>79</v>
      </c>
      <c r="M4930" t="s">
        <v>80</v>
      </c>
      <c r="N4930" t="s">
        <v>141</v>
      </c>
      <c r="O4930" t="s">
        <v>82</v>
      </c>
      <c r="P4930" t="str">
        <f>"4170052074                    "</f>
        <v xml:space="preserve">4170052074                    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547.59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AZ4930">
        <v>0</v>
      </c>
      <c r="BA4930">
        <v>0</v>
      </c>
      <c r="BB4930">
        <v>0</v>
      </c>
      <c r="BC4930">
        <v>0</v>
      </c>
      <c r="BD4930">
        <v>0</v>
      </c>
      <c r="BE4930">
        <v>0</v>
      </c>
      <c r="BF4930">
        <v>0</v>
      </c>
      <c r="BG4930">
        <v>0</v>
      </c>
      <c r="BH4930">
        <v>1</v>
      </c>
      <c r="BI4930">
        <v>8</v>
      </c>
      <c r="BJ4930">
        <v>48.5</v>
      </c>
      <c r="BK4930">
        <v>48.5</v>
      </c>
      <c r="BL4930">
        <v>1725.21</v>
      </c>
      <c r="BM4930">
        <v>258.77999999999997</v>
      </c>
      <c r="BN4930">
        <v>1983.99</v>
      </c>
      <c r="BO4930">
        <v>1983.99</v>
      </c>
      <c r="BQ4930" t="s">
        <v>142</v>
      </c>
      <c r="BR4930" t="s">
        <v>84</v>
      </c>
      <c r="BS4930" s="3">
        <v>45868</v>
      </c>
      <c r="BT4930" s="4">
        <v>0.69791666666666663</v>
      </c>
      <c r="BU4930" t="s">
        <v>424</v>
      </c>
      <c r="BV4930" t="s">
        <v>98</v>
      </c>
      <c r="BY4930">
        <v>242424</v>
      </c>
      <c r="CA4930" t="s">
        <v>4032</v>
      </c>
      <c r="CC4930" t="s">
        <v>80</v>
      </c>
      <c r="CD4930">
        <v>7441</v>
      </c>
      <c r="CE4930" t="s">
        <v>145</v>
      </c>
      <c r="CF4930" s="3">
        <v>45869</v>
      </c>
      <c r="CI4930">
        <v>1</v>
      </c>
      <c r="CJ4930">
        <v>0</v>
      </c>
      <c r="CK4930">
        <v>21</v>
      </c>
      <c r="CL4930" t="s">
        <v>86</v>
      </c>
    </row>
    <row r="4931" spans="1:90" x14ac:dyDescent="0.3">
      <c r="A4931" t="s">
        <v>72</v>
      </c>
      <c r="B4931" t="s">
        <v>73</v>
      </c>
      <c r="C4931" t="s">
        <v>74</v>
      </c>
      <c r="E4931" t="str">
        <f>"080066900976"</f>
        <v>080066900976</v>
      </c>
      <c r="F4931" s="3">
        <v>45868</v>
      </c>
      <c r="G4931">
        <v>202604</v>
      </c>
      <c r="H4931" t="s">
        <v>75</v>
      </c>
      <c r="I4931" t="s">
        <v>76</v>
      </c>
      <c r="J4931" t="s">
        <v>77</v>
      </c>
      <c r="K4931" t="s">
        <v>78</v>
      </c>
      <c r="L4931" t="s">
        <v>79</v>
      </c>
      <c r="M4931" t="s">
        <v>80</v>
      </c>
      <c r="N4931" t="s">
        <v>141</v>
      </c>
      <c r="O4931" t="s">
        <v>82</v>
      </c>
      <c r="P4931" t="str">
        <f>"4170052074                    "</f>
        <v xml:space="preserve">4170052074                    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90.34</v>
      </c>
      <c r="AR4931">
        <v>0</v>
      </c>
      <c r="AS4931">
        <v>0</v>
      </c>
      <c r="AT4931">
        <v>0</v>
      </c>
      <c r="AU4931">
        <v>0</v>
      </c>
      <c r="AV4931">
        <v>0</v>
      </c>
      <c r="AW4931">
        <v>0</v>
      </c>
      <c r="AX4931">
        <v>0</v>
      </c>
      <c r="AY4931">
        <v>0</v>
      </c>
      <c r="AZ4931">
        <v>0</v>
      </c>
      <c r="BA4931">
        <v>0</v>
      </c>
      <c r="BB4931">
        <v>0</v>
      </c>
      <c r="BC4931">
        <v>0</v>
      </c>
      <c r="BD4931">
        <v>0</v>
      </c>
      <c r="BE4931">
        <v>0</v>
      </c>
      <c r="BF4931">
        <v>0</v>
      </c>
      <c r="BG4931">
        <v>0</v>
      </c>
      <c r="BH4931">
        <v>1</v>
      </c>
      <c r="BI4931">
        <v>8</v>
      </c>
      <c r="BJ4931">
        <v>5.4</v>
      </c>
      <c r="BK4931">
        <v>8</v>
      </c>
      <c r="BL4931">
        <v>284.62</v>
      </c>
      <c r="BM4931">
        <v>42.69</v>
      </c>
      <c r="BN4931">
        <v>327.31</v>
      </c>
      <c r="BO4931">
        <v>327.31</v>
      </c>
      <c r="BQ4931" t="s">
        <v>142</v>
      </c>
      <c r="BR4931" t="s">
        <v>84</v>
      </c>
      <c r="BS4931" s="3">
        <v>45869</v>
      </c>
      <c r="BT4931" s="4">
        <v>0.42291666666666666</v>
      </c>
      <c r="BU4931" t="s">
        <v>143</v>
      </c>
      <c r="BV4931" t="s">
        <v>98</v>
      </c>
      <c r="BY4931">
        <v>27144</v>
      </c>
      <c r="CA4931" t="s">
        <v>144</v>
      </c>
      <c r="CC4931" t="s">
        <v>80</v>
      </c>
      <c r="CD4931">
        <v>7441</v>
      </c>
      <c r="CE4931" t="s">
        <v>145</v>
      </c>
      <c r="CI4931">
        <v>1</v>
      </c>
      <c r="CJ4931">
        <v>1</v>
      </c>
      <c r="CK4931">
        <v>21</v>
      </c>
      <c r="CL4931" t="s">
        <v>86</v>
      </c>
    </row>
    <row r="4932" spans="1:90" x14ac:dyDescent="0.3">
      <c r="A4932" t="s">
        <v>72</v>
      </c>
      <c r="B4932" t="s">
        <v>73</v>
      </c>
      <c r="C4932" t="s">
        <v>74</v>
      </c>
      <c r="E4932" t="str">
        <f>"080066901180"</f>
        <v>080066901180</v>
      </c>
      <c r="F4932" s="3">
        <v>45868</v>
      </c>
      <c r="G4932">
        <v>202604</v>
      </c>
      <c r="H4932" t="s">
        <v>75</v>
      </c>
      <c r="I4932" t="s">
        <v>76</v>
      </c>
      <c r="J4932" t="s">
        <v>77</v>
      </c>
      <c r="K4932" t="s">
        <v>78</v>
      </c>
      <c r="L4932" t="s">
        <v>295</v>
      </c>
      <c r="M4932" t="s">
        <v>296</v>
      </c>
      <c r="N4932" t="s">
        <v>2094</v>
      </c>
      <c r="O4932" t="s">
        <v>82</v>
      </c>
      <c r="P4932" t="str">
        <f>"4170052201                    "</f>
        <v xml:space="preserve">4170052201                    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17.649999999999999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0</v>
      </c>
      <c r="AY4932">
        <v>0</v>
      </c>
      <c r="AZ4932">
        <v>0</v>
      </c>
      <c r="BA4932">
        <v>0</v>
      </c>
      <c r="BB4932">
        <v>0</v>
      </c>
      <c r="BC4932">
        <v>0</v>
      </c>
      <c r="BD4932">
        <v>0</v>
      </c>
      <c r="BE4932">
        <v>0</v>
      </c>
      <c r="BF4932">
        <v>0</v>
      </c>
      <c r="BG4932">
        <v>0</v>
      </c>
      <c r="BH4932">
        <v>1</v>
      </c>
      <c r="BI4932">
        <v>1</v>
      </c>
      <c r="BJ4932">
        <v>1.8</v>
      </c>
      <c r="BK4932">
        <v>2</v>
      </c>
      <c r="BL4932">
        <v>55.61</v>
      </c>
      <c r="BM4932">
        <v>8.34</v>
      </c>
      <c r="BN4932">
        <v>63.95</v>
      </c>
      <c r="BO4932">
        <v>63.95</v>
      </c>
      <c r="BQ4932" t="s">
        <v>2095</v>
      </c>
      <c r="BR4932" t="s">
        <v>84</v>
      </c>
      <c r="BS4932" s="3">
        <v>45869</v>
      </c>
      <c r="BT4932" s="4">
        <v>0.34305555555555556</v>
      </c>
      <c r="BU4932" t="s">
        <v>2680</v>
      </c>
      <c r="BV4932" t="s">
        <v>98</v>
      </c>
      <c r="BY4932">
        <v>8816</v>
      </c>
      <c r="CA4932" t="s">
        <v>300</v>
      </c>
      <c r="CC4932" t="s">
        <v>296</v>
      </c>
      <c r="CD4932">
        <v>1459</v>
      </c>
      <c r="CE4932" t="s">
        <v>1458</v>
      </c>
      <c r="CI4932">
        <v>1</v>
      </c>
      <c r="CJ4932">
        <v>1</v>
      </c>
      <c r="CK4932">
        <v>22</v>
      </c>
      <c r="CL4932" t="s">
        <v>86</v>
      </c>
    </row>
    <row r="4933" spans="1:90" x14ac:dyDescent="0.3">
      <c r="A4933" t="s">
        <v>72</v>
      </c>
      <c r="B4933" t="s">
        <v>73</v>
      </c>
      <c r="C4933" t="s">
        <v>74</v>
      </c>
      <c r="E4933" t="str">
        <f>"080066871195"</f>
        <v>080066871195</v>
      </c>
      <c r="F4933" s="3">
        <v>45867</v>
      </c>
      <c r="G4933">
        <v>202604</v>
      </c>
      <c r="H4933" t="s">
        <v>75</v>
      </c>
      <c r="I4933" t="s">
        <v>76</v>
      </c>
      <c r="J4933" t="s">
        <v>77</v>
      </c>
      <c r="K4933" t="s">
        <v>78</v>
      </c>
      <c r="L4933" t="s">
        <v>79</v>
      </c>
      <c r="M4933" t="s">
        <v>80</v>
      </c>
      <c r="N4933" t="s">
        <v>1636</v>
      </c>
      <c r="O4933" t="s">
        <v>82</v>
      </c>
      <c r="P4933" t="str">
        <f>"4170051791                    "</f>
        <v xml:space="preserve">4170051791                    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>
        <v>22.6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  <c r="BE4933">
        <v>0</v>
      </c>
      <c r="BF4933">
        <v>0</v>
      </c>
      <c r="BG4933">
        <v>0</v>
      </c>
      <c r="BH4933">
        <v>1</v>
      </c>
      <c r="BI4933">
        <v>1</v>
      </c>
      <c r="BJ4933">
        <v>0.2</v>
      </c>
      <c r="BK4933">
        <v>1</v>
      </c>
      <c r="BL4933">
        <v>71.2</v>
      </c>
      <c r="BM4933">
        <v>10.68</v>
      </c>
      <c r="BN4933">
        <v>81.88</v>
      </c>
      <c r="BO4933">
        <v>81.88</v>
      </c>
      <c r="BQ4933" t="s">
        <v>1637</v>
      </c>
      <c r="BR4933" t="s">
        <v>84</v>
      </c>
      <c r="BS4933" s="3">
        <v>45868</v>
      </c>
      <c r="BT4933" s="4">
        <v>0.43611111111111112</v>
      </c>
      <c r="BU4933" t="s">
        <v>1638</v>
      </c>
      <c r="BV4933" t="s">
        <v>98</v>
      </c>
      <c r="BY4933">
        <v>1200</v>
      </c>
      <c r="BZ4933" t="s">
        <v>89</v>
      </c>
      <c r="CA4933" t="s">
        <v>526</v>
      </c>
      <c r="CC4933" t="s">
        <v>80</v>
      </c>
      <c r="CD4933">
        <v>7925</v>
      </c>
      <c r="CE4933" t="s">
        <v>121</v>
      </c>
      <c r="CF4933" s="3">
        <v>45869</v>
      </c>
      <c r="CI4933">
        <v>1</v>
      </c>
      <c r="CJ4933">
        <v>1</v>
      </c>
      <c r="CK4933">
        <v>21</v>
      </c>
      <c r="CL4933" t="s">
        <v>86</v>
      </c>
    </row>
    <row r="4934" spans="1:90" x14ac:dyDescent="0.3">
      <c r="A4934" t="s">
        <v>72</v>
      </c>
      <c r="B4934" t="s">
        <v>73</v>
      </c>
      <c r="C4934" t="s">
        <v>74</v>
      </c>
      <c r="E4934" t="str">
        <f>"R080066749498"</f>
        <v>R080066749498</v>
      </c>
      <c r="F4934" s="3">
        <v>45869</v>
      </c>
      <c r="G4934">
        <v>202604</v>
      </c>
      <c r="H4934" t="s">
        <v>1677</v>
      </c>
      <c r="I4934" t="s">
        <v>1678</v>
      </c>
      <c r="J4934" t="s">
        <v>3302</v>
      </c>
      <c r="K4934" t="s">
        <v>78</v>
      </c>
      <c r="L4934" t="s">
        <v>92</v>
      </c>
      <c r="M4934" t="s">
        <v>93</v>
      </c>
      <c r="N4934" t="s">
        <v>4033</v>
      </c>
      <c r="O4934" t="s">
        <v>95</v>
      </c>
      <c r="P4934" t="str">
        <f>"4170050492                    "</f>
        <v xml:space="preserve">4170050492                    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61.64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AZ4934">
        <v>0</v>
      </c>
      <c r="BA4934">
        <v>0</v>
      </c>
      <c r="BB4934">
        <v>0</v>
      </c>
      <c r="BC4934">
        <v>0</v>
      </c>
      <c r="BD4934">
        <v>0</v>
      </c>
      <c r="BE4934">
        <v>0</v>
      </c>
      <c r="BF4934">
        <v>0</v>
      </c>
      <c r="BG4934">
        <v>0</v>
      </c>
      <c r="BH4934">
        <v>1</v>
      </c>
      <c r="BI4934">
        <v>5</v>
      </c>
      <c r="BJ4934">
        <v>1.9</v>
      </c>
      <c r="BK4934">
        <v>5</v>
      </c>
      <c r="BL4934">
        <v>200.06</v>
      </c>
      <c r="BM4934">
        <v>30.01</v>
      </c>
      <c r="BN4934">
        <v>230.07</v>
      </c>
      <c r="BO4934">
        <v>230.07</v>
      </c>
      <c r="BQ4934" t="s">
        <v>4034</v>
      </c>
      <c r="BR4934" t="s">
        <v>3303</v>
      </c>
      <c r="BS4934" t="s">
        <v>587</v>
      </c>
      <c r="BY4934">
        <v>9600</v>
      </c>
      <c r="BZ4934" t="s">
        <v>99</v>
      </c>
      <c r="CC4934" t="s">
        <v>93</v>
      </c>
      <c r="CD4934">
        <v>4068</v>
      </c>
      <c r="CE4934" t="s">
        <v>145</v>
      </c>
      <c r="CI4934">
        <v>3</v>
      </c>
      <c r="CJ4934" t="s">
        <v>587</v>
      </c>
      <c r="CK4934">
        <v>43</v>
      </c>
      <c r="CL4934" t="s">
        <v>86</v>
      </c>
    </row>
    <row r="4935" spans="1:90" x14ac:dyDescent="0.3">
      <c r="A4935" t="s">
        <v>72</v>
      </c>
      <c r="B4935" t="s">
        <v>73</v>
      </c>
      <c r="C4935" t="s">
        <v>74</v>
      </c>
      <c r="E4935" t="str">
        <f>"080066912709"</f>
        <v>080066912709</v>
      </c>
      <c r="F4935" s="3">
        <v>45869</v>
      </c>
      <c r="G4935">
        <v>202604</v>
      </c>
      <c r="H4935" t="s">
        <v>75</v>
      </c>
      <c r="I4935" t="s">
        <v>76</v>
      </c>
      <c r="J4935" t="s">
        <v>77</v>
      </c>
      <c r="K4935" t="s">
        <v>78</v>
      </c>
      <c r="L4935" t="s">
        <v>168</v>
      </c>
      <c r="M4935" t="s">
        <v>169</v>
      </c>
      <c r="N4935" t="s">
        <v>206</v>
      </c>
      <c r="O4935" t="s">
        <v>82</v>
      </c>
      <c r="P4935" t="str">
        <f>"4170052283                    "</f>
        <v xml:space="preserve">4170052283                    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>
        <v>22.6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AZ4935">
        <v>0</v>
      </c>
      <c r="BA4935">
        <v>0</v>
      </c>
      <c r="BB4935">
        <v>0</v>
      </c>
      <c r="BC4935">
        <v>0</v>
      </c>
      <c r="BD4935">
        <v>0</v>
      </c>
      <c r="BE4935">
        <v>0</v>
      </c>
      <c r="BF4935">
        <v>0</v>
      </c>
      <c r="BG4935">
        <v>0</v>
      </c>
      <c r="BH4935">
        <v>1</v>
      </c>
      <c r="BI4935">
        <v>1</v>
      </c>
      <c r="BJ4935">
        <v>1.7</v>
      </c>
      <c r="BK4935">
        <v>2</v>
      </c>
      <c r="BL4935">
        <v>71.2</v>
      </c>
      <c r="BM4935">
        <v>10.68</v>
      </c>
      <c r="BN4935">
        <v>81.88</v>
      </c>
      <c r="BO4935">
        <v>81.88</v>
      </c>
      <c r="BQ4935" t="s">
        <v>207</v>
      </c>
      <c r="BR4935" t="s">
        <v>84</v>
      </c>
      <c r="BS4935" t="s">
        <v>587</v>
      </c>
      <c r="BV4935" t="s">
        <v>86</v>
      </c>
      <c r="BY4935">
        <v>8512</v>
      </c>
      <c r="BZ4935" t="s">
        <v>89</v>
      </c>
      <c r="CC4935" t="s">
        <v>169</v>
      </c>
      <c r="CD4935">
        <v>6001</v>
      </c>
      <c r="CE4935" t="s">
        <v>117</v>
      </c>
      <c r="CI4935">
        <v>1</v>
      </c>
      <c r="CJ4935" t="s">
        <v>587</v>
      </c>
      <c r="CK4935">
        <v>21</v>
      </c>
      <c r="CL4935" t="s">
        <v>86</v>
      </c>
    </row>
    <row r="4936" spans="1:90" x14ac:dyDescent="0.3">
      <c r="A4936" t="s">
        <v>72</v>
      </c>
      <c r="B4936" t="s">
        <v>73</v>
      </c>
      <c r="C4936" t="s">
        <v>74</v>
      </c>
      <c r="E4936" t="str">
        <f>"080066912763"</f>
        <v>080066912763</v>
      </c>
      <c r="F4936" s="3">
        <v>45869</v>
      </c>
      <c r="G4936">
        <v>202604</v>
      </c>
      <c r="H4936" t="s">
        <v>75</v>
      </c>
      <c r="I4936" t="s">
        <v>76</v>
      </c>
      <c r="J4936" t="s">
        <v>77</v>
      </c>
      <c r="K4936" t="s">
        <v>78</v>
      </c>
      <c r="L4936" t="s">
        <v>122</v>
      </c>
      <c r="M4936" t="s">
        <v>123</v>
      </c>
      <c r="N4936" t="s">
        <v>184</v>
      </c>
      <c r="O4936" t="s">
        <v>82</v>
      </c>
      <c r="P4936" t="str">
        <f>"4170052268                    "</f>
        <v xml:space="preserve">4170052268                    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>
        <v>50.82</v>
      </c>
      <c r="AR4936">
        <v>0</v>
      </c>
      <c r="AS4936">
        <v>0</v>
      </c>
      <c r="AT4936">
        <v>0</v>
      </c>
      <c r="AU4936">
        <v>0</v>
      </c>
      <c r="AV4936">
        <v>0</v>
      </c>
      <c r="AW4936">
        <v>0</v>
      </c>
      <c r="AX4936">
        <v>0</v>
      </c>
      <c r="AY4936">
        <v>0</v>
      </c>
      <c r="AZ4936">
        <v>0</v>
      </c>
      <c r="BA4936">
        <v>0</v>
      </c>
      <c r="BB4936">
        <v>0</v>
      </c>
      <c r="BC4936">
        <v>0</v>
      </c>
      <c r="BD4936">
        <v>0</v>
      </c>
      <c r="BE4936">
        <v>0</v>
      </c>
      <c r="BF4936">
        <v>0</v>
      </c>
      <c r="BG4936">
        <v>0</v>
      </c>
      <c r="BH4936">
        <v>1</v>
      </c>
      <c r="BI4936">
        <v>3</v>
      </c>
      <c r="BJ4936">
        <v>4.5</v>
      </c>
      <c r="BK4936">
        <v>4.5</v>
      </c>
      <c r="BL4936">
        <v>160.12</v>
      </c>
      <c r="BM4936">
        <v>24.02</v>
      </c>
      <c r="BN4936">
        <v>184.14</v>
      </c>
      <c r="BO4936">
        <v>184.14</v>
      </c>
      <c r="BQ4936" t="s">
        <v>185</v>
      </c>
      <c r="BR4936" t="s">
        <v>84</v>
      </c>
      <c r="BS4936" t="s">
        <v>587</v>
      </c>
      <c r="BV4936" t="s">
        <v>86</v>
      </c>
      <c r="BY4936">
        <v>22496</v>
      </c>
      <c r="BZ4936" t="s">
        <v>89</v>
      </c>
      <c r="CC4936" t="s">
        <v>123</v>
      </c>
      <c r="CD4936">
        <v>3610</v>
      </c>
      <c r="CE4936" t="s">
        <v>91</v>
      </c>
      <c r="CI4936">
        <v>1</v>
      </c>
      <c r="CJ4936" t="s">
        <v>587</v>
      </c>
      <c r="CK4936">
        <v>21</v>
      </c>
      <c r="CL4936" t="s">
        <v>86</v>
      </c>
    </row>
    <row r="4937" spans="1:90" x14ac:dyDescent="0.3">
      <c r="A4937" t="s">
        <v>72</v>
      </c>
      <c r="B4937" t="s">
        <v>73</v>
      </c>
      <c r="C4937" t="s">
        <v>74</v>
      </c>
      <c r="E4937" t="str">
        <f>"080066912843"</f>
        <v>080066912843</v>
      </c>
      <c r="F4937" s="3">
        <v>45869</v>
      </c>
      <c r="G4937">
        <v>202604</v>
      </c>
      <c r="H4937" t="s">
        <v>75</v>
      </c>
      <c r="I4937" t="s">
        <v>76</v>
      </c>
      <c r="J4937" t="s">
        <v>77</v>
      </c>
      <c r="K4937" t="s">
        <v>78</v>
      </c>
      <c r="L4937" t="s">
        <v>168</v>
      </c>
      <c r="M4937" t="s">
        <v>169</v>
      </c>
      <c r="N4937" t="s">
        <v>206</v>
      </c>
      <c r="O4937" t="s">
        <v>82</v>
      </c>
      <c r="P4937" t="str">
        <f>"4170051365                    "</f>
        <v xml:space="preserve">4170051365                    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>
        <v>39.53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AZ4937">
        <v>0</v>
      </c>
      <c r="BA4937">
        <v>0</v>
      </c>
      <c r="BB4937">
        <v>0</v>
      </c>
      <c r="BC4937">
        <v>0</v>
      </c>
      <c r="BD4937">
        <v>0</v>
      </c>
      <c r="BE4937">
        <v>0</v>
      </c>
      <c r="BF4937">
        <v>0</v>
      </c>
      <c r="BG4937">
        <v>0</v>
      </c>
      <c r="BH4937">
        <v>1</v>
      </c>
      <c r="BI4937">
        <v>2</v>
      </c>
      <c r="BJ4937">
        <v>3.1</v>
      </c>
      <c r="BK4937">
        <v>3.5</v>
      </c>
      <c r="BL4937">
        <v>124.55</v>
      </c>
      <c r="BM4937">
        <v>18.68</v>
      </c>
      <c r="BN4937">
        <v>143.22999999999999</v>
      </c>
      <c r="BO4937">
        <v>143.22999999999999</v>
      </c>
      <c r="BQ4937" t="s">
        <v>207</v>
      </c>
      <c r="BR4937" t="s">
        <v>84</v>
      </c>
      <c r="BS4937" t="s">
        <v>587</v>
      </c>
      <c r="BV4937" t="s">
        <v>86</v>
      </c>
      <c r="BY4937">
        <v>15360</v>
      </c>
      <c r="BZ4937" t="s">
        <v>89</v>
      </c>
      <c r="CC4937" t="s">
        <v>169</v>
      </c>
      <c r="CD4937">
        <v>6001</v>
      </c>
      <c r="CE4937" t="s">
        <v>117</v>
      </c>
      <c r="CI4937">
        <v>1</v>
      </c>
      <c r="CJ4937" t="s">
        <v>587</v>
      </c>
      <c r="CK4937">
        <v>21</v>
      </c>
      <c r="CL4937" t="s">
        <v>86</v>
      </c>
    </row>
    <row r="4938" spans="1:90" x14ac:dyDescent="0.3">
      <c r="A4938" t="s">
        <v>72</v>
      </c>
      <c r="B4938" t="s">
        <v>73</v>
      </c>
      <c r="C4938" t="s">
        <v>74</v>
      </c>
      <c r="E4938" t="str">
        <f>"080066912975"</f>
        <v>080066912975</v>
      </c>
      <c r="F4938" s="3">
        <v>45869</v>
      </c>
      <c r="G4938">
        <v>202604</v>
      </c>
      <c r="H4938" t="s">
        <v>75</v>
      </c>
      <c r="I4938" t="s">
        <v>76</v>
      </c>
      <c r="J4938" t="s">
        <v>77</v>
      </c>
      <c r="K4938" t="s">
        <v>78</v>
      </c>
      <c r="L4938" t="s">
        <v>151</v>
      </c>
      <c r="M4938" t="s">
        <v>152</v>
      </c>
      <c r="N4938" t="s">
        <v>2124</v>
      </c>
      <c r="O4938" t="s">
        <v>95</v>
      </c>
      <c r="P4938" t="str">
        <f>"4170052234                    "</f>
        <v xml:space="preserve">4170052234                    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>
        <v>43.7</v>
      </c>
      <c r="AR4938">
        <v>0</v>
      </c>
      <c r="AS4938">
        <v>0</v>
      </c>
      <c r="AT4938">
        <v>0</v>
      </c>
      <c r="AU4938">
        <v>0</v>
      </c>
      <c r="AV4938">
        <v>0</v>
      </c>
      <c r="AW4938">
        <v>0</v>
      </c>
      <c r="AX4938">
        <v>0</v>
      </c>
      <c r="AY4938">
        <v>0</v>
      </c>
      <c r="AZ4938">
        <v>0</v>
      </c>
      <c r="BA4938">
        <v>0</v>
      </c>
      <c r="BB4938">
        <v>0</v>
      </c>
      <c r="BC4938">
        <v>0</v>
      </c>
      <c r="BD4938">
        <v>0</v>
      </c>
      <c r="BE4938">
        <v>0</v>
      </c>
      <c r="BF4938">
        <v>0</v>
      </c>
      <c r="BG4938">
        <v>0</v>
      </c>
      <c r="BH4938">
        <v>1</v>
      </c>
      <c r="BI4938">
        <v>8</v>
      </c>
      <c r="BJ4938">
        <v>9.4</v>
      </c>
      <c r="BK4938">
        <v>10</v>
      </c>
      <c r="BL4938">
        <v>143.55000000000001</v>
      </c>
      <c r="BM4938">
        <v>21.53</v>
      </c>
      <c r="BN4938">
        <v>165.08</v>
      </c>
      <c r="BO4938">
        <v>165.08</v>
      </c>
      <c r="BQ4938" t="s">
        <v>2125</v>
      </c>
      <c r="BR4938" t="s">
        <v>84</v>
      </c>
      <c r="BS4938" t="s">
        <v>587</v>
      </c>
      <c r="BV4938" t="s">
        <v>86</v>
      </c>
      <c r="BY4938">
        <v>47104</v>
      </c>
      <c r="BZ4938" t="s">
        <v>99</v>
      </c>
      <c r="CC4938" t="s">
        <v>152</v>
      </c>
      <c r="CD4938" s="5" t="s">
        <v>157</v>
      </c>
      <c r="CE4938" t="s">
        <v>91</v>
      </c>
      <c r="CI4938">
        <v>1</v>
      </c>
      <c r="CJ4938" t="s">
        <v>587</v>
      </c>
      <c r="CK4938">
        <v>41</v>
      </c>
      <c r="CL4938" t="s">
        <v>86</v>
      </c>
    </row>
    <row r="4939" spans="1:90" x14ac:dyDescent="0.3">
      <c r="A4939" t="s">
        <v>72</v>
      </c>
      <c r="B4939" t="s">
        <v>73</v>
      </c>
      <c r="C4939" t="s">
        <v>74</v>
      </c>
      <c r="E4939" t="str">
        <f>"080066913400"</f>
        <v>080066913400</v>
      </c>
      <c r="F4939" s="3">
        <v>45869</v>
      </c>
      <c r="G4939">
        <v>202604</v>
      </c>
      <c r="H4939" t="s">
        <v>75</v>
      </c>
      <c r="I4939" t="s">
        <v>76</v>
      </c>
      <c r="J4939" t="s">
        <v>77</v>
      </c>
      <c r="K4939" t="s">
        <v>78</v>
      </c>
      <c r="L4939" t="s">
        <v>102</v>
      </c>
      <c r="M4939" t="s">
        <v>103</v>
      </c>
      <c r="N4939" t="s">
        <v>104</v>
      </c>
      <c r="O4939" t="s">
        <v>311</v>
      </c>
      <c r="P4939" t="str">
        <f>"4170052061                    "</f>
        <v xml:space="preserve">4170052061                    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>
        <v>69.930000000000007</v>
      </c>
      <c r="AR4939">
        <v>0</v>
      </c>
      <c r="AS4939">
        <v>0</v>
      </c>
      <c r="AT4939">
        <v>0</v>
      </c>
      <c r="AU4939">
        <v>0</v>
      </c>
      <c r="AV4939">
        <v>0</v>
      </c>
      <c r="AW4939">
        <v>0</v>
      </c>
      <c r="AX4939">
        <v>0</v>
      </c>
      <c r="AY4939">
        <v>0</v>
      </c>
      <c r="AZ4939">
        <v>0</v>
      </c>
      <c r="BA4939">
        <v>0</v>
      </c>
      <c r="BB4939">
        <v>0</v>
      </c>
      <c r="BC4939">
        <v>0</v>
      </c>
      <c r="BD4939">
        <v>0</v>
      </c>
      <c r="BE4939">
        <v>0</v>
      </c>
      <c r="BF4939">
        <v>0</v>
      </c>
      <c r="BG4939">
        <v>0</v>
      </c>
      <c r="BH4939">
        <v>1</v>
      </c>
      <c r="BI4939">
        <v>4</v>
      </c>
      <c r="BJ4939">
        <v>3.4</v>
      </c>
      <c r="BK4939">
        <v>4</v>
      </c>
      <c r="BL4939">
        <v>220.32</v>
      </c>
      <c r="BM4939">
        <v>33.049999999999997</v>
      </c>
      <c r="BN4939">
        <v>253.37</v>
      </c>
      <c r="BO4939">
        <v>253.37</v>
      </c>
      <c r="BQ4939" t="s">
        <v>833</v>
      </c>
      <c r="BR4939" t="s">
        <v>84</v>
      </c>
      <c r="BS4939" t="s">
        <v>587</v>
      </c>
      <c r="BV4939" t="s">
        <v>86</v>
      </c>
      <c r="BY4939">
        <v>16965</v>
      </c>
      <c r="CC4939" t="s">
        <v>103</v>
      </c>
      <c r="CD4939">
        <v>1748</v>
      </c>
      <c r="CE4939" t="s">
        <v>145</v>
      </c>
      <c r="CI4939">
        <v>1</v>
      </c>
      <c r="CJ4939" t="s">
        <v>587</v>
      </c>
      <c r="CK4939">
        <v>34</v>
      </c>
      <c r="CL4939" t="s">
        <v>86</v>
      </c>
    </row>
    <row r="4940" spans="1:90" x14ac:dyDescent="0.3">
      <c r="A4940" t="s">
        <v>72</v>
      </c>
      <c r="B4940" t="s">
        <v>73</v>
      </c>
      <c r="C4940" t="s">
        <v>74</v>
      </c>
      <c r="E4940" t="str">
        <f>"080066913480"</f>
        <v>080066913480</v>
      </c>
      <c r="F4940" s="3">
        <v>45869</v>
      </c>
      <c r="G4940">
        <v>202604</v>
      </c>
      <c r="H4940" t="s">
        <v>75</v>
      </c>
      <c r="I4940" t="s">
        <v>76</v>
      </c>
      <c r="J4940" t="s">
        <v>77</v>
      </c>
      <c r="K4940" t="s">
        <v>78</v>
      </c>
      <c r="L4940" t="s">
        <v>75</v>
      </c>
      <c r="M4940" t="s">
        <v>76</v>
      </c>
      <c r="N4940" t="s">
        <v>2892</v>
      </c>
      <c r="O4940" t="s">
        <v>82</v>
      </c>
      <c r="P4940" t="str">
        <f>"4170052277                    "</f>
        <v xml:space="preserve">4170052277                    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17.649999999999999</v>
      </c>
      <c r="AR4940">
        <v>0</v>
      </c>
      <c r="AS4940">
        <v>0</v>
      </c>
      <c r="AT4940">
        <v>0</v>
      </c>
      <c r="AU4940">
        <v>0</v>
      </c>
      <c r="AV4940">
        <v>0</v>
      </c>
      <c r="AW4940">
        <v>0</v>
      </c>
      <c r="AX4940">
        <v>0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  <c r="BE4940">
        <v>0</v>
      </c>
      <c r="BF4940">
        <v>0</v>
      </c>
      <c r="BG4940">
        <v>0</v>
      </c>
      <c r="BH4940">
        <v>1</v>
      </c>
      <c r="BI4940">
        <v>1</v>
      </c>
      <c r="BJ4940">
        <v>0.2</v>
      </c>
      <c r="BK4940">
        <v>1</v>
      </c>
      <c r="BL4940">
        <v>55.61</v>
      </c>
      <c r="BM4940">
        <v>8.34</v>
      </c>
      <c r="BN4940">
        <v>63.95</v>
      </c>
      <c r="BO4940">
        <v>63.95</v>
      </c>
      <c r="BQ4940" t="s">
        <v>2893</v>
      </c>
      <c r="BR4940" t="s">
        <v>84</v>
      </c>
      <c r="BS4940" t="s">
        <v>587</v>
      </c>
      <c r="BV4940" t="s">
        <v>86</v>
      </c>
      <c r="BY4940">
        <v>1200</v>
      </c>
      <c r="CC4940" t="s">
        <v>76</v>
      </c>
      <c r="CD4940">
        <v>1600</v>
      </c>
      <c r="CE4940" t="s">
        <v>121</v>
      </c>
      <c r="CI4940">
        <v>1</v>
      </c>
      <c r="CJ4940" t="s">
        <v>587</v>
      </c>
      <c r="CK4940">
        <v>22</v>
      </c>
      <c r="CL4940" t="s">
        <v>86</v>
      </c>
    </row>
    <row r="4941" spans="1:90" x14ac:dyDescent="0.3">
      <c r="A4941" t="s">
        <v>72</v>
      </c>
      <c r="B4941" t="s">
        <v>73</v>
      </c>
      <c r="C4941" t="s">
        <v>74</v>
      </c>
      <c r="E4941" t="str">
        <f>"080066913533"</f>
        <v>080066913533</v>
      </c>
      <c r="F4941" s="3">
        <v>45869</v>
      </c>
      <c r="G4941">
        <v>202604</v>
      </c>
      <c r="H4941" t="s">
        <v>75</v>
      </c>
      <c r="I4941" t="s">
        <v>76</v>
      </c>
      <c r="J4941" t="s">
        <v>77</v>
      </c>
      <c r="K4941" t="s">
        <v>78</v>
      </c>
      <c r="L4941" t="s">
        <v>363</v>
      </c>
      <c r="M4941" t="s">
        <v>364</v>
      </c>
      <c r="N4941" t="s">
        <v>365</v>
      </c>
      <c r="O4941" t="s">
        <v>82</v>
      </c>
      <c r="P4941" t="str">
        <f>"4170052267                    "</f>
        <v xml:space="preserve">4170052267                    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>
        <v>43.78</v>
      </c>
      <c r="AR4941">
        <v>0</v>
      </c>
      <c r="AS4941">
        <v>0</v>
      </c>
      <c r="AT4941">
        <v>0</v>
      </c>
      <c r="AU4941">
        <v>0</v>
      </c>
      <c r="AV4941">
        <v>0</v>
      </c>
      <c r="AW4941">
        <v>0</v>
      </c>
      <c r="AX4941">
        <v>0</v>
      </c>
      <c r="AY4941">
        <v>0</v>
      </c>
      <c r="AZ4941">
        <v>0</v>
      </c>
      <c r="BA4941">
        <v>0</v>
      </c>
      <c r="BB4941">
        <v>0</v>
      </c>
      <c r="BC4941">
        <v>0</v>
      </c>
      <c r="BD4941">
        <v>0</v>
      </c>
      <c r="BE4941">
        <v>0</v>
      </c>
      <c r="BF4941">
        <v>0</v>
      </c>
      <c r="BG4941">
        <v>0</v>
      </c>
      <c r="BH4941">
        <v>1</v>
      </c>
      <c r="BI4941">
        <v>1</v>
      </c>
      <c r="BJ4941">
        <v>0.2</v>
      </c>
      <c r="BK4941">
        <v>1</v>
      </c>
      <c r="BL4941">
        <v>137.94</v>
      </c>
      <c r="BM4941">
        <v>20.69</v>
      </c>
      <c r="BN4941">
        <v>158.63</v>
      </c>
      <c r="BO4941">
        <v>158.63</v>
      </c>
      <c r="BQ4941" t="s">
        <v>1118</v>
      </c>
      <c r="BR4941" t="s">
        <v>84</v>
      </c>
      <c r="BS4941" t="s">
        <v>587</v>
      </c>
      <c r="BV4941" t="s">
        <v>86</v>
      </c>
      <c r="BY4941">
        <v>1200</v>
      </c>
      <c r="CC4941" t="s">
        <v>364</v>
      </c>
      <c r="CD4941">
        <v>7300</v>
      </c>
      <c r="CE4941" t="s">
        <v>4035</v>
      </c>
      <c r="CI4941">
        <v>1</v>
      </c>
      <c r="CJ4941" t="s">
        <v>587</v>
      </c>
      <c r="CK4941">
        <v>23</v>
      </c>
      <c r="CL4941" t="s">
        <v>86</v>
      </c>
    </row>
    <row r="4942" spans="1:90" x14ac:dyDescent="0.3">
      <c r="A4942" t="s">
        <v>72</v>
      </c>
      <c r="B4942" t="s">
        <v>73</v>
      </c>
      <c r="C4942" t="s">
        <v>74</v>
      </c>
      <c r="E4942" t="str">
        <f>"080066913569"</f>
        <v>080066913569</v>
      </c>
      <c r="F4942" s="3">
        <v>45869</v>
      </c>
      <c r="G4942">
        <v>202604</v>
      </c>
      <c r="H4942" t="s">
        <v>75</v>
      </c>
      <c r="I4942" t="s">
        <v>76</v>
      </c>
      <c r="J4942" t="s">
        <v>77</v>
      </c>
      <c r="K4942" t="s">
        <v>78</v>
      </c>
      <c r="L4942" t="s">
        <v>168</v>
      </c>
      <c r="M4942" t="s">
        <v>169</v>
      </c>
      <c r="N4942" t="s">
        <v>487</v>
      </c>
      <c r="O4942" t="s">
        <v>82</v>
      </c>
      <c r="P4942" t="str">
        <f>"4170052264                    "</f>
        <v xml:space="preserve">4170052264                    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22.6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  <c r="AZ4942">
        <v>0</v>
      </c>
      <c r="BA4942">
        <v>0</v>
      </c>
      <c r="BB4942">
        <v>0</v>
      </c>
      <c r="BC4942">
        <v>0</v>
      </c>
      <c r="BD4942">
        <v>0</v>
      </c>
      <c r="BE4942">
        <v>0</v>
      </c>
      <c r="BF4942">
        <v>0</v>
      </c>
      <c r="BG4942">
        <v>0</v>
      </c>
      <c r="BH4942">
        <v>1</v>
      </c>
      <c r="BI4942">
        <v>1</v>
      </c>
      <c r="BJ4942">
        <v>0.2</v>
      </c>
      <c r="BK4942">
        <v>1</v>
      </c>
      <c r="BL4942">
        <v>71.2</v>
      </c>
      <c r="BM4942">
        <v>10.68</v>
      </c>
      <c r="BN4942">
        <v>81.88</v>
      </c>
      <c r="BO4942">
        <v>81.88</v>
      </c>
      <c r="BQ4942" t="s">
        <v>488</v>
      </c>
      <c r="BR4942" t="s">
        <v>84</v>
      </c>
      <c r="BS4942" t="s">
        <v>587</v>
      </c>
      <c r="BV4942" t="s">
        <v>86</v>
      </c>
      <c r="BY4942">
        <v>1200</v>
      </c>
      <c r="CC4942" t="s">
        <v>169</v>
      </c>
      <c r="CD4942">
        <v>6012</v>
      </c>
      <c r="CE4942" t="s">
        <v>121</v>
      </c>
      <c r="CI4942">
        <v>1</v>
      </c>
      <c r="CJ4942" t="s">
        <v>587</v>
      </c>
      <c r="CK4942">
        <v>21</v>
      </c>
      <c r="CL4942" t="s">
        <v>86</v>
      </c>
    </row>
    <row r="4943" spans="1:90" x14ac:dyDescent="0.3">
      <c r="A4943" t="s">
        <v>72</v>
      </c>
      <c r="B4943" t="s">
        <v>73</v>
      </c>
      <c r="C4943" t="s">
        <v>74</v>
      </c>
      <c r="E4943" t="str">
        <f>"080066913614"</f>
        <v>080066913614</v>
      </c>
      <c r="F4943" s="3">
        <v>45869</v>
      </c>
      <c r="G4943">
        <v>202604</v>
      </c>
      <c r="H4943" t="s">
        <v>75</v>
      </c>
      <c r="I4943" t="s">
        <v>76</v>
      </c>
      <c r="J4943" t="s">
        <v>77</v>
      </c>
      <c r="K4943" t="s">
        <v>78</v>
      </c>
      <c r="L4943" t="s">
        <v>168</v>
      </c>
      <c r="M4943" t="s">
        <v>169</v>
      </c>
      <c r="N4943" t="s">
        <v>662</v>
      </c>
      <c r="O4943" t="s">
        <v>82</v>
      </c>
      <c r="P4943" t="str">
        <f>"4170052243                    "</f>
        <v xml:space="preserve">4170052243                    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>
        <v>22.6</v>
      </c>
      <c r="AR4943">
        <v>0</v>
      </c>
      <c r="AS4943">
        <v>0</v>
      </c>
      <c r="AT4943">
        <v>0</v>
      </c>
      <c r="AU4943">
        <v>0</v>
      </c>
      <c r="AV4943">
        <v>0</v>
      </c>
      <c r="AW4943">
        <v>0</v>
      </c>
      <c r="AX4943">
        <v>0</v>
      </c>
      <c r="AY4943">
        <v>0</v>
      </c>
      <c r="AZ4943">
        <v>0</v>
      </c>
      <c r="BA4943">
        <v>0</v>
      </c>
      <c r="BB4943">
        <v>0</v>
      </c>
      <c r="BC4943">
        <v>0</v>
      </c>
      <c r="BD4943">
        <v>0</v>
      </c>
      <c r="BE4943">
        <v>0</v>
      </c>
      <c r="BF4943">
        <v>0</v>
      </c>
      <c r="BG4943">
        <v>0</v>
      </c>
      <c r="BH4943">
        <v>1</v>
      </c>
      <c r="BI4943">
        <v>1</v>
      </c>
      <c r="BJ4943">
        <v>0.2</v>
      </c>
      <c r="BK4943">
        <v>1</v>
      </c>
      <c r="BL4943">
        <v>71.2</v>
      </c>
      <c r="BM4943">
        <v>10.68</v>
      </c>
      <c r="BN4943">
        <v>81.88</v>
      </c>
      <c r="BO4943">
        <v>81.88</v>
      </c>
      <c r="BQ4943" t="s">
        <v>663</v>
      </c>
      <c r="BR4943" t="s">
        <v>84</v>
      </c>
      <c r="BS4943" t="s">
        <v>587</v>
      </c>
      <c r="BV4943" t="s">
        <v>86</v>
      </c>
      <c r="BY4943">
        <v>1200</v>
      </c>
      <c r="CC4943" t="s">
        <v>169</v>
      </c>
      <c r="CD4943">
        <v>6001</v>
      </c>
      <c r="CE4943" t="s">
        <v>121</v>
      </c>
      <c r="CI4943">
        <v>1</v>
      </c>
      <c r="CJ4943" t="s">
        <v>587</v>
      </c>
      <c r="CK4943">
        <v>21</v>
      </c>
      <c r="CL4943" t="s">
        <v>86</v>
      </c>
    </row>
    <row r="4944" spans="1:90" x14ac:dyDescent="0.3">
      <c r="A4944" t="s">
        <v>72</v>
      </c>
      <c r="B4944" t="s">
        <v>73</v>
      </c>
      <c r="C4944" t="s">
        <v>74</v>
      </c>
      <c r="E4944" t="str">
        <f>"080066913666"</f>
        <v>080066913666</v>
      </c>
      <c r="F4944" s="3">
        <v>45869</v>
      </c>
      <c r="G4944">
        <v>202604</v>
      </c>
      <c r="H4944" t="s">
        <v>75</v>
      </c>
      <c r="I4944" t="s">
        <v>76</v>
      </c>
      <c r="J4944" t="s">
        <v>77</v>
      </c>
      <c r="K4944" t="s">
        <v>78</v>
      </c>
      <c r="L4944" t="s">
        <v>79</v>
      </c>
      <c r="M4944" t="s">
        <v>80</v>
      </c>
      <c r="N4944" t="s">
        <v>1669</v>
      </c>
      <c r="O4944" t="s">
        <v>82</v>
      </c>
      <c r="P4944" t="str">
        <f>"4170052265                    "</f>
        <v xml:space="preserve">4170052265                    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22.6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</v>
      </c>
      <c r="AZ4944">
        <v>0</v>
      </c>
      <c r="BA4944">
        <v>0</v>
      </c>
      <c r="BB4944">
        <v>0</v>
      </c>
      <c r="BC4944">
        <v>0</v>
      </c>
      <c r="BD4944">
        <v>0</v>
      </c>
      <c r="BE4944">
        <v>0</v>
      </c>
      <c r="BF4944">
        <v>0</v>
      </c>
      <c r="BG4944">
        <v>0</v>
      </c>
      <c r="BH4944">
        <v>1</v>
      </c>
      <c r="BI4944">
        <v>1</v>
      </c>
      <c r="BJ4944">
        <v>0.2</v>
      </c>
      <c r="BK4944">
        <v>1</v>
      </c>
      <c r="BL4944">
        <v>71.2</v>
      </c>
      <c r="BM4944">
        <v>10.68</v>
      </c>
      <c r="BN4944">
        <v>81.88</v>
      </c>
      <c r="BO4944">
        <v>81.88</v>
      </c>
      <c r="BQ4944" t="s">
        <v>1670</v>
      </c>
      <c r="BR4944" t="s">
        <v>84</v>
      </c>
      <c r="BS4944" t="s">
        <v>587</v>
      </c>
      <c r="BV4944" t="s">
        <v>86</v>
      </c>
      <c r="BY4944">
        <v>1200</v>
      </c>
      <c r="CC4944" t="s">
        <v>80</v>
      </c>
      <c r="CD4944">
        <v>7561</v>
      </c>
      <c r="CE4944" t="s">
        <v>121</v>
      </c>
      <c r="CI4944">
        <v>1</v>
      </c>
      <c r="CJ4944" t="s">
        <v>587</v>
      </c>
      <c r="CK4944">
        <v>21</v>
      </c>
      <c r="CL4944" t="s">
        <v>86</v>
      </c>
    </row>
    <row r="4945" spans="1:90" x14ac:dyDescent="0.3">
      <c r="A4945" t="s">
        <v>72</v>
      </c>
      <c r="B4945" t="s">
        <v>73</v>
      </c>
      <c r="C4945" t="s">
        <v>74</v>
      </c>
      <c r="E4945" t="str">
        <f>"080066914106"</f>
        <v>080066914106</v>
      </c>
      <c r="F4945" s="3">
        <v>45869</v>
      </c>
      <c r="G4945">
        <v>202604</v>
      </c>
      <c r="H4945" t="s">
        <v>75</v>
      </c>
      <c r="I4945" t="s">
        <v>76</v>
      </c>
      <c r="J4945" t="s">
        <v>77</v>
      </c>
      <c r="K4945" t="s">
        <v>78</v>
      </c>
      <c r="L4945" t="s">
        <v>295</v>
      </c>
      <c r="M4945" t="s">
        <v>296</v>
      </c>
      <c r="N4945" t="s">
        <v>539</v>
      </c>
      <c r="O4945" t="s">
        <v>311</v>
      </c>
      <c r="P4945" t="str">
        <f>"4170052052                    "</f>
        <v xml:space="preserve">4170052052                    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27.56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  <c r="BE4945">
        <v>0</v>
      </c>
      <c r="BF4945">
        <v>0</v>
      </c>
      <c r="BG4945">
        <v>0</v>
      </c>
      <c r="BH4945">
        <v>1</v>
      </c>
      <c r="BI4945">
        <v>13</v>
      </c>
      <c r="BJ4945">
        <v>8.9</v>
      </c>
      <c r="BK4945">
        <v>13</v>
      </c>
      <c r="BL4945">
        <v>86.83</v>
      </c>
      <c r="BM4945">
        <v>13.02</v>
      </c>
      <c r="BN4945">
        <v>99.85</v>
      </c>
      <c r="BO4945">
        <v>99.85</v>
      </c>
      <c r="BQ4945" t="s">
        <v>540</v>
      </c>
      <c r="BR4945" t="s">
        <v>84</v>
      </c>
      <c r="BS4945" t="s">
        <v>587</v>
      </c>
      <c r="BV4945" t="s">
        <v>86</v>
      </c>
      <c r="BY4945">
        <v>44640</v>
      </c>
      <c r="CC4945" t="s">
        <v>296</v>
      </c>
      <c r="CD4945">
        <v>1459</v>
      </c>
      <c r="CE4945" t="s">
        <v>145</v>
      </c>
      <c r="CI4945">
        <v>1</v>
      </c>
      <c r="CJ4945" t="s">
        <v>587</v>
      </c>
      <c r="CK4945">
        <v>32</v>
      </c>
      <c r="CL4945" t="s">
        <v>86</v>
      </c>
    </row>
    <row r="4946" spans="1:90" x14ac:dyDescent="0.3">
      <c r="A4946" t="s">
        <v>72</v>
      </c>
      <c r="B4946" t="s">
        <v>73</v>
      </c>
      <c r="C4946" t="s">
        <v>74</v>
      </c>
      <c r="E4946" t="str">
        <f>"080066914184"</f>
        <v>080066914184</v>
      </c>
      <c r="F4946" s="3">
        <v>45869</v>
      </c>
      <c r="G4946">
        <v>202604</v>
      </c>
      <c r="H4946" t="s">
        <v>75</v>
      </c>
      <c r="I4946" t="s">
        <v>76</v>
      </c>
      <c r="J4946" t="s">
        <v>77</v>
      </c>
      <c r="K4946" t="s">
        <v>78</v>
      </c>
      <c r="L4946" t="s">
        <v>92</v>
      </c>
      <c r="M4946" t="s">
        <v>93</v>
      </c>
      <c r="N4946" t="s">
        <v>1852</v>
      </c>
      <c r="O4946" t="s">
        <v>82</v>
      </c>
      <c r="P4946" t="str">
        <f>"4170052259                    "</f>
        <v xml:space="preserve">4170052259                    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22.6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0</v>
      </c>
      <c r="AX4946">
        <v>0</v>
      </c>
      <c r="AY4946">
        <v>0</v>
      </c>
      <c r="AZ4946">
        <v>0</v>
      </c>
      <c r="BA4946">
        <v>0</v>
      </c>
      <c r="BB4946">
        <v>0</v>
      </c>
      <c r="BC4946">
        <v>0</v>
      </c>
      <c r="BD4946">
        <v>0</v>
      </c>
      <c r="BE4946">
        <v>0</v>
      </c>
      <c r="BF4946">
        <v>0</v>
      </c>
      <c r="BG4946">
        <v>0</v>
      </c>
      <c r="BH4946">
        <v>1</v>
      </c>
      <c r="BI4946">
        <v>1</v>
      </c>
      <c r="BJ4946">
        <v>0.2</v>
      </c>
      <c r="BK4946">
        <v>1</v>
      </c>
      <c r="BL4946">
        <v>71.2</v>
      </c>
      <c r="BM4946">
        <v>10.68</v>
      </c>
      <c r="BN4946">
        <v>81.88</v>
      </c>
      <c r="BO4946">
        <v>81.88</v>
      </c>
      <c r="BQ4946" t="s">
        <v>1853</v>
      </c>
      <c r="BR4946" t="s">
        <v>84</v>
      </c>
      <c r="BS4946" t="s">
        <v>587</v>
      </c>
      <c r="BV4946" t="s">
        <v>86</v>
      </c>
      <c r="BY4946">
        <v>1230</v>
      </c>
      <c r="CC4946" t="s">
        <v>93</v>
      </c>
      <c r="CD4946">
        <v>4000</v>
      </c>
      <c r="CE4946" t="s">
        <v>121</v>
      </c>
      <c r="CI4946">
        <v>1</v>
      </c>
      <c r="CJ4946" t="s">
        <v>587</v>
      </c>
      <c r="CK4946">
        <v>21</v>
      </c>
      <c r="CL4946" t="s">
        <v>86</v>
      </c>
    </row>
    <row r="4947" spans="1:90" x14ac:dyDescent="0.3">
      <c r="A4947" t="s">
        <v>72</v>
      </c>
      <c r="B4947" t="s">
        <v>73</v>
      </c>
      <c r="C4947" t="s">
        <v>74</v>
      </c>
      <c r="E4947" t="str">
        <f>"080066914271"</f>
        <v>080066914271</v>
      </c>
      <c r="F4947" s="3">
        <v>45869</v>
      </c>
      <c r="G4947">
        <v>202604</v>
      </c>
      <c r="H4947" t="s">
        <v>75</v>
      </c>
      <c r="I4947" t="s">
        <v>76</v>
      </c>
      <c r="J4947" t="s">
        <v>77</v>
      </c>
      <c r="K4947" t="s">
        <v>78</v>
      </c>
      <c r="L4947" t="s">
        <v>240</v>
      </c>
      <c r="M4947" t="s">
        <v>241</v>
      </c>
      <c r="N4947" t="s">
        <v>447</v>
      </c>
      <c r="O4947" t="s">
        <v>82</v>
      </c>
      <c r="P4947" t="str">
        <f>"4170052248                    "</f>
        <v xml:space="preserve">4170052248                    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17.649999999999999</v>
      </c>
      <c r="AR4947">
        <v>0</v>
      </c>
      <c r="AS4947">
        <v>0</v>
      </c>
      <c r="AT4947">
        <v>0</v>
      </c>
      <c r="AU4947">
        <v>0</v>
      </c>
      <c r="AV4947">
        <v>0</v>
      </c>
      <c r="AW4947">
        <v>0</v>
      </c>
      <c r="AX4947">
        <v>0</v>
      </c>
      <c r="AY4947">
        <v>0</v>
      </c>
      <c r="AZ4947">
        <v>0</v>
      </c>
      <c r="BA4947">
        <v>0</v>
      </c>
      <c r="BB4947">
        <v>0</v>
      </c>
      <c r="BC4947">
        <v>0</v>
      </c>
      <c r="BD4947">
        <v>0</v>
      </c>
      <c r="BE4947">
        <v>0</v>
      </c>
      <c r="BF4947">
        <v>0</v>
      </c>
      <c r="BG4947">
        <v>0</v>
      </c>
      <c r="BH4947">
        <v>1</v>
      </c>
      <c r="BI4947">
        <v>1</v>
      </c>
      <c r="BJ4947">
        <v>0.2</v>
      </c>
      <c r="BK4947">
        <v>1</v>
      </c>
      <c r="BL4947">
        <v>55.61</v>
      </c>
      <c r="BM4947">
        <v>8.34</v>
      </c>
      <c r="BN4947">
        <v>63.95</v>
      </c>
      <c r="BO4947">
        <v>63.95</v>
      </c>
      <c r="BQ4947" t="s">
        <v>448</v>
      </c>
      <c r="BR4947" t="s">
        <v>84</v>
      </c>
      <c r="BS4947" t="s">
        <v>587</v>
      </c>
      <c r="BV4947" t="s">
        <v>86</v>
      </c>
      <c r="BY4947">
        <v>1200</v>
      </c>
      <c r="CC4947" t="s">
        <v>241</v>
      </c>
      <c r="CD4947">
        <v>2094</v>
      </c>
      <c r="CE4947" t="s">
        <v>121</v>
      </c>
      <c r="CI4947">
        <v>1</v>
      </c>
      <c r="CJ4947" t="s">
        <v>587</v>
      </c>
      <c r="CK4947">
        <v>22</v>
      </c>
      <c r="CL4947" t="s">
        <v>86</v>
      </c>
    </row>
    <row r="4948" spans="1:90" x14ac:dyDescent="0.3">
      <c r="A4948" t="s">
        <v>72</v>
      </c>
      <c r="B4948" t="s">
        <v>73</v>
      </c>
      <c r="C4948" t="s">
        <v>74</v>
      </c>
      <c r="E4948" t="str">
        <f>"080066914691"</f>
        <v>080066914691</v>
      </c>
      <c r="F4948" s="3">
        <v>45869</v>
      </c>
      <c r="G4948">
        <v>202604</v>
      </c>
      <c r="H4948" t="s">
        <v>75</v>
      </c>
      <c r="I4948" t="s">
        <v>76</v>
      </c>
      <c r="J4948" t="s">
        <v>77</v>
      </c>
      <c r="K4948" t="s">
        <v>78</v>
      </c>
      <c r="L4948" t="s">
        <v>305</v>
      </c>
      <c r="M4948" t="s">
        <v>306</v>
      </c>
      <c r="N4948" t="s">
        <v>640</v>
      </c>
      <c r="O4948" t="s">
        <v>82</v>
      </c>
      <c r="P4948" t="str">
        <f>"4170052274                    "</f>
        <v xml:space="preserve">4170052274                    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79.05</v>
      </c>
      <c r="AR4948">
        <v>0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AZ4948">
        <v>0</v>
      </c>
      <c r="BA4948">
        <v>0</v>
      </c>
      <c r="BB4948">
        <v>0</v>
      </c>
      <c r="BC4948">
        <v>0</v>
      </c>
      <c r="BD4948">
        <v>0</v>
      </c>
      <c r="BE4948">
        <v>0</v>
      </c>
      <c r="BF4948">
        <v>0</v>
      </c>
      <c r="BG4948">
        <v>0</v>
      </c>
      <c r="BH4948">
        <v>1</v>
      </c>
      <c r="BI4948">
        <v>7</v>
      </c>
      <c r="BJ4948">
        <v>2.6</v>
      </c>
      <c r="BK4948">
        <v>7</v>
      </c>
      <c r="BL4948">
        <v>249.05</v>
      </c>
      <c r="BM4948">
        <v>37.36</v>
      </c>
      <c r="BN4948">
        <v>286.41000000000003</v>
      </c>
      <c r="BO4948">
        <v>286.41000000000003</v>
      </c>
      <c r="BQ4948" t="s">
        <v>641</v>
      </c>
      <c r="BR4948" t="s">
        <v>84</v>
      </c>
      <c r="BS4948" t="s">
        <v>587</v>
      </c>
      <c r="BV4948" t="s">
        <v>86</v>
      </c>
      <c r="BY4948">
        <v>12768</v>
      </c>
      <c r="CC4948" t="s">
        <v>306</v>
      </c>
      <c r="CD4948">
        <v>5201</v>
      </c>
      <c r="CE4948" t="s">
        <v>91</v>
      </c>
      <c r="CI4948">
        <v>1</v>
      </c>
      <c r="CJ4948" t="s">
        <v>587</v>
      </c>
      <c r="CK4948">
        <v>21</v>
      </c>
      <c r="CL4948" t="s">
        <v>86</v>
      </c>
    </row>
    <row r="4949" spans="1:90" x14ac:dyDescent="0.3">
      <c r="A4949" t="s">
        <v>72</v>
      </c>
      <c r="B4949" t="s">
        <v>73</v>
      </c>
      <c r="C4949" t="s">
        <v>74</v>
      </c>
      <c r="E4949" t="str">
        <f>"080066914793"</f>
        <v>080066914793</v>
      </c>
      <c r="F4949" s="3">
        <v>45869</v>
      </c>
      <c r="G4949">
        <v>202604</v>
      </c>
      <c r="H4949" t="s">
        <v>75</v>
      </c>
      <c r="I4949" t="s">
        <v>76</v>
      </c>
      <c r="J4949" t="s">
        <v>77</v>
      </c>
      <c r="K4949" t="s">
        <v>78</v>
      </c>
      <c r="L4949" t="s">
        <v>92</v>
      </c>
      <c r="M4949" t="s">
        <v>93</v>
      </c>
      <c r="N4949" t="s">
        <v>749</v>
      </c>
      <c r="O4949" t="s">
        <v>82</v>
      </c>
      <c r="P4949" t="str">
        <f>"4170052273                    "</f>
        <v xml:space="preserve">4170052273                    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22.6</v>
      </c>
      <c r="AR4949">
        <v>0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AZ4949">
        <v>0</v>
      </c>
      <c r="BA4949">
        <v>0</v>
      </c>
      <c r="BB4949">
        <v>0</v>
      </c>
      <c r="BC4949">
        <v>0</v>
      </c>
      <c r="BD4949">
        <v>0</v>
      </c>
      <c r="BE4949">
        <v>0</v>
      </c>
      <c r="BF4949">
        <v>0</v>
      </c>
      <c r="BG4949">
        <v>0</v>
      </c>
      <c r="BH4949">
        <v>1</v>
      </c>
      <c r="BI4949">
        <v>1</v>
      </c>
      <c r="BJ4949">
        <v>0.6</v>
      </c>
      <c r="BK4949">
        <v>1</v>
      </c>
      <c r="BL4949">
        <v>71.2</v>
      </c>
      <c r="BM4949">
        <v>10.68</v>
      </c>
      <c r="BN4949">
        <v>81.88</v>
      </c>
      <c r="BO4949">
        <v>81.88</v>
      </c>
      <c r="BQ4949" t="s">
        <v>3214</v>
      </c>
      <c r="BR4949" t="s">
        <v>84</v>
      </c>
      <c r="BS4949" t="s">
        <v>587</v>
      </c>
      <c r="BV4949" t="s">
        <v>86</v>
      </c>
      <c r="BY4949">
        <v>3192</v>
      </c>
      <c r="CC4949" t="s">
        <v>93</v>
      </c>
      <c r="CD4949">
        <v>4001</v>
      </c>
      <c r="CE4949" t="s">
        <v>145</v>
      </c>
      <c r="CI4949">
        <v>1</v>
      </c>
      <c r="CJ4949" t="s">
        <v>587</v>
      </c>
      <c r="CK4949">
        <v>21</v>
      </c>
      <c r="CL4949" t="s">
        <v>86</v>
      </c>
    </row>
    <row r="4950" spans="1:90" x14ac:dyDescent="0.3">
      <c r="A4950" t="s">
        <v>72</v>
      </c>
      <c r="B4950" t="s">
        <v>73</v>
      </c>
      <c r="C4950" t="s">
        <v>74</v>
      </c>
      <c r="E4950" t="str">
        <f>"080066914849"</f>
        <v>080066914849</v>
      </c>
      <c r="F4950" s="3">
        <v>45869</v>
      </c>
      <c r="G4950">
        <v>202604</v>
      </c>
      <c r="H4950" t="s">
        <v>75</v>
      </c>
      <c r="I4950" t="s">
        <v>76</v>
      </c>
      <c r="J4950" t="s">
        <v>77</v>
      </c>
      <c r="K4950" t="s">
        <v>78</v>
      </c>
      <c r="L4950" t="s">
        <v>305</v>
      </c>
      <c r="M4950" t="s">
        <v>306</v>
      </c>
      <c r="N4950" t="s">
        <v>640</v>
      </c>
      <c r="O4950" t="s">
        <v>82</v>
      </c>
      <c r="P4950" t="str">
        <f>"4170052258                    "</f>
        <v xml:space="preserve">4170052258                    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22.6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AZ4950">
        <v>0</v>
      </c>
      <c r="BA4950">
        <v>0</v>
      </c>
      <c r="BB4950">
        <v>0</v>
      </c>
      <c r="BC4950">
        <v>0</v>
      </c>
      <c r="BD4950">
        <v>0</v>
      </c>
      <c r="BE4950">
        <v>0</v>
      </c>
      <c r="BF4950">
        <v>0</v>
      </c>
      <c r="BG4950">
        <v>0</v>
      </c>
      <c r="BH4950">
        <v>1</v>
      </c>
      <c r="BI4950">
        <v>1</v>
      </c>
      <c r="BJ4950">
        <v>1.1000000000000001</v>
      </c>
      <c r="BK4950">
        <v>1.5</v>
      </c>
      <c r="BL4950">
        <v>71.2</v>
      </c>
      <c r="BM4950">
        <v>10.68</v>
      </c>
      <c r="BN4950">
        <v>81.88</v>
      </c>
      <c r="BO4950">
        <v>81.88</v>
      </c>
      <c r="BQ4950" t="s">
        <v>641</v>
      </c>
      <c r="BR4950" t="s">
        <v>84</v>
      </c>
      <c r="BS4950" t="s">
        <v>587</v>
      </c>
      <c r="BV4950" t="s">
        <v>86</v>
      </c>
      <c r="BY4950">
        <v>5320</v>
      </c>
      <c r="CC4950" t="s">
        <v>306</v>
      </c>
      <c r="CD4950">
        <v>5201</v>
      </c>
      <c r="CE4950" t="s">
        <v>145</v>
      </c>
      <c r="CI4950">
        <v>1</v>
      </c>
      <c r="CJ4950" t="s">
        <v>587</v>
      </c>
      <c r="CK4950">
        <v>21</v>
      </c>
      <c r="CL4950" t="s">
        <v>86</v>
      </c>
    </row>
    <row r="4951" spans="1:90" x14ac:dyDescent="0.3">
      <c r="A4951" t="s">
        <v>72</v>
      </c>
      <c r="B4951" t="s">
        <v>73</v>
      </c>
      <c r="C4951" t="s">
        <v>74</v>
      </c>
      <c r="E4951" t="str">
        <f>"080066916435"</f>
        <v>080066916435</v>
      </c>
      <c r="F4951" s="3">
        <v>45869</v>
      </c>
      <c r="G4951">
        <v>202604</v>
      </c>
      <c r="H4951" t="s">
        <v>75</v>
      </c>
      <c r="I4951" t="s">
        <v>76</v>
      </c>
      <c r="J4951" t="s">
        <v>77</v>
      </c>
      <c r="K4951" t="s">
        <v>78</v>
      </c>
      <c r="L4951" t="s">
        <v>79</v>
      </c>
      <c r="M4951" t="s">
        <v>80</v>
      </c>
      <c r="N4951" t="s">
        <v>931</v>
      </c>
      <c r="O4951" t="s">
        <v>82</v>
      </c>
      <c r="P4951" t="str">
        <f>"4170052250                    "</f>
        <v xml:space="preserve">4170052250                    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22.6</v>
      </c>
      <c r="AR4951">
        <v>0</v>
      </c>
      <c r="AS4951">
        <v>0</v>
      </c>
      <c r="AT4951">
        <v>0</v>
      </c>
      <c r="AU4951">
        <v>0</v>
      </c>
      <c r="AV4951">
        <v>0</v>
      </c>
      <c r="AW4951">
        <v>0</v>
      </c>
      <c r="AX4951">
        <v>0</v>
      </c>
      <c r="AY4951">
        <v>0</v>
      </c>
      <c r="AZ4951">
        <v>0</v>
      </c>
      <c r="BA4951">
        <v>0</v>
      </c>
      <c r="BB4951">
        <v>0</v>
      </c>
      <c r="BC4951">
        <v>0</v>
      </c>
      <c r="BD4951">
        <v>0</v>
      </c>
      <c r="BE4951">
        <v>0</v>
      </c>
      <c r="BF4951">
        <v>0</v>
      </c>
      <c r="BG4951">
        <v>0</v>
      </c>
      <c r="BH4951">
        <v>1</v>
      </c>
      <c r="BI4951">
        <v>1</v>
      </c>
      <c r="BJ4951">
        <v>0.2</v>
      </c>
      <c r="BK4951">
        <v>1</v>
      </c>
      <c r="BL4951">
        <v>71.2</v>
      </c>
      <c r="BM4951">
        <v>10.68</v>
      </c>
      <c r="BN4951">
        <v>81.88</v>
      </c>
      <c r="BO4951">
        <v>81.88</v>
      </c>
      <c r="BQ4951" t="s">
        <v>932</v>
      </c>
      <c r="BR4951" t="s">
        <v>84</v>
      </c>
      <c r="BS4951" t="s">
        <v>587</v>
      </c>
      <c r="BV4951" t="s">
        <v>86</v>
      </c>
      <c r="BY4951">
        <v>1200</v>
      </c>
      <c r="BZ4951" t="s">
        <v>89</v>
      </c>
      <c r="CC4951" t="s">
        <v>80</v>
      </c>
      <c r="CD4951">
        <v>7535</v>
      </c>
      <c r="CE4951" t="s">
        <v>121</v>
      </c>
      <c r="CI4951">
        <v>1</v>
      </c>
      <c r="CJ4951" t="s">
        <v>587</v>
      </c>
      <c r="CK4951">
        <v>21</v>
      </c>
      <c r="CL4951" t="s">
        <v>86</v>
      </c>
    </row>
    <row r="4952" spans="1:90" x14ac:dyDescent="0.3">
      <c r="A4952" t="s">
        <v>72</v>
      </c>
      <c r="B4952" t="s">
        <v>73</v>
      </c>
      <c r="C4952" t="s">
        <v>74</v>
      </c>
      <c r="E4952" t="str">
        <f>"080066916517"</f>
        <v>080066916517</v>
      </c>
      <c r="F4952" s="3">
        <v>45869</v>
      </c>
      <c r="G4952">
        <v>202604</v>
      </c>
      <c r="H4952" t="s">
        <v>75</v>
      </c>
      <c r="I4952" t="s">
        <v>76</v>
      </c>
      <c r="J4952" t="s">
        <v>77</v>
      </c>
      <c r="K4952" t="s">
        <v>78</v>
      </c>
      <c r="L4952" t="s">
        <v>151</v>
      </c>
      <c r="M4952" t="s">
        <v>152</v>
      </c>
      <c r="N4952" t="s">
        <v>2738</v>
      </c>
      <c r="O4952" t="s">
        <v>82</v>
      </c>
      <c r="P4952" t="str">
        <f>"4170052285                    "</f>
        <v xml:space="preserve">4170052285                    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22.6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AZ4952">
        <v>0</v>
      </c>
      <c r="BA4952">
        <v>0</v>
      </c>
      <c r="BB4952">
        <v>0</v>
      </c>
      <c r="BC4952">
        <v>0</v>
      </c>
      <c r="BD4952">
        <v>0</v>
      </c>
      <c r="BE4952">
        <v>0</v>
      </c>
      <c r="BF4952">
        <v>0</v>
      </c>
      <c r="BG4952">
        <v>0</v>
      </c>
      <c r="BH4952">
        <v>1</v>
      </c>
      <c r="BI4952">
        <v>1</v>
      </c>
      <c r="BJ4952">
        <v>1.1000000000000001</v>
      </c>
      <c r="BK4952">
        <v>1.5</v>
      </c>
      <c r="BL4952">
        <v>71.2</v>
      </c>
      <c r="BM4952">
        <v>10.68</v>
      </c>
      <c r="BN4952">
        <v>81.88</v>
      </c>
      <c r="BO4952">
        <v>81.88</v>
      </c>
      <c r="BQ4952" t="s">
        <v>2739</v>
      </c>
      <c r="BR4952" t="s">
        <v>84</v>
      </c>
      <c r="BS4952" t="s">
        <v>587</v>
      </c>
      <c r="BV4952" t="s">
        <v>86</v>
      </c>
      <c r="BY4952">
        <v>5320</v>
      </c>
      <c r="BZ4952" t="s">
        <v>89</v>
      </c>
      <c r="CC4952" t="s">
        <v>152</v>
      </c>
      <c r="CD4952" s="5" t="s">
        <v>2740</v>
      </c>
      <c r="CE4952" t="s">
        <v>145</v>
      </c>
      <c r="CI4952">
        <v>1</v>
      </c>
      <c r="CJ4952" t="s">
        <v>587</v>
      </c>
      <c r="CK4952">
        <v>21</v>
      </c>
      <c r="CL4952" t="s">
        <v>86</v>
      </c>
    </row>
    <row r="4953" spans="1:90" x14ac:dyDescent="0.3">
      <c r="A4953" t="s">
        <v>72</v>
      </c>
      <c r="B4953" t="s">
        <v>73</v>
      </c>
      <c r="C4953" t="s">
        <v>74</v>
      </c>
      <c r="E4953" t="str">
        <f>"080066916560"</f>
        <v>080066916560</v>
      </c>
      <c r="F4953" s="3">
        <v>45869</v>
      </c>
      <c r="G4953">
        <v>202604</v>
      </c>
      <c r="H4953" t="s">
        <v>75</v>
      </c>
      <c r="I4953" t="s">
        <v>76</v>
      </c>
      <c r="J4953" t="s">
        <v>77</v>
      </c>
      <c r="K4953" t="s">
        <v>78</v>
      </c>
      <c r="L4953" t="s">
        <v>92</v>
      </c>
      <c r="M4953" t="s">
        <v>93</v>
      </c>
      <c r="N4953" t="s">
        <v>749</v>
      </c>
      <c r="O4953" t="s">
        <v>82</v>
      </c>
      <c r="P4953" t="str">
        <f>"4170052272                    "</f>
        <v xml:space="preserve">4170052272                    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22.6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AZ4953">
        <v>0</v>
      </c>
      <c r="BA4953">
        <v>0</v>
      </c>
      <c r="BB4953">
        <v>0</v>
      </c>
      <c r="BC4953">
        <v>0</v>
      </c>
      <c r="BD4953">
        <v>0</v>
      </c>
      <c r="BE4953">
        <v>0</v>
      </c>
      <c r="BF4953">
        <v>0</v>
      </c>
      <c r="BG4953">
        <v>0</v>
      </c>
      <c r="BH4953">
        <v>1</v>
      </c>
      <c r="BI4953">
        <v>1</v>
      </c>
      <c r="BJ4953">
        <v>0.2</v>
      </c>
      <c r="BK4953">
        <v>1</v>
      </c>
      <c r="BL4953">
        <v>71.2</v>
      </c>
      <c r="BM4953">
        <v>10.68</v>
      </c>
      <c r="BN4953">
        <v>81.88</v>
      </c>
      <c r="BO4953">
        <v>81.88</v>
      </c>
      <c r="BQ4953" t="s">
        <v>750</v>
      </c>
      <c r="BR4953" t="s">
        <v>84</v>
      </c>
      <c r="BS4953" t="s">
        <v>587</v>
      </c>
      <c r="BV4953" t="s">
        <v>86</v>
      </c>
      <c r="BY4953">
        <v>1200</v>
      </c>
      <c r="BZ4953" t="s">
        <v>89</v>
      </c>
      <c r="CC4953" t="s">
        <v>93</v>
      </c>
      <c r="CD4953">
        <v>4001</v>
      </c>
      <c r="CE4953" t="s">
        <v>121</v>
      </c>
      <c r="CI4953">
        <v>1</v>
      </c>
      <c r="CJ4953" t="s">
        <v>587</v>
      </c>
      <c r="CK4953">
        <v>21</v>
      </c>
      <c r="CL4953" t="s">
        <v>86</v>
      </c>
    </row>
    <row r="4954" spans="1:90" x14ac:dyDescent="0.3">
      <c r="A4954" t="s">
        <v>72</v>
      </c>
      <c r="B4954" t="s">
        <v>73</v>
      </c>
      <c r="C4954" t="s">
        <v>74</v>
      </c>
      <c r="E4954" t="str">
        <f>"080066916590"</f>
        <v>080066916590</v>
      </c>
      <c r="F4954" s="3">
        <v>45869</v>
      </c>
      <c r="G4954">
        <v>202604</v>
      </c>
      <c r="H4954" t="s">
        <v>75</v>
      </c>
      <c r="I4954" t="s">
        <v>76</v>
      </c>
      <c r="J4954" t="s">
        <v>77</v>
      </c>
      <c r="K4954" t="s">
        <v>78</v>
      </c>
      <c r="L4954" t="s">
        <v>146</v>
      </c>
      <c r="M4954" t="s">
        <v>146</v>
      </c>
      <c r="N4954" t="s">
        <v>986</v>
      </c>
      <c r="O4954" t="s">
        <v>95</v>
      </c>
      <c r="P4954" t="str">
        <f>"4170052276                    "</f>
        <v xml:space="preserve">4170052276                    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112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AZ4954">
        <v>0</v>
      </c>
      <c r="BA4954">
        <v>0</v>
      </c>
      <c r="BB4954">
        <v>0</v>
      </c>
      <c r="BC4954">
        <v>0</v>
      </c>
      <c r="BD4954">
        <v>0</v>
      </c>
      <c r="BE4954">
        <v>0</v>
      </c>
      <c r="BF4954">
        <v>0</v>
      </c>
      <c r="BG4954">
        <v>0</v>
      </c>
      <c r="BH4954">
        <v>1</v>
      </c>
      <c r="BI4954">
        <v>10</v>
      </c>
      <c r="BJ4954">
        <v>30.4</v>
      </c>
      <c r="BK4954">
        <v>31</v>
      </c>
      <c r="BL4954">
        <v>358.74</v>
      </c>
      <c r="BM4954">
        <v>53.81</v>
      </c>
      <c r="BN4954">
        <v>412.55</v>
      </c>
      <c r="BO4954">
        <v>412.55</v>
      </c>
      <c r="BQ4954" t="s">
        <v>987</v>
      </c>
      <c r="BR4954" t="s">
        <v>84</v>
      </c>
      <c r="BS4954" t="s">
        <v>587</v>
      </c>
      <c r="BV4954" t="s">
        <v>86</v>
      </c>
      <c r="BY4954">
        <v>151800</v>
      </c>
      <c r="BZ4954" t="s">
        <v>99</v>
      </c>
      <c r="CC4954" t="s">
        <v>146</v>
      </c>
      <c r="CD4954">
        <v>7646</v>
      </c>
      <c r="CE4954" t="s">
        <v>145</v>
      </c>
      <c r="CI4954">
        <v>3</v>
      </c>
      <c r="CJ4954" t="s">
        <v>587</v>
      </c>
      <c r="CK4954">
        <v>43</v>
      </c>
      <c r="CL4954" t="s">
        <v>86</v>
      </c>
    </row>
    <row r="4955" spans="1:90" x14ac:dyDescent="0.3">
      <c r="A4955" t="s">
        <v>72</v>
      </c>
      <c r="B4955" t="s">
        <v>73</v>
      </c>
      <c r="C4955" t="s">
        <v>74</v>
      </c>
      <c r="E4955" t="str">
        <f>"080066916622"</f>
        <v>080066916622</v>
      </c>
      <c r="F4955" s="3">
        <v>45869</v>
      </c>
      <c r="G4955">
        <v>202604</v>
      </c>
      <c r="H4955" t="s">
        <v>75</v>
      </c>
      <c r="I4955" t="s">
        <v>76</v>
      </c>
      <c r="J4955" t="s">
        <v>77</v>
      </c>
      <c r="K4955" t="s">
        <v>78</v>
      </c>
      <c r="L4955" t="s">
        <v>92</v>
      </c>
      <c r="M4955" t="s">
        <v>93</v>
      </c>
      <c r="N4955" t="s">
        <v>334</v>
      </c>
      <c r="O4955" t="s">
        <v>82</v>
      </c>
      <c r="P4955" t="str">
        <f>"4170052256                    "</f>
        <v xml:space="preserve">4170052256                    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22.6</v>
      </c>
      <c r="AR4955">
        <v>0</v>
      </c>
      <c r="AS4955">
        <v>0</v>
      </c>
      <c r="AT4955">
        <v>0</v>
      </c>
      <c r="AU4955">
        <v>0</v>
      </c>
      <c r="AV4955">
        <v>0</v>
      </c>
      <c r="AW4955">
        <v>0</v>
      </c>
      <c r="AX4955">
        <v>0</v>
      </c>
      <c r="AY4955">
        <v>0</v>
      </c>
      <c r="AZ4955">
        <v>0</v>
      </c>
      <c r="BA4955">
        <v>0</v>
      </c>
      <c r="BB4955">
        <v>0</v>
      </c>
      <c r="BC4955">
        <v>0</v>
      </c>
      <c r="BD4955">
        <v>0</v>
      </c>
      <c r="BE4955">
        <v>0</v>
      </c>
      <c r="BF4955">
        <v>0</v>
      </c>
      <c r="BG4955">
        <v>0</v>
      </c>
      <c r="BH4955">
        <v>1</v>
      </c>
      <c r="BI4955">
        <v>1</v>
      </c>
      <c r="BJ4955">
        <v>1.1000000000000001</v>
      </c>
      <c r="BK4955">
        <v>1.5</v>
      </c>
      <c r="BL4955">
        <v>71.2</v>
      </c>
      <c r="BM4955">
        <v>10.68</v>
      </c>
      <c r="BN4955">
        <v>81.88</v>
      </c>
      <c r="BO4955">
        <v>81.88</v>
      </c>
      <c r="BQ4955" t="s">
        <v>335</v>
      </c>
      <c r="BR4955" t="s">
        <v>84</v>
      </c>
      <c r="BS4955" t="s">
        <v>587</v>
      </c>
      <c r="BV4955" t="s">
        <v>86</v>
      </c>
      <c r="BY4955">
        <v>5320</v>
      </c>
      <c r="CC4955" t="s">
        <v>93</v>
      </c>
      <c r="CD4955">
        <v>4052</v>
      </c>
      <c r="CE4955" t="s">
        <v>145</v>
      </c>
      <c r="CI4955">
        <v>1</v>
      </c>
      <c r="CJ4955" t="s">
        <v>587</v>
      </c>
      <c r="CK4955">
        <v>21</v>
      </c>
      <c r="CL4955" t="s">
        <v>86</v>
      </c>
    </row>
    <row r="4956" spans="1:90" x14ac:dyDescent="0.3">
      <c r="A4956" t="s">
        <v>72</v>
      </c>
      <c r="B4956" t="s">
        <v>73</v>
      </c>
      <c r="C4956" t="s">
        <v>74</v>
      </c>
      <c r="E4956" t="str">
        <f>"080066916651"</f>
        <v>080066916651</v>
      </c>
      <c r="F4956" s="3">
        <v>45869</v>
      </c>
      <c r="G4956">
        <v>202604</v>
      </c>
      <c r="H4956" t="s">
        <v>75</v>
      </c>
      <c r="I4956" t="s">
        <v>76</v>
      </c>
      <c r="J4956" t="s">
        <v>77</v>
      </c>
      <c r="K4956" t="s">
        <v>78</v>
      </c>
      <c r="L4956" t="s">
        <v>135</v>
      </c>
      <c r="M4956" t="s">
        <v>136</v>
      </c>
      <c r="N4956" t="s">
        <v>416</v>
      </c>
      <c r="O4956" t="s">
        <v>82</v>
      </c>
      <c r="P4956" t="str">
        <f>"4170052245                    "</f>
        <v xml:space="preserve">4170052245                    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>
        <v>22.6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AZ4956">
        <v>0</v>
      </c>
      <c r="BA4956">
        <v>0</v>
      </c>
      <c r="BB4956">
        <v>0</v>
      </c>
      <c r="BC4956">
        <v>0</v>
      </c>
      <c r="BD4956">
        <v>0</v>
      </c>
      <c r="BE4956">
        <v>0</v>
      </c>
      <c r="BF4956">
        <v>0</v>
      </c>
      <c r="BG4956">
        <v>0</v>
      </c>
      <c r="BH4956">
        <v>1</v>
      </c>
      <c r="BI4956">
        <v>1</v>
      </c>
      <c r="BJ4956">
        <v>0.2</v>
      </c>
      <c r="BK4956">
        <v>1</v>
      </c>
      <c r="BL4956">
        <v>71.2</v>
      </c>
      <c r="BM4956">
        <v>10.68</v>
      </c>
      <c r="BN4956">
        <v>81.88</v>
      </c>
      <c r="BO4956">
        <v>81.88</v>
      </c>
      <c r="BQ4956" t="s">
        <v>417</v>
      </c>
      <c r="BR4956" t="s">
        <v>84</v>
      </c>
      <c r="BS4956" t="s">
        <v>587</v>
      </c>
      <c r="BV4956" t="s">
        <v>86</v>
      </c>
      <c r="BY4956">
        <v>1200</v>
      </c>
      <c r="CC4956" t="s">
        <v>136</v>
      </c>
      <c r="CD4956">
        <v>3201</v>
      </c>
      <c r="CE4956" t="s">
        <v>121</v>
      </c>
      <c r="CI4956">
        <v>1</v>
      </c>
      <c r="CJ4956" t="s">
        <v>587</v>
      </c>
      <c r="CK4956">
        <v>21</v>
      </c>
      <c r="CL4956" t="s">
        <v>86</v>
      </c>
    </row>
    <row r="4957" spans="1:90" x14ac:dyDescent="0.3">
      <c r="A4957" t="s">
        <v>72</v>
      </c>
      <c r="B4957" t="s">
        <v>73</v>
      </c>
      <c r="C4957" t="s">
        <v>74</v>
      </c>
      <c r="E4957" t="str">
        <f>"080066916771"</f>
        <v>080066916771</v>
      </c>
      <c r="F4957" s="3">
        <v>45869</v>
      </c>
      <c r="G4957">
        <v>202604</v>
      </c>
      <c r="H4957" t="s">
        <v>75</v>
      </c>
      <c r="I4957" t="s">
        <v>76</v>
      </c>
      <c r="J4957" t="s">
        <v>77</v>
      </c>
      <c r="K4957" t="s">
        <v>78</v>
      </c>
      <c r="L4957" t="s">
        <v>79</v>
      </c>
      <c r="M4957" t="s">
        <v>80</v>
      </c>
      <c r="N4957" t="s">
        <v>4036</v>
      </c>
      <c r="O4957" t="s">
        <v>82</v>
      </c>
      <c r="P4957" t="str">
        <f>"4170052266                    "</f>
        <v xml:space="preserve">4170052266                    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22.6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AZ4957">
        <v>0</v>
      </c>
      <c r="BA4957">
        <v>0</v>
      </c>
      <c r="BB4957">
        <v>0</v>
      </c>
      <c r="BC4957">
        <v>0</v>
      </c>
      <c r="BD4957">
        <v>0</v>
      </c>
      <c r="BE4957">
        <v>0</v>
      </c>
      <c r="BF4957">
        <v>0</v>
      </c>
      <c r="BG4957">
        <v>0</v>
      </c>
      <c r="BH4957">
        <v>1</v>
      </c>
      <c r="BI4957">
        <v>1</v>
      </c>
      <c r="BJ4957">
        <v>0.6</v>
      </c>
      <c r="BK4957">
        <v>1</v>
      </c>
      <c r="BL4957">
        <v>71.2</v>
      </c>
      <c r="BM4957">
        <v>10.68</v>
      </c>
      <c r="BN4957">
        <v>81.88</v>
      </c>
      <c r="BO4957">
        <v>81.88</v>
      </c>
      <c r="BQ4957" t="s">
        <v>4037</v>
      </c>
      <c r="BR4957" t="s">
        <v>84</v>
      </c>
      <c r="BS4957" t="s">
        <v>587</v>
      </c>
      <c r="BV4957" t="s">
        <v>86</v>
      </c>
      <c r="BY4957">
        <v>3192</v>
      </c>
      <c r="CC4957" t="s">
        <v>80</v>
      </c>
      <c r="CD4957">
        <v>7945</v>
      </c>
      <c r="CE4957" t="s">
        <v>145</v>
      </c>
      <c r="CI4957">
        <v>1</v>
      </c>
      <c r="CJ4957" t="s">
        <v>587</v>
      </c>
      <c r="CK4957">
        <v>21</v>
      </c>
      <c r="CL4957" t="s">
        <v>86</v>
      </c>
    </row>
    <row r="4958" spans="1:90" x14ac:dyDescent="0.3">
      <c r="A4958" t="s">
        <v>72</v>
      </c>
      <c r="B4958" t="s">
        <v>73</v>
      </c>
      <c r="C4958" t="s">
        <v>74</v>
      </c>
      <c r="E4958" t="str">
        <f>"080066916838"</f>
        <v>080066916838</v>
      </c>
      <c r="F4958" s="3">
        <v>45869</v>
      </c>
      <c r="G4958">
        <v>202604</v>
      </c>
      <c r="H4958" t="s">
        <v>75</v>
      </c>
      <c r="I4958" t="s">
        <v>76</v>
      </c>
      <c r="J4958" t="s">
        <v>77</v>
      </c>
      <c r="K4958" t="s">
        <v>78</v>
      </c>
      <c r="L4958" t="s">
        <v>390</v>
      </c>
      <c r="M4958" t="s">
        <v>391</v>
      </c>
      <c r="N4958" t="s">
        <v>4038</v>
      </c>
      <c r="O4958" t="s">
        <v>311</v>
      </c>
      <c r="P4958" t="str">
        <f>"4170052282                    "</f>
        <v xml:space="preserve">4170052282                    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>
        <v>17.66</v>
      </c>
      <c r="AR4958">
        <v>0</v>
      </c>
      <c r="AS4958">
        <v>0</v>
      </c>
      <c r="AT4958">
        <v>0</v>
      </c>
      <c r="AU4958">
        <v>0</v>
      </c>
      <c r="AV4958">
        <v>0</v>
      </c>
      <c r="AW4958">
        <v>0</v>
      </c>
      <c r="AX4958">
        <v>0</v>
      </c>
      <c r="AY4958">
        <v>0</v>
      </c>
      <c r="AZ4958">
        <v>0</v>
      </c>
      <c r="BA4958">
        <v>0</v>
      </c>
      <c r="BB4958">
        <v>0</v>
      </c>
      <c r="BC4958">
        <v>0</v>
      </c>
      <c r="BD4958">
        <v>0</v>
      </c>
      <c r="BE4958">
        <v>0</v>
      </c>
      <c r="BF4958">
        <v>0</v>
      </c>
      <c r="BG4958">
        <v>0</v>
      </c>
      <c r="BH4958">
        <v>1</v>
      </c>
      <c r="BI4958">
        <v>5</v>
      </c>
      <c r="BJ4958">
        <v>2.4</v>
      </c>
      <c r="BK4958">
        <v>5</v>
      </c>
      <c r="BL4958">
        <v>55.63</v>
      </c>
      <c r="BM4958">
        <v>8.34</v>
      </c>
      <c r="BN4958">
        <v>63.97</v>
      </c>
      <c r="BO4958">
        <v>63.97</v>
      </c>
      <c r="BQ4958" t="s">
        <v>4039</v>
      </c>
      <c r="BR4958" t="s">
        <v>84</v>
      </c>
      <c r="BS4958" t="s">
        <v>587</v>
      </c>
      <c r="BV4958" t="s">
        <v>86</v>
      </c>
      <c r="BY4958">
        <v>11844</v>
      </c>
      <c r="CC4958" t="s">
        <v>391</v>
      </c>
      <c r="CD4958">
        <v>1709</v>
      </c>
      <c r="CE4958" t="s">
        <v>91</v>
      </c>
      <c r="CI4958">
        <v>1</v>
      </c>
      <c r="CJ4958" t="s">
        <v>587</v>
      </c>
      <c r="CK4958">
        <v>32</v>
      </c>
      <c r="CL4958" t="s">
        <v>86</v>
      </c>
    </row>
    <row r="4959" spans="1:90" x14ac:dyDescent="0.3">
      <c r="A4959" t="s">
        <v>72</v>
      </c>
      <c r="B4959" t="s">
        <v>73</v>
      </c>
      <c r="C4959" t="s">
        <v>74</v>
      </c>
      <c r="E4959" t="str">
        <f>"080066917215"</f>
        <v>080066917215</v>
      </c>
      <c r="F4959" s="3">
        <v>45869</v>
      </c>
      <c r="G4959">
        <v>202604</v>
      </c>
      <c r="H4959" t="s">
        <v>75</v>
      </c>
      <c r="I4959" t="s">
        <v>76</v>
      </c>
      <c r="J4959" t="s">
        <v>77</v>
      </c>
      <c r="K4959" t="s">
        <v>78</v>
      </c>
      <c r="L4959" t="s">
        <v>168</v>
      </c>
      <c r="M4959" t="s">
        <v>169</v>
      </c>
      <c r="N4959" t="s">
        <v>726</v>
      </c>
      <c r="O4959" t="s">
        <v>82</v>
      </c>
      <c r="P4959" t="str">
        <f>"4170052255                    "</f>
        <v xml:space="preserve">4170052255                    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>
        <v>45.18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  <c r="BE4959">
        <v>0</v>
      </c>
      <c r="BF4959">
        <v>0</v>
      </c>
      <c r="BG4959">
        <v>0</v>
      </c>
      <c r="BH4959">
        <v>1</v>
      </c>
      <c r="BI4959">
        <v>4</v>
      </c>
      <c r="BJ4959">
        <v>2.6</v>
      </c>
      <c r="BK4959">
        <v>4</v>
      </c>
      <c r="BL4959">
        <v>142.34</v>
      </c>
      <c r="BM4959">
        <v>21.35</v>
      </c>
      <c r="BN4959">
        <v>163.69</v>
      </c>
      <c r="BO4959">
        <v>163.69</v>
      </c>
      <c r="BQ4959" t="s">
        <v>727</v>
      </c>
      <c r="BR4959" t="s">
        <v>84</v>
      </c>
      <c r="BS4959" t="s">
        <v>587</v>
      </c>
      <c r="BV4959" t="s">
        <v>86</v>
      </c>
      <c r="BY4959">
        <v>13104</v>
      </c>
      <c r="CC4959" t="s">
        <v>169</v>
      </c>
      <c r="CD4959">
        <v>6001</v>
      </c>
      <c r="CE4959" t="s">
        <v>91</v>
      </c>
      <c r="CI4959">
        <v>1</v>
      </c>
      <c r="CJ4959" t="s">
        <v>587</v>
      </c>
      <c r="CK4959">
        <v>21</v>
      </c>
      <c r="CL4959" t="s">
        <v>86</v>
      </c>
    </row>
    <row r="4960" spans="1:90" x14ac:dyDescent="0.3">
      <c r="A4960" t="s">
        <v>72</v>
      </c>
      <c r="B4960" t="s">
        <v>73</v>
      </c>
      <c r="C4960" t="s">
        <v>74</v>
      </c>
      <c r="E4960" t="str">
        <f>"080066917303"</f>
        <v>080066917303</v>
      </c>
      <c r="F4960" s="3">
        <v>45869</v>
      </c>
      <c r="G4960">
        <v>202604</v>
      </c>
      <c r="H4960" t="s">
        <v>75</v>
      </c>
      <c r="I4960" t="s">
        <v>76</v>
      </c>
      <c r="J4960" t="s">
        <v>77</v>
      </c>
      <c r="K4960" t="s">
        <v>78</v>
      </c>
      <c r="L4960" t="s">
        <v>168</v>
      </c>
      <c r="M4960" t="s">
        <v>169</v>
      </c>
      <c r="N4960" t="s">
        <v>420</v>
      </c>
      <c r="O4960" t="s">
        <v>82</v>
      </c>
      <c r="P4960" t="str">
        <f>"4170052275                    "</f>
        <v xml:space="preserve">4170052275                    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22.6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AZ4960">
        <v>0</v>
      </c>
      <c r="BA4960">
        <v>0</v>
      </c>
      <c r="BB4960">
        <v>0</v>
      </c>
      <c r="BC4960">
        <v>0</v>
      </c>
      <c r="BD4960">
        <v>0</v>
      </c>
      <c r="BE4960">
        <v>0</v>
      </c>
      <c r="BF4960">
        <v>0</v>
      </c>
      <c r="BG4960">
        <v>0</v>
      </c>
      <c r="BH4960">
        <v>1</v>
      </c>
      <c r="BI4960">
        <v>1</v>
      </c>
      <c r="BJ4960">
        <v>1.1000000000000001</v>
      </c>
      <c r="BK4960">
        <v>1.5</v>
      </c>
      <c r="BL4960">
        <v>71.2</v>
      </c>
      <c r="BM4960">
        <v>10.68</v>
      </c>
      <c r="BN4960">
        <v>81.88</v>
      </c>
      <c r="BO4960">
        <v>81.88</v>
      </c>
      <c r="BQ4960" t="s">
        <v>421</v>
      </c>
      <c r="BR4960" t="s">
        <v>84</v>
      </c>
      <c r="BS4960" t="s">
        <v>587</v>
      </c>
      <c r="BV4960" t="s">
        <v>86</v>
      </c>
      <c r="BY4960">
        <v>5320</v>
      </c>
      <c r="CC4960" t="s">
        <v>169</v>
      </c>
      <c r="CD4960">
        <v>6001</v>
      </c>
      <c r="CE4960" t="s">
        <v>145</v>
      </c>
      <c r="CI4960">
        <v>1</v>
      </c>
      <c r="CJ4960" t="s">
        <v>587</v>
      </c>
      <c r="CK4960">
        <v>21</v>
      </c>
      <c r="CL4960" t="s">
        <v>86</v>
      </c>
    </row>
    <row r="4961" spans="1:90" x14ac:dyDescent="0.3">
      <c r="A4961" t="s">
        <v>72</v>
      </c>
      <c r="B4961" t="s">
        <v>73</v>
      </c>
      <c r="C4961" t="s">
        <v>74</v>
      </c>
      <c r="E4961" t="str">
        <f>"080066917348"</f>
        <v>080066917348</v>
      </c>
      <c r="F4961" s="3">
        <v>45869</v>
      </c>
      <c r="G4961">
        <v>202604</v>
      </c>
      <c r="H4961" t="s">
        <v>75</v>
      </c>
      <c r="I4961" t="s">
        <v>76</v>
      </c>
      <c r="J4961" t="s">
        <v>77</v>
      </c>
      <c r="K4961" t="s">
        <v>78</v>
      </c>
      <c r="L4961" t="s">
        <v>1291</v>
      </c>
      <c r="M4961" t="s">
        <v>1292</v>
      </c>
      <c r="N4961" t="s">
        <v>2924</v>
      </c>
      <c r="O4961" t="s">
        <v>82</v>
      </c>
      <c r="P4961" t="str">
        <f>"4170052270                    "</f>
        <v xml:space="preserve">4170052270                    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>
        <v>43.78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AZ4961">
        <v>0</v>
      </c>
      <c r="BA4961">
        <v>0</v>
      </c>
      <c r="BB4961">
        <v>0</v>
      </c>
      <c r="BC4961">
        <v>0</v>
      </c>
      <c r="BD4961">
        <v>0</v>
      </c>
      <c r="BE4961">
        <v>0</v>
      </c>
      <c r="BF4961">
        <v>0</v>
      </c>
      <c r="BG4961">
        <v>0</v>
      </c>
      <c r="BH4961">
        <v>1</v>
      </c>
      <c r="BI4961">
        <v>1</v>
      </c>
      <c r="BJ4961">
        <v>1.1000000000000001</v>
      </c>
      <c r="BK4961">
        <v>1.5</v>
      </c>
      <c r="BL4961">
        <v>137.94</v>
      </c>
      <c r="BM4961">
        <v>20.69</v>
      </c>
      <c r="BN4961">
        <v>158.63</v>
      </c>
      <c r="BO4961">
        <v>158.63</v>
      </c>
      <c r="BQ4961" t="s">
        <v>2925</v>
      </c>
      <c r="BR4961" t="s">
        <v>84</v>
      </c>
      <c r="BS4961" t="s">
        <v>587</v>
      </c>
      <c r="BV4961" t="s">
        <v>86</v>
      </c>
      <c r="BY4961">
        <v>5320</v>
      </c>
      <c r="CC4961" t="s">
        <v>1292</v>
      </c>
      <c r="CD4961">
        <v>3370</v>
      </c>
      <c r="CE4961" t="s">
        <v>145</v>
      </c>
      <c r="CI4961">
        <v>2</v>
      </c>
      <c r="CJ4961" t="s">
        <v>587</v>
      </c>
      <c r="CK4961">
        <v>23</v>
      </c>
      <c r="CL4961" t="s">
        <v>86</v>
      </c>
    </row>
    <row r="4962" spans="1:90" x14ac:dyDescent="0.3">
      <c r="A4962" t="s">
        <v>72</v>
      </c>
      <c r="B4962" t="s">
        <v>73</v>
      </c>
      <c r="C4962" t="s">
        <v>74</v>
      </c>
      <c r="E4962" t="str">
        <f>"080066917402"</f>
        <v>080066917402</v>
      </c>
      <c r="F4962" s="3">
        <v>45869</v>
      </c>
      <c r="G4962">
        <v>202604</v>
      </c>
      <c r="H4962" t="s">
        <v>75</v>
      </c>
      <c r="I4962" t="s">
        <v>76</v>
      </c>
      <c r="J4962" t="s">
        <v>77</v>
      </c>
      <c r="K4962" t="s">
        <v>78</v>
      </c>
      <c r="L4962" t="s">
        <v>305</v>
      </c>
      <c r="M4962" t="s">
        <v>306</v>
      </c>
      <c r="N4962" t="s">
        <v>1320</v>
      </c>
      <c r="O4962" t="s">
        <v>82</v>
      </c>
      <c r="P4962" t="str">
        <f>"4170052286                    "</f>
        <v xml:space="preserve">4170052286                    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>
        <v>22.6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  <c r="BE4962">
        <v>0</v>
      </c>
      <c r="BF4962">
        <v>0</v>
      </c>
      <c r="BG4962">
        <v>0</v>
      </c>
      <c r="BH4962">
        <v>1</v>
      </c>
      <c r="BI4962">
        <v>1</v>
      </c>
      <c r="BJ4962">
        <v>0.2</v>
      </c>
      <c r="BK4962">
        <v>1</v>
      </c>
      <c r="BL4962">
        <v>71.2</v>
      </c>
      <c r="BM4962">
        <v>10.68</v>
      </c>
      <c r="BN4962">
        <v>81.88</v>
      </c>
      <c r="BO4962">
        <v>81.88</v>
      </c>
      <c r="BQ4962" t="s">
        <v>308</v>
      </c>
      <c r="BR4962" t="s">
        <v>84</v>
      </c>
      <c r="BS4962" t="s">
        <v>587</v>
      </c>
      <c r="BV4962" t="s">
        <v>86</v>
      </c>
      <c r="BY4962">
        <v>1200</v>
      </c>
      <c r="CC4962" t="s">
        <v>306</v>
      </c>
      <c r="CD4962">
        <v>5200</v>
      </c>
      <c r="CE4962" t="s">
        <v>121</v>
      </c>
      <c r="CI4962">
        <v>1</v>
      </c>
      <c r="CJ4962" t="s">
        <v>587</v>
      </c>
      <c r="CK4962">
        <v>21</v>
      </c>
      <c r="CL4962" t="s">
        <v>86</v>
      </c>
    </row>
    <row r="4963" spans="1:90" x14ac:dyDescent="0.3">
      <c r="A4963" t="s">
        <v>72</v>
      </c>
      <c r="B4963" t="s">
        <v>73</v>
      </c>
      <c r="C4963" t="s">
        <v>74</v>
      </c>
      <c r="E4963" t="str">
        <f>"080066917467"</f>
        <v>080066917467</v>
      </c>
      <c r="F4963" s="3">
        <v>45869</v>
      </c>
      <c r="G4963">
        <v>202604</v>
      </c>
      <c r="H4963" t="s">
        <v>75</v>
      </c>
      <c r="I4963" t="s">
        <v>76</v>
      </c>
      <c r="J4963" t="s">
        <v>77</v>
      </c>
      <c r="K4963" t="s">
        <v>78</v>
      </c>
      <c r="L4963" t="s">
        <v>580</v>
      </c>
      <c r="M4963" t="s">
        <v>581</v>
      </c>
      <c r="N4963" t="s">
        <v>582</v>
      </c>
      <c r="O4963" t="s">
        <v>82</v>
      </c>
      <c r="P4963" t="str">
        <f>"4170052252                    "</f>
        <v xml:space="preserve">4170052252                    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22.6</v>
      </c>
      <c r="AR4963">
        <v>0</v>
      </c>
      <c r="AS4963">
        <v>0</v>
      </c>
      <c r="AT4963">
        <v>0</v>
      </c>
      <c r="AU4963">
        <v>0</v>
      </c>
      <c r="AV4963">
        <v>0</v>
      </c>
      <c r="AW4963">
        <v>0</v>
      </c>
      <c r="AX4963">
        <v>0</v>
      </c>
      <c r="AY4963">
        <v>0</v>
      </c>
      <c r="AZ4963">
        <v>0</v>
      </c>
      <c r="BA4963">
        <v>0</v>
      </c>
      <c r="BB4963">
        <v>0</v>
      </c>
      <c r="BC4963">
        <v>0</v>
      </c>
      <c r="BD4963">
        <v>0</v>
      </c>
      <c r="BE4963">
        <v>0</v>
      </c>
      <c r="BF4963">
        <v>0</v>
      </c>
      <c r="BG4963">
        <v>0</v>
      </c>
      <c r="BH4963">
        <v>1</v>
      </c>
      <c r="BI4963">
        <v>1</v>
      </c>
      <c r="BJ4963">
        <v>0.2</v>
      </c>
      <c r="BK4963">
        <v>1</v>
      </c>
      <c r="BL4963">
        <v>71.2</v>
      </c>
      <c r="BM4963">
        <v>10.68</v>
      </c>
      <c r="BN4963">
        <v>81.88</v>
      </c>
      <c r="BO4963">
        <v>81.88</v>
      </c>
      <c r="BQ4963" t="s">
        <v>583</v>
      </c>
      <c r="BR4963" t="s">
        <v>84</v>
      </c>
      <c r="BS4963" t="s">
        <v>587</v>
      </c>
      <c r="BV4963" t="s">
        <v>86</v>
      </c>
      <c r="BY4963">
        <v>1200</v>
      </c>
      <c r="CC4963" t="s">
        <v>581</v>
      </c>
      <c r="CD4963">
        <v>4302</v>
      </c>
      <c r="CE4963" t="s">
        <v>121</v>
      </c>
      <c r="CI4963">
        <v>1</v>
      </c>
      <c r="CJ4963" t="s">
        <v>587</v>
      </c>
      <c r="CK4963">
        <v>21</v>
      </c>
      <c r="CL4963" t="s">
        <v>86</v>
      </c>
    </row>
    <row r="4964" spans="1:90" x14ac:dyDescent="0.3">
      <c r="A4964" t="s">
        <v>72</v>
      </c>
      <c r="B4964" t="s">
        <v>73</v>
      </c>
      <c r="C4964" t="s">
        <v>74</v>
      </c>
      <c r="E4964" t="str">
        <f>"080066917519"</f>
        <v>080066917519</v>
      </c>
      <c r="F4964" s="3">
        <v>45869</v>
      </c>
      <c r="G4964">
        <v>202604</v>
      </c>
      <c r="H4964" t="s">
        <v>75</v>
      </c>
      <c r="I4964" t="s">
        <v>76</v>
      </c>
      <c r="J4964" t="s">
        <v>77</v>
      </c>
      <c r="K4964" t="s">
        <v>78</v>
      </c>
      <c r="L4964" t="s">
        <v>122</v>
      </c>
      <c r="M4964" t="s">
        <v>123</v>
      </c>
      <c r="N4964" t="s">
        <v>1825</v>
      </c>
      <c r="O4964" t="s">
        <v>82</v>
      </c>
      <c r="P4964" t="str">
        <f>"4170052278                    "</f>
        <v xml:space="preserve">4170052278                    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>
        <v>22.6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0</v>
      </c>
      <c r="BA4964">
        <v>0</v>
      </c>
      <c r="BB4964">
        <v>0</v>
      </c>
      <c r="BC4964">
        <v>0</v>
      </c>
      <c r="BD4964">
        <v>0</v>
      </c>
      <c r="BE4964">
        <v>0</v>
      </c>
      <c r="BF4964">
        <v>0</v>
      </c>
      <c r="BG4964">
        <v>0</v>
      </c>
      <c r="BH4964">
        <v>1</v>
      </c>
      <c r="BI4964">
        <v>1</v>
      </c>
      <c r="BJ4964">
        <v>0.2</v>
      </c>
      <c r="BK4964">
        <v>1</v>
      </c>
      <c r="BL4964">
        <v>71.2</v>
      </c>
      <c r="BM4964">
        <v>10.68</v>
      </c>
      <c r="BN4964">
        <v>81.88</v>
      </c>
      <c r="BO4964">
        <v>81.88</v>
      </c>
      <c r="BQ4964" t="s">
        <v>1826</v>
      </c>
      <c r="BR4964" t="s">
        <v>84</v>
      </c>
      <c r="BS4964" t="s">
        <v>587</v>
      </c>
      <c r="BV4964" t="s">
        <v>86</v>
      </c>
      <c r="BY4964">
        <v>1200</v>
      </c>
      <c r="CC4964" t="s">
        <v>123</v>
      </c>
      <c r="CD4964">
        <v>3610</v>
      </c>
      <c r="CE4964" t="s">
        <v>121</v>
      </c>
      <c r="CI4964">
        <v>1</v>
      </c>
      <c r="CJ4964" t="s">
        <v>587</v>
      </c>
      <c r="CK4964">
        <v>21</v>
      </c>
      <c r="CL4964" t="s">
        <v>86</v>
      </c>
    </row>
    <row r="4965" spans="1:90" x14ac:dyDescent="0.3">
      <c r="A4965" t="s">
        <v>72</v>
      </c>
      <c r="B4965" t="s">
        <v>73</v>
      </c>
      <c r="C4965" t="s">
        <v>74</v>
      </c>
      <c r="E4965" t="str">
        <f>"080066917576"</f>
        <v>080066917576</v>
      </c>
      <c r="F4965" s="3">
        <v>45869</v>
      </c>
      <c r="G4965">
        <v>202604</v>
      </c>
      <c r="H4965" t="s">
        <v>75</v>
      </c>
      <c r="I4965" t="s">
        <v>76</v>
      </c>
      <c r="J4965" t="s">
        <v>77</v>
      </c>
      <c r="K4965" t="s">
        <v>78</v>
      </c>
      <c r="L4965" t="s">
        <v>548</v>
      </c>
      <c r="M4965" t="s">
        <v>549</v>
      </c>
      <c r="N4965" t="s">
        <v>550</v>
      </c>
      <c r="O4965" t="s">
        <v>82</v>
      </c>
      <c r="P4965" t="str">
        <f>"4170052302                    "</f>
        <v xml:space="preserve">4170052302                    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>
        <v>43.78</v>
      </c>
      <c r="AR4965">
        <v>0</v>
      </c>
      <c r="AS4965">
        <v>0</v>
      </c>
      <c r="AT4965">
        <v>0</v>
      </c>
      <c r="AU4965">
        <v>0</v>
      </c>
      <c r="AV4965">
        <v>0</v>
      </c>
      <c r="AW4965">
        <v>0</v>
      </c>
      <c r="AX4965">
        <v>0</v>
      </c>
      <c r="AY4965">
        <v>0</v>
      </c>
      <c r="AZ4965">
        <v>0</v>
      </c>
      <c r="BA4965">
        <v>0</v>
      </c>
      <c r="BB4965">
        <v>0</v>
      </c>
      <c r="BC4965">
        <v>0</v>
      </c>
      <c r="BD4965">
        <v>0</v>
      </c>
      <c r="BE4965">
        <v>0</v>
      </c>
      <c r="BF4965">
        <v>0</v>
      </c>
      <c r="BG4965">
        <v>0</v>
      </c>
      <c r="BH4965">
        <v>1</v>
      </c>
      <c r="BI4965">
        <v>1</v>
      </c>
      <c r="BJ4965">
        <v>0.2</v>
      </c>
      <c r="BK4965">
        <v>1</v>
      </c>
      <c r="BL4965">
        <v>137.94</v>
      </c>
      <c r="BM4965">
        <v>20.69</v>
      </c>
      <c r="BN4965">
        <v>158.63</v>
      </c>
      <c r="BO4965">
        <v>158.63</v>
      </c>
      <c r="BQ4965" t="s">
        <v>551</v>
      </c>
      <c r="BR4965" t="s">
        <v>84</v>
      </c>
      <c r="BS4965" t="s">
        <v>587</v>
      </c>
      <c r="BV4965" t="s">
        <v>86</v>
      </c>
      <c r="BY4965">
        <v>1200</v>
      </c>
      <c r="CC4965" t="s">
        <v>549</v>
      </c>
      <c r="CD4965">
        <v>5257</v>
      </c>
      <c r="CE4965" t="s">
        <v>121</v>
      </c>
      <c r="CI4965">
        <v>1</v>
      </c>
      <c r="CJ4965" t="s">
        <v>587</v>
      </c>
      <c r="CK4965">
        <v>23</v>
      </c>
      <c r="CL4965" t="s">
        <v>86</v>
      </c>
    </row>
    <row r="4966" spans="1:90" x14ac:dyDescent="0.3">
      <c r="A4966" t="s">
        <v>72</v>
      </c>
      <c r="B4966" t="s">
        <v>73</v>
      </c>
      <c r="C4966" t="s">
        <v>74</v>
      </c>
      <c r="E4966" t="str">
        <f>"080066917585"</f>
        <v>080066917585</v>
      </c>
      <c r="F4966" s="3">
        <v>45869</v>
      </c>
      <c r="G4966">
        <v>202604</v>
      </c>
      <c r="H4966" t="s">
        <v>75</v>
      </c>
      <c r="I4966" t="s">
        <v>76</v>
      </c>
      <c r="J4966" t="s">
        <v>77</v>
      </c>
      <c r="K4966" t="s">
        <v>78</v>
      </c>
      <c r="L4966" t="s">
        <v>122</v>
      </c>
      <c r="M4966" t="s">
        <v>123</v>
      </c>
      <c r="N4966" t="s">
        <v>163</v>
      </c>
      <c r="O4966" t="s">
        <v>82</v>
      </c>
      <c r="P4966" t="str">
        <f>"4170052262                    "</f>
        <v xml:space="preserve">4170052262                    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>
        <v>22.6</v>
      </c>
      <c r="AR4966">
        <v>0</v>
      </c>
      <c r="AS4966">
        <v>0</v>
      </c>
      <c r="AT4966">
        <v>0</v>
      </c>
      <c r="AU4966">
        <v>0</v>
      </c>
      <c r="AV4966">
        <v>0</v>
      </c>
      <c r="AW4966">
        <v>0</v>
      </c>
      <c r="AX4966">
        <v>0</v>
      </c>
      <c r="AY4966">
        <v>0</v>
      </c>
      <c r="AZ4966">
        <v>0</v>
      </c>
      <c r="BA4966">
        <v>0</v>
      </c>
      <c r="BB4966">
        <v>0</v>
      </c>
      <c r="BC4966">
        <v>0</v>
      </c>
      <c r="BD4966">
        <v>0</v>
      </c>
      <c r="BE4966">
        <v>0</v>
      </c>
      <c r="BF4966">
        <v>0</v>
      </c>
      <c r="BG4966">
        <v>0</v>
      </c>
      <c r="BH4966">
        <v>1</v>
      </c>
      <c r="BI4966">
        <v>1</v>
      </c>
      <c r="BJ4966">
        <v>0.2</v>
      </c>
      <c r="BK4966">
        <v>1</v>
      </c>
      <c r="BL4966">
        <v>71.2</v>
      </c>
      <c r="BM4966">
        <v>10.68</v>
      </c>
      <c r="BN4966">
        <v>81.88</v>
      </c>
      <c r="BO4966">
        <v>81.88</v>
      </c>
      <c r="BQ4966" t="s">
        <v>164</v>
      </c>
      <c r="BR4966" t="s">
        <v>84</v>
      </c>
      <c r="BS4966" t="s">
        <v>587</v>
      </c>
      <c r="BV4966" t="s">
        <v>86</v>
      </c>
      <c r="BY4966">
        <v>1200</v>
      </c>
      <c r="CC4966" t="s">
        <v>123</v>
      </c>
      <c r="CD4966">
        <v>3600</v>
      </c>
      <c r="CE4966" t="s">
        <v>121</v>
      </c>
      <c r="CI4966">
        <v>1</v>
      </c>
      <c r="CJ4966" t="s">
        <v>587</v>
      </c>
      <c r="CK4966">
        <v>21</v>
      </c>
      <c r="CL4966" t="s">
        <v>86</v>
      </c>
    </row>
    <row r="4967" spans="1:90" x14ac:dyDescent="0.3">
      <c r="A4967" t="s">
        <v>72</v>
      </c>
      <c r="B4967" t="s">
        <v>73</v>
      </c>
      <c r="C4967" t="s">
        <v>74</v>
      </c>
      <c r="E4967" t="str">
        <f>"080066917669"</f>
        <v>080066917669</v>
      </c>
      <c r="F4967" s="3">
        <v>45869</v>
      </c>
      <c r="G4967">
        <v>202604</v>
      </c>
      <c r="H4967" t="s">
        <v>75</v>
      </c>
      <c r="I4967" t="s">
        <v>76</v>
      </c>
      <c r="J4967" t="s">
        <v>77</v>
      </c>
      <c r="K4967" t="s">
        <v>78</v>
      </c>
      <c r="L4967" t="s">
        <v>135</v>
      </c>
      <c r="M4967" t="s">
        <v>136</v>
      </c>
      <c r="N4967" t="s">
        <v>1924</v>
      </c>
      <c r="O4967" t="s">
        <v>82</v>
      </c>
      <c r="P4967" t="str">
        <f>"4170052269                    "</f>
        <v xml:space="preserve">4170052269                    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>
        <v>22.6</v>
      </c>
      <c r="AR4967">
        <v>0</v>
      </c>
      <c r="AS4967">
        <v>0</v>
      </c>
      <c r="AT4967">
        <v>0</v>
      </c>
      <c r="AU4967">
        <v>0</v>
      </c>
      <c r="AV4967">
        <v>0</v>
      </c>
      <c r="AW4967">
        <v>0</v>
      </c>
      <c r="AX4967">
        <v>0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  <c r="BE4967">
        <v>0</v>
      </c>
      <c r="BF4967">
        <v>0</v>
      </c>
      <c r="BG4967">
        <v>0</v>
      </c>
      <c r="BH4967">
        <v>1</v>
      </c>
      <c r="BI4967">
        <v>1</v>
      </c>
      <c r="BJ4967">
        <v>0.2</v>
      </c>
      <c r="BK4967">
        <v>1</v>
      </c>
      <c r="BL4967">
        <v>71.2</v>
      </c>
      <c r="BM4967">
        <v>10.68</v>
      </c>
      <c r="BN4967">
        <v>81.88</v>
      </c>
      <c r="BO4967">
        <v>81.88</v>
      </c>
      <c r="BQ4967" t="s">
        <v>1925</v>
      </c>
      <c r="BR4967" t="s">
        <v>84</v>
      </c>
      <c r="BS4967" t="s">
        <v>587</v>
      </c>
      <c r="BV4967" t="s">
        <v>86</v>
      </c>
      <c r="BY4967">
        <v>1200</v>
      </c>
      <c r="CC4967" t="s">
        <v>136</v>
      </c>
      <c r="CD4967">
        <v>3201</v>
      </c>
      <c r="CE4967" t="s">
        <v>121</v>
      </c>
      <c r="CI4967">
        <v>1</v>
      </c>
      <c r="CJ4967" t="s">
        <v>587</v>
      </c>
      <c r="CK4967">
        <v>21</v>
      </c>
      <c r="CL4967" t="s">
        <v>86</v>
      </c>
    </row>
    <row r="4968" spans="1:90" x14ac:dyDescent="0.3">
      <c r="A4968" t="s">
        <v>72</v>
      </c>
      <c r="B4968" t="s">
        <v>73</v>
      </c>
      <c r="C4968" t="s">
        <v>74</v>
      </c>
      <c r="E4968" t="str">
        <f>"080066918735"</f>
        <v>080066918735</v>
      </c>
      <c r="F4968" s="3">
        <v>45869</v>
      </c>
      <c r="G4968">
        <v>202604</v>
      </c>
      <c r="H4968" t="s">
        <v>75</v>
      </c>
      <c r="I4968" t="s">
        <v>76</v>
      </c>
      <c r="J4968" t="s">
        <v>77</v>
      </c>
      <c r="K4968" t="s">
        <v>78</v>
      </c>
      <c r="L4968" t="s">
        <v>1651</v>
      </c>
      <c r="M4968" t="s">
        <v>1652</v>
      </c>
      <c r="N4968" t="s">
        <v>1653</v>
      </c>
      <c r="O4968" t="s">
        <v>82</v>
      </c>
      <c r="P4968" t="str">
        <f>"4170052300                    "</f>
        <v xml:space="preserve">4170052300                    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43.78</v>
      </c>
      <c r="AR4968">
        <v>0</v>
      </c>
      <c r="AS4968">
        <v>0</v>
      </c>
      <c r="AT4968">
        <v>0</v>
      </c>
      <c r="AU4968">
        <v>0</v>
      </c>
      <c r="AV4968">
        <v>0</v>
      </c>
      <c r="AW4968">
        <v>0</v>
      </c>
      <c r="AX4968">
        <v>0</v>
      </c>
      <c r="AY4968">
        <v>0</v>
      </c>
      <c r="AZ4968">
        <v>0</v>
      </c>
      <c r="BA4968">
        <v>0</v>
      </c>
      <c r="BB4968">
        <v>0</v>
      </c>
      <c r="BC4968">
        <v>0</v>
      </c>
      <c r="BD4968">
        <v>0</v>
      </c>
      <c r="BE4968">
        <v>0</v>
      </c>
      <c r="BF4968">
        <v>0</v>
      </c>
      <c r="BG4968">
        <v>0</v>
      </c>
      <c r="BH4968">
        <v>1</v>
      </c>
      <c r="BI4968">
        <v>1</v>
      </c>
      <c r="BJ4968">
        <v>0.2</v>
      </c>
      <c r="BK4968">
        <v>1</v>
      </c>
      <c r="BL4968">
        <v>137.94</v>
      </c>
      <c r="BM4968">
        <v>20.69</v>
      </c>
      <c r="BN4968">
        <v>158.63</v>
      </c>
      <c r="BO4968">
        <v>158.63</v>
      </c>
      <c r="BQ4968" t="s">
        <v>1654</v>
      </c>
      <c r="BR4968" t="s">
        <v>84</v>
      </c>
      <c r="BS4968" t="s">
        <v>587</v>
      </c>
      <c r="BV4968" t="s">
        <v>86</v>
      </c>
      <c r="BY4968">
        <v>1200</v>
      </c>
      <c r="CC4968" t="s">
        <v>1652</v>
      </c>
      <c r="CD4968">
        <v>6715</v>
      </c>
      <c r="CE4968" t="s">
        <v>121</v>
      </c>
      <c r="CI4968">
        <v>2</v>
      </c>
      <c r="CJ4968" t="s">
        <v>587</v>
      </c>
      <c r="CK4968">
        <v>23</v>
      </c>
      <c r="CL4968" t="s">
        <v>86</v>
      </c>
    </row>
    <row r="4969" spans="1:90" x14ac:dyDescent="0.3">
      <c r="A4969" t="s">
        <v>72</v>
      </c>
      <c r="B4969" t="s">
        <v>73</v>
      </c>
      <c r="C4969" t="s">
        <v>74</v>
      </c>
      <c r="E4969" t="str">
        <f>"080066918786"</f>
        <v>080066918786</v>
      </c>
      <c r="F4969" s="3">
        <v>45869</v>
      </c>
      <c r="G4969">
        <v>202604</v>
      </c>
      <c r="H4969" t="s">
        <v>75</v>
      </c>
      <c r="I4969" t="s">
        <v>76</v>
      </c>
      <c r="J4969" t="s">
        <v>77</v>
      </c>
      <c r="K4969" t="s">
        <v>78</v>
      </c>
      <c r="L4969" t="s">
        <v>146</v>
      </c>
      <c r="M4969" t="s">
        <v>146</v>
      </c>
      <c r="N4969" t="s">
        <v>633</v>
      </c>
      <c r="O4969" t="s">
        <v>82</v>
      </c>
      <c r="P4969" t="str">
        <f>"4170052244                    "</f>
        <v xml:space="preserve">4170052244                    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43.78</v>
      </c>
      <c r="AR4969">
        <v>0</v>
      </c>
      <c r="AS4969">
        <v>0</v>
      </c>
      <c r="AT4969">
        <v>0</v>
      </c>
      <c r="AU4969">
        <v>0</v>
      </c>
      <c r="AV4969">
        <v>0</v>
      </c>
      <c r="AW4969">
        <v>0</v>
      </c>
      <c r="AX4969">
        <v>0</v>
      </c>
      <c r="AY4969">
        <v>0</v>
      </c>
      <c r="AZ4969">
        <v>0</v>
      </c>
      <c r="BA4969">
        <v>0</v>
      </c>
      <c r="BB4969">
        <v>0</v>
      </c>
      <c r="BC4969">
        <v>0</v>
      </c>
      <c r="BD4969">
        <v>0</v>
      </c>
      <c r="BE4969">
        <v>0</v>
      </c>
      <c r="BF4969">
        <v>0</v>
      </c>
      <c r="BG4969">
        <v>0</v>
      </c>
      <c r="BH4969">
        <v>1</v>
      </c>
      <c r="BI4969">
        <v>1</v>
      </c>
      <c r="BJ4969">
        <v>0.2</v>
      </c>
      <c r="BK4969">
        <v>1</v>
      </c>
      <c r="BL4969">
        <v>137.94</v>
      </c>
      <c r="BM4969">
        <v>20.69</v>
      </c>
      <c r="BN4969">
        <v>158.63</v>
      </c>
      <c r="BO4969">
        <v>158.63</v>
      </c>
      <c r="BQ4969" t="s">
        <v>634</v>
      </c>
      <c r="BR4969" t="s">
        <v>84</v>
      </c>
      <c r="BS4969" t="s">
        <v>587</v>
      </c>
      <c r="BV4969" t="s">
        <v>86</v>
      </c>
      <c r="BY4969">
        <v>1200</v>
      </c>
      <c r="CC4969" t="s">
        <v>146</v>
      </c>
      <c r="CD4969">
        <v>7646</v>
      </c>
      <c r="CE4969" t="s">
        <v>121</v>
      </c>
      <c r="CI4969">
        <v>1</v>
      </c>
      <c r="CJ4969" t="s">
        <v>587</v>
      </c>
      <c r="CK4969">
        <v>23</v>
      </c>
      <c r="CL4969" t="s">
        <v>86</v>
      </c>
    </row>
    <row r="4970" spans="1:90" x14ac:dyDescent="0.3">
      <c r="A4970" t="s">
        <v>72</v>
      </c>
      <c r="B4970" t="s">
        <v>73</v>
      </c>
      <c r="C4970" t="s">
        <v>74</v>
      </c>
      <c r="E4970" t="str">
        <f>"080066918796"</f>
        <v>080066918796</v>
      </c>
      <c r="F4970" s="3">
        <v>45869</v>
      </c>
      <c r="G4970">
        <v>202604</v>
      </c>
      <c r="H4970" t="s">
        <v>75</v>
      </c>
      <c r="I4970" t="s">
        <v>76</v>
      </c>
      <c r="J4970" t="s">
        <v>77</v>
      </c>
      <c r="K4970" t="s">
        <v>78</v>
      </c>
      <c r="L4970" t="s">
        <v>168</v>
      </c>
      <c r="M4970" t="s">
        <v>169</v>
      </c>
      <c r="N4970" t="s">
        <v>1777</v>
      </c>
      <c r="O4970" t="s">
        <v>95</v>
      </c>
      <c r="P4970" t="str">
        <f>"4170052229                    "</f>
        <v xml:space="preserve">4170052229                    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179.02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0</v>
      </c>
      <c r="AX4970">
        <v>0</v>
      </c>
      <c r="AY4970">
        <v>0</v>
      </c>
      <c r="AZ4970">
        <v>0</v>
      </c>
      <c r="BA4970">
        <v>0</v>
      </c>
      <c r="BB4970">
        <v>0</v>
      </c>
      <c r="BC4970">
        <v>0</v>
      </c>
      <c r="BD4970">
        <v>0</v>
      </c>
      <c r="BE4970">
        <v>0</v>
      </c>
      <c r="BF4970">
        <v>0</v>
      </c>
      <c r="BG4970">
        <v>0</v>
      </c>
      <c r="BH4970">
        <v>1</v>
      </c>
      <c r="BI4970">
        <v>28</v>
      </c>
      <c r="BJ4970">
        <v>89.7</v>
      </c>
      <c r="BK4970">
        <v>90</v>
      </c>
      <c r="BL4970">
        <v>569.87</v>
      </c>
      <c r="BM4970">
        <v>85.48</v>
      </c>
      <c r="BN4970">
        <v>655.35</v>
      </c>
      <c r="BO4970">
        <v>655.35</v>
      </c>
      <c r="BQ4970" t="s">
        <v>1778</v>
      </c>
      <c r="BR4970" t="s">
        <v>84</v>
      </c>
      <c r="BS4970" t="s">
        <v>587</v>
      </c>
      <c r="BV4970" t="s">
        <v>86</v>
      </c>
      <c r="BY4970">
        <v>448335</v>
      </c>
      <c r="CC4970" t="s">
        <v>169</v>
      </c>
      <c r="CD4970">
        <v>6001</v>
      </c>
      <c r="CE4970" t="s">
        <v>3156</v>
      </c>
      <c r="CI4970">
        <v>3</v>
      </c>
      <c r="CJ4970" t="s">
        <v>587</v>
      </c>
      <c r="CK4970">
        <v>41</v>
      </c>
      <c r="CL4970" t="s">
        <v>86</v>
      </c>
    </row>
    <row r="4971" spans="1:90" x14ac:dyDescent="0.3">
      <c r="A4971" t="s">
        <v>72</v>
      </c>
      <c r="B4971" t="s">
        <v>73</v>
      </c>
      <c r="C4971" t="s">
        <v>74</v>
      </c>
      <c r="E4971" t="str">
        <f>"080066918833"</f>
        <v>080066918833</v>
      </c>
      <c r="F4971" s="3">
        <v>45869</v>
      </c>
      <c r="G4971">
        <v>202604</v>
      </c>
      <c r="H4971" t="s">
        <v>75</v>
      </c>
      <c r="I4971" t="s">
        <v>76</v>
      </c>
      <c r="J4971" t="s">
        <v>77</v>
      </c>
      <c r="K4971" t="s">
        <v>78</v>
      </c>
      <c r="L4971" t="s">
        <v>252</v>
      </c>
      <c r="M4971" t="s">
        <v>253</v>
      </c>
      <c r="N4971" t="s">
        <v>254</v>
      </c>
      <c r="O4971" t="s">
        <v>82</v>
      </c>
      <c r="P4971" t="str">
        <f>"4170052309                    "</f>
        <v xml:space="preserve">4170052309                    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43.78</v>
      </c>
      <c r="AR4971">
        <v>0</v>
      </c>
      <c r="AS4971">
        <v>0</v>
      </c>
      <c r="AT4971">
        <v>0</v>
      </c>
      <c r="AU4971">
        <v>0</v>
      </c>
      <c r="AV4971">
        <v>0</v>
      </c>
      <c r="AW4971">
        <v>0</v>
      </c>
      <c r="AX4971">
        <v>0</v>
      </c>
      <c r="AY4971">
        <v>0</v>
      </c>
      <c r="AZ4971">
        <v>0</v>
      </c>
      <c r="BA4971">
        <v>0</v>
      </c>
      <c r="BB4971">
        <v>0</v>
      </c>
      <c r="BC4971">
        <v>0</v>
      </c>
      <c r="BD4971">
        <v>0</v>
      </c>
      <c r="BE4971">
        <v>0</v>
      </c>
      <c r="BF4971">
        <v>0</v>
      </c>
      <c r="BG4971">
        <v>0</v>
      </c>
      <c r="BH4971">
        <v>1</v>
      </c>
      <c r="BI4971">
        <v>1</v>
      </c>
      <c r="BJ4971">
        <v>0.2</v>
      </c>
      <c r="BK4971">
        <v>1</v>
      </c>
      <c r="BL4971">
        <v>137.94</v>
      </c>
      <c r="BM4971">
        <v>20.69</v>
      </c>
      <c r="BN4971">
        <v>158.63</v>
      </c>
      <c r="BO4971">
        <v>158.63</v>
      </c>
      <c r="BQ4971" t="s">
        <v>255</v>
      </c>
      <c r="BR4971" t="s">
        <v>84</v>
      </c>
      <c r="BS4971" t="s">
        <v>587</v>
      </c>
      <c r="BV4971" t="s">
        <v>86</v>
      </c>
      <c r="BY4971">
        <v>1200</v>
      </c>
      <c r="CC4971" t="s">
        <v>253</v>
      </c>
      <c r="CD4971">
        <v>1947</v>
      </c>
      <c r="CE4971" t="s">
        <v>121</v>
      </c>
      <c r="CI4971">
        <v>1</v>
      </c>
      <c r="CJ4971" t="s">
        <v>587</v>
      </c>
      <c r="CK4971">
        <v>23</v>
      </c>
      <c r="CL4971" t="s">
        <v>86</v>
      </c>
    </row>
    <row r="4972" spans="1:90" x14ac:dyDescent="0.3">
      <c r="A4972" t="s">
        <v>72</v>
      </c>
      <c r="B4972" t="s">
        <v>73</v>
      </c>
      <c r="C4972" t="s">
        <v>74</v>
      </c>
      <c r="E4972" t="str">
        <f>"080066918877"</f>
        <v>080066918877</v>
      </c>
      <c r="F4972" s="3">
        <v>45869</v>
      </c>
      <c r="G4972">
        <v>202604</v>
      </c>
      <c r="H4972" t="s">
        <v>75</v>
      </c>
      <c r="I4972" t="s">
        <v>76</v>
      </c>
      <c r="J4972" t="s">
        <v>77</v>
      </c>
      <c r="K4972" t="s">
        <v>78</v>
      </c>
      <c r="L4972" t="s">
        <v>390</v>
      </c>
      <c r="M4972" t="s">
        <v>391</v>
      </c>
      <c r="N4972" t="s">
        <v>4038</v>
      </c>
      <c r="O4972" t="s">
        <v>82</v>
      </c>
      <c r="P4972" t="str">
        <f>"4170052263                    "</f>
        <v xml:space="preserve">4170052263                    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17.649999999999999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AZ4972">
        <v>0</v>
      </c>
      <c r="BA4972">
        <v>0</v>
      </c>
      <c r="BB4972">
        <v>0</v>
      </c>
      <c r="BC4972">
        <v>0</v>
      </c>
      <c r="BD4972">
        <v>0</v>
      </c>
      <c r="BE4972">
        <v>0</v>
      </c>
      <c r="BF4972">
        <v>0</v>
      </c>
      <c r="BG4972">
        <v>0</v>
      </c>
      <c r="BH4972">
        <v>1</v>
      </c>
      <c r="BI4972">
        <v>1</v>
      </c>
      <c r="BJ4972">
        <v>0.2</v>
      </c>
      <c r="BK4972">
        <v>1</v>
      </c>
      <c r="BL4972">
        <v>55.61</v>
      </c>
      <c r="BM4972">
        <v>8.34</v>
      </c>
      <c r="BN4972">
        <v>63.95</v>
      </c>
      <c r="BO4972">
        <v>63.95</v>
      </c>
      <c r="BQ4972" t="s">
        <v>4039</v>
      </c>
      <c r="BR4972" t="s">
        <v>84</v>
      </c>
      <c r="BS4972" t="s">
        <v>587</v>
      </c>
      <c r="BV4972" t="s">
        <v>86</v>
      </c>
      <c r="BY4972">
        <v>1200</v>
      </c>
      <c r="CC4972" t="s">
        <v>391</v>
      </c>
      <c r="CD4972">
        <v>1709</v>
      </c>
      <c r="CE4972" t="s">
        <v>121</v>
      </c>
      <c r="CI4972">
        <v>1</v>
      </c>
      <c r="CJ4972" t="s">
        <v>587</v>
      </c>
      <c r="CK4972">
        <v>22</v>
      </c>
      <c r="CL4972" t="s">
        <v>86</v>
      </c>
    </row>
    <row r="4973" spans="1:90" x14ac:dyDescent="0.3">
      <c r="A4973" t="s">
        <v>72</v>
      </c>
      <c r="B4973" t="s">
        <v>73</v>
      </c>
      <c r="C4973" t="s">
        <v>74</v>
      </c>
      <c r="E4973" t="str">
        <f>"080066918898"</f>
        <v>080066918898</v>
      </c>
      <c r="F4973" s="3">
        <v>45869</v>
      </c>
      <c r="G4973">
        <v>202604</v>
      </c>
      <c r="H4973" t="s">
        <v>75</v>
      </c>
      <c r="I4973" t="s">
        <v>76</v>
      </c>
      <c r="J4973" t="s">
        <v>77</v>
      </c>
      <c r="K4973" t="s">
        <v>78</v>
      </c>
      <c r="L4973" t="s">
        <v>260</v>
      </c>
      <c r="M4973" t="s">
        <v>261</v>
      </c>
      <c r="N4973" t="s">
        <v>1801</v>
      </c>
      <c r="O4973" t="s">
        <v>311</v>
      </c>
      <c r="P4973" t="str">
        <f>"4170052289                    "</f>
        <v xml:space="preserve">4170052289                    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135.59</v>
      </c>
      <c r="AR4973">
        <v>0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0</v>
      </c>
      <c r="BA4973">
        <v>0</v>
      </c>
      <c r="BB4973">
        <v>0</v>
      </c>
      <c r="BC4973">
        <v>0</v>
      </c>
      <c r="BD4973">
        <v>0</v>
      </c>
      <c r="BE4973">
        <v>0</v>
      </c>
      <c r="BF4973">
        <v>0</v>
      </c>
      <c r="BG4973">
        <v>0</v>
      </c>
      <c r="BH4973">
        <v>1</v>
      </c>
      <c r="BI4973">
        <v>5</v>
      </c>
      <c r="BJ4973">
        <v>5.8</v>
      </c>
      <c r="BK4973">
        <v>6</v>
      </c>
      <c r="BL4973">
        <v>427.19</v>
      </c>
      <c r="BM4973">
        <v>64.08</v>
      </c>
      <c r="BN4973">
        <v>491.27</v>
      </c>
      <c r="BO4973">
        <v>491.27</v>
      </c>
      <c r="BQ4973" t="s">
        <v>1802</v>
      </c>
      <c r="BR4973" t="s">
        <v>84</v>
      </c>
      <c r="BS4973" t="s">
        <v>587</v>
      </c>
      <c r="BV4973" t="s">
        <v>86</v>
      </c>
      <c r="BY4973">
        <v>29040</v>
      </c>
      <c r="CC4973" t="s">
        <v>261</v>
      </c>
      <c r="CD4973">
        <v>1900</v>
      </c>
      <c r="CE4973" t="s">
        <v>91</v>
      </c>
      <c r="CI4973">
        <v>1</v>
      </c>
      <c r="CJ4973" t="s">
        <v>587</v>
      </c>
      <c r="CK4973">
        <v>33</v>
      </c>
      <c r="CL4973" t="s">
        <v>86</v>
      </c>
    </row>
    <row r="4974" spans="1:90" x14ac:dyDescent="0.3">
      <c r="A4974" t="s">
        <v>72</v>
      </c>
      <c r="B4974" t="s">
        <v>73</v>
      </c>
      <c r="C4974" t="s">
        <v>74</v>
      </c>
      <c r="E4974" t="str">
        <f>"080066918923"</f>
        <v>080066918923</v>
      </c>
      <c r="F4974" s="3">
        <v>45869</v>
      </c>
      <c r="G4974">
        <v>202604</v>
      </c>
      <c r="H4974" t="s">
        <v>75</v>
      </c>
      <c r="I4974" t="s">
        <v>76</v>
      </c>
      <c r="J4974" t="s">
        <v>77</v>
      </c>
      <c r="K4974" t="s">
        <v>78</v>
      </c>
      <c r="L4974" t="s">
        <v>92</v>
      </c>
      <c r="M4974" t="s">
        <v>93</v>
      </c>
      <c r="N4974" t="s">
        <v>843</v>
      </c>
      <c r="O4974" t="s">
        <v>82</v>
      </c>
      <c r="P4974" t="str">
        <f>"4170052296                    "</f>
        <v xml:space="preserve">4170052296                    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22.6</v>
      </c>
      <c r="AR4974">
        <v>0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0</v>
      </c>
      <c r="BA4974">
        <v>0</v>
      </c>
      <c r="BB4974">
        <v>0</v>
      </c>
      <c r="BC4974">
        <v>0</v>
      </c>
      <c r="BD4974">
        <v>0</v>
      </c>
      <c r="BE4974">
        <v>0</v>
      </c>
      <c r="BF4974">
        <v>0</v>
      </c>
      <c r="BG4974">
        <v>0</v>
      </c>
      <c r="BH4974">
        <v>1</v>
      </c>
      <c r="BI4974">
        <v>1</v>
      </c>
      <c r="BJ4974">
        <v>0.2</v>
      </c>
      <c r="BK4974">
        <v>1</v>
      </c>
      <c r="BL4974">
        <v>71.2</v>
      </c>
      <c r="BM4974">
        <v>10.68</v>
      </c>
      <c r="BN4974">
        <v>81.88</v>
      </c>
      <c r="BO4974">
        <v>81.88</v>
      </c>
      <c r="BQ4974" t="s">
        <v>844</v>
      </c>
      <c r="BR4974" t="s">
        <v>84</v>
      </c>
      <c r="BS4974" t="s">
        <v>587</v>
      </c>
      <c r="BV4974" t="s">
        <v>86</v>
      </c>
      <c r="BY4974">
        <v>1200</v>
      </c>
      <c r="CC4974" t="s">
        <v>93</v>
      </c>
      <c r="CD4974">
        <v>4001</v>
      </c>
      <c r="CE4974" t="s">
        <v>121</v>
      </c>
      <c r="CI4974">
        <v>1</v>
      </c>
      <c r="CJ4974" t="s">
        <v>587</v>
      </c>
      <c r="CK4974">
        <v>21</v>
      </c>
      <c r="CL4974" t="s">
        <v>86</v>
      </c>
    </row>
    <row r="4975" spans="1:90" x14ac:dyDescent="0.3">
      <c r="A4975" t="s">
        <v>72</v>
      </c>
      <c r="B4975" t="s">
        <v>73</v>
      </c>
      <c r="C4975" t="s">
        <v>74</v>
      </c>
      <c r="E4975" t="str">
        <f>"080066918958"</f>
        <v>080066918958</v>
      </c>
      <c r="F4975" s="3">
        <v>45869</v>
      </c>
      <c r="G4975">
        <v>202604</v>
      </c>
      <c r="H4975" t="s">
        <v>75</v>
      </c>
      <c r="I4975" t="s">
        <v>76</v>
      </c>
      <c r="J4975" t="s">
        <v>77</v>
      </c>
      <c r="K4975" t="s">
        <v>78</v>
      </c>
      <c r="L4975" t="s">
        <v>240</v>
      </c>
      <c r="M4975" t="s">
        <v>241</v>
      </c>
      <c r="N4975" t="s">
        <v>403</v>
      </c>
      <c r="O4975" t="s">
        <v>82</v>
      </c>
      <c r="P4975" t="str">
        <f>"4170052257                    "</f>
        <v xml:space="preserve">4170052257                    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17.649999999999999</v>
      </c>
      <c r="AR4975">
        <v>0</v>
      </c>
      <c r="AS4975">
        <v>0</v>
      </c>
      <c r="AT4975">
        <v>0</v>
      </c>
      <c r="AU4975">
        <v>0</v>
      </c>
      <c r="AV4975">
        <v>0</v>
      </c>
      <c r="AW4975">
        <v>0</v>
      </c>
      <c r="AX4975">
        <v>0</v>
      </c>
      <c r="AY4975">
        <v>0</v>
      </c>
      <c r="AZ4975">
        <v>0</v>
      </c>
      <c r="BA4975">
        <v>0</v>
      </c>
      <c r="BB4975">
        <v>0</v>
      </c>
      <c r="BC4975">
        <v>0</v>
      </c>
      <c r="BD4975">
        <v>0</v>
      </c>
      <c r="BE4975">
        <v>0</v>
      </c>
      <c r="BF4975">
        <v>0</v>
      </c>
      <c r="BG4975">
        <v>0</v>
      </c>
      <c r="BH4975">
        <v>1</v>
      </c>
      <c r="BI4975">
        <v>2</v>
      </c>
      <c r="BJ4975">
        <v>2.7</v>
      </c>
      <c r="BK4975">
        <v>3</v>
      </c>
      <c r="BL4975">
        <v>55.61</v>
      </c>
      <c r="BM4975">
        <v>8.34</v>
      </c>
      <c r="BN4975">
        <v>63.95</v>
      </c>
      <c r="BO4975">
        <v>63.95</v>
      </c>
      <c r="BQ4975" t="s">
        <v>404</v>
      </c>
      <c r="BR4975" t="s">
        <v>84</v>
      </c>
      <c r="BS4975" t="s">
        <v>587</v>
      </c>
      <c r="BV4975" t="s">
        <v>86</v>
      </c>
      <c r="BY4975">
        <v>13320</v>
      </c>
      <c r="CC4975" t="s">
        <v>241</v>
      </c>
      <c r="CD4975">
        <v>2013</v>
      </c>
      <c r="CE4975" t="s">
        <v>91</v>
      </c>
      <c r="CI4975">
        <v>1</v>
      </c>
      <c r="CJ4975" t="s">
        <v>587</v>
      </c>
      <c r="CK4975">
        <v>22</v>
      </c>
      <c r="CL4975" t="s">
        <v>86</v>
      </c>
    </row>
    <row r="4976" spans="1:90" x14ac:dyDescent="0.3">
      <c r="A4976" t="s">
        <v>72</v>
      </c>
      <c r="B4976" t="s">
        <v>73</v>
      </c>
      <c r="C4976" t="s">
        <v>74</v>
      </c>
      <c r="E4976" t="str">
        <f>"080066918972"</f>
        <v>080066918972</v>
      </c>
      <c r="F4976" s="3">
        <v>45869</v>
      </c>
      <c r="G4976">
        <v>202604</v>
      </c>
      <c r="H4976" t="s">
        <v>75</v>
      </c>
      <c r="I4976" t="s">
        <v>76</v>
      </c>
      <c r="J4976" t="s">
        <v>77</v>
      </c>
      <c r="K4976" t="s">
        <v>78</v>
      </c>
      <c r="L4976" t="s">
        <v>542</v>
      </c>
      <c r="M4976" t="s">
        <v>543</v>
      </c>
      <c r="N4976" t="s">
        <v>4040</v>
      </c>
      <c r="O4976" t="s">
        <v>82</v>
      </c>
      <c r="P4976" t="str">
        <f>"4170052299                    "</f>
        <v xml:space="preserve">4170052299                    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17.649999999999999</v>
      </c>
      <c r="AR4976">
        <v>0</v>
      </c>
      <c r="AS4976">
        <v>0</v>
      </c>
      <c r="AT4976">
        <v>0</v>
      </c>
      <c r="AU4976">
        <v>0</v>
      </c>
      <c r="AV4976">
        <v>0</v>
      </c>
      <c r="AW4976">
        <v>0</v>
      </c>
      <c r="AX4976">
        <v>0</v>
      </c>
      <c r="AY4976">
        <v>0</v>
      </c>
      <c r="AZ4976">
        <v>0</v>
      </c>
      <c r="BA4976">
        <v>0</v>
      </c>
      <c r="BB4976">
        <v>0</v>
      </c>
      <c r="BC4976">
        <v>0</v>
      </c>
      <c r="BD4976">
        <v>0</v>
      </c>
      <c r="BE4976">
        <v>0</v>
      </c>
      <c r="BF4976">
        <v>0</v>
      </c>
      <c r="BG4976">
        <v>0</v>
      </c>
      <c r="BH4976">
        <v>1</v>
      </c>
      <c r="BI4976">
        <v>1</v>
      </c>
      <c r="BJ4976">
        <v>0.2</v>
      </c>
      <c r="BK4976">
        <v>1</v>
      </c>
      <c r="BL4976">
        <v>55.61</v>
      </c>
      <c r="BM4976">
        <v>8.34</v>
      </c>
      <c r="BN4976">
        <v>63.95</v>
      </c>
      <c r="BO4976">
        <v>63.95</v>
      </c>
      <c r="BQ4976" t="s">
        <v>4041</v>
      </c>
      <c r="BR4976" t="s">
        <v>84</v>
      </c>
      <c r="BS4976" t="s">
        <v>587</v>
      </c>
      <c r="BV4976" t="s">
        <v>86</v>
      </c>
      <c r="BY4976">
        <v>1200</v>
      </c>
      <c r="CC4976" t="s">
        <v>543</v>
      </c>
      <c r="CD4976">
        <v>1450</v>
      </c>
      <c r="CE4976" t="s">
        <v>121</v>
      </c>
      <c r="CI4976">
        <v>1</v>
      </c>
      <c r="CJ4976" t="s">
        <v>587</v>
      </c>
      <c r="CK4976">
        <v>22</v>
      </c>
      <c r="CL4976" t="s">
        <v>86</v>
      </c>
    </row>
    <row r="4977" spans="1:90" x14ac:dyDescent="0.3">
      <c r="A4977" t="s">
        <v>72</v>
      </c>
      <c r="B4977" t="s">
        <v>73</v>
      </c>
      <c r="C4977" t="s">
        <v>74</v>
      </c>
      <c r="E4977" t="str">
        <f>"080066919002"</f>
        <v>080066919002</v>
      </c>
      <c r="F4977" s="3">
        <v>45869</v>
      </c>
      <c r="G4977">
        <v>202604</v>
      </c>
      <c r="H4977" t="s">
        <v>75</v>
      </c>
      <c r="I4977" t="s">
        <v>76</v>
      </c>
      <c r="J4977" t="s">
        <v>77</v>
      </c>
      <c r="K4977" t="s">
        <v>78</v>
      </c>
      <c r="L4977" t="s">
        <v>79</v>
      </c>
      <c r="M4977" t="s">
        <v>80</v>
      </c>
      <c r="N4977" t="s">
        <v>1083</v>
      </c>
      <c r="O4977" t="s">
        <v>82</v>
      </c>
      <c r="P4977" t="str">
        <f>"4170052254                    "</f>
        <v xml:space="preserve">4170052254                    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>
        <v>22.6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AZ4977">
        <v>0</v>
      </c>
      <c r="BA4977">
        <v>0</v>
      </c>
      <c r="BB4977">
        <v>0</v>
      </c>
      <c r="BC4977">
        <v>0</v>
      </c>
      <c r="BD4977">
        <v>0</v>
      </c>
      <c r="BE4977">
        <v>0</v>
      </c>
      <c r="BF4977">
        <v>0</v>
      </c>
      <c r="BG4977">
        <v>0</v>
      </c>
      <c r="BH4977">
        <v>1</v>
      </c>
      <c r="BI4977">
        <v>1</v>
      </c>
      <c r="BJ4977">
        <v>1.1000000000000001</v>
      </c>
      <c r="BK4977">
        <v>1.5</v>
      </c>
      <c r="BL4977">
        <v>71.2</v>
      </c>
      <c r="BM4977">
        <v>10.68</v>
      </c>
      <c r="BN4977">
        <v>81.88</v>
      </c>
      <c r="BO4977">
        <v>81.88</v>
      </c>
      <c r="BQ4977" t="s">
        <v>1084</v>
      </c>
      <c r="BR4977" t="s">
        <v>84</v>
      </c>
      <c r="BS4977" t="s">
        <v>587</v>
      </c>
      <c r="BV4977" t="s">
        <v>86</v>
      </c>
      <c r="BY4977">
        <v>5320</v>
      </c>
      <c r="CC4977" t="s">
        <v>80</v>
      </c>
      <c r="CD4977">
        <v>8001</v>
      </c>
      <c r="CE4977" t="s">
        <v>145</v>
      </c>
      <c r="CI4977">
        <v>1</v>
      </c>
      <c r="CJ4977" t="s">
        <v>587</v>
      </c>
      <c r="CK4977">
        <v>21</v>
      </c>
      <c r="CL4977" t="s">
        <v>86</v>
      </c>
    </row>
    <row r="4978" spans="1:90" x14ac:dyDescent="0.3">
      <c r="A4978" t="s">
        <v>72</v>
      </c>
      <c r="B4978" t="s">
        <v>73</v>
      </c>
      <c r="C4978" t="s">
        <v>74</v>
      </c>
      <c r="E4978" t="str">
        <f>"080066919004"</f>
        <v>080066919004</v>
      </c>
      <c r="F4978" s="3">
        <v>45869</v>
      </c>
      <c r="G4978">
        <v>202604</v>
      </c>
      <c r="H4978" t="s">
        <v>75</v>
      </c>
      <c r="I4978" t="s">
        <v>76</v>
      </c>
      <c r="J4978" t="s">
        <v>77</v>
      </c>
      <c r="K4978" t="s">
        <v>78</v>
      </c>
      <c r="L4978" t="s">
        <v>79</v>
      </c>
      <c r="M4978" t="s">
        <v>80</v>
      </c>
      <c r="N4978" t="s">
        <v>931</v>
      </c>
      <c r="O4978" t="s">
        <v>82</v>
      </c>
      <c r="P4978" t="str">
        <f>"4170051911                    "</f>
        <v xml:space="preserve">4170051911                    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22.6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  <c r="AZ4978">
        <v>0</v>
      </c>
      <c r="BA4978">
        <v>0</v>
      </c>
      <c r="BB4978">
        <v>0</v>
      </c>
      <c r="BC4978">
        <v>0</v>
      </c>
      <c r="BD4978">
        <v>0</v>
      </c>
      <c r="BE4978">
        <v>0</v>
      </c>
      <c r="BF4978">
        <v>0</v>
      </c>
      <c r="BG4978">
        <v>0</v>
      </c>
      <c r="BH4978">
        <v>1</v>
      </c>
      <c r="BI4978">
        <v>1</v>
      </c>
      <c r="BJ4978">
        <v>0.2</v>
      </c>
      <c r="BK4978">
        <v>1</v>
      </c>
      <c r="BL4978">
        <v>71.2</v>
      </c>
      <c r="BM4978">
        <v>10.68</v>
      </c>
      <c r="BN4978">
        <v>81.88</v>
      </c>
      <c r="BO4978">
        <v>81.88</v>
      </c>
      <c r="BQ4978" t="s">
        <v>932</v>
      </c>
      <c r="BR4978" t="s">
        <v>84</v>
      </c>
      <c r="BS4978" t="s">
        <v>587</v>
      </c>
      <c r="BV4978" t="s">
        <v>86</v>
      </c>
      <c r="BY4978">
        <v>1200</v>
      </c>
      <c r="CC4978" t="s">
        <v>80</v>
      </c>
      <c r="CD4978">
        <v>7535</v>
      </c>
      <c r="CE4978" t="s">
        <v>121</v>
      </c>
      <c r="CI4978">
        <v>1</v>
      </c>
      <c r="CJ4978" t="s">
        <v>587</v>
      </c>
      <c r="CK4978">
        <v>21</v>
      </c>
      <c r="CL4978" t="s">
        <v>86</v>
      </c>
    </row>
    <row r="4979" spans="1:90" x14ac:dyDescent="0.3">
      <c r="A4979" t="s">
        <v>72</v>
      </c>
      <c r="B4979" t="s">
        <v>73</v>
      </c>
      <c r="C4979" t="s">
        <v>74</v>
      </c>
      <c r="E4979" t="str">
        <f>"080066919067"</f>
        <v>080066919067</v>
      </c>
      <c r="F4979" s="3">
        <v>45869</v>
      </c>
      <c r="G4979">
        <v>202604</v>
      </c>
      <c r="H4979" t="s">
        <v>75</v>
      </c>
      <c r="I4979" t="s">
        <v>76</v>
      </c>
      <c r="J4979" t="s">
        <v>77</v>
      </c>
      <c r="K4979" t="s">
        <v>78</v>
      </c>
      <c r="L4979" t="s">
        <v>295</v>
      </c>
      <c r="M4979" t="s">
        <v>296</v>
      </c>
      <c r="N4979" t="s">
        <v>297</v>
      </c>
      <c r="O4979" t="s">
        <v>82</v>
      </c>
      <c r="P4979" t="str">
        <f>"4170051908                    "</f>
        <v xml:space="preserve">4170051908                    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>
        <v>17.649999999999999</v>
      </c>
      <c r="AR4979">
        <v>0</v>
      </c>
      <c r="AS4979">
        <v>0</v>
      </c>
      <c r="AT4979">
        <v>0</v>
      </c>
      <c r="AU4979">
        <v>0</v>
      </c>
      <c r="AV4979">
        <v>0</v>
      </c>
      <c r="AW4979">
        <v>0</v>
      </c>
      <c r="AX4979">
        <v>0</v>
      </c>
      <c r="AY4979">
        <v>0</v>
      </c>
      <c r="AZ4979">
        <v>0</v>
      </c>
      <c r="BA4979">
        <v>0</v>
      </c>
      <c r="BB4979">
        <v>0</v>
      </c>
      <c r="BC4979">
        <v>0</v>
      </c>
      <c r="BD4979">
        <v>0</v>
      </c>
      <c r="BE4979">
        <v>0</v>
      </c>
      <c r="BF4979">
        <v>0</v>
      </c>
      <c r="BG4979">
        <v>0</v>
      </c>
      <c r="BH4979">
        <v>1</v>
      </c>
      <c r="BI4979">
        <v>1</v>
      </c>
      <c r="BJ4979">
        <v>0.2</v>
      </c>
      <c r="BK4979">
        <v>1</v>
      </c>
      <c r="BL4979">
        <v>55.61</v>
      </c>
      <c r="BM4979">
        <v>8.34</v>
      </c>
      <c r="BN4979">
        <v>63.95</v>
      </c>
      <c r="BO4979">
        <v>63.95</v>
      </c>
      <c r="BQ4979" t="s">
        <v>298</v>
      </c>
      <c r="BR4979" t="s">
        <v>84</v>
      </c>
      <c r="BS4979" t="s">
        <v>587</v>
      </c>
      <c r="BV4979" t="s">
        <v>86</v>
      </c>
      <c r="BY4979">
        <v>1200</v>
      </c>
      <c r="CC4979" t="s">
        <v>296</v>
      </c>
      <c r="CD4979">
        <v>1459</v>
      </c>
      <c r="CE4979" t="s">
        <v>121</v>
      </c>
      <c r="CI4979">
        <v>1</v>
      </c>
      <c r="CJ4979" t="s">
        <v>587</v>
      </c>
      <c r="CK4979">
        <v>22</v>
      </c>
      <c r="CL4979" t="s">
        <v>86</v>
      </c>
    </row>
    <row r="4980" spans="1:90" x14ac:dyDescent="0.3">
      <c r="A4980" t="s">
        <v>72</v>
      </c>
      <c r="B4980" t="s">
        <v>73</v>
      </c>
      <c r="C4980" t="s">
        <v>74</v>
      </c>
      <c r="E4980" t="str">
        <f>"080066919448"</f>
        <v>080066919448</v>
      </c>
      <c r="F4980" s="3">
        <v>45869</v>
      </c>
      <c r="G4980">
        <v>202604</v>
      </c>
      <c r="H4980" t="s">
        <v>75</v>
      </c>
      <c r="I4980" t="s">
        <v>76</v>
      </c>
      <c r="J4980" t="s">
        <v>77</v>
      </c>
      <c r="K4980" t="s">
        <v>78</v>
      </c>
      <c r="L4980" t="s">
        <v>260</v>
      </c>
      <c r="M4980" t="s">
        <v>261</v>
      </c>
      <c r="N4980" t="s">
        <v>1801</v>
      </c>
      <c r="O4980" t="s">
        <v>311</v>
      </c>
      <c r="P4980" t="str">
        <f>"4170052288                    "</f>
        <v xml:space="preserve">4170052288                    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>
        <v>250.36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0</v>
      </c>
      <c r="AZ4980">
        <v>0</v>
      </c>
      <c r="BA4980">
        <v>0</v>
      </c>
      <c r="BB4980">
        <v>0</v>
      </c>
      <c r="BC4980">
        <v>0</v>
      </c>
      <c r="BD4980">
        <v>0</v>
      </c>
      <c r="BE4980">
        <v>0</v>
      </c>
      <c r="BF4980">
        <v>0</v>
      </c>
      <c r="BG4980">
        <v>0</v>
      </c>
      <c r="BH4980">
        <v>2</v>
      </c>
      <c r="BI4980">
        <v>11</v>
      </c>
      <c r="BJ4980">
        <v>7.2</v>
      </c>
      <c r="BK4980">
        <v>11</v>
      </c>
      <c r="BL4980">
        <v>788.76</v>
      </c>
      <c r="BM4980">
        <v>118.31</v>
      </c>
      <c r="BN4980">
        <v>907.07</v>
      </c>
      <c r="BO4980">
        <v>907.07</v>
      </c>
      <c r="BQ4980" t="s">
        <v>1802</v>
      </c>
      <c r="BR4980" t="s">
        <v>84</v>
      </c>
      <c r="BS4980" t="s">
        <v>587</v>
      </c>
      <c r="BV4980" t="s">
        <v>86</v>
      </c>
      <c r="BY4980">
        <v>36005</v>
      </c>
      <c r="CC4980" t="s">
        <v>261</v>
      </c>
      <c r="CD4980">
        <v>1900</v>
      </c>
      <c r="CE4980" t="s">
        <v>91</v>
      </c>
      <c r="CI4980">
        <v>1</v>
      </c>
      <c r="CJ4980" t="s">
        <v>587</v>
      </c>
      <c r="CK4980">
        <v>33</v>
      </c>
      <c r="CL4980" t="s">
        <v>86</v>
      </c>
    </row>
    <row r="4981" spans="1:90" x14ac:dyDescent="0.3">
      <c r="A4981" t="s">
        <v>72</v>
      </c>
      <c r="B4981" t="s">
        <v>73</v>
      </c>
      <c r="C4981" t="s">
        <v>74</v>
      </c>
      <c r="E4981" t="str">
        <f>"080066919500"</f>
        <v>080066919500</v>
      </c>
      <c r="F4981" s="3">
        <v>45869</v>
      </c>
      <c r="G4981">
        <v>202604</v>
      </c>
      <c r="H4981" t="s">
        <v>75</v>
      </c>
      <c r="I4981" t="s">
        <v>76</v>
      </c>
      <c r="J4981" t="s">
        <v>77</v>
      </c>
      <c r="K4981" t="s">
        <v>78</v>
      </c>
      <c r="L4981" t="s">
        <v>221</v>
      </c>
      <c r="M4981" t="s">
        <v>222</v>
      </c>
      <c r="N4981" t="s">
        <v>223</v>
      </c>
      <c r="O4981" t="s">
        <v>82</v>
      </c>
      <c r="P4981" t="str">
        <f>"4170052307                    "</f>
        <v xml:space="preserve">4170052307                    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>
        <v>43.78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AZ4981">
        <v>0</v>
      </c>
      <c r="BA4981">
        <v>0</v>
      </c>
      <c r="BB4981">
        <v>0</v>
      </c>
      <c r="BC4981">
        <v>0</v>
      </c>
      <c r="BD4981">
        <v>0</v>
      </c>
      <c r="BE4981">
        <v>0</v>
      </c>
      <c r="BF4981">
        <v>0</v>
      </c>
      <c r="BG4981">
        <v>0</v>
      </c>
      <c r="BH4981">
        <v>1</v>
      </c>
      <c r="BI4981">
        <v>1</v>
      </c>
      <c r="BJ4981">
        <v>0.2</v>
      </c>
      <c r="BK4981">
        <v>1</v>
      </c>
      <c r="BL4981">
        <v>137.94</v>
      </c>
      <c r="BM4981">
        <v>20.69</v>
      </c>
      <c r="BN4981">
        <v>158.63</v>
      </c>
      <c r="BO4981">
        <v>158.63</v>
      </c>
      <c r="BQ4981" t="s">
        <v>224</v>
      </c>
      <c r="BR4981" t="s">
        <v>84</v>
      </c>
      <c r="BS4981" t="s">
        <v>587</v>
      </c>
      <c r="BV4981" t="s">
        <v>86</v>
      </c>
      <c r="BY4981">
        <v>1200</v>
      </c>
      <c r="CC4981" t="s">
        <v>222</v>
      </c>
      <c r="CD4981">
        <v>2740</v>
      </c>
      <c r="CE4981" t="s">
        <v>121</v>
      </c>
      <c r="CI4981">
        <v>1</v>
      </c>
      <c r="CJ4981" t="s">
        <v>587</v>
      </c>
      <c r="CK4981">
        <v>23</v>
      </c>
      <c r="CL4981" t="s">
        <v>86</v>
      </c>
    </row>
    <row r="4982" spans="1:90" x14ac:dyDescent="0.3">
      <c r="A4982" t="s">
        <v>72</v>
      </c>
      <c r="B4982" t="s">
        <v>73</v>
      </c>
      <c r="C4982" t="s">
        <v>74</v>
      </c>
      <c r="E4982" t="str">
        <f>"080066921140"</f>
        <v>080066921140</v>
      </c>
      <c r="F4982" s="3">
        <v>45869</v>
      </c>
      <c r="G4982">
        <v>202604</v>
      </c>
      <c r="H4982" t="s">
        <v>75</v>
      </c>
      <c r="I4982" t="s">
        <v>76</v>
      </c>
      <c r="J4982" t="s">
        <v>77</v>
      </c>
      <c r="K4982" t="s">
        <v>78</v>
      </c>
      <c r="L4982" t="s">
        <v>1400</v>
      </c>
      <c r="M4982" t="s">
        <v>1401</v>
      </c>
      <c r="N4982" t="s">
        <v>606</v>
      </c>
      <c r="O4982" t="s">
        <v>82</v>
      </c>
      <c r="P4982" t="str">
        <f>"4170052317                    "</f>
        <v xml:space="preserve">4170052317                    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>
        <v>43.78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0</v>
      </c>
      <c r="AZ4982">
        <v>0</v>
      </c>
      <c r="BA4982">
        <v>0</v>
      </c>
      <c r="BB4982">
        <v>0</v>
      </c>
      <c r="BC4982">
        <v>0</v>
      </c>
      <c r="BD4982">
        <v>0</v>
      </c>
      <c r="BE4982">
        <v>0</v>
      </c>
      <c r="BF4982">
        <v>0</v>
      </c>
      <c r="BG4982">
        <v>0</v>
      </c>
      <c r="BH4982">
        <v>1</v>
      </c>
      <c r="BI4982">
        <v>1</v>
      </c>
      <c r="BJ4982">
        <v>0.2</v>
      </c>
      <c r="BK4982">
        <v>1</v>
      </c>
      <c r="BL4982">
        <v>137.94</v>
      </c>
      <c r="BM4982">
        <v>20.69</v>
      </c>
      <c r="BN4982">
        <v>158.63</v>
      </c>
      <c r="BO4982">
        <v>158.63</v>
      </c>
      <c r="BQ4982" t="s">
        <v>1403</v>
      </c>
      <c r="BR4982" t="s">
        <v>84</v>
      </c>
      <c r="BS4982" t="s">
        <v>587</v>
      </c>
      <c r="BV4982" t="s">
        <v>86</v>
      </c>
      <c r="BY4982">
        <v>1200</v>
      </c>
      <c r="CC4982" t="s">
        <v>1401</v>
      </c>
      <c r="CD4982">
        <v>4449</v>
      </c>
      <c r="CE4982" t="s">
        <v>121</v>
      </c>
      <c r="CI4982">
        <v>1</v>
      </c>
      <c r="CJ4982" t="s">
        <v>587</v>
      </c>
      <c r="CK4982">
        <v>23</v>
      </c>
      <c r="CL4982" t="s">
        <v>86</v>
      </c>
    </row>
    <row r="4983" spans="1:90" x14ac:dyDescent="0.3">
      <c r="A4983" t="s">
        <v>72</v>
      </c>
      <c r="B4983" t="s">
        <v>73</v>
      </c>
      <c r="C4983" t="s">
        <v>74</v>
      </c>
      <c r="E4983" t="str">
        <f>"080066921245"</f>
        <v>080066921245</v>
      </c>
      <c r="F4983" s="3">
        <v>45869</v>
      </c>
      <c r="G4983">
        <v>202604</v>
      </c>
      <c r="H4983" t="s">
        <v>75</v>
      </c>
      <c r="I4983" t="s">
        <v>76</v>
      </c>
      <c r="J4983" t="s">
        <v>77</v>
      </c>
      <c r="K4983" t="s">
        <v>78</v>
      </c>
      <c r="L4983" t="s">
        <v>168</v>
      </c>
      <c r="M4983" t="s">
        <v>169</v>
      </c>
      <c r="N4983" t="s">
        <v>360</v>
      </c>
      <c r="O4983" t="s">
        <v>82</v>
      </c>
      <c r="P4983" t="str">
        <f>"4170052291                    "</f>
        <v xml:space="preserve">4170052291                    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>
        <v>22.6</v>
      </c>
      <c r="AR4983">
        <v>0</v>
      </c>
      <c r="AS4983">
        <v>0</v>
      </c>
      <c r="AT4983">
        <v>0</v>
      </c>
      <c r="AU4983">
        <v>0</v>
      </c>
      <c r="AV4983">
        <v>0</v>
      </c>
      <c r="AW4983">
        <v>0</v>
      </c>
      <c r="AX4983">
        <v>0</v>
      </c>
      <c r="AY4983">
        <v>0</v>
      </c>
      <c r="AZ4983">
        <v>0</v>
      </c>
      <c r="BA4983">
        <v>0</v>
      </c>
      <c r="BB4983">
        <v>0</v>
      </c>
      <c r="BC4983">
        <v>0</v>
      </c>
      <c r="BD4983">
        <v>0</v>
      </c>
      <c r="BE4983">
        <v>0</v>
      </c>
      <c r="BF4983">
        <v>0</v>
      </c>
      <c r="BG4983">
        <v>0</v>
      </c>
      <c r="BH4983">
        <v>1</v>
      </c>
      <c r="BI4983">
        <v>1</v>
      </c>
      <c r="BJ4983">
        <v>0.2</v>
      </c>
      <c r="BK4983">
        <v>1</v>
      </c>
      <c r="BL4983">
        <v>71.2</v>
      </c>
      <c r="BM4983">
        <v>10.68</v>
      </c>
      <c r="BN4983">
        <v>81.88</v>
      </c>
      <c r="BO4983">
        <v>81.88</v>
      </c>
      <c r="BQ4983" t="s">
        <v>361</v>
      </c>
      <c r="BR4983" t="s">
        <v>84</v>
      </c>
      <c r="BS4983" t="s">
        <v>587</v>
      </c>
      <c r="BV4983" t="s">
        <v>86</v>
      </c>
      <c r="BY4983">
        <v>1200</v>
      </c>
      <c r="CC4983" t="s">
        <v>169</v>
      </c>
      <c r="CD4983">
        <v>6001</v>
      </c>
      <c r="CE4983" t="s">
        <v>121</v>
      </c>
      <c r="CI4983">
        <v>1</v>
      </c>
      <c r="CJ4983" t="s">
        <v>587</v>
      </c>
      <c r="CK4983">
        <v>21</v>
      </c>
      <c r="CL4983" t="s">
        <v>86</v>
      </c>
    </row>
    <row r="4984" spans="1:90" x14ac:dyDescent="0.3">
      <c r="A4984" t="s">
        <v>72</v>
      </c>
      <c r="B4984" t="s">
        <v>73</v>
      </c>
      <c r="C4984" t="s">
        <v>74</v>
      </c>
      <c r="E4984" t="str">
        <f>"080066921268"</f>
        <v>080066921268</v>
      </c>
      <c r="F4984" s="3">
        <v>45869</v>
      </c>
      <c r="G4984">
        <v>202604</v>
      </c>
      <c r="H4984" t="s">
        <v>75</v>
      </c>
      <c r="I4984" t="s">
        <v>76</v>
      </c>
      <c r="J4984" t="s">
        <v>77</v>
      </c>
      <c r="K4984" t="s">
        <v>78</v>
      </c>
      <c r="L4984" t="s">
        <v>75</v>
      </c>
      <c r="M4984" t="s">
        <v>76</v>
      </c>
      <c r="N4984" t="s">
        <v>1633</v>
      </c>
      <c r="O4984" t="s">
        <v>82</v>
      </c>
      <c r="P4984" t="str">
        <f>"4170052312                    "</f>
        <v xml:space="preserve">4170052312                    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>
        <v>17.649999999999999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AZ4984">
        <v>0</v>
      </c>
      <c r="BA4984">
        <v>0</v>
      </c>
      <c r="BB4984">
        <v>0</v>
      </c>
      <c r="BC4984">
        <v>0</v>
      </c>
      <c r="BD4984">
        <v>0</v>
      </c>
      <c r="BE4984">
        <v>0</v>
      </c>
      <c r="BF4984">
        <v>0</v>
      </c>
      <c r="BG4984">
        <v>0</v>
      </c>
      <c r="BH4984">
        <v>1</v>
      </c>
      <c r="BI4984">
        <v>1</v>
      </c>
      <c r="BJ4984">
        <v>0.2</v>
      </c>
      <c r="BK4984">
        <v>1</v>
      </c>
      <c r="BL4984">
        <v>55.61</v>
      </c>
      <c r="BM4984">
        <v>8.34</v>
      </c>
      <c r="BN4984">
        <v>63.95</v>
      </c>
      <c r="BO4984">
        <v>63.95</v>
      </c>
      <c r="BQ4984" t="s">
        <v>1634</v>
      </c>
      <c r="BR4984" t="s">
        <v>84</v>
      </c>
      <c r="BS4984" t="s">
        <v>587</v>
      </c>
      <c r="BV4984" t="s">
        <v>86</v>
      </c>
      <c r="BY4984">
        <v>1200</v>
      </c>
      <c r="CC4984" t="s">
        <v>76</v>
      </c>
      <c r="CD4984">
        <v>1624</v>
      </c>
      <c r="CE4984" t="s">
        <v>121</v>
      </c>
      <c r="CI4984">
        <v>1</v>
      </c>
      <c r="CJ4984" t="s">
        <v>587</v>
      </c>
      <c r="CK4984">
        <v>22</v>
      </c>
      <c r="CL4984" t="s">
        <v>86</v>
      </c>
    </row>
    <row r="4985" spans="1:90" x14ac:dyDescent="0.3">
      <c r="A4985" t="s">
        <v>72</v>
      </c>
      <c r="B4985" t="s">
        <v>73</v>
      </c>
      <c r="C4985" t="s">
        <v>74</v>
      </c>
      <c r="E4985" t="str">
        <f>"080066921280"</f>
        <v>080066921280</v>
      </c>
      <c r="F4985" s="3">
        <v>45869</v>
      </c>
      <c r="G4985">
        <v>202604</v>
      </c>
      <c r="H4985" t="s">
        <v>75</v>
      </c>
      <c r="I4985" t="s">
        <v>76</v>
      </c>
      <c r="J4985" t="s">
        <v>77</v>
      </c>
      <c r="K4985" t="s">
        <v>78</v>
      </c>
      <c r="L4985" t="s">
        <v>102</v>
      </c>
      <c r="M4985" t="s">
        <v>103</v>
      </c>
      <c r="N4985" t="s">
        <v>104</v>
      </c>
      <c r="O4985" t="s">
        <v>82</v>
      </c>
      <c r="P4985" t="str">
        <f>"4170052319                    "</f>
        <v xml:space="preserve">4170052319                    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>
        <v>31.78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AZ4985">
        <v>0</v>
      </c>
      <c r="BA4985">
        <v>0</v>
      </c>
      <c r="BB4985">
        <v>0</v>
      </c>
      <c r="BC4985">
        <v>0</v>
      </c>
      <c r="BD4985">
        <v>0</v>
      </c>
      <c r="BE4985">
        <v>0</v>
      </c>
      <c r="BF4985">
        <v>0</v>
      </c>
      <c r="BG4985">
        <v>0</v>
      </c>
      <c r="BH4985">
        <v>1</v>
      </c>
      <c r="BI4985">
        <v>1</v>
      </c>
      <c r="BJ4985">
        <v>0.2</v>
      </c>
      <c r="BK4985">
        <v>1</v>
      </c>
      <c r="BL4985">
        <v>100.13</v>
      </c>
      <c r="BM4985">
        <v>15.02</v>
      </c>
      <c r="BN4985">
        <v>115.15</v>
      </c>
      <c r="BO4985">
        <v>115.15</v>
      </c>
      <c r="BQ4985" t="s">
        <v>833</v>
      </c>
      <c r="BR4985" t="s">
        <v>84</v>
      </c>
      <c r="BS4985" t="s">
        <v>587</v>
      </c>
      <c r="BV4985" t="s">
        <v>86</v>
      </c>
      <c r="BY4985">
        <v>1200</v>
      </c>
      <c r="CC4985" t="s">
        <v>103</v>
      </c>
      <c r="CD4985">
        <v>1748</v>
      </c>
      <c r="CE4985" t="s">
        <v>121</v>
      </c>
      <c r="CI4985">
        <v>1</v>
      </c>
      <c r="CJ4985" t="s">
        <v>587</v>
      </c>
      <c r="CK4985">
        <v>24</v>
      </c>
      <c r="CL4985" t="s">
        <v>86</v>
      </c>
    </row>
    <row r="4986" spans="1:90" x14ac:dyDescent="0.3">
      <c r="A4986" t="s">
        <v>72</v>
      </c>
      <c r="B4986" t="s">
        <v>73</v>
      </c>
      <c r="C4986" t="s">
        <v>74</v>
      </c>
      <c r="E4986" t="str">
        <f>"080066921288"</f>
        <v>080066921288</v>
      </c>
      <c r="F4986" s="3">
        <v>45869</v>
      </c>
      <c r="G4986">
        <v>202604</v>
      </c>
      <c r="H4986" t="s">
        <v>75</v>
      </c>
      <c r="I4986" t="s">
        <v>76</v>
      </c>
      <c r="J4986" t="s">
        <v>77</v>
      </c>
      <c r="K4986" t="s">
        <v>78</v>
      </c>
      <c r="L4986" t="s">
        <v>79</v>
      </c>
      <c r="M4986" t="s">
        <v>80</v>
      </c>
      <c r="N4986" t="s">
        <v>1414</v>
      </c>
      <c r="O4986" t="s">
        <v>82</v>
      </c>
      <c r="P4986" t="str">
        <f>"4170052310                    "</f>
        <v xml:space="preserve">4170052310                    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>
        <v>22.6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AZ4986">
        <v>0</v>
      </c>
      <c r="BA4986">
        <v>0</v>
      </c>
      <c r="BB4986">
        <v>0</v>
      </c>
      <c r="BC4986">
        <v>0</v>
      </c>
      <c r="BD4986">
        <v>0</v>
      </c>
      <c r="BE4986">
        <v>0</v>
      </c>
      <c r="BF4986">
        <v>0</v>
      </c>
      <c r="BG4986">
        <v>0</v>
      </c>
      <c r="BH4986">
        <v>1</v>
      </c>
      <c r="BI4986">
        <v>1</v>
      </c>
      <c r="BJ4986">
        <v>0.2</v>
      </c>
      <c r="BK4986">
        <v>1</v>
      </c>
      <c r="BL4986">
        <v>71.2</v>
      </c>
      <c r="BM4986">
        <v>10.68</v>
      </c>
      <c r="BN4986">
        <v>81.88</v>
      </c>
      <c r="BO4986">
        <v>81.88</v>
      </c>
      <c r="BQ4986" t="s">
        <v>1415</v>
      </c>
      <c r="BR4986" t="s">
        <v>84</v>
      </c>
      <c r="BS4986" t="s">
        <v>587</v>
      </c>
      <c r="BV4986" t="s">
        <v>86</v>
      </c>
      <c r="BY4986">
        <v>1200</v>
      </c>
      <c r="CC4986" t="s">
        <v>80</v>
      </c>
      <c r="CD4986">
        <v>7460</v>
      </c>
      <c r="CE4986" t="s">
        <v>121</v>
      </c>
      <c r="CI4986">
        <v>1</v>
      </c>
      <c r="CJ4986" t="s">
        <v>587</v>
      </c>
      <c r="CK4986">
        <v>21</v>
      </c>
      <c r="CL4986" t="s">
        <v>86</v>
      </c>
    </row>
    <row r="4987" spans="1:90" x14ac:dyDescent="0.3">
      <c r="A4987" t="s">
        <v>72</v>
      </c>
      <c r="B4987" t="s">
        <v>73</v>
      </c>
      <c r="C4987" t="s">
        <v>74</v>
      </c>
      <c r="E4987" t="str">
        <f>"080066921355"</f>
        <v>080066921355</v>
      </c>
      <c r="F4987" s="3">
        <v>45869</v>
      </c>
      <c r="G4987">
        <v>202604</v>
      </c>
      <c r="H4987" t="s">
        <v>75</v>
      </c>
      <c r="I4987" t="s">
        <v>76</v>
      </c>
      <c r="J4987" t="s">
        <v>77</v>
      </c>
      <c r="K4987" t="s">
        <v>78</v>
      </c>
      <c r="L4987" t="s">
        <v>168</v>
      </c>
      <c r="M4987" t="s">
        <v>169</v>
      </c>
      <c r="N4987" t="s">
        <v>2157</v>
      </c>
      <c r="O4987" t="s">
        <v>82</v>
      </c>
      <c r="P4987" t="str">
        <f>"4170052293                    "</f>
        <v xml:space="preserve">4170052293                    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>
        <v>22.6</v>
      </c>
      <c r="AR4987">
        <v>0</v>
      </c>
      <c r="AS4987">
        <v>0</v>
      </c>
      <c r="AT4987">
        <v>0</v>
      </c>
      <c r="AU4987">
        <v>0</v>
      </c>
      <c r="AV4987">
        <v>0</v>
      </c>
      <c r="AW4987">
        <v>0</v>
      </c>
      <c r="AX4987">
        <v>0</v>
      </c>
      <c r="AY4987">
        <v>0</v>
      </c>
      <c r="AZ4987">
        <v>0</v>
      </c>
      <c r="BA4987">
        <v>0</v>
      </c>
      <c r="BB4987">
        <v>0</v>
      </c>
      <c r="BC4987">
        <v>0</v>
      </c>
      <c r="BD4987">
        <v>0</v>
      </c>
      <c r="BE4987">
        <v>0</v>
      </c>
      <c r="BF4987">
        <v>0</v>
      </c>
      <c r="BG4987">
        <v>0</v>
      </c>
      <c r="BH4987">
        <v>1</v>
      </c>
      <c r="BI4987">
        <v>1</v>
      </c>
      <c r="BJ4987">
        <v>0.2</v>
      </c>
      <c r="BK4987">
        <v>1</v>
      </c>
      <c r="BL4987">
        <v>71.2</v>
      </c>
      <c r="BM4987">
        <v>10.68</v>
      </c>
      <c r="BN4987">
        <v>81.88</v>
      </c>
      <c r="BO4987">
        <v>81.88</v>
      </c>
      <c r="BQ4987" t="s">
        <v>2158</v>
      </c>
      <c r="BR4987" t="s">
        <v>84</v>
      </c>
      <c r="BS4987" t="s">
        <v>587</v>
      </c>
      <c r="BV4987" t="s">
        <v>86</v>
      </c>
      <c r="BY4987">
        <v>1200</v>
      </c>
      <c r="CC4987" t="s">
        <v>169</v>
      </c>
      <c r="CD4987">
        <v>6001</v>
      </c>
      <c r="CE4987" t="s">
        <v>121</v>
      </c>
      <c r="CI4987">
        <v>1</v>
      </c>
      <c r="CJ4987" t="s">
        <v>587</v>
      </c>
      <c r="CK4987">
        <v>21</v>
      </c>
      <c r="CL4987" t="s">
        <v>86</v>
      </c>
    </row>
    <row r="4988" spans="1:90" x14ac:dyDescent="0.3">
      <c r="A4988" t="s">
        <v>72</v>
      </c>
      <c r="B4988" t="s">
        <v>73</v>
      </c>
      <c r="C4988" t="s">
        <v>74</v>
      </c>
      <c r="E4988" t="str">
        <f>"080066921367"</f>
        <v>080066921367</v>
      </c>
      <c r="F4988" s="3">
        <v>45869</v>
      </c>
      <c r="G4988">
        <v>202604</v>
      </c>
      <c r="H4988" t="s">
        <v>75</v>
      </c>
      <c r="I4988" t="s">
        <v>76</v>
      </c>
      <c r="J4988" t="s">
        <v>77</v>
      </c>
      <c r="K4988" t="s">
        <v>78</v>
      </c>
      <c r="L4988" t="s">
        <v>79</v>
      </c>
      <c r="M4988" t="s">
        <v>80</v>
      </c>
      <c r="N4988" t="s">
        <v>4042</v>
      </c>
      <c r="O4988" t="s">
        <v>82</v>
      </c>
      <c r="P4988" t="str">
        <f>"4170052190                    "</f>
        <v xml:space="preserve">4170052190                    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>
        <v>45.18</v>
      </c>
      <c r="AR4988">
        <v>0</v>
      </c>
      <c r="AS4988">
        <v>0</v>
      </c>
      <c r="AT4988">
        <v>0</v>
      </c>
      <c r="AU4988">
        <v>0</v>
      </c>
      <c r="AV4988">
        <v>0</v>
      </c>
      <c r="AW4988">
        <v>0</v>
      </c>
      <c r="AX4988">
        <v>0</v>
      </c>
      <c r="AY4988">
        <v>0</v>
      </c>
      <c r="AZ4988">
        <v>0</v>
      </c>
      <c r="BA4988">
        <v>0</v>
      </c>
      <c r="BB4988">
        <v>0</v>
      </c>
      <c r="BC4988">
        <v>0</v>
      </c>
      <c r="BD4988">
        <v>0</v>
      </c>
      <c r="BE4988">
        <v>0</v>
      </c>
      <c r="BF4988">
        <v>0</v>
      </c>
      <c r="BG4988">
        <v>0</v>
      </c>
      <c r="BH4988">
        <v>1</v>
      </c>
      <c r="BI4988">
        <v>3</v>
      </c>
      <c r="BJ4988">
        <v>3.6</v>
      </c>
      <c r="BK4988">
        <v>4</v>
      </c>
      <c r="BL4988">
        <v>142.34</v>
      </c>
      <c r="BM4988">
        <v>21.35</v>
      </c>
      <c r="BN4988">
        <v>163.69</v>
      </c>
      <c r="BO4988">
        <v>163.69</v>
      </c>
      <c r="BQ4988" t="s">
        <v>4043</v>
      </c>
      <c r="BR4988" t="s">
        <v>84</v>
      </c>
      <c r="BS4988" t="s">
        <v>587</v>
      </c>
      <c r="BV4988" t="s">
        <v>86</v>
      </c>
      <c r="BY4988">
        <v>18000</v>
      </c>
      <c r="CC4988" t="s">
        <v>80</v>
      </c>
      <c r="CD4988">
        <v>7530</v>
      </c>
      <c r="CE4988" t="s">
        <v>145</v>
      </c>
      <c r="CI4988">
        <v>1</v>
      </c>
      <c r="CJ4988" t="s">
        <v>587</v>
      </c>
      <c r="CK4988">
        <v>21</v>
      </c>
      <c r="CL4988" t="s">
        <v>86</v>
      </c>
    </row>
    <row r="4989" spans="1:90" x14ac:dyDescent="0.3">
      <c r="A4989" t="s">
        <v>72</v>
      </c>
      <c r="B4989" t="s">
        <v>73</v>
      </c>
      <c r="C4989" t="s">
        <v>74</v>
      </c>
      <c r="E4989" t="str">
        <f>"080066921369"</f>
        <v>080066921369</v>
      </c>
      <c r="F4989" s="3">
        <v>45869</v>
      </c>
      <c r="G4989">
        <v>202604</v>
      </c>
      <c r="H4989" t="s">
        <v>75</v>
      </c>
      <c r="I4989" t="s">
        <v>76</v>
      </c>
      <c r="J4989" t="s">
        <v>77</v>
      </c>
      <c r="K4989" t="s">
        <v>78</v>
      </c>
      <c r="L4989" t="s">
        <v>168</v>
      </c>
      <c r="M4989" t="s">
        <v>169</v>
      </c>
      <c r="N4989" t="s">
        <v>487</v>
      </c>
      <c r="O4989" t="s">
        <v>82</v>
      </c>
      <c r="P4989" t="str">
        <f>"4170052318                    "</f>
        <v xml:space="preserve">4170052318                    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22.6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0</v>
      </c>
      <c r="AZ4989">
        <v>0</v>
      </c>
      <c r="BA4989">
        <v>0</v>
      </c>
      <c r="BB4989">
        <v>0</v>
      </c>
      <c r="BC4989">
        <v>0</v>
      </c>
      <c r="BD4989">
        <v>0</v>
      </c>
      <c r="BE4989">
        <v>0</v>
      </c>
      <c r="BF4989">
        <v>0</v>
      </c>
      <c r="BG4989">
        <v>0</v>
      </c>
      <c r="BH4989">
        <v>1</v>
      </c>
      <c r="BI4989">
        <v>1</v>
      </c>
      <c r="BJ4989">
        <v>0.2</v>
      </c>
      <c r="BK4989">
        <v>1</v>
      </c>
      <c r="BL4989">
        <v>71.2</v>
      </c>
      <c r="BM4989">
        <v>10.68</v>
      </c>
      <c r="BN4989">
        <v>81.88</v>
      </c>
      <c r="BO4989">
        <v>81.88</v>
      </c>
      <c r="BQ4989" t="s">
        <v>488</v>
      </c>
      <c r="BR4989" t="s">
        <v>84</v>
      </c>
      <c r="BS4989" t="s">
        <v>587</v>
      </c>
      <c r="BV4989" t="s">
        <v>86</v>
      </c>
      <c r="BY4989">
        <v>1200</v>
      </c>
      <c r="CC4989" t="s">
        <v>169</v>
      </c>
      <c r="CD4989">
        <v>6012</v>
      </c>
      <c r="CE4989" t="s">
        <v>121</v>
      </c>
      <c r="CI4989">
        <v>1</v>
      </c>
      <c r="CJ4989" t="s">
        <v>587</v>
      </c>
      <c r="CK4989">
        <v>21</v>
      </c>
      <c r="CL4989" t="s">
        <v>86</v>
      </c>
    </row>
    <row r="4990" spans="1:90" x14ac:dyDescent="0.3">
      <c r="A4990" t="s">
        <v>72</v>
      </c>
      <c r="B4990" t="s">
        <v>73</v>
      </c>
      <c r="C4990" t="s">
        <v>74</v>
      </c>
      <c r="E4990" t="str">
        <f>"080066921375"</f>
        <v>080066921375</v>
      </c>
      <c r="F4990" s="3">
        <v>45869</v>
      </c>
      <c r="G4990">
        <v>202604</v>
      </c>
      <c r="H4990" t="s">
        <v>75</v>
      </c>
      <c r="I4990" t="s">
        <v>76</v>
      </c>
      <c r="J4990" t="s">
        <v>77</v>
      </c>
      <c r="K4990" t="s">
        <v>78</v>
      </c>
      <c r="L4990" t="s">
        <v>92</v>
      </c>
      <c r="M4990" t="s">
        <v>93</v>
      </c>
      <c r="N4990" t="s">
        <v>1811</v>
      </c>
      <c r="O4990" t="s">
        <v>82</v>
      </c>
      <c r="P4990" t="str">
        <f>"4170052316                    "</f>
        <v xml:space="preserve">4170052316                    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>
        <v>22.6</v>
      </c>
      <c r="AR4990">
        <v>0</v>
      </c>
      <c r="AS4990">
        <v>0</v>
      </c>
      <c r="AT4990">
        <v>0</v>
      </c>
      <c r="AU4990">
        <v>0</v>
      </c>
      <c r="AV4990">
        <v>0</v>
      </c>
      <c r="AW4990">
        <v>0</v>
      </c>
      <c r="AX4990">
        <v>0</v>
      </c>
      <c r="AY4990">
        <v>0</v>
      </c>
      <c r="AZ4990">
        <v>0</v>
      </c>
      <c r="BA4990">
        <v>0</v>
      </c>
      <c r="BB4990">
        <v>0</v>
      </c>
      <c r="BC4990">
        <v>0</v>
      </c>
      <c r="BD4990">
        <v>0</v>
      </c>
      <c r="BE4990">
        <v>0</v>
      </c>
      <c r="BF4990">
        <v>0</v>
      </c>
      <c r="BG4990">
        <v>0</v>
      </c>
      <c r="BH4990">
        <v>1</v>
      </c>
      <c r="BI4990">
        <v>1</v>
      </c>
      <c r="BJ4990">
        <v>0.2</v>
      </c>
      <c r="BK4990">
        <v>1</v>
      </c>
      <c r="BL4990">
        <v>71.2</v>
      </c>
      <c r="BM4990">
        <v>10.68</v>
      </c>
      <c r="BN4990">
        <v>81.88</v>
      </c>
      <c r="BO4990">
        <v>81.88</v>
      </c>
      <c r="BQ4990" t="s">
        <v>1812</v>
      </c>
      <c r="BR4990" t="s">
        <v>84</v>
      </c>
      <c r="BS4990" t="s">
        <v>587</v>
      </c>
      <c r="BV4990" t="s">
        <v>86</v>
      </c>
      <c r="BY4990">
        <v>1200</v>
      </c>
      <c r="CC4990" t="s">
        <v>93</v>
      </c>
      <c r="CD4990">
        <v>4052</v>
      </c>
      <c r="CE4990" t="s">
        <v>121</v>
      </c>
      <c r="CI4990">
        <v>1</v>
      </c>
      <c r="CJ4990" t="s">
        <v>587</v>
      </c>
      <c r="CK4990">
        <v>21</v>
      </c>
      <c r="CL4990" t="s">
        <v>86</v>
      </c>
    </row>
    <row r="4991" spans="1:90" x14ac:dyDescent="0.3">
      <c r="A4991" t="s">
        <v>72</v>
      </c>
      <c r="B4991" t="s">
        <v>73</v>
      </c>
      <c r="C4991" t="s">
        <v>74</v>
      </c>
      <c r="E4991" t="str">
        <f>"080066921381"</f>
        <v>080066921381</v>
      </c>
      <c r="F4991" s="3">
        <v>45869</v>
      </c>
      <c r="G4991">
        <v>202604</v>
      </c>
      <c r="H4991" t="s">
        <v>75</v>
      </c>
      <c r="I4991" t="s">
        <v>76</v>
      </c>
      <c r="J4991" t="s">
        <v>77</v>
      </c>
      <c r="K4991" t="s">
        <v>78</v>
      </c>
      <c r="L4991" t="s">
        <v>128</v>
      </c>
      <c r="M4991" t="s">
        <v>129</v>
      </c>
      <c r="N4991" t="s">
        <v>2038</v>
      </c>
      <c r="O4991" t="s">
        <v>82</v>
      </c>
      <c r="P4991" t="str">
        <f>"4170052311                    "</f>
        <v xml:space="preserve">4170052311                    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73.44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0</v>
      </c>
      <c r="BA4991">
        <v>0</v>
      </c>
      <c r="BB4991">
        <v>0</v>
      </c>
      <c r="BC4991">
        <v>0</v>
      </c>
      <c r="BD4991">
        <v>0</v>
      </c>
      <c r="BE4991">
        <v>0</v>
      </c>
      <c r="BF4991">
        <v>0</v>
      </c>
      <c r="BG4991">
        <v>0</v>
      </c>
      <c r="BH4991">
        <v>1</v>
      </c>
      <c r="BI4991">
        <v>1</v>
      </c>
      <c r="BJ4991">
        <v>3.4</v>
      </c>
      <c r="BK4991">
        <v>3.5</v>
      </c>
      <c r="BL4991">
        <v>231.38</v>
      </c>
      <c r="BM4991">
        <v>34.71</v>
      </c>
      <c r="BN4991">
        <v>266.08999999999997</v>
      </c>
      <c r="BO4991">
        <v>266.08999999999997</v>
      </c>
      <c r="BQ4991" t="s">
        <v>2039</v>
      </c>
      <c r="BR4991" t="s">
        <v>84</v>
      </c>
      <c r="BS4991" t="s">
        <v>587</v>
      </c>
      <c r="BV4991" t="s">
        <v>86</v>
      </c>
      <c r="BY4991">
        <v>16965</v>
      </c>
      <c r="CC4991" t="s">
        <v>129</v>
      </c>
      <c r="CD4991" s="5" t="s">
        <v>134</v>
      </c>
      <c r="CE4991" t="s">
        <v>145</v>
      </c>
      <c r="CI4991">
        <v>1</v>
      </c>
      <c r="CJ4991" t="s">
        <v>587</v>
      </c>
      <c r="CK4991">
        <v>23</v>
      </c>
      <c r="CL4991" t="s">
        <v>86</v>
      </c>
    </row>
    <row r="4992" spans="1:90" x14ac:dyDescent="0.3">
      <c r="A4992" t="s">
        <v>72</v>
      </c>
      <c r="B4992" t="s">
        <v>73</v>
      </c>
      <c r="C4992" t="s">
        <v>74</v>
      </c>
      <c r="E4992" t="str">
        <f>"080066921407"</f>
        <v>080066921407</v>
      </c>
      <c r="F4992" s="3">
        <v>45869</v>
      </c>
      <c r="G4992">
        <v>202604</v>
      </c>
      <c r="H4992" t="s">
        <v>75</v>
      </c>
      <c r="I4992" t="s">
        <v>76</v>
      </c>
      <c r="J4992" t="s">
        <v>77</v>
      </c>
      <c r="K4992" t="s">
        <v>78</v>
      </c>
      <c r="L4992" t="s">
        <v>277</v>
      </c>
      <c r="M4992" t="s">
        <v>278</v>
      </c>
      <c r="N4992" t="s">
        <v>651</v>
      </c>
      <c r="O4992" t="s">
        <v>82</v>
      </c>
      <c r="P4992" t="str">
        <f>"4170052141                    "</f>
        <v xml:space="preserve">4170052141                    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>
        <v>79.05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0</v>
      </c>
      <c r="AX4992">
        <v>0</v>
      </c>
      <c r="AY4992">
        <v>0</v>
      </c>
      <c r="AZ4992">
        <v>0</v>
      </c>
      <c r="BA4992">
        <v>0</v>
      </c>
      <c r="BB4992">
        <v>0</v>
      </c>
      <c r="BC4992">
        <v>0</v>
      </c>
      <c r="BD4992">
        <v>0</v>
      </c>
      <c r="BE4992">
        <v>0</v>
      </c>
      <c r="BF4992">
        <v>0</v>
      </c>
      <c r="BG4992">
        <v>0</v>
      </c>
      <c r="BH4992">
        <v>1</v>
      </c>
      <c r="BI4992">
        <v>7</v>
      </c>
      <c r="BJ4992">
        <v>4.8</v>
      </c>
      <c r="BK4992">
        <v>7</v>
      </c>
      <c r="BL4992">
        <v>249.05</v>
      </c>
      <c r="BM4992">
        <v>37.36</v>
      </c>
      <c r="BN4992">
        <v>286.41000000000003</v>
      </c>
      <c r="BO4992">
        <v>286.41000000000003</v>
      </c>
      <c r="BQ4992" t="s">
        <v>652</v>
      </c>
      <c r="BR4992" t="s">
        <v>84</v>
      </c>
      <c r="BS4992" t="s">
        <v>587</v>
      </c>
      <c r="BV4992" t="s">
        <v>86</v>
      </c>
      <c r="BY4992">
        <v>23751</v>
      </c>
      <c r="CC4992" t="s">
        <v>278</v>
      </c>
      <c r="CD4992">
        <v>6229</v>
      </c>
      <c r="CE4992" t="s">
        <v>145</v>
      </c>
      <c r="CI4992">
        <v>1</v>
      </c>
      <c r="CJ4992" t="s">
        <v>587</v>
      </c>
      <c r="CK4992">
        <v>21</v>
      </c>
      <c r="CL4992" t="s">
        <v>86</v>
      </c>
    </row>
    <row r="4993" spans="1:90" x14ac:dyDescent="0.3">
      <c r="A4993" t="s">
        <v>72</v>
      </c>
      <c r="B4993" t="s">
        <v>73</v>
      </c>
      <c r="C4993" t="s">
        <v>74</v>
      </c>
      <c r="E4993" t="str">
        <f>"080066921441"</f>
        <v>080066921441</v>
      </c>
      <c r="F4993" s="3">
        <v>45869</v>
      </c>
      <c r="G4993">
        <v>202604</v>
      </c>
      <c r="H4993" t="s">
        <v>75</v>
      </c>
      <c r="I4993" t="s">
        <v>76</v>
      </c>
      <c r="J4993" t="s">
        <v>77</v>
      </c>
      <c r="K4993" t="s">
        <v>78</v>
      </c>
      <c r="L4993" t="s">
        <v>151</v>
      </c>
      <c r="M4993" t="s">
        <v>152</v>
      </c>
      <c r="N4993" t="s">
        <v>1759</v>
      </c>
      <c r="O4993" t="s">
        <v>95</v>
      </c>
      <c r="P4993" t="str">
        <f>"4170052305                    "</f>
        <v xml:space="preserve">4170052305                    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43.7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  <c r="BA4993">
        <v>0</v>
      </c>
      <c r="BB4993">
        <v>0</v>
      </c>
      <c r="BC4993">
        <v>0</v>
      </c>
      <c r="BD4993">
        <v>0</v>
      </c>
      <c r="BE4993">
        <v>0</v>
      </c>
      <c r="BF4993">
        <v>0</v>
      </c>
      <c r="BG4993">
        <v>0</v>
      </c>
      <c r="BH4993">
        <v>1</v>
      </c>
      <c r="BI4993">
        <v>5</v>
      </c>
      <c r="BJ4993">
        <v>2.2000000000000002</v>
      </c>
      <c r="BK4993">
        <v>5</v>
      </c>
      <c r="BL4993">
        <v>143.55000000000001</v>
      </c>
      <c r="BM4993">
        <v>21.53</v>
      </c>
      <c r="BN4993">
        <v>165.08</v>
      </c>
      <c r="BO4993">
        <v>165.08</v>
      </c>
      <c r="BQ4993" t="s">
        <v>1760</v>
      </c>
      <c r="BR4993" t="s">
        <v>84</v>
      </c>
      <c r="BS4993" t="s">
        <v>587</v>
      </c>
      <c r="BV4993" t="s">
        <v>86</v>
      </c>
      <c r="BY4993">
        <v>11088</v>
      </c>
      <c r="CC4993" t="s">
        <v>152</v>
      </c>
      <c r="CD4993" s="5" t="s">
        <v>684</v>
      </c>
      <c r="CE4993" t="s">
        <v>91</v>
      </c>
      <c r="CI4993">
        <v>1</v>
      </c>
      <c r="CJ4993" t="s">
        <v>587</v>
      </c>
      <c r="CK4993">
        <v>41</v>
      </c>
      <c r="CL4993" t="s">
        <v>86</v>
      </c>
    </row>
    <row r="4994" spans="1:90" x14ac:dyDescent="0.3">
      <c r="A4994" t="s">
        <v>72</v>
      </c>
      <c r="B4994" t="s">
        <v>73</v>
      </c>
      <c r="C4994" t="s">
        <v>74</v>
      </c>
      <c r="E4994" t="str">
        <f>"080066921458"</f>
        <v>080066921458</v>
      </c>
      <c r="F4994" s="3">
        <v>45869</v>
      </c>
      <c r="G4994">
        <v>202604</v>
      </c>
      <c r="H4994" t="s">
        <v>75</v>
      </c>
      <c r="I4994" t="s">
        <v>76</v>
      </c>
      <c r="J4994" t="s">
        <v>77</v>
      </c>
      <c r="K4994" t="s">
        <v>78</v>
      </c>
      <c r="L4994" t="s">
        <v>151</v>
      </c>
      <c r="M4994" t="s">
        <v>152</v>
      </c>
      <c r="N4994" t="s">
        <v>2227</v>
      </c>
      <c r="O4994" t="s">
        <v>82</v>
      </c>
      <c r="P4994" t="str">
        <f>"4170052315                    "</f>
        <v xml:space="preserve">4170052315                    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33.89</v>
      </c>
      <c r="AR4994">
        <v>0</v>
      </c>
      <c r="AS4994">
        <v>0</v>
      </c>
      <c r="AT4994">
        <v>0</v>
      </c>
      <c r="AU4994">
        <v>0</v>
      </c>
      <c r="AV4994">
        <v>0</v>
      </c>
      <c r="AW4994">
        <v>0</v>
      </c>
      <c r="AX4994">
        <v>0</v>
      </c>
      <c r="AY4994">
        <v>0</v>
      </c>
      <c r="AZ4994">
        <v>0</v>
      </c>
      <c r="BA4994">
        <v>0</v>
      </c>
      <c r="BB4994">
        <v>0</v>
      </c>
      <c r="BC4994">
        <v>0</v>
      </c>
      <c r="BD4994">
        <v>0</v>
      </c>
      <c r="BE4994">
        <v>0</v>
      </c>
      <c r="BF4994">
        <v>0</v>
      </c>
      <c r="BG4994">
        <v>0</v>
      </c>
      <c r="BH4994">
        <v>1</v>
      </c>
      <c r="BI4994">
        <v>3</v>
      </c>
      <c r="BJ4994">
        <v>2.2000000000000002</v>
      </c>
      <c r="BK4994">
        <v>3</v>
      </c>
      <c r="BL4994">
        <v>106.77</v>
      </c>
      <c r="BM4994">
        <v>16.02</v>
      </c>
      <c r="BN4994">
        <v>122.79</v>
      </c>
      <c r="BO4994">
        <v>122.79</v>
      </c>
      <c r="BQ4994" t="s">
        <v>2228</v>
      </c>
      <c r="BR4994" t="s">
        <v>84</v>
      </c>
      <c r="BS4994" t="s">
        <v>587</v>
      </c>
      <c r="BV4994" t="s">
        <v>86</v>
      </c>
      <c r="BY4994">
        <v>11088</v>
      </c>
      <c r="CC4994" t="s">
        <v>152</v>
      </c>
      <c r="CD4994" s="5" t="s">
        <v>389</v>
      </c>
      <c r="CE4994" t="s">
        <v>91</v>
      </c>
      <c r="CI4994">
        <v>1</v>
      </c>
      <c r="CJ4994" t="s">
        <v>587</v>
      </c>
      <c r="CK4994">
        <v>21</v>
      </c>
      <c r="CL4994" t="s">
        <v>86</v>
      </c>
    </row>
    <row r="4995" spans="1:90" x14ac:dyDescent="0.3">
      <c r="A4995" t="s">
        <v>72</v>
      </c>
      <c r="B4995" t="s">
        <v>73</v>
      </c>
      <c r="C4995" t="s">
        <v>74</v>
      </c>
      <c r="E4995" t="str">
        <f>"080066921484"</f>
        <v>080066921484</v>
      </c>
      <c r="F4995" s="3">
        <v>45869</v>
      </c>
      <c r="G4995">
        <v>202604</v>
      </c>
      <c r="H4995" t="s">
        <v>75</v>
      </c>
      <c r="I4995" t="s">
        <v>76</v>
      </c>
      <c r="J4995" t="s">
        <v>77</v>
      </c>
      <c r="K4995" t="s">
        <v>78</v>
      </c>
      <c r="L4995" t="s">
        <v>122</v>
      </c>
      <c r="M4995" t="s">
        <v>123</v>
      </c>
      <c r="N4995" t="s">
        <v>283</v>
      </c>
      <c r="O4995" t="s">
        <v>82</v>
      </c>
      <c r="P4995" t="str">
        <f>"4170052290                    "</f>
        <v xml:space="preserve">4170052290                    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67.760000000000005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  <c r="BE4995">
        <v>0</v>
      </c>
      <c r="BF4995">
        <v>0</v>
      </c>
      <c r="BG4995">
        <v>0</v>
      </c>
      <c r="BH4995">
        <v>1</v>
      </c>
      <c r="BI4995">
        <v>2</v>
      </c>
      <c r="BJ4995">
        <v>6</v>
      </c>
      <c r="BK4995">
        <v>6</v>
      </c>
      <c r="BL4995">
        <v>213.48</v>
      </c>
      <c r="BM4995">
        <v>32.020000000000003</v>
      </c>
      <c r="BN4995">
        <v>245.5</v>
      </c>
      <c r="BO4995">
        <v>245.5</v>
      </c>
      <c r="BQ4995" t="s">
        <v>284</v>
      </c>
      <c r="BR4995" t="s">
        <v>84</v>
      </c>
      <c r="BS4995" t="s">
        <v>587</v>
      </c>
      <c r="BV4995" t="s">
        <v>86</v>
      </c>
      <c r="BY4995">
        <v>30096</v>
      </c>
      <c r="CC4995" t="s">
        <v>123</v>
      </c>
      <c r="CD4995">
        <v>3608</v>
      </c>
      <c r="CE4995" t="s">
        <v>91</v>
      </c>
      <c r="CI4995">
        <v>1</v>
      </c>
      <c r="CJ4995" t="s">
        <v>587</v>
      </c>
      <c r="CK4995">
        <v>21</v>
      </c>
      <c r="CL4995" t="s">
        <v>86</v>
      </c>
    </row>
    <row r="4996" spans="1:90" x14ac:dyDescent="0.3">
      <c r="A4996" t="s">
        <v>72</v>
      </c>
      <c r="B4996" t="s">
        <v>73</v>
      </c>
      <c r="C4996" t="s">
        <v>74</v>
      </c>
      <c r="E4996" t="str">
        <f>"080066921808"</f>
        <v>080066921808</v>
      </c>
      <c r="F4996" s="3">
        <v>45869</v>
      </c>
      <c r="G4996">
        <v>202604</v>
      </c>
      <c r="H4996" t="s">
        <v>75</v>
      </c>
      <c r="I4996" t="s">
        <v>76</v>
      </c>
      <c r="J4996" t="s">
        <v>77</v>
      </c>
      <c r="K4996" t="s">
        <v>78</v>
      </c>
      <c r="L4996" t="s">
        <v>79</v>
      </c>
      <c r="M4996" t="s">
        <v>80</v>
      </c>
      <c r="N4996" t="s">
        <v>141</v>
      </c>
      <c r="O4996" t="s">
        <v>82</v>
      </c>
      <c r="P4996" t="str">
        <f>"4170052323                    "</f>
        <v xml:space="preserve">4170052323                    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22.6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v>0</v>
      </c>
      <c r="BB4996">
        <v>0</v>
      </c>
      <c r="BC4996">
        <v>0</v>
      </c>
      <c r="BD4996">
        <v>0</v>
      </c>
      <c r="BE4996">
        <v>0</v>
      </c>
      <c r="BF4996">
        <v>0</v>
      </c>
      <c r="BG4996">
        <v>0</v>
      </c>
      <c r="BH4996">
        <v>1</v>
      </c>
      <c r="BI4996">
        <v>1</v>
      </c>
      <c r="BJ4996">
        <v>0.2</v>
      </c>
      <c r="BK4996">
        <v>1</v>
      </c>
      <c r="BL4996">
        <v>71.2</v>
      </c>
      <c r="BM4996">
        <v>10.68</v>
      </c>
      <c r="BN4996">
        <v>81.88</v>
      </c>
      <c r="BO4996">
        <v>81.88</v>
      </c>
      <c r="BQ4996" t="s">
        <v>142</v>
      </c>
      <c r="BR4996" t="s">
        <v>84</v>
      </c>
      <c r="BS4996" t="s">
        <v>587</v>
      </c>
      <c r="BV4996" t="s">
        <v>86</v>
      </c>
      <c r="BY4996">
        <v>1200</v>
      </c>
      <c r="CC4996" t="s">
        <v>80</v>
      </c>
      <c r="CD4996">
        <v>7441</v>
      </c>
      <c r="CE4996" t="s">
        <v>121</v>
      </c>
      <c r="CI4996">
        <v>1</v>
      </c>
      <c r="CJ4996" t="s">
        <v>587</v>
      </c>
      <c r="CK4996">
        <v>21</v>
      </c>
      <c r="CL4996" t="s">
        <v>86</v>
      </c>
    </row>
    <row r="4997" spans="1:90" x14ac:dyDescent="0.3">
      <c r="A4997" t="s">
        <v>72</v>
      </c>
      <c r="B4997" t="s">
        <v>73</v>
      </c>
      <c r="C4997" t="s">
        <v>74</v>
      </c>
      <c r="E4997" t="str">
        <f>"080066922701"</f>
        <v>080066922701</v>
      </c>
      <c r="F4997" s="3">
        <v>45869</v>
      </c>
      <c r="G4997">
        <v>202604</v>
      </c>
      <c r="H4997" t="s">
        <v>75</v>
      </c>
      <c r="I4997" t="s">
        <v>76</v>
      </c>
      <c r="J4997" t="s">
        <v>77</v>
      </c>
      <c r="K4997" t="s">
        <v>78</v>
      </c>
      <c r="L4997" t="s">
        <v>79</v>
      </c>
      <c r="M4997" t="s">
        <v>80</v>
      </c>
      <c r="N4997" t="s">
        <v>1101</v>
      </c>
      <c r="O4997" t="s">
        <v>82</v>
      </c>
      <c r="P4997" t="str">
        <f>"4170052214                    "</f>
        <v xml:space="preserve">4170052214                    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22.6</v>
      </c>
      <c r="AR4997">
        <v>0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0</v>
      </c>
      <c r="AY4997">
        <v>0</v>
      </c>
      <c r="AZ4997">
        <v>0</v>
      </c>
      <c r="BA4997">
        <v>0</v>
      </c>
      <c r="BB4997">
        <v>0</v>
      </c>
      <c r="BC4997">
        <v>0</v>
      </c>
      <c r="BD4997">
        <v>0</v>
      </c>
      <c r="BE4997">
        <v>0</v>
      </c>
      <c r="BF4997">
        <v>0</v>
      </c>
      <c r="BG4997">
        <v>0</v>
      </c>
      <c r="BH4997">
        <v>1</v>
      </c>
      <c r="BI4997">
        <v>2</v>
      </c>
      <c r="BJ4997">
        <v>1.9</v>
      </c>
      <c r="BK4997">
        <v>2</v>
      </c>
      <c r="BL4997">
        <v>71.2</v>
      </c>
      <c r="BM4997">
        <v>10.68</v>
      </c>
      <c r="BN4997">
        <v>81.88</v>
      </c>
      <c r="BO4997">
        <v>81.88</v>
      </c>
      <c r="BQ4997" t="s">
        <v>1102</v>
      </c>
      <c r="BR4997" t="s">
        <v>84</v>
      </c>
      <c r="BS4997" t="s">
        <v>587</v>
      </c>
      <c r="BV4997" t="s">
        <v>86</v>
      </c>
      <c r="BY4997">
        <v>9600</v>
      </c>
      <c r="CC4997" t="s">
        <v>80</v>
      </c>
      <c r="CD4997">
        <v>7530</v>
      </c>
      <c r="CE4997" t="s">
        <v>145</v>
      </c>
      <c r="CI4997">
        <v>1</v>
      </c>
      <c r="CJ4997" t="s">
        <v>587</v>
      </c>
      <c r="CK4997">
        <v>21</v>
      </c>
      <c r="CL4997" t="s">
        <v>86</v>
      </c>
    </row>
    <row r="4998" spans="1:90" x14ac:dyDescent="0.3">
      <c r="A4998" t="s">
        <v>72</v>
      </c>
      <c r="B4998" t="s">
        <v>73</v>
      </c>
      <c r="C4998" t="s">
        <v>74</v>
      </c>
      <c r="E4998" t="str">
        <f>"080066922726"</f>
        <v>080066922726</v>
      </c>
      <c r="F4998" s="3">
        <v>45869</v>
      </c>
      <c r="G4998">
        <v>202604</v>
      </c>
      <c r="H4998" t="s">
        <v>75</v>
      </c>
      <c r="I4998" t="s">
        <v>76</v>
      </c>
      <c r="J4998" t="s">
        <v>77</v>
      </c>
      <c r="K4998" t="s">
        <v>78</v>
      </c>
      <c r="L4998" t="s">
        <v>122</v>
      </c>
      <c r="M4998" t="s">
        <v>123</v>
      </c>
      <c r="N4998" t="s">
        <v>184</v>
      </c>
      <c r="O4998" t="s">
        <v>82</v>
      </c>
      <c r="P4998" t="str">
        <f>"4170052304                    "</f>
        <v xml:space="preserve">4170052304                    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112.92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AZ4998">
        <v>0</v>
      </c>
      <c r="BA4998">
        <v>0</v>
      </c>
      <c r="BB4998">
        <v>0</v>
      </c>
      <c r="BC4998">
        <v>0</v>
      </c>
      <c r="BD4998">
        <v>0</v>
      </c>
      <c r="BE4998">
        <v>0</v>
      </c>
      <c r="BF4998">
        <v>0</v>
      </c>
      <c r="BG4998">
        <v>0</v>
      </c>
      <c r="BH4998">
        <v>1</v>
      </c>
      <c r="BI4998">
        <v>10</v>
      </c>
      <c r="BJ4998">
        <v>3.2</v>
      </c>
      <c r="BK4998">
        <v>10</v>
      </c>
      <c r="BL4998">
        <v>355.76</v>
      </c>
      <c r="BM4998">
        <v>53.36</v>
      </c>
      <c r="BN4998">
        <v>409.12</v>
      </c>
      <c r="BO4998">
        <v>409.12</v>
      </c>
      <c r="BQ4998" t="s">
        <v>185</v>
      </c>
      <c r="BR4998" t="s">
        <v>84</v>
      </c>
      <c r="BS4998" t="s">
        <v>587</v>
      </c>
      <c r="BV4998" t="s">
        <v>86</v>
      </c>
      <c r="BY4998">
        <v>16128</v>
      </c>
      <c r="CC4998" t="s">
        <v>123</v>
      </c>
      <c r="CD4998">
        <v>3610</v>
      </c>
      <c r="CE4998" t="s">
        <v>145</v>
      </c>
      <c r="CI4998">
        <v>1</v>
      </c>
      <c r="CJ4998" t="s">
        <v>587</v>
      </c>
      <c r="CK4998">
        <v>21</v>
      </c>
      <c r="CL4998" t="s">
        <v>86</v>
      </c>
    </row>
    <row r="4999" spans="1:90" x14ac:dyDescent="0.3">
      <c r="A4999" t="s">
        <v>72</v>
      </c>
      <c r="B4999" t="s">
        <v>73</v>
      </c>
      <c r="C4999" t="s">
        <v>74</v>
      </c>
      <c r="E4999" t="str">
        <f>"080066922755"</f>
        <v>080066922755</v>
      </c>
      <c r="F4999" s="3">
        <v>45869</v>
      </c>
      <c r="G4999">
        <v>202604</v>
      </c>
      <c r="H4999" t="s">
        <v>75</v>
      </c>
      <c r="I4999" t="s">
        <v>76</v>
      </c>
      <c r="J4999" t="s">
        <v>77</v>
      </c>
      <c r="K4999" t="s">
        <v>78</v>
      </c>
      <c r="L4999" t="s">
        <v>554</v>
      </c>
      <c r="M4999" t="s">
        <v>555</v>
      </c>
      <c r="N4999" t="s">
        <v>556</v>
      </c>
      <c r="O4999" t="s">
        <v>82</v>
      </c>
      <c r="P4999" t="str">
        <f>"4170052217                    "</f>
        <v xml:space="preserve">4170052217                    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33.89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AZ4999">
        <v>0</v>
      </c>
      <c r="BA4999">
        <v>0</v>
      </c>
      <c r="BB4999">
        <v>0</v>
      </c>
      <c r="BC4999">
        <v>0</v>
      </c>
      <c r="BD4999">
        <v>0</v>
      </c>
      <c r="BE4999">
        <v>0</v>
      </c>
      <c r="BF4999">
        <v>0</v>
      </c>
      <c r="BG4999">
        <v>0</v>
      </c>
      <c r="BH4999">
        <v>1</v>
      </c>
      <c r="BI4999">
        <v>3</v>
      </c>
      <c r="BJ4999">
        <v>1.9</v>
      </c>
      <c r="BK4999">
        <v>3</v>
      </c>
      <c r="BL4999">
        <v>106.77</v>
      </c>
      <c r="BM4999">
        <v>16.02</v>
      </c>
      <c r="BN4999">
        <v>122.79</v>
      </c>
      <c r="BO4999">
        <v>122.79</v>
      </c>
      <c r="BQ4999" t="s">
        <v>557</v>
      </c>
      <c r="BR4999" t="s">
        <v>84</v>
      </c>
      <c r="BS4999" t="s">
        <v>587</v>
      </c>
      <c r="BV4999" t="s">
        <v>86</v>
      </c>
      <c r="BY4999">
        <v>9600</v>
      </c>
      <c r="CC4999" t="s">
        <v>555</v>
      </c>
      <c r="CD4999" s="5" t="s">
        <v>560</v>
      </c>
      <c r="CE4999" t="s">
        <v>145</v>
      </c>
      <c r="CI4999">
        <v>1</v>
      </c>
      <c r="CJ4999" t="s">
        <v>587</v>
      </c>
      <c r="CK4999">
        <v>21</v>
      </c>
      <c r="CL4999" t="s">
        <v>86</v>
      </c>
    </row>
    <row r="5000" spans="1:90" x14ac:dyDescent="0.3">
      <c r="A5000" t="s">
        <v>72</v>
      </c>
      <c r="B5000" t="s">
        <v>73</v>
      </c>
      <c r="C5000" t="s">
        <v>74</v>
      </c>
      <c r="E5000" t="str">
        <f>"080066922801"</f>
        <v>080066922801</v>
      </c>
      <c r="F5000" s="3">
        <v>45869</v>
      </c>
      <c r="G5000">
        <v>202604</v>
      </c>
      <c r="H5000" t="s">
        <v>75</v>
      </c>
      <c r="I5000" t="s">
        <v>76</v>
      </c>
      <c r="J5000" t="s">
        <v>77</v>
      </c>
      <c r="K5000" t="s">
        <v>78</v>
      </c>
      <c r="L5000" t="s">
        <v>151</v>
      </c>
      <c r="M5000" t="s">
        <v>152</v>
      </c>
      <c r="N5000" t="s">
        <v>272</v>
      </c>
      <c r="O5000" t="s">
        <v>82</v>
      </c>
      <c r="P5000" t="str">
        <f>"4170052325                    "</f>
        <v xml:space="preserve">4170052325                    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22.6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</v>
      </c>
      <c r="AX5000">
        <v>0</v>
      </c>
      <c r="AY5000">
        <v>0</v>
      </c>
      <c r="AZ5000">
        <v>0</v>
      </c>
      <c r="BA5000">
        <v>0</v>
      </c>
      <c r="BB5000">
        <v>0</v>
      </c>
      <c r="BC5000">
        <v>0</v>
      </c>
      <c r="BD5000">
        <v>0</v>
      </c>
      <c r="BE5000">
        <v>0</v>
      </c>
      <c r="BF5000">
        <v>0</v>
      </c>
      <c r="BG5000">
        <v>0</v>
      </c>
      <c r="BH5000">
        <v>1</v>
      </c>
      <c r="BI5000">
        <v>1</v>
      </c>
      <c r="BJ5000">
        <v>0.2</v>
      </c>
      <c r="BK5000">
        <v>1</v>
      </c>
      <c r="BL5000">
        <v>71.2</v>
      </c>
      <c r="BM5000">
        <v>10.68</v>
      </c>
      <c r="BN5000">
        <v>81.88</v>
      </c>
      <c r="BO5000">
        <v>81.88</v>
      </c>
      <c r="BQ5000" t="s">
        <v>273</v>
      </c>
      <c r="BR5000" t="s">
        <v>84</v>
      </c>
      <c r="BS5000" t="s">
        <v>587</v>
      </c>
      <c r="BV5000" t="s">
        <v>86</v>
      </c>
      <c r="BY5000">
        <v>1200</v>
      </c>
      <c r="CC5000" t="s">
        <v>152</v>
      </c>
      <c r="CD5000" s="5" t="s">
        <v>276</v>
      </c>
      <c r="CE5000" t="s">
        <v>121</v>
      </c>
      <c r="CI5000">
        <v>1</v>
      </c>
      <c r="CJ5000" t="s">
        <v>587</v>
      </c>
      <c r="CK5000">
        <v>21</v>
      </c>
      <c r="CL5000" t="s">
        <v>86</v>
      </c>
    </row>
    <row r="5001" spans="1:90" x14ac:dyDescent="0.3">
      <c r="A5001" t="s">
        <v>72</v>
      </c>
      <c r="B5001" t="s">
        <v>73</v>
      </c>
      <c r="C5001" t="s">
        <v>74</v>
      </c>
      <c r="E5001" t="str">
        <f>"080066923696"</f>
        <v>080066923696</v>
      </c>
      <c r="F5001" s="3">
        <v>45869</v>
      </c>
      <c r="G5001">
        <v>202604</v>
      </c>
      <c r="H5001" t="s">
        <v>75</v>
      </c>
      <c r="I5001" t="s">
        <v>76</v>
      </c>
      <c r="J5001" t="s">
        <v>77</v>
      </c>
      <c r="K5001" t="s">
        <v>78</v>
      </c>
      <c r="L5001" t="s">
        <v>168</v>
      </c>
      <c r="M5001" t="s">
        <v>169</v>
      </c>
      <c r="N5001" t="s">
        <v>1252</v>
      </c>
      <c r="O5001" t="s">
        <v>82</v>
      </c>
      <c r="P5001" t="str">
        <f>"4170052298                    "</f>
        <v xml:space="preserve">4170052298                    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22.6</v>
      </c>
      <c r="AR5001">
        <v>0</v>
      </c>
      <c r="AS5001">
        <v>0</v>
      </c>
      <c r="AT5001">
        <v>0</v>
      </c>
      <c r="AU5001">
        <v>0</v>
      </c>
      <c r="AV5001">
        <v>0</v>
      </c>
      <c r="AW5001">
        <v>0</v>
      </c>
      <c r="AX5001">
        <v>0</v>
      </c>
      <c r="AY5001">
        <v>0</v>
      </c>
      <c r="AZ5001">
        <v>0</v>
      </c>
      <c r="BA5001">
        <v>0</v>
      </c>
      <c r="BB5001">
        <v>0</v>
      </c>
      <c r="BC5001">
        <v>0</v>
      </c>
      <c r="BD5001">
        <v>0</v>
      </c>
      <c r="BE5001">
        <v>0</v>
      </c>
      <c r="BF5001">
        <v>0</v>
      </c>
      <c r="BG5001">
        <v>0</v>
      </c>
      <c r="BH5001">
        <v>1</v>
      </c>
      <c r="BI5001">
        <v>1</v>
      </c>
      <c r="BJ5001">
        <v>1.4</v>
      </c>
      <c r="BK5001">
        <v>1.5</v>
      </c>
      <c r="BL5001">
        <v>71.2</v>
      </c>
      <c r="BM5001">
        <v>10.68</v>
      </c>
      <c r="BN5001">
        <v>81.88</v>
      </c>
      <c r="BO5001">
        <v>81.88</v>
      </c>
      <c r="BQ5001" t="s">
        <v>1545</v>
      </c>
      <c r="BR5001" t="s">
        <v>84</v>
      </c>
      <c r="BS5001" t="s">
        <v>587</v>
      </c>
      <c r="BV5001" t="s">
        <v>86</v>
      </c>
      <c r="BY5001">
        <v>7000</v>
      </c>
      <c r="CC5001" t="s">
        <v>169</v>
      </c>
      <c r="CD5001">
        <v>6045</v>
      </c>
      <c r="CE5001" t="s">
        <v>145</v>
      </c>
      <c r="CI5001">
        <v>1</v>
      </c>
      <c r="CJ5001" t="s">
        <v>587</v>
      </c>
      <c r="CK5001">
        <v>21</v>
      </c>
      <c r="CL5001" t="s">
        <v>86</v>
      </c>
    </row>
    <row r="5002" spans="1:90" x14ac:dyDescent="0.3">
      <c r="A5002" t="s">
        <v>72</v>
      </c>
      <c r="B5002" t="s">
        <v>73</v>
      </c>
      <c r="C5002" t="s">
        <v>74</v>
      </c>
      <c r="E5002" t="str">
        <f>"080066923746"</f>
        <v>080066923746</v>
      </c>
      <c r="F5002" s="3">
        <v>45869</v>
      </c>
      <c r="G5002">
        <v>202604</v>
      </c>
      <c r="H5002" t="s">
        <v>75</v>
      </c>
      <c r="I5002" t="s">
        <v>76</v>
      </c>
      <c r="J5002" t="s">
        <v>77</v>
      </c>
      <c r="K5002" t="s">
        <v>78</v>
      </c>
      <c r="L5002" t="s">
        <v>452</v>
      </c>
      <c r="M5002" t="s">
        <v>453</v>
      </c>
      <c r="N5002" t="s">
        <v>1180</v>
      </c>
      <c r="O5002" t="s">
        <v>82</v>
      </c>
      <c r="P5002" t="str">
        <f>"4170052328                    "</f>
        <v xml:space="preserve">4170052328                    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17.649999999999999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0</v>
      </c>
      <c r="BA5002">
        <v>0</v>
      </c>
      <c r="BB5002">
        <v>0</v>
      </c>
      <c r="BC5002">
        <v>0</v>
      </c>
      <c r="BD5002">
        <v>0</v>
      </c>
      <c r="BE5002">
        <v>0</v>
      </c>
      <c r="BF5002">
        <v>0</v>
      </c>
      <c r="BG5002">
        <v>0</v>
      </c>
      <c r="BH5002">
        <v>1</v>
      </c>
      <c r="BI5002">
        <v>3</v>
      </c>
      <c r="BJ5002">
        <v>4.3</v>
      </c>
      <c r="BK5002">
        <v>5</v>
      </c>
      <c r="BL5002">
        <v>55.61</v>
      </c>
      <c r="BM5002">
        <v>8.34</v>
      </c>
      <c r="BN5002">
        <v>63.95</v>
      </c>
      <c r="BO5002">
        <v>63.95</v>
      </c>
      <c r="BQ5002" t="s">
        <v>1181</v>
      </c>
      <c r="BR5002" t="s">
        <v>84</v>
      </c>
      <c r="BS5002" t="s">
        <v>587</v>
      </c>
      <c r="BV5002" t="s">
        <v>86</v>
      </c>
      <c r="BY5002">
        <v>21280</v>
      </c>
      <c r="CC5002" t="s">
        <v>453</v>
      </c>
      <c r="CD5002">
        <v>1559</v>
      </c>
      <c r="CE5002" t="s">
        <v>91</v>
      </c>
      <c r="CI5002">
        <v>1</v>
      </c>
      <c r="CJ5002" t="s">
        <v>587</v>
      </c>
      <c r="CK5002">
        <v>22</v>
      </c>
      <c r="CL5002" t="s">
        <v>86</v>
      </c>
    </row>
    <row r="5003" spans="1:90" x14ac:dyDescent="0.3">
      <c r="A5003" t="s">
        <v>72</v>
      </c>
      <c r="B5003" t="s">
        <v>73</v>
      </c>
      <c r="C5003" t="s">
        <v>74</v>
      </c>
      <c r="E5003" t="str">
        <f>"080066923799"</f>
        <v>080066923799</v>
      </c>
      <c r="F5003" s="3">
        <v>45869</v>
      </c>
      <c r="G5003">
        <v>202604</v>
      </c>
      <c r="H5003" t="s">
        <v>75</v>
      </c>
      <c r="I5003" t="s">
        <v>76</v>
      </c>
      <c r="J5003" t="s">
        <v>77</v>
      </c>
      <c r="K5003" t="s">
        <v>78</v>
      </c>
      <c r="L5003" t="s">
        <v>580</v>
      </c>
      <c r="M5003" t="s">
        <v>581</v>
      </c>
      <c r="N5003" t="s">
        <v>582</v>
      </c>
      <c r="O5003" t="s">
        <v>82</v>
      </c>
      <c r="P5003" t="str">
        <f>"4170052332                    "</f>
        <v xml:space="preserve">4170052332                    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22.6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AZ5003">
        <v>0</v>
      </c>
      <c r="BA5003">
        <v>0</v>
      </c>
      <c r="BB5003">
        <v>0</v>
      </c>
      <c r="BC5003">
        <v>0</v>
      </c>
      <c r="BD5003">
        <v>0</v>
      </c>
      <c r="BE5003">
        <v>0</v>
      </c>
      <c r="BF5003">
        <v>0</v>
      </c>
      <c r="BG5003">
        <v>0</v>
      </c>
      <c r="BH5003">
        <v>1</v>
      </c>
      <c r="BI5003">
        <v>1</v>
      </c>
      <c r="BJ5003">
        <v>0.2</v>
      </c>
      <c r="BK5003">
        <v>1</v>
      </c>
      <c r="BL5003">
        <v>71.2</v>
      </c>
      <c r="BM5003">
        <v>10.68</v>
      </c>
      <c r="BN5003">
        <v>81.88</v>
      </c>
      <c r="BO5003">
        <v>81.88</v>
      </c>
      <c r="BQ5003" t="s">
        <v>583</v>
      </c>
      <c r="BR5003" t="s">
        <v>84</v>
      </c>
      <c r="BS5003" t="s">
        <v>587</v>
      </c>
      <c r="BV5003" t="s">
        <v>86</v>
      </c>
      <c r="BY5003">
        <v>1200</v>
      </c>
      <c r="CC5003" t="s">
        <v>581</v>
      </c>
      <c r="CD5003">
        <v>4302</v>
      </c>
      <c r="CE5003" t="s">
        <v>121</v>
      </c>
      <c r="CI5003">
        <v>1</v>
      </c>
      <c r="CJ5003" t="s">
        <v>587</v>
      </c>
      <c r="CK5003">
        <v>21</v>
      </c>
      <c r="CL5003" t="s">
        <v>86</v>
      </c>
    </row>
    <row r="5004" spans="1:90" x14ac:dyDescent="0.3">
      <c r="A5004" t="s">
        <v>72</v>
      </c>
      <c r="B5004" t="s">
        <v>73</v>
      </c>
      <c r="C5004" t="s">
        <v>74</v>
      </c>
      <c r="E5004" t="str">
        <f>"080066923865"</f>
        <v>080066923865</v>
      </c>
      <c r="F5004" s="3">
        <v>45869</v>
      </c>
      <c r="G5004">
        <v>202604</v>
      </c>
      <c r="H5004" t="s">
        <v>75</v>
      </c>
      <c r="I5004" t="s">
        <v>76</v>
      </c>
      <c r="J5004" t="s">
        <v>77</v>
      </c>
      <c r="K5004" t="s">
        <v>78</v>
      </c>
      <c r="L5004" t="s">
        <v>295</v>
      </c>
      <c r="M5004" t="s">
        <v>296</v>
      </c>
      <c r="N5004" t="s">
        <v>1837</v>
      </c>
      <c r="O5004" t="s">
        <v>82</v>
      </c>
      <c r="P5004" t="str">
        <f>"4170052320                    "</f>
        <v xml:space="preserve">4170052320                    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17.649999999999999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AZ5004">
        <v>0</v>
      </c>
      <c r="BA5004">
        <v>0</v>
      </c>
      <c r="BB5004">
        <v>0</v>
      </c>
      <c r="BC5004">
        <v>0</v>
      </c>
      <c r="BD5004">
        <v>0</v>
      </c>
      <c r="BE5004">
        <v>0</v>
      </c>
      <c r="BF5004">
        <v>0</v>
      </c>
      <c r="BG5004">
        <v>0</v>
      </c>
      <c r="BH5004">
        <v>1</v>
      </c>
      <c r="BI5004">
        <v>1</v>
      </c>
      <c r="BJ5004">
        <v>0.2</v>
      </c>
      <c r="BK5004">
        <v>1</v>
      </c>
      <c r="BL5004">
        <v>55.61</v>
      </c>
      <c r="BM5004">
        <v>8.34</v>
      </c>
      <c r="BN5004">
        <v>63.95</v>
      </c>
      <c r="BO5004">
        <v>63.95</v>
      </c>
      <c r="BQ5004" t="s">
        <v>1838</v>
      </c>
      <c r="BR5004" t="s">
        <v>84</v>
      </c>
      <c r="BS5004" t="s">
        <v>587</v>
      </c>
      <c r="BV5004" t="s">
        <v>86</v>
      </c>
      <c r="BY5004">
        <v>1200</v>
      </c>
      <c r="CC5004" t="s">
        <v>296</v>
      </c>
      <c r="CD5004">
        <v>1459</v>
      </c>
      <c r="CE5004" t="s">
        <v>121</v>
      </c>
      <c r="CI5004">
        <v>1</v>
      </c>
      <c r="CJ5004" t="s">
        <v>587</v>
      </c>
      <c r="CK5004">
        <v>22</v>
      </c>
      <c r="CL5004" t="s">
        <v>86</v>
      </c>
    </row>
    <row r="5005" spans="1:90" x14ac:dyDescent="0.3">
      <c r="A5005" t="s">
        <v>72</v>
      </c>
      <c r="B5005" t="s">
        <v>73</v>
      </c>
      <c r="C5005" t="s">
        <v>74</v>
      </c>
      <c r="E5005" t="str">
        <f>"080066923920"</f>
        <v>080066923920</v>
      </c>
      <c r="F5005" s="3">
        <v>45869</v>
      </c>
      <c r="G5005">
        <v>202604</v>
      </c>
      <c r="H5005" t="s">
        <v>75</v>
      </c>
      <c r="I5005" t="s">
        <v>76</v>
      </c>
      <c r="J5005" t="s">
        <v>77</v>
      </c>
      <c r="K5005" t="s">
        <v>78</v>
      </c>
      <c r="L5005" t="s">
        <v>197</v>
      </c>
      <c r="M5005" t="s">
        <v>198</v>
      </c>
      <c r="N5005" t="s">
        <v>4044</v>
      </c>
      <c r="O5005" t="s">
        <v>82</v>
      </c>
      <c r="P5005" t="str">
        <f>"4170052322                    "</f>
        <v xml:space="preserve">4170052322                    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17.649999999999999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  <c r="BA5005">
        <v>0</v>
      </c>
      <c r="BB5005">
        <v>0</v>
      </c>
      <c r="BC5005">
        <v>0</v>
      </c>
      <c r="BD5005">
        <v>0</v>
      </c>
      <c r="BE5005">
        <v>0</v>
      </c>
      <c r="BF5005">
        <v>0</v>
      </c>
      <c r="BG5005">
        <v>0</v>
      </c>
      <c r="BH5005">
        <v>1</v>
      </c>
      <c r="BI5005">
        <v>1</v>
      </c>
      <c r="BJ5005">
        <v>1.6</v>
      </c>
      <c r="BK5005">
        <v>2</v>
      </c>
      <c r="BL5005">
        <v>55.61</v>
      </c>
      <c r="BM5005">
        <v>8.34</v>
      </c>
      <c r="BN5005">
        <v>63.95</v>
      </c>
      <c r="BO5005">
        <v>63.95</v>
      </c>
      <c r="BQ5005" t="s">
        <v>4045</v>
      </c>
      <c r="BR5005" t="s">
        <v>84</v>
      </c>
      <c r="BS5005" t="s">
        <v>587</v>
      </c>
      <c r="BV5005" t="s">
        <v>86</v>
      </c>
      <c r="BY5005">
        <v>8160</v>
      </c>
      <c r="CC5005" t="s">
        <v>198</v>
      </c>
      <c r="CD5005">
        <v>1401</v>
      </c>
      <c r="CE5005" t="s">
        <v>91</v>
      </c>
      <c r="CI5005">
        <v>1</v>
      </c>
      <c r="CJ5005" t="s">
        <v>587</v>
      </c>
      <c r="CK5005">
        <v>22</v>
      </c>
      <c r="CL5005" t="s">
        <v>86</v>
      </c>
    </row>
    <row r="5006" spans="1:90" x14ac:dyDescent="0.3">
      <c r="A5006" t="s">
        <v>72</v>
      </c>
      <c r="B5006" t="s">
        <v>73</v>
      </c>
      <c r="C5006" t="s">
        <v>74</v>
      </c>
      <c r="E5006" t="str">
        <f>"080066924160"</f>
        <v>080066924160</v>
      </c>
      <c r="F5006" s="3">
        <v>45869</v>
      </c>
      <c r="G5006">
        <v>202604</v>
      </c>
      <c r="H5006" t="s">
        <v>75</v>
      </c>
      <c r="I5006" t="s">
        <v>76</v>
      </c>
      <c r="J5006" t="s">
        <v>77</v>
      </c>
      <c r="K5006" t="s">
        <v>78</v>
      </c>
      <c r="L5006" t="s">
        <v>75</v>
      </c>
      <c r="M5006" t="s">
        <v>76</v>
      </c>
      <c r="N5006" t="s">
        <v>1158</v>
      </c>
      <c r="O5006" t="s">
        <v>82</v>
      </c>
      <c r="P5006" t="str">
        <f>"4170052342                    "</f>
        <v xml:space="preserve">4170052342                    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>
        <v>17.649999999999999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AZ5006">
        <v>0</v>
      </c>
      <c r="BA5006">
        <v>0</v>
      </c>
      <c r="BB5006">
        <v>0</v>
      </c>
      <c r="BC5006">
        <v>0</v>
      </c>
      <c r="BD5006">
        <v>0</v>
      </c>
      <c r="BE5006">
        <v>0</v>
      </c>
      <c r="BF5006">
        <v>0</v>
      </c>
      <c r="BG5006">
        <v>0</v>
      </c>
      <c r="BH5006">
        <v>1</v>
      </c>
      <c r="BI5006">
        <v>1</v>
      </c>
      <c r="BJ5006">
        <v>0.2</v>
      </c>
      <c r="BK5006">
        <v>1</v>
      </c>
      <c r="BL5006">
        <v>55.61</v>
      </c>
      <c r="BM5006">
        <v>8.34</v>
      </c>
      <c r="BN5006">
        <v>63.95</v>
      </c>
      <c r="BO5006">
        <v>63.95</v>
      </c>
      <c r="BQ5006" t="s">
        <v>1159</v>
      </c>
      <c r="BR5006" t="s">
        <v>84</v>
      </c>
      <c r="BS5006" t="s">
        <v>587</v>
      </c>
      <c r="BV5006" t="s">
        <v>86</v>
      </c>
      <c r="BY5006">
        <v>1200</v>
      </c>
      <c r="CC5006" t="s">
        <v>76</v>
      </c>
      <c r="CD5006">
        <v>1619</v>
      </c>
      <c r="CE5006" t="s">
        <v>121</v>
      </c>
      <c r="CI5006">
        <v>1</v>
      </c>
      <c r="CJ5006" t="s">
        <v>587</v>
      </c>
      <c r="CK5006">
        <v>22</v>
      </c>
      <c r="CL5006" t="s">
        <v>86</v>
      </c>
    </row>
    <row r="5007" spans="1:90" x14ac:dyDescent="0.3">
      <c r="A5007" t="s">
        <v>72</v>
      </c>
      <c r="B5007" t="s">
        <v>73</v>
      </c>
      <c r="C5007" t="s">
        <v>74</v>
      </c>
      <c r="E5007" t="str">
        <f>"080066924188"</f>
        <v>080066924188</v>
      </c>
      <c r="F5007" s="3">
        <v>45869</v>
      </c>
      <c r="G5007">
        <v>202604</v>
      </c>
      <c r="H5007" t="s">
        <v>75</v>
      </c>
      <c r="I5007" t="s">
        <v>76</v>
      </c>
      <c r="J5007" t="s">
        <v>77</v>
      </c>
      <c r="K5007" t="s">
        <v>78</v>
      </c>
      <c r="L5007" t="s">
        <v>92</v>
      </c>
      <c r="M5007" t="s">
        <v>93</v>
      </c>
      <c r="N5007" t="s">
        <v>334</v>
      </c>
      <c r="O5007" t="s">
        <v>82</v>
      </c>
      <c r="P5007" t="str">
        <f>"4170052345                    "</f>
        <v xml:space="preserve">4170052345                    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>
        <v>22.6</v>
      </c>
      <c r="AR5007">
        <v>0</v>
      </c>
      <c r="AS5007">
        <v>0</v>
      </c>
      <c r="AT5007">
        <v>0</v>
      </c>
      <c r="AU5007">
        <v>0</v>
      </c>
      <c r="AV5007">
        <v>0</v>
      </c>
      <c r="AW5007">
        <v>0</v>
      </c>
      <c r="AX5007">
        <v>0</v>
      </c>
      <c r="AY5007">
        <v>0</v>
      </c>
      <c r="AZ5007">
        <v>0</v>
      </c>
      <c r="BA5007">
        <v>0</v>
      </c>
      <c r="BB5007">
        <v>0</v>
      </c>
      <c r="BC5007">
        <v>0</v>
      </c>
      <c r="BD5007">
        <v>0</v>
      </c>
      <c r="BE5007">
        <v>0</v>
      </c>
      <c r="BF5007">
        <v>0</v>
      </c>
      <c r="BG5007">
        <v>0</v>
      </c>
      <c r="BH5007">
        <v>1</v>
      </c>
      <c r="BI5007">
        <v>1</v>
      </c>
      <c r="BJ5007">
        <v>0.2</v>
      </c>
      <c r="BK5007">
        <v>1</v>
      </c>
      <c r="BL5007">
        <v>71.2</v>
      </c>
      <c r="BM5007">
        <v>10.68</v>
      </c>
      <c r="BN5007">
        <v>81.88</v>
      </c>
      <c r="BO5007">
        <v>81.88</v>
      </c>
      <c r="BQ5007" t="s">
        <v>335</v>
      </c>
      <c r="BR5007" t="s">
        <v>84</v>
      </c>
      <c r="BS5007" t="s">
        <v>587</v>
      </c>
      <c r="BV5007" t="s">
        <v>86</v>
      </c>
      <c r="BY5007">
        <v>1200</v>
      </c>
      <c r="CC5007" t="s">
        <v>93</v>
      </c>
      <c r="CD5007">
        <v>4052</v>
      </c>
      <c r="CE5007" t="s">
        <v>121</v>
      </c>
      <c r="CI5007">
        <v>1</v>
      </c>
      <c r="CJ5007" t="s">
        <v>587</v>
      </c>
      <c r="CK5007">
        <v>21</v>
      </c>
      <c r="CL5007" t="s">
        <v>86</v>
      </c>
    </row>
    <row r="5008" spans="1:90" x14ac:dyDescent="0.3">
      <c r="A5008" t="s">
        <v>72</v>
      </c>
      <c r="B5008" t="s">
        <v>73</v>
      </c>
      <c r="C5008" t="s">
        <v>74</v>
      </c>
      <c r="E5008" t="str">
        <f>"080066924203"</f>
        <v>080066924203</v>
      </c>
      <c r="F5008" s="3">
        <v>45869</v>
      </c>
      <c r="G5008">
        <v>202604</v>
      </c>
      <c r="H5008" t="s">
        <v>75</v>
      </c>
      <c r="I5008" t="s">
        <v>76</v>
      </c>
      <c r="J5008" t="s">
        <v>77</v>
      </c>
      <c r="K5008" t="s">
        <v>78</v>
      </c>
      <c r="L5008" t="s">
        <v>295</v>
      </c>
      <c r="M5008" t="s">
        <v>296</v>
      </c>
      <c r="N5008" t="s">
        <v>1837</v>
      </c>
      <c r="O5008" t="s">
        <v>82</v>
      </c>
      <c r="P5008" t="str">
        <f>"4170052340                    "</f>
        <v xml:space="preserve">4170052340                    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17.649999999999999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AZ5008">
        <v>0</v>
      </c>
      <c r="BA5008">
        <v>0</v>
      </c>
      <c r="BB5008">
        <v>0</v>
      </c>
      <c r="BC5008">
        <v>0</v>
      </c>
      <c r="BD5008">
        <v>0</v>
      </c>
      <c r="BE5008">
        <v>0</v>
      </c>
      <c r="BF5008">
        <v>0</v>
      </c>
      <c r="BG5008">
        <v>0</v>
      </c>
      <c r="BH5008">
        <v>1</v>
      </c>
      <c r="BI5008">
        <v>1</v>
      </c>
      <c r="BJ5008">
        <v>0.2</v>
      </c>
      <c r="BK5008">
        <v>1</v>
      </c>
      <c r="BL5008">
        <v>55.61</v>
      </c>
      <c r="BM5008">
        <v>8.34</v>
      </c>
      <c r="BN5008">
        <v>63.95</v>
      </c>
      <c r="BO5008">
        <v>63.95</v>
      </c>
      <c r="BQ5008" t="s">
        <v>1838</v>
      </c>
      <c r="BR5008" t="s">
        <v>84</v>
      </c>
      <c r="BS5008" t="s">
        <v>587</v>
      </c>
      <c r="BV5008" t="s">
        <v>86</v>
      </c>
      <c r="BY5008">
        <v>1200</v>
      </c>
      <c r="CC5008" t="s">
        <v>296</v>
      </c>
      <c r="CD5008">
        <v>1459</v>
      </c>
      <c r="CE5008" t="s">
        <v>121</v>
      </c>
      <c r="CI5008">
        <v>1</v>
      </c>
      <c r="CJ5008" t="s">
        <v>587</v>
      </c>
      <c r="CK5008">
        <v>22</v>
      </c>
      <c r="CL5008" t="s">
        <v>86</v>
      </c>
    </row>
    <row r="5009" spans="1:90" x14ac:dyDescent="0.3">
      <c r="A5009" t="s">
        <v>72</v>
      </c>
      <c r="B5009" t="s">
        <v>73</v>
      </c>
      <c r="C5009" t="s">
        <v>74</v>
      </c>
      <c r="E5009" t="str">
        <f>"080066924243"</f>
        <v>080066924243</v>
      </c>
      <c r="F5009" s="3">
        <v>45869</v>
      </c>
      <c r="G5009">
        <v>202604</v>
      </c>
      <c r="H5009" t="s">
        <v>75</v>
      </c>
      <c r="I5009" t="s">
        <v>76</v>
      </c>
      <c r="J5009" t="s">
        <v>77</v>
      </c>
      <c r="K5009" t="s">
        <v>78</v>
      </c>
      <c r="L5009" t="s">
        <v>821</v>
      </c>
      <c r="M5009" t="s">
        <v>822</v>
      </c>
      <c r="N5009" t="s">
        <v>346</v>
      </c>
      <c r="O5009" t="s">
        <v>311</v>
      </c>
      <c r="P5009" t="str">
        <f>"4170052336                    "</f>
        <v xml:space="preserve">4170052336                    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193.91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AZ5009">
        <v>0</v>
      </c>
      <c r="BA5009">
        <v>0</v>
      </c>
      <c r="BB5009">
        <v>0</v>
      </c>
      <c r="BC5009">
        <v>0</v>
      </c>
      <c r="BD5009">
        <v>0</v>
      </c>
      <c r="BE5009">
        <v>0</v>
      </c>
      <c r="BF5009">
        <v>0</v>
      </c>
      <c r="BG5009">
        <v>0</v>
      </c>
      <c r="BH5009">
        <v>1</v>
      </c>
      <c r="BI5009">
        <v>7</v>
      </c>
      <c r="BJ5009">
        <v>10.1</v>
      </c>
      <c r="BK5009">
        <v>10.5</v>
      </c>
      <c r="BL5009">
        <v>610.92999999999995</v>
      </c>
      <c r="BM5009">
        <v>91.64</v>
      </c>
      <c r="BN5009">
        <v>702.57</v>
      </c>
      <c r="BO5009">
        <v>702.57</v>
      </c>
      <c r="BQ5009" t="s">
        <v>347</v>
      </c>
      <c r="BR5009" t="s">
        <v>84</v>
      </c>
      <c r="BS5009" t="s">
        <v>587</v>
      </c>
      <c r="BV5009" t="s">
        <v>86</v>
      </c>
      <c r="BY5009">
        <v>50544</v>
      </c>
      <c r="CC5009" t="s">
        <v>822</v>
      </c>
      <c r="CD5009">
        <v>1759</v>
      </c>
      <c r="CE5009" t="s">
        <v>91</v>
      </c>
      <c r="CI5009">
        <v>1</v>
      </c>
      <c r="CJ5009" t="s">
        <v>587</v>
      </c>
      <c r="CK5009">
        <v>34</v>
      </c>
      <c r="CL5009" t="s">
        <v>86</v>
      </c>
    </row>
    <row r="5010" spans="1:90" x14ac:dyDescent="0.3">
      <c r="A5010" t="s">
        <v>72</v>
      </c>
      <c r="B5010" t="s">
        <v>73</v>
      </c>
      <c r="C5010" t="s">
        <v>74</v>
      </c>
      <c r="E5010" t="str">
        <f>"080066924277"</f>
        <v>080066924277</v>
      </c>
      <c r="F5010" s="3">
        <v>45869</v>
      </c>
      <c r="G5010">
        <v>202604</v>
      </c>
      <c r="H5010" t="s">
        <v>75</v>
      </c>
      <c r="I5010" t="s">
        <v>76</v>
      </c>
      <c r="J5010" t="s">
        <v>77</v>
      </c>
      <c r="K5010" t="s">
        <v>78</v>
      </c>
      <c r="L5010" t="s">
        <v>79</v>
      </c>
      <c r="M5010" t="s">
        <v>80</v>
      </c>
      <c r="N5010" t="s">
        <v>1775</v>
      </c>
      <c r="O5010" t="s">
        <v>82</v>
      </c>
      <c r="P5010" t="str">
        <f>"4170052333                    "</f>
        <v xml:space="preserve">4170052333                    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67.760000000000005</v>
      </c>
      <c r="AR5010">
        <v>0</v>
      </c>
      <c r="AS5010">
        <v>0</v>
      </c>
      <c r="AT5010">
        <v>0</v>
      </c>
      <c r="AU5010">
        <v>0</v>
      </c>
      <c r="AV5010">
        <v>0</v>
      </c>
      <c r="AW5010">
        <v>0</v>
      </c>
      <c r="AX5010">
        <v>0</v>
      </c>
      <c r="AY5010">
        <v>0</v>
      </c>
      <c r="AZ5010">
        <v>0</v>
      </c>
      <c r="BA5010">
        <v>0</v>
      </c>
      <c r="BB5010">
        <v>0</v>
      </c>
      <c r="BC5010">
        <v>0</v>
      </c>
      <c r="BD5010">
        <v>0</v>
      </c>
      <c r="BE5010">
        <v>0</v>
      </c>
      <c r="BF5010">
        <v>0</v>
      </c>
      <c r="BG5010">
        <v>0</v>
      </c>
      <c r="BH5010">
        <v>1</v>
      </c>
      <c r="BI5010">
        <v>6</v>
      </c>
      <c r="BJ5010">
        <v>3.8</v>
      </c>
      <c r="BK5010">
        <v>6</v>
      </c>
      <c r="BL5010">
        <v>213.48</v>
      </c>
      <c r="BM5010">
        <v>32.020000000000003</v>
      </c>
      <c r="BN5010">
        <v>245.5</v>
      </c>
      <c r="BO5010">
        <v>245.5</v>
      </c>
      <c r="BQ5010" t="s">
        <v>1776</v>
      </c>
      <c r="BR5010" t="s">
        <v>84</v>
      </c>
      <c r="BS5010" t="s">
        <v>587</v>
      </c>
      <c r="BV5010" t="s">
        <v>86</v>
      </c>
      <c r="BY5010">
        <v>19008</v>
      </c>
      <c r="CC5010" t="s">
        <v>80</v>
      </c>
      <c r="CD5010">
        <v>7530</v>
      </c>
      <c r="CE5010" t="s">
        <v>91</v>
      </c>
      <c r="CI5010">
        <v>1</v>
      </c>
      <c r="CJ5010" t="s">
        <v>587</v>
      </c>
      <c r="CK5010">
        <v>21</v>
      </c>
      <c r="CL5010" t="s">
        <v>86</v>
      </c>
    </row>
    <row r="5011" spans="1:90" x14ac:dyDescent="0.3">
      <c r="A5011" t="s">
        <v>72</v>
      </c>
      <c r="B5011" t="s">
        <v>73</v>
      </c>
      <c r="C5011" t="s">
        <v>74</v>
      </c>
      <c r="E5011" t="str">
        <f>"080066924404"</f>
        <v>080066924404</v>
      </c>
      <c r="F5011" s="3">
        <v>45869</v>
      </c>
      <c r="G5011">
        <v>202604</v>
      </c>
      <c r="H5011" t="s">
        <v>75</v>
      </c>
      <c r="I5011" t="s">
        <v>76</v>
      </c>
      <c r="J5011" t="s">
        <v>77</v>
      </c>
      <c r="K5011" t="s">
        <v>78</v>
      </c>
      <c r="L5011" t="s">
        <v>305</v>
      </c>
      <c r="M5011" t="s">
        <v>306</v>
      </c>
      <c r="N5011" t="s">
        <v>1820</v>
      </c>
      <c r="O5011" t="s">
        <v>82</v>
      </c>
      <c r="P5011" t="str">
        <f>"4170052246                    "</f>
        <v xml:space="preserve">4170052246                    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50.82</v>
      </c>
      <c r="AR5011">
        <v>0</v>
      </c>
      <c r="AS5011">
        <v>0</v>
      </c>
      <c r="AT5011">
        <v>0</v>
      </c>
      <c r="AU5011">
        <v>0</v>
      </c>
      <c r="AV5011">
        <v>0</v>
      </c>
      <c r="AW5011">
        <v>0</v>
      </c>
      <c r="AX5011">
        <v>0</v>
      </c>
      <c r="AY5011">
        <v>0</v>
      </c>
      <c r="AZ5011">
        <v>0</v>
      </c>
      <c r="BA5011">
        <v>0</v>
      </c>
      <c r="BB5011">
        <v>0</v>
      </c>
      <c r="BC5011">
        <v>0</v>
      </c>
      <c r="BD5011">
        <v>0</v>
      </c>
      <c r="BE5011">
        <v>0</v>
      </c>
      <c r="BF5011">
        <v>0</v>
      </c>
      <c r="BG5011">
        <v>0</v>
      </c>
      <c r="BH5011">
        <v>1</v>
      </c>
      <c r="BI5011">
        <v>2</v>
      </c>
      <c r="BJ5011">
        <v>4.4000000000000004</v>
      </c>
      <c r="BK5011">
        <v>4.5</v>
      </c>
      <c r="BL5011">
        <v>160.12</v>
      </c>
      <c r="BM5011">
        <v>24.02</v>
      </c>
      <c r="BN5011">
        <v>184.14</v>
      </c>
      <c r="BO5011">
        <v>184.14</v>
      </c>
      <c r="BQ5011" t="s">
        <v>1821</v>
      </c>
      <c r="BR5011" t="s">
        <v>84</v>
      </c>
      <c r="BS5011" t="s">
        <v>587</v>
      </c>
      <c r="BV5011" t="s">
        <v>86</v>
      </c>
      <c r="BY5011">
        <v>21840</v>
      </c>
      <c r="CC5011" t="s">
        <v>306</v>
      </c>
      <c r="CD5011">
        <v>5200</v>
      </c>
      <c r="CE5011" t="s">
        <v>91</v>
      </c>
      <c r="CI5011">
        <v>1</v>
      </c>
      <c r="CJ5011" t="s">
        <v>587</v>
      </c>
      <c r="CK5011">
        <v>21</v>
      </c>
      <c r="CL5011" t="s">
        <v>86</v>
      </c>
    </row>
    <row r="5012" spans="1:90" x14ac:dyDescent="0.3">
      <c r="A5012" t="s">
        <v>72</v>
      </c>
      <c r="B5012" t="s">
        <v>73</v>
      </c>
      <c r="C5012" t="s">
        <v>74</v>
      </c>
      <c r="E5012" t="str">
        <f>"R080066871490"</f>
        <v>R080066871490</v>
      </c>
      <c r="F5012" s="3">
        <v>45869</v>
      </c>
      <c r="G5012">
        <v>202604</v>
      </c>
      <c r="H5012" t="s">
        <v>75</v>
      </c>
      <c r="I5012" t="s">
        <v>76</v>
      </c>
      <c r="J5012" t="s">
        <v>3909</v>
      </c>
      <c r="K5012" t="s">
        <v>78</v>
      </c>
      <c r="L5012" t="s">
        <v>75</v>
      </c>
      <c r="M5012" t="s">
        <v>76</v>
      </c>
      <c r="N5012" t="s">
        <v>3909</v>
      </c>
      <c r="O5012" t="s">
        <v>95</v>
      </c>
      <c r="P5012" t="str">
        <f>"4170051438                    "</f>
        <v xml:space="preserve">4170051438                    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33.72</v>
      </c>
      <c r="AR5012">
        <v>0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AZ5012">
        <v>0</v>
      </c>
      <c r="BA5012">
        <v>0</v>
      </c>
      <c r="BB5012">
        <v>0</v>
      </c>
      <c r="BC5012">
        <v>0</v>
      </c>
      <c r="BD5012">
        <v>0</v>
      </c>
      <c r="BE5012">
        <v>0</v>
      </c>
      <c r="BF5012">
        <v>0</v>
      </c>
      <c r="BG5012">
        <v>0</v>
      </c>
      <c r="BH5012">
        <v>1</v>
      </c>
      <c r="BI5012">
        <v>5</v>
      </c>
      <c r="BJ5012">
        <v>8.6</v>
      </c>
      <c r="BK5012">
        <v>9</v>
      </c>
      <c r="BL5012">
        <v>112.11</v>
      </c>
      <c r="BM5012">
        <v>16.82</v>
      </c>
      <c r="BN5012">
        <v>128.93</v>
      </c>
      <c r="BO5012">
        <v>128.93</v>
      </c>
      <c r="BQ5012" t="s">
        <v>3910</v>
      </c>
      <c r="BR5012" t="s">
        <v>3910</v>
      </c>
      <c r="BS5012" t="s">
        <v>587</v>
      </c>
      <c r="BV5012" t="s">
        <v>86</v>
      </c>
      <c r="BY5012">
        <v>43200</v>
      </c>
      <c r="CC5012" t="s">
        <v>76</v>
      </c>
      <c r="CD5012">
        <v>1609</v>
      </c>
      <c r="CE5012" t="s">
        <v>91</v>
      </c>
      <c r="CI5012">
        <v>1</v>
      </c>
      <c r="CJ5012" t="s">
        <v>587</v>
      </c>
      <c r="CK5012">
        <v>42</v>
      </c>
      <c r="CL5012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sdrascd7-IENOMKE155109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2025-07-31T13:35:27Z</dcterms:created>
  <dcterms:modified xsi:type="dcterms:W3CDTF">2025-07-31T13:35:44Z</dcterms:modified>
</cp:coreProperties>
</file>